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2.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drawings/drawing3.xml" ContentType="application/vnd.openxmlformats-officedocument.drawing+xml"/>
  <Override PartName="/xl/comments14.xml" ContentType="application/vnd.openxmlformats-officedocument.spreadsheetml.comments+xml"/>
  <Override PartName="/xl/comments15.xml" ContentType="application/vnd.openxmlformats-officedocument.spreadsheetml.comments+xml"/>
  <Override PartName="/xl/drawings/drawing4.xml" ContentType="application/vnd.openxmlformats-officedocument.drawing+xml"/>
  <Override PartName="/xl/comments16.xml" ContentType="application/vnd.openxmlformats-officedocument.spreadsheetml.comments+xml"/>
  <Override PartName="/xl/comments17.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18.xml" ContentType="application/vnd.openxmlformats-officedocument.spreadsheetml.comments+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A. M. CHILTIUPAN\Desktop\"/>
    </mc:Choice>
  </mc:AlternateContent>
  <bookViews>
    <workbookView xWindow="0" yWindow="0" windowWidth="28800" windowHeight="11100" tabRatio="955" firstSheet="9" activeTab="16"/>
  </bookViews>
  <sheets>
    <sheet name="Decreto del presupuesto " sheetId="35" r:id="rId1"/>
    <sheet name="RESUMEN DE INGRESOS " sheetId="45" r:id="rId2"/>
    <sheet name="Ingresos" sheetId="16" r:id="rId3"/>
    <sheet name="concent, de egresos. carta" sheetId="82" r:id="rId4"/>
    <sheet name="CONCENTRACION DE EGRESOS" sheetId="23" state="hidden" r:id="rId5"/>
    <sheet name="PAG, FOND, PROP" sheetId="59" r:id="rId6"/>
    <sheet name="FONDOS PROPIOS" sheetId="56" r:id="rId7"/>
    <sheet name="25% FODES " sheetId="57" r:id="rId8"/>
    <sheet name=" 75% FODES AG3 " sheetId="38" r:id="rId9"/>
    <sheet name="INVER.FODES 75% AG 4" sheetId="37" r:id="rId10"/>
    <sheet name="AG 4 0402  2% FODES" sheetId="85" r:id="rId11"/>
    <sheet name="Pres.Servicio Deuda Publica" sheetId="28" r:id="rId12"/>
    <sheet name="Saldos de ctas. Bancarias" sheetId="29" r:id="rId13"/>
    <sheet name="FOND GENE.109" sheetId="83" r:id="rId14"/>
    <sheet name="Media Simple 5 años ingresos" sheetId="27" r:id="rId15"/>
    <sheet name=" Metodo de regresion Lineal" sheetId="32" r:id="rId16"/>
    <sheet name="Proy. de recur.Humanos" sheetId="34" r:id="rId17"/>
    <sheet name="Concen. de  Recursos Huma" sheetId="33" r:id="rId18"/>
    <sheet name="LIQUID, PROY" sheetId="76" r:id="rId19"/>
    <sheet name="proy, original" sheetId="64" r:id="rId20"/>
    <sheet name="Detalle de proy. diversos 2020" sheetId="30" r:id="rId21"/>
    <sheet name="PROY,0301" sheetId="80" r:id="rId22"/>
    <sheet name="PROY. 2% FODE" sheetId="86" r:id="rId23"/>
    <sheet name="PROY,0302" sheetId="81" r:id="rId24"/>
    <sheet name="PROY,0401" sheetId="74" r:id="rId25"/>
    <sheet name="Hoja2" sheetId="46" r:id="rId26"/>
    <sheet name="Hoja3" sheetId="48" r:id="rId27"/>
    <sheet name="Hoja4" sheetId="49" r:id="rId28"/>
  </sheets>
  <externalReferences>
    <externalReference r:id="rId29"/>
  </externalReferences>
  <definedNames>
    <definedName name="_xlnm.Print_Area" localSheetId="4">'CONCENTRACION DE EGRESOS'!$A$1:$W$99</definedName>
    <definedName name="_xlnm.Print_Area" localSheetId="20">'Detalle de proy. diversos 2020'!$A$1:$G$43</definedName>
    <definedName name="_xlnm.Print_Area" localSheetId="2">Ingresos!$A$1:$L$50</definedName>
    <definedName name="_xlnm.Print_Area" localSheetId="19">'proy, original'!$A$1:$Z$166</definedName>
    <definedName name="_xlnm.Print_Area" localSheetId="16">'Proy. de recur.Humanos'!$A$1:$Q$110</definedName>
    <definedName name="_xlnm.Print_Area" localSheetId="12">'Saldos de ctas. Bancarias'!$A$1:$U$104</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A3" i="29" l="1"/>
  <c r="M24" i="85" l="1"/>
  <c r="M11" i="85"/>
  <c r="M12" i="85"/>
  <c r="M13" i="85"/>
  <c r="M14" i="85"/>
  <c r="M15" i="85"/>
  <c r="M16" i="85"/>
  <c r="M23" i="85"/>
  <c r="M25" i="85"/>
  <c r="M26" i="85"/>
  <c r="M11" i="37"/>
  <c r="M35" i="37" s="1"/>
  <c r="M12" i="37"/>
  <c r="M13" i="37"/>
  <c r="M14" i="37"/>
  <c r="M15" i="37"/>
  <c r="M16" i="37"/>
  <c r="M17" i="37"/>
  <c r="M18" i="37"/>
  <c r="M19" i="37"/>
  <c r="M20" i="37"/>
  <c r="M21" i="37"/>
  <c r="M22" i="37"/>
  <c r="M23" i="37"/>
  <c r="M24" i="37"/>
  <c r="M25" i="37"/>
  <c r="M26" i="37"/>
  <c r="M27" i="37"/>
  <c r="M28" i="37"/>
  <c r="M29" i="37"/>
  <c r="M30" i="37"/>
  <c r="M31" i="37"/>
  <c r="M32" i="37"/>
  <c r="M33" i="37"/>
  <c r="M34" i="37"/>
  <c r="M10" i="85"/>
  <c r="M10" i="37"/>
  <c r="M16" i="38"/>
  <c r="M17" i="38"/>
  <c r="M18" i="38"/>
  <c r="M19" i="38"/>
  <c r="M20" i="38"/>
  <c r="M21" i="38"/>
  <c r="M22" i="38"/>
  <c r="M23" i="38"/>
  <c r="M24" i="38"/>
  <c r="M25" i="38"/>
  <c r="M26" i="38"/>
  <c r="M27" i="38"/>
  <c r="M28" i="38"/>
  <c r="M29" i="38"/>
  <c r="M30" i="38"/>
  <c r="M31" i="38"/>
  <c r="M32" i="38"/>
  <c r="M33" i="38"/>
  <c r="M34" i="38"/>
  <c r="M35" i="38"/>
  <c r="M36" i="38"/>
  <c r="M37" i="38"/>
  <c r="M38" i="38"/>
  <c r="M39" i="38"/>
  <c r="M40" i="38"/>
  <c r="M41" i="38"/>
  <c r="M42" i="38"/>
  <c r="M44" i="38"/>
  <c r="M45" i="38"/>
  <c r="M46" i="38"/>
  <c r="M47" i="38"/>
  <c r="M48" i="38"/>
  <c r="M49" i="38"/>
  <c r="M50" i="38"/>
  <c r="M51" i="38"/>
  <c r="M52" i="38"/>
  <c r="M53" i="38"/>
  <c r="M54" i="38"/>
  <c r="M55" i="38"/>
  <c r="M56" i="38"/>
  <c r="M57" i="38"/>
  <c r="M58" i="38"/>
  <c r="M59" i="38"/>
  <c r="M60" i="38"/>
  <c r="M61" i="38"/>
  <c r="M62" i="38"/>
  <c r="M63" i="38"/>
  <c r="M64" i="38"/>
  <c r="M65" i="38"/>
  <c r="M66" i="38"/>
  <c r="M67" i="38"/>
  <c r="M68" i="38"/>
  <c r="M69" i="38"/>
  <c r="M70" i="38"/>
  <c r="M71" i="38"/>
  <c r="M72" i="38"/>
  <c r="M73" i="38"/>
  <c r="M74" i="38"/>
  <c r="M76" i="38"/>
  <c r="M77" i="38"/>
  <c r="M79" i="38"/>
  <c r="M80" i="38"/>
  <c r="M81" i="38"/>
  <c r="M11" i="38"/>
  <c r="M12" i="38"/>
  <c r="M13" i="38"/>
  <c r="M14" i="38"/>
  <c r="M15" i="38"/>
  <c r="M82" i="38"/>
  <c r="M84" i="38"/>
  <c r="M85" i="38"/>
  <c r="M10" i="38"/>
  <c r="M36" i="57"/>
  <c r="M37" i="57"/>
  <c r="M38" i="57"/>
  <c r="M39" i="57"/>
  <c r="M40" i="57"/>
  <c r="M41" i="57"/>
  <c r="M42" i="57"/>
  <c r="M43" i="57"/>
  <c r="M44" i="57"/>
  <c r="M45" i="57"/>
  <c r="M46" i="57"/>
  <c r="M47" i="57"/>
  <c r="M48" i="57"/>
  <c r="M49" i="57"/>
  <c r="M50" i="57"/>
  <c r="M51" i="57"/>
  <c r="M52" i="57"/>
  <c r="M53" i="57"/>
  <c r="M54" i="57"/>
  <c r="M55" i="57"/>
  <c r="M57" i="57"/>
  <c r="M58" i="57"/>
  <c r="M59" i="57"/>
  <c r="M60" i="57"/>
  <c r="M61" i="57"/>
  <c r="M62" i="57"/>
  <c r="M63" i="57"/>
  <c r="M64" i="57"/>
  <c r="M65" i="57"/>
  <c r="M66" i="57"/>
  <c r="M67" i="57"/>
  <c r="M68" i="57"/>
  <c r="M69" i="57"/>
  <c r="M70" i="57"/>
  <c r="M71" i="57"/>
  <c r="M72" i="57"/>
  <c r="M73" i="57"/>
  <c r="M74" i="57"/>
  <c r="M75" i="57"/>
  <c r="M76" i="57"/>
  <c r="M77" i="57"/>
  <c r="M78" i="57"/>
  <c r="M79" i="57"/>
  <c r="M80" i="57"/>
  <c r="M81" i="57"/>
  <c r="M82" i="57"/>
  <c r="M83" i="57"/>
  <c r="M84" i="57"/>
  <c r="M85" i="57"/>
  <c r="M86" i="57"/>
  <c r="M87" i="57"/>
  <c r="M88" i="57"/>
  <c r="M89" i="57"/>
  <c r="M90" i="57"/>
  <c r="M91" i="57"/>
  <c r="M92" i="57"/>
  <c r="M93" i="57"/>
  <c r="M94" i="57"/>
  <c r="M95" i="57"/>
  <c r="M96" i="57"/>
  <c r="M97" i="57"/>
  <c r="M98" i="57"/>
  <c r="M99" i="57"/>
  <c r="M100" i="57"/>
  <c r="M101" i="57"/>
  <c r="M102" i="57"/>
  <c r="M103" i="57"/>
  <c r="M31" i="57"/>
  <c r="M24" i="57"/>
  <c r="M25" i="57"/>
  <c r="M17" i="57"/>
  <c r="M18" i="57"/>
  <c r="M19" i="57"/>
  <c r="M11" i="57"/>
  <c r="M12" i="57"/>
  <c r="M13" i="57"/>
  <c r="M14" i="57"/>
  <c r="M15" i="57"/>
  <c r="M16" i="57"/>
  <c r="B11" i="38" l="1"/>
  <c r="K35" i="37"/>
  <c r="K75" i="38"/>
  <c r="L17" i="57"/>
  <c r="L23" i="57"/>
  <c r="L28" i="57"/>
  <c r="L32" i="57"/>
  <c r="L40" i="57"/>
  <c r="L44" i="57"/>
  <c r="L48" i="57"/>
  <c r="L52" i="57"/>
  <c r="L56" i="57"/>
  <c r="L58" i="57"/>
  <c r="L59" i="57"/>
  <c r="L62" i="57"/>
  <c r="L68" i="57"/>
  <c r="L72" i="57"/>
  <c r="L76" i="57"/>
  <c r="L84" i="57"/>
  <c r="L86" i="57"/>
  <c r="L93" i="57"/>
  <c r="L97" i="57"/>
  <c r="L101" i="57"/>
  <c r="K104" i="57"/>
  <c r="M32" i="57"/>
  <c r="M33" i="57"/>
  <c r="M34" i="57"/>
  <c r="M35" i="57"/>
  <c r="M26" i="57"/>
  <c r="M27" i="57"/>
  <c r="M28" i="57"/>
  <c r="M29" i="57"/>
  <c r="M30" i="57"/>
  <c r="M20" i="57"/>
  <c r="M21" i="57"/>
  <c r="M22" i="57"/>
  <c r="M23" i="57"/>
  <c r="L23" i="38"/>
  <c r="G8" i="34"/>
  <c r="I78" i="38"/>
  <c r="M78" i="38" s="1"/>
  <c r="I105" i="57"/>
  <c r="I56" i="57"/>
  <c r="J94" i="57"/>
  <c r="L94" i="57" s="1"/>
  <c r="J95" i="57"/>
  <c r="L95" i="57" s="1"/>
  <c r="J96" i="57"/>
  <c r="L96" i="57" s="1"/>
  <c r="J97" i="57"/>
  <c r="J98" i="57"/>
  <c r="L98" i="57" s="1"/>
  <c r="J99" i="57"/>
  <c r="L99" i="57" s="1"/>
  <c r="J100" i="57"/>
  <c r="L100" i="57" s="1"/>
  <c r="J81" i="57"/>
  <c r="L81" i="57" s="1"/>
  <c r="J82" i="57"/>
  <c r="L82" i="57" s="1"/>
  <c r="J83" i="57"/>
  <c r="L83" i="57" s="1"/>
  <c r="J62" i="57"/>
  <c r="J65" i="57"/>
  <c r="L65" i="57" s="1"/>
  <c r="J66" i="57"/>
  <c r="L66" i="57" s="1"/>
  <c r="J67" i="57"/>
  <c r="L67" i="57" s="1"/>
  <c r="J68" i="57"/>
  <c r="J69" i="57"/>
  <c r="L69" i="57" s="1"/>
  <c r="J70" i="57"/>
  <c r="L70" i="57" s="1"/>
  <c r="J73" i="57"/>
  <c r="L73" i="57" s="1"/>
  <c r="J74" i="57"/>
  <c r="L74" i="57" s="1"/>
  <c r="J75" i="57"/>
  <c r="L75" i="57" s="1"/>
  <c r="J13" i="57"/>
  <c r="L13" i="57" s="1"/>
  <c r="J16" i="57"/>
  <c r="L16" i="57" s="1"/>
  <c r="J19" i="57"/>
  <c r="L19" i="57" s="1"/>
  <c r="J31" i="57"/>
  <c r="L31" i="57" s="1"/>
  <c r="J32" i="57"/>
  <c r="J34" i="57"/>
  <c r="L34" i="57" s="1"/>
  <c r="J35" i="57"/>
  <c r="L35" i="57" s="1"/>
  <c r="J36" i="57"/>
  <c r="L36" i="57" s="1"/>
  <c r="J37" i="57"/>
  <c r="L37" i="57" s="1"/>
  <c r="J47" i="57"/>
  <c r="L47" i="57" s="1"/>
  <c r="J48" i="57"/>
  <c r="J50" i="57"/>
  <c r="L50" i="57" s="1"/>
  <c r="J56" i="57"/>
  <c r="H103" i="57"/>
  <c r="J103" i="57" s="1"/>
  <c r="L103" i="57" s="1"/>
  <c r="H102" i="57"/>
  <c r="J102" i="57" s="1"/>
  <c r="L102" i="57" s="1"/>
  <c r="H101" i="57"/>
  <c r="J101" i="57" s="1"/>
  <c r="H93" i="57"/>
  <c r="J93" i="57" s="1"/>
  <c r="H92" i="57"/>
  <c r="J92" i="57" s="1"/>
  <c r="L92" i="57" s="1"/>
  <c r="H91" i="57"/>
  <c r="J91" i="57" s="1"/>
  <c r="L91" i="57" s="1"/>
  <c r="H90" i="57"/>
  <c r="J90" i="57" s="1"/>
  <c r="L90" i="57" s="1"/>
  <c r="H89" i="57"/>
  <c r="J89" i="57" s="1"/>
  <c r="L89" i="57" s="1"/>
  <c r="H88" i="57"/>
  <c r="J88" i="57" s="1"/>
  <c r="L88" i="57" s="1"/>
  <c r="H87" i="57"/>
  <c r="H85" i="57"/>
  <c r="J85" i="57" s="1"/>
  <c r="L85" i="57" s="1"/>
  <c r="H84" i="57"/>
  <c r="J84" i="57" s="1"/>
  <c r="H80" i="57"/>
  <c r="J80" i="57" s="1"/>
  <c r="L80" i="57" s="1"/>
  <c r="H79" i="57"/>
  <c r="J79" i="57" s="1"/>
  <c r="L79" i="57" s="1"/>
  <c r="H78" i="57"/>
  <c r="J78" i="57" s="1"/>
  <c r="L78" i="57" s="1"/>
  <c r="H77" i="57"/>
  <c r="J77" i="57" s="1"/>
  <c r="L77" i="57" s="1"/>
  <c r="H72" i="57"/>
  <c r="J72" i="57" s="1"/>
  <c r="H71" i="57"/>
  <c r="J71" i="57" s="1"/>
  <c r="L71" i="57" s="1"/>
  <c r="H64" i="57"/>
  <c r="J64" i="57" s="1"/>
  <c r="L64" i="57" s="1"/>
  <c r="H63" i="57"/>
  <c r="J63" i="57" s="1"/>
  <c r="L63" i="57" s="1"/>
  <c r="H61" i="57"/>
  <c r="H60" i="57"/>
  <c r="J60" i="57" s="1"/>
  <c r="L60" i="57" s="1"/>
  <c r="H57" i="57"/>
  <c r="J57" i="57" s="1"/>
  <c r="L57" i="57" s="1"/>
  <c r="H55" i="57"/>
  <c r="J55" i="57" s="1"/>
  <c r="L55" i="57" s="1"/>
  <c r="H54" i="57"/>
  <c r="J54" i="57" s="1"/>
  <c r="L54" i="57" s="1"/>
  <c r="H53" i="57"/>
  <c r="J53" i="57" s="1"/>
  <c r="L53" i="57" s="1"/>
  <c r="H52" i="57"/>
  <c r="J52" i="57" s="1"/>
  <c r="H51" i="57"/>
  <c r="J51" i="57" s="1"/>
  <c r="L51" i="57" s="1"/>
  <c r="H49" i="57"/>
  <c r="J49" i="57" s="1"/>
  <c r="L49" i="57" s="1"/>
  <c r="H46" i="57"/>
  <c r="J46" i="57" s="1"/>
  <c r="L46" i="57" s="1"/>
  <c r="H45" i="57"/>
  <c r="J45" i="57" s="1"/>
  <c r="L45" i="57" s="1"/>
  <c r="H44" i="57"/>
  <c r="J44" i="57" s="1"/>
  <c r="H43" i="57"/>
  <c r="J43" i="57" s="1"/>
  <c r="L43" i="57" s="1"/>
  <c r="H42" i="57"/>
  <c r="J42" i="57" s="1"/>
  <c r="L42" i="57" s="1"/>
  <c r="H41" i="57"/>
  <c r="J41" i="57" s="1"/>
  <c r="L41" i="57" s="1"/>
  <c r="H40" i="57"/>
  <c r="J40" i="57" s="1"/>
  <c r="H39" i="57"/>
  <c r="J39" i="57" s="1"/>
  <c r="L39" i="57" s="1"/>
  <c r="H38" i="57"/>
  <c r="J38" i="57" s="1"/>
  <c r="L38" i="57" s="1"/>
  <c r="H33" i="57"/>
  <c r="J33" i="57" s="1"/>
  <c r="L33" i="57" s="1"/>
  <c r="H30" i="57"/>
  <c r="J30" i="57" s="1"/>
  <c r="L30" i="57" s="1"/>
  <c r="A30" i="57"/>
  <c r="A31" i="57" s="1"/>
  <c r="A32" i="57" s="1"/>
  <c r="A33" i="57" s="1"/>
  <c r="A35" i="57" s="1"/>
  <c r="A36" i="57" s="1"/>
  <c r="A37" i="57" s="1"/>
  <c r="A38" i="57" s="1"/>
  <c r="A39" i="57" s="1"/>
  <c r="A40" i="57" s="1"/>
  <c r="A41" i="57" s="1"/>
  <c r="A42" i="57" s="1"/>
  <c r="A43" i="57" s="1"/>
  <c r="A44" i="57" s="1"/>
  <c r="H29" i="57"/>
  <c r="J29" i="57" s="1"/>
  <c r="L29" i="57" s="1"/>
  <c r="H28" i="57"/>
  <c r="J28" i="57" s="1"/>
  <c r="H27" i="57"/>
  <c r="J27" i="57" s="1"/>
  <c r="L27" i="57" s="1"/>
  <c r="H26" i="57"/>
  <c r="J26" i="57" s="1"/>
  <c r="L26" i="57" s="1"/>
  <c r="H25" i="57"/>
  <c r="J25" i="57" s="1"/>
  <c r="L25" i="57" s="1"/>
  <c r="H24" i="57"/>
  <c r="J24" i="57" s="1"/>
  <c r="L24" i="57" s="1"/>
  <c r="H23" i="57"/>
  <c r="J23" i="57" s="1"/>
  <c r="H22" i="57"/>
  <c r="J22" i="57" s="1"/>
  <c r="L22" i="57" s="1"/>
  <c r="H21" i="57"/>
  <c r="J21" i="57" s="1"/>
  <c r="L21" i="57" s="1"/>
  <c r="H20" i="57"/>
  <c r="J20" i="57" s="1"/>
  <c r="L20" i="57" s="1"/>
  <c r="H18" i="57"/>
  <c r="J18" i="57" s="1"/>
  <c r="L18" i="57" s="1"/>
  <c r="H17" i="57"/>
  <c r="J17" i="57" s="1"/>
  <c r="H15" i="57"/>
  <c r="J15" i="57" s="1"/>
  <c r="L15" i="57" s="1"/>
  <c r="H14" i="57"/>
  <c r="J14" i="57" s="1"/>
  <c r="L14" i="57" s="1"/>
  <c r="H12" i="57"/>
  <c r="J12" i="57" s="1"/>
  <c r="L12" i="57" s="1"/>
  <c r="H11" i="57"/>
  <c r="J11" i="57" s="1"/>
  <c r="L11" i="57" s="1"/>
  <c r="I87" i="38" l="1"/>
  <c r="K87" i="38"/>
  <c r="M75" i="38"/>
  <c r="M87" i="38" s="1"/>
  <c r="I104" i="57"/>
  <c r="M56" i="57"/>
  <c r="M104" i="57"/>
  <c r="N87" i="38"/>
  <c r="H76" i="57"/>
  <c r="J61" i="57"/>
  <c r="L61" i="57" s="1"/>
  <c r="H59" i="57"/>
  <c r="H86" i="57"/>
  <c r="H104" i="57"/>
  <c r="J87" i="57"/>
  <c r="L87" i="57" s="1"/>
  <c r="A47" i="57"/>
  <c r="A48" i="57"/>
  <c r="A49" i="57" s="1"/>
  <c r="A50" i="57" s="1"/>
  <c r="A51" i="57" s="1"/>
  <c r="A52" i="57" s="1"/>
  <c r="A53" i="57" s="1"/>
  <c r="A54" i="57" s="1"/>
  <c r="A55" i="57" s="1"/>
  <c r="A56" i="57" s="1"/>
  <c r="A57" i="57" s="1"/>
  <c r="A58" i="57" s="1"/>
  <c r="I27" i="85"/>
  <c r="J17" i="85"/>
  <c r="J18" i="85"/>
  <c r="J19" i="85"/>
  <c r="J20" i="85"/>
  <c r="J21" i="85"/>
  <c r="J22" i="85"/>
  <c r="I35" i="37"/>
  <c r="N35" i="37" s="1"/>
  <c r="K19" i="85" l="1"/>
  <c r="M19" i="85" s="1"/>
  <c r="I107" i="57"/>
  <c r="K18" i="85"/>
  <c r="M18" i="85" s="1"/>
  <c r="L18" i="85"/>
  <c r="K22" i="85"/>
  <c r="M22" i="85" s="1"/>
  <c r="K21" i="85"/>
  <c r="M21" i="85" s="1"/>
  <c r="L21" i="85"/>
  <c r="K17" i="85"/>
  <c r="L17" i="85" s="1"/>
  <c r="K20" i="85"/>
  <c r="M20" i="85" s="1"/>
  <c r="L104" i="57"/>
  <c r="H105" i="57"/>
  <c r="J104" i="57"/>
  <c r="J16" i="37"/>
  <c r="L16" i="37" s="1"/>
  <c r="J17" i="37"/>
  <c r="L17" i="37" s="1"/>
  <c r="J19" i="37"/>
  <c r="L19" i="37" s="1"/>
  <c r="J25" i="37"/>
  <c r="L25" i="37" s="1"/>
  <c r="J26" i="37"/>
  <c r="L26" i="37" s="1"/>
  <c r="J27" i="37"/>
  <c r="L27" i="37" s="1"/>
  <c r="J30" i="37"/>
  <c r="L30" i="37" s="1"/>
  <c r="J17" i="38"/>
  <c r="L17" i="38" s="1"/>
  <c r="J18" i="38"/>
  <c r="L18" i="38" s="1"/>
  <c r="J19" i="38"/>
  <c r="L19" i="38" s="1"/>
  <c r="J20" i="38"/>
  <c r="L20" i="38" s="1"/>
  <c r="J24" i="38"/>
  <c r="L24" i="38" s="1"/>
  <c r="J25" i="38"/>
  <c r="L25" i="38" s="1"/>
  <c r="J26" i="38"/>
  <c r="L26" i="38" s="1"/>
  <c r="J27" i="38"/>
  <c r="L27" i="38" s="1"/>
  <c r="J28" i="38"/>
  <c r="L28" i="38" s="1"/>
  <c r="J29" i="38"/>
  <c r="L29" i="38" s="1"/>
  <c r="J30" i="38"/>
  <c r="L30" i="38" s="1"/>
  <c r="J31" i="38"/>
  <c r="L31" i="38" s="1"/>
  <c r="J32" i="38"/>
  <c r="L32" i="38" s="1"/>
  <c r="J33" i="38"/>
  <c r="L33" i="38" s="1"/>
  <c r="J34" i="38"/>
  <c r="L34" i="38" s="1"/>
  <c r="J35" i="38"/>
  <c r="L35" i="38" s="1"/>
  <c r="J36" i="38"/>
  <c r="L36" i="38" s="1"/>
  <c r="J37" i="38"/>
  <c r="L37" i="38" s="1"/>
  <c r="J38" i="38"/>
  <c r="L38" i="38" s="1"/>
  <c r="J40" i="38"/>
  <c r="L40" i="38" s="1"/>
  <c r="J41" i="38"/>
  <c r="L41" i="38" s="1"/>
  <c r="J44" i="38"/>
  <c r="L44" i="38" s="1"/>
  <c r="J50" i="38"/>
  <c r="L50" i="38" s="1"/>
  <c r="J51" i="38"/>
  <c r="L51" i="38" s="1"/>
  <c r="J52" i="38"/>
  <c r="L52" i="38" s="1"/>
  <c r="J55" i="38"/>
  <c r="L55" i="38" s="1"/>
  <c r="J59" i="38"/>
  <c r="L59" i="38" s="1"/>
  <c r="J60" i="38"/>
  <c r="L60" i="38" s="1"/>
  <c r="J61" i="38"/>
  <c r="L61" i="38" s="1"/>
  <c r="J62" i="38"/>
  <c r="L62" i="38" s="1"/>
  <c r="J65" i="38"/>
  <c r="L65" i="38" s="1"/>
  <c r="J66" i="38"/>
  <c r="L66" i="38" s="1"/>
  <c r="J67" i="38"/>
  <c r="L67" i="38" s="1"/>
  <c r="J68" i="38"/>
  <c r="L68" i="38" s="1"/>
  <c r="J69" i="38"/>
  <c r="L69" i="38" s="1"/>
  <c r="J70" i="38"/>
  <c r="L70" i="38" s="1"/>
  <c r="J72" i="38"/>
  <c r="L72" i="38" s="1"/>
  <c r="J73" i="38"/>
  <c r="L73" i="38" s="1"/>
  <c r="J74" i="38"/>
  <c r="L74" i="38" s="1"/>
  <c r="J75" i="38"/>
  <c r="L75" i="38" s="1"/>
  <c r="J76" i="38"/>
  <c r="L76" i="38" s="1"/>
  <c r="J77" i="38"/>
  <c r="L77" i="38" s="1"/>
  <c r="J79" i="38"/>
  <c r="L79" i="38" s="1"/>
  <c r="J80" i="38"/>
  <c r="L80" i="38" s="1"/>
  <c r="J81" i="38"/>
  <c r="L81" i="38" s="1"/>
  <c r="J82" i="38"/>
  <c r="L82" i="38" s="1"/>
  <c r="J83" i="38"/>
  <c r="J84" i="38"/>
  <c r="L84" i="38" s="1"/>
  <c r="J85" i="38"/>
  <c r="L85" i="38" s="1"/>
  <c r="J86" i="38"/>
  <c r="L20" i="85" l="1"/>
  <c r="L19" i="85"/>
  <c r="L22" i="85"/>
  <c r="M17" i="85"/>
  <c r="M27" i="85" s="1"/>
  <c r="M92" i="38" s="1"/>
  <c r="K27" i="85"/>
  <c r="C81" i="29"/>
  <c r="N44" i="82"/>
  <c r="H78" i="38"/>
  <c r="J78" i="38" s="1"/>
  <c r="L78" i="38" s="1"/>
  <c r="H33" i="37"/>
  <c r="J33" i="37" s="1"/>
  <c r="L33" i="37" s="1"/>
  <c r="H24" i="37"/>
  <c r="J24" i="37" s="1"/>
  <c r="L24" i="37" s="1"/>
  <c r="H23" i="37"/>
  <c r="J23" i="37" s="1"/>
  <c r="L23" i="37" s="1"/>
  <c r="H22" i="37"/>
  <c r="J22" i="37" s="1"/>
  <c r="L22" i="37" s="1"/>
  <c r="H21" i="37"/>
  <c r="J21" i="37" s="1"/>
  <c r="L21" i="37" s="1"/>
  <c r="H20" i="37"/>
  <c r="J20" i="37" s="1"/>
  <c r="L20" i="37" s="1"/>
  <c r="H15" i="37"/>
  <c r="J15" i="37" s="1"/>
  <c r="L15" i="37" s="1"/>
  <c r="C11" i="30"/>
  <c r="C14" i="30"/>
  <c r="C91" i="29"/>
  <c r="C89" i="29" l="1"/>
  <c r="C82" i="29"/>
  <c r="C86" i="29"/>
  <c r="C87" i="29"/>
  <c r="H817" i="86" l="1"/>
  <c r="H789" i="86"/>
  <c r="H758" i="86"/>
  <c r="H729" i="86"/>
  <c r="H702" i="86"/>
  <c r="H662" i="86"/>
  <c r="H626" i="86"/>
  <c r="H631" i="86" s="1"/>
  <c r="H601" i="86"/>
  <c r="H574" i="86"/>
  <c r="H542" i="86"/>
  <c r="H544" i="86" s="1"/>
  <c r="H519" i="86"/>
  <c r="H488" i="86"/>
  <c r="H456" i="86"/>
  <c r="H426" i="86"/>
  <c r="H395" i="86"/>
  <c r="H366" i="86"/>
  <c r="H333" i="86"/>
  <c r="H308" i="86"/>
  <c r="H283" i="86"/>
  <c r="H252" i="86"/>
  <c r="H258" i="86" s="1"/>
  <c r="H225" i="86"/>
  <c r="H196" i="86"/>
  <c r="H169" i="86"/>
  <c r="H146" i="86"/>
  <c r="H119" i="86"/>
  <c r="H80" i="86"/>
  <c r="H58" i="86"/>
  <c r="H31" i="86"/>
  <c r="H34" i="86" s="1"/>
  <c r="H31" i="37"/>
  <c r="J31" i="37" s="1"/>
  <c r="L31" i="37" s="1"/>
  <c r="C35" i="30"/>
  <c r="C10" i="30" l="1"/>
  <c r="J91" i="64"/>
  <c r="M89" i="64"/>
  <c r="M90" i="64"/>
  <c r="H29" i="56"/>
  <c r="H14" i="38" l="1"/>
  <c r="J14" i="38" s="1"/>
  <c r="L14" i="38" s="1"/>
  <c r="H13" i="38"/>
  <c r="J13" i="38" s="1"/>
  <c r="L13" i="38" s="1"/>
  <c r="H12" i="38"/>
  <c r="J12" i="38" s="1"/>
  <c r="L12" i="38" s="1"/>
  <c r="H10" i="38"/>
  <c r="J10" i="38" s="1"/>
  <c r="L10" i="38" s="1"/>
  <c r="M62" i="64" l="1"/>
  <c r="H316" i="80" l="1"/>
  <c r="H322" i="80" s="1"/>
  <c r="H71" i="38" l="1"/>
  <c r="J71" i="38" s="1"/>
  <c r="L71" i="38" s="1"/>
  <c r="H293" i="81"/>
  <c r="H292" i="81"/>
  <c r="H22" i="38" l="1"/>
  <c r="J22" i="38" s="1"/>
  <c r="L22" i="38" s="1"/>
  <c r="H294" i="80"/>
  <c r="M61" i="64"/>
  <c r="H20" i="56" l="1"/>
  <c r="G4" i="59"/>
  <c r="G5" i="59"/>
  <c r="G6" i="59"/>
  <c r="G7" i="59"/>
  <c r="G8" i="59"/>
  <c r="G9" i="59"/>
  <c r="G10" i="59"/>
  <c r="G11" i="59"/>
  <c r="G12" i="59"/>
  <c r="G13" i="59"/>
  <c r="G3" i="59"/>
  <c r="H62" i="34"/>
  <c r="C70" i="34" s="1"/>
  <c r="H18" i="37"/>
  <c r="J18" i="37" s="1"/>
  <c r="L18" i="37" s="1"/>
  <c r="H16" i="38"/>
  <c r="J16" i="38" s="1"/>
  <c r="L16" i="38" s="1"/>
  <c r="H15" i="38"/>
  <c r="J15" i="38" s="1"/>
  <c r="L15" i="38" s="1"/>
  <c r="H11" i="38"/>
  <c r="J11" i="38" s="1"/>
  <c r="L11" i="38" s="1"/>
  <c r="H13" i="85" l="1"/>
  <c r="J13" i="85" s="1"/>
  <c r="L13" i="85" s="1"/>
  <c r="H26" i="85"/>
  <c r="J26" i="85" s="1"/>
  <c r="L26" i="85" s="1"/>
  <c r="H16" i="85"/>
  <c r="J16" i="85" s="1"/>
  <c r="L16" i="85" s="1"/>
  <c r="H15" i="85"/>
  <c r="J15" i="85" s="1"/>
  <c r="L15" i="85" s="1"/>
  <c r="H14" i="85"/>
  <c r="J14" i="85" s="1"/>
  <c r="L14" i="85" s="1"/>
  <c r="H12" i="85"/>
  <c r="J12" i="85" s="1"/>
  <c r="L12" i="85" s="1"/>
  <c r="H11" i="85"/>
  <c r="J11" i="85" s="1"/>
  <c r="L11" i="85" s="1"/>
  <c r="H10" i="85"/>
  <c r="J10" i="85" s="1"/>
  <c r="L10" i="85" s="1"/>
  <c r="M155" i="64" l="1"/>
  <c r="M154" i="64"/>
  <c r="M153" i="64"/>
  <c r="M152" i="64"/>
  <c r="M151" i="64"/>
  <c r="M150" i="64"/>
  <c r="J156" i="64"/>
  <c r="M59" i="64"/>
  <c r="M60" i="64"/>
  <c r="M111" i="64"/>
  <c r="M87" i="64"/>
  <c r="M88" i="64"/>
  <c r="M86" i="64"/>
  <c r="H266" i="80"/>
  <c r="H1576" i="74"/>
  <c r="H1545" i="74"/>
  <c r="H600" i="81"/>
  <c r="H602" i="81" s="1"/>
  <c r="H1515" i="74"/>
  <c r="H1513" i="74"/>
  <c r="H1514" i="74"/>
  <c r="H1491" i="74"/>
  <c r="H235" i="80"/>
  <c r="H1454" i="74"/>
  <c r="H1462" i="74" s="1"/>
  <c r="H1425" i="74"/>
  <c r="H1426" i="74"/>
  <c r="H1397" i="74"/>
  <c r="H1403" i="74"/>
  <c r="H1520" i="74" l="1"/>
  <c r="H1432" i="74"/>
  <c r="H23" i="85"/>
  <c r="J23" i="85" s="1"/>
  <c r="L23" i="85" s="1"/>
  <c r="H574" i="81" l="1"/>
  <c r="H209" i="80"/>
  <c r="H21" i="38"/>
  <c r="J21" i="38" s="1"/>
  <c r="L21" i="38" s="1"/>
  <c r="M58" i="64"/>
  <c r="M80" i="64"/>
  <c r="X18" i="82" l="1"/>
  <c r="X21" i="82"/>
  <c r="X22" i="82"/>
  <c r="X28" i="82"/>
  <c r="X44" i="82"/>
  <c r="X57" i="82"/>
  <c r="X63" i="82"/>
  <c r="X64" i="82"/>
  <c r="X65" i="82"/>
  <c r="X66" i="82"/>
  <c r="X68" i="82"/>
  <c r="X70" i="82"/>
  <c r="X75" i="82"/>
  <c r="X81" i="82"/>
  <c r="X92" i="82"/>
  <c r="X93" i="82"/>
  <c r="X94" i="82"/>
  <c r="H23" i="83"/>
  <c r="H26" i="83"/>
  <c r="Y94" i="82" l="1"/>
  <c r="H29" i="37"/>
  <c r="J29" i="37" s="1"/>
  <c r="L29" i="37" s="1"/>
  <c r="J8" i="64"/>
  <c r="C41" i="82"/>
  <c r="C42" i="82"/>
  <c r="C40" i="82"/>
  <c r="C30" i="82"/>
  <c r="H59" i="56"/>
  <c r="H55" i="56"/>
  <c r="N22" i="34"/>
  <c r="G31" i="34"/>
  <c r="J33" i="34"/>
  <c r="G33" i="34"/>
  <c r="O33" i="34" s="1"/>
  <c r="H33" i="34" l="1"/>
  <c r="K33" i="34" s="1"/>
  <c r="M33" i="34"/>
  <c r="I33" i="34"/>
  <c r="P33" i="34" s="1"/>
  <c r="Q33" i="34" s="1"/>
  <c r="G62" i="27"/>
  <c r="G61" i="27" s="1"/>
  <c r="H32" i="37"/>
  <c r="J32" i="37" s="1"/>
  <c r="L32" i="37" s="1"/>
  <c r="H28" i="37" l="1"/>
  <c r="J28" i="37" s="1"/>
  <c r="L28" i="37" s="1"/>
  <c r="H751" i="74"/>
  <c r="H727" i="74"/>
  <c r="H698" i="74"/>
  <c r="H674" i="74"/>
  <c r="H651" i="74" l="1"/>
  <c r="H627" i="74"/>
  <c r="H603" i="74"/>
  <c r="H579" i="74"/>
  <c r="H556" i="74"/>
  <c r="H532" i="74"/>
  <c r="H509" i="74"/>
  <c r="H481" i="74"/>
  <c r="H452" i="74" l="1"/>
  <c r="H790" i="74"/>
  <c r="M149" i="64"/>
  <c r="M148" i="64" l="1"/>
  <c r="M147" i="64"/>
  <c r="C19" i="29" l="1"/>
  <c r="I18" i="29" s="1"/>
  <c r="H57" i="38" l="1"/>
  <c r="J57" i="38" s="1"/>
  <c r="L57" i="38" s="1"/>
  <c r="H64" i="38"/>
  <c r="J64" i="38" s="1"/>
  <c r="L64" i="38" s="1"/>
  <c r="H53" i="38"/>
  <c r="J53" i="38" s="1"/>
  <c r="L53" i="38" s="1"/>
  <c r="H63" i="38"/>
  <c r="J63" i="38" s="1"/>
  <c r="L63" i="38" s="1"/>
  <c r="H58" i="38"/>
  <c r="J58" i="38" s="1"/>
  <c r="L58" i="38" s="1"/>
  <c r="H56" i="38"/>
  <c r="J56" i="38" s="1"/>
  <c r="L56" i="38" s="1"/>
  <c r="H54" i="38"/>
  <c r="J54" i="38" s="1"/>
  <c r="L54" i="38" s="1"/>
  <c r="H45" i="38"/>
  <c r="J45" i="38" s="1"/>
  <c r="L45" i="38" s="1"/>
  <c r="H390" i="81"/>
  <c r="G11" i="29"/>
  <c r="W86" i="82"/>
  <c r="W76" i="82"/>
  <c r="W14" i="82"/>
  <c r="M145" i="64" l="1"/>
  <c r="C92" i="29" l="1"/>
  <c r="H25" i="85"/>
  <c r="J25" i="85" s="1"/>
  <c r="L25" i="85" s="1"/>
  <c r="M85" i="64"/>
  <c r="L47" i="64"/>
  <c r="H24" i="85" l="1"/>
  <c r="J24" i="85" s="1"/>
  <c r="H14" i="29"/>
  <c r="C88" i="29" s="1"/>
  <c r="J27" i="85" l="1"/>
  <c r="L24" i="85"/>
  <c r="L27" i="85" s="1"/>
  <c r="C94" i="29"/>
  <c r="C90" i="29"/>
  <c r="W96" i="82"/>
  <c r="H185" i="80"/>
  <c r="K29" i="85" l="1"/>
  <c r="S91" i="82"/>
  <c r="S90" i="82"/>
  <c r="S87" i="82"/>
  <c r="S86" i="82"/>
  <c r="S48" i="82"/>
  <c r="S39" i="82"/>
  <c r="S36" i="82"/>
  <c r="S32" i="82"/>
  <c r="S31" i="82"/>
  <c r="S27" i="82"/>
  <c r="S14" i="82" l="1"/>
  <c r="S96" i="82" s="1"/>
  <c r="S99" i="82" s="1"/>
  <c r="E24" i="85"/>
  <c r="D24" i="85"/>
  <c r="A24" i="85"/>
  <c r="M44" i="64" l="1"/>
  <c r="M45" i="64"/>
  <c r="M46" i="64"/>
  <c r="J57" i="64" l="1"/>
  <c r="J63" i="64" s="1"/>
  <c r="H27" i="85" l="1"/>
  <c r="M14" i="64"/>
  <c r="M15" i="64"/>
  <c r="M16" i="64"/>
  <c r="M17" i="64"/>
  <c r="M18" i="64"/>
  <c r="M56" i="64" l="1"/>
  <c r="M55" i="64"/>
  <c r="M83" i="64"/>
  <c r="M77" i="64"/>
  <c r="M78" i="64"/>
  <c r="M79" i="64"/>
  <c r="M81" i="64"/>
  <c r="M82" i="64"/>
  <c r="M84" i="64"/>
  <c r="M76" i="64"/>
  <c r="M75" i="64"/>
  <c r="G74" i="82" l="1"/>
  <c r="R14" i="82"/>
  <c r="L52" i="34" l="1"/>
  <c r="N52" i="34"/>
  <c r="G52" i="34"/>
  <c r="O51" i="34"/>
  <c r="O52" i="34" s="1"/>
  <c r="M51" i="34"/>
  <c r="M52" i="34" s="1"/>
  <c r="J51" i="34"/>
  <c r="J52" i="34" s="1"/>
  <c r="C110" i="34" s="1"/>
  <c r="R11" i="82" s="1"/>
  <c r="H11" i="37" s="1"/>
  <c r="J11" i="37" s="1"/>
  <c r="L11" i="37" s="1"/>
  <c r="I51" i="34"/>
  <c r="I52" i="34" s="1"/>
  <c r="D110" i="34" s="1"/>
  <c r="R16" i="82" s="1"/>
  <c r="H12" i="37" s="1"/>
  <c r="J12" i="37" s="1"/>
  <c r="L12" i="37" s="1"/>
  <c r="H51" i="34"/>
  <c r="K51" i="34" s="1"/>
  <c r="K52" i="34" s="1"/>
  <c r="Q108" i="34" s="1"/>
  <c r="R20" i="82" s="1"/>
  <c r="H14" i="37" s="1"/>
  <c r="J14" i="37" s="1"/>
  <c r="L14" i="37" s="1"/>
  <c r="G48" i="34"/>
  <c r="L108" i="34" l="1"/>
  <c r="R19" i="82" s="1"/>
  <c r="H13" i="37" s="1"/>
  <c r="J13" i="37" s="1"/>
  <c r="L13" i="37" s="1"/>
  <c r="H52" i="34"/>
  <c r="C107" i="34" s="1"/>
  <c r="R10" i="82" s="1"/>
  <c r="H10" i="37" s="1"/>
  <c r="J10" i="37" s="1"/>
  <c r="L10" i="37" s="1"/>
  <c r="L35" i="37" s="1"/>
  <c r="P51" i="34"/>
  <c r="J35" i="37" l="1"/>
  <c r="Q51" i="34"/>
  <c r="Q52" i="34" s="1"/>
  <c r="P52" i="34"/>
  <c r="H51" i="81"/>
  <c r="J51" i="27" l="1"/>
  <c r="J53" i="27"/>
  <c r="J54" i="27"/>
  <c r="J55" i="27"/>
  <c r="J56" i="27"/>
  <c r="J57" i="27"/>
  <c r="J58" i="27"/>
  <c r="J60" i="27"/>
  <c r="J46" i="27"/>
  <c r="J47" i="27"/>
  <c r="J48" i="27"/>
  <c r="J50" i="27"/>
  <c r="J40" i="27"/>
  <c r="J22" i="27"/>
  <c r="J30" i="27"/>
  <c r="J9" i="27"/>
  <c r="J10" i="27"/>
  <c r="J11" i="27"/>
  <c r="J12" i="27"/>
  <c r="J13" i="27"/>
  <c r="J14" i="27"/>
  <c r="H30" i="83" l="1"/>
  <c r="J47" i="64" l="1"/>
  <c r="K19" i="64"/>
  <c r="L19" i="64"/>
  <c r="M40" i="64"/>
  <c r="M41" i="64"/>
  <c r="M23" i="64"/>
  <c r="M24" i="64"/>
  <c r="M25" i="64"/>
  <c r="L156" i="64" l="1"/>
  <c r="L112" i="64"/>
  <c r="L91" i="64"/>
  <c r="L63" i="64"/>
  <c r="L162" i="64" l="1"/>
  <c r="E49" i="16"/>
  <c r="E42" i="16"/>
  <c r="D42" i="16"/>
  <c r="G42" i="16" l="1"/>
  <c r="J63" i="29"/>
  <c r="H70" i="29" l="1"/>
  <c r="G84" i="29" s="1"/>
  <c r="C93" i="29"/>
  <c r="J48" i="16" s="1"/>
  <c r="J50" i="16" s="1"/>
  <c r="K19" i="29"/>
  <c r="K21" i="29"/>
  <c r="K22" i="29"/>
  <c r="E48" i="16" l="1"/>
  <c r="K14" i="29"/>
  <c r="K15" i="29"/>
  <c r="K16" i="29"/>
  <c r="K23" i="29"/>
  <c r="K24" i="29"/>
  <c r="K25" i="29"/>
  <c r="K26" i="29"/>
  <c r="K27" i="29"/>
  <c r="K13" i="29"/>
  <c r="K17" i="29"/>
  <c r="K18" i="29"/>
  <c r="K12" i="29"/>
  <c r="E63" i="27" l="1"/>
  <c r="F62" i="27"/>
  <c r="E62" i="27"/>
  <c r="D62" i="27"/>
  <c r="D61" i="27" s="1"/>
  <c r="C62" i="27"/>
  <c r="C61" i="27" s="1"/>
  <c r="F61" i="27"/>
  <c r="E61" i="27"/>
  <c r="D47" i="27"/>
  <c r="C47" i="27"/>
  <c r="D46" i="27"/>
  <c r="J19" i="64" l="1"/>
  <c r="G38" i="82"/>
  <c r="C40" i="30" l="1"/>
  <c r="C22" i="30"/>
  <c r="C19" i="30"/>
  <c r="C7" i="30"/>
  <c r="C42" i="30" s="1"/>
  <c r="J96" i="64" s="1"/>
  <c r="M96" i="64" l="1"/>
  <c r="M161" i="64"/>
  <c r="M159" i="64"/>
  <c r="K156" i="64"/>
  <c r="M146" i="64"/>
  <c r="M144" i="64"/>
  <c r="M143" i="64"/>
  <c r="M142" i="64"/>
  <c r="M141" i="64"/>
  <c r="M140" i="64"/>
  <c r="M139" i="64"/>
  <c r="M138" i="64"/>
  <c r="M137" i="64"/>
  <c r="M136" i="64"/>
  <c r="M135" i="64"/>
  <c r="M134" i="64"/>
  <c r="M133" i="64"/>
  <c r="M132" i="64"/>
  <c r="M131" i="64"/>
  <c r="M130" i="64"/>
  <c r="M129" i="64"/>
  <c r="M128" i="64"/>
  <c r="M127" i="64"/>
  <c r="M126" i="64"/>
  <c r="M125" i="64"/>
  <c r="M124" i="64"/>
  <c r="M123" i="64"/>
  <c r="M122" i="64"/>
  <c r="M121" i="64"/>
  <c r="M120" i="64"/>
  <c r="M119" i="64"/>
  <c r="A119" i="64"/>
  <c r="A120" i="64" s="1"/>
  <c r="M118" i="64"/>
  <c r="M117" i="64"/>
  <c r="M110" i="64"/>
  <c r="M109" i="64"/>
  <c r="M108" i="64"/>
  <c r="M107" i="64"/>
  <c r="M106" i="64"/>
  <c r="M105" i="64"/>
  <c r="M104" i="64"/>
  <c r="M103" i="64"/>
  <c r="M102" i="64"/>
  <c r="M101" i="64"/>
  <c r="M100" i="64"/>
  <c r="M99" i="64"/>
  <c r="M98" i="64"/>
  <c r="M97" i="64"/>
  <c r="M95" i="64"/>
  <c r="K91" i="64"/>
  <c r="M74" i="64"/>
  <c r="M73" i="64"/>
  <c r="M72" i="64"/>
  <c r="M71" i="64"/>
  <c r="M70" i="64"/>
  <c r="M69" i="64"/>
  <c r="M68" i="64"/>
  <c r="M67" i="64"/>
  <c r="K63" i="64"/>
  <c r="M57" i="64"/>
  <c r="M54" i="64"/>
  <c r="M53" i="64"/>
  <c r="M52" i="64"/>
  <c r="M51" i="64"/>
  <c r="K47" i="64"/>
  <c r="M43" i="64"/>
  <c r="M42" i="64"/>
  <c r="M39" i="64"/>
  <c r="M38" i="64"/>
  <c r="M37" i="64"/>
  <c r="M36" i="64"/>
  <c r="M35" i="64"/>
  <c r="M34" i="64"/>
  <c r="M33" i="64"/>
  <c r="M32" i="64"/>
  <c r="M31" i="64"/>
  <c r="M30" i="64"/>
  <c r="M29" i="64"/>
  <c r="M28" i="64"/>
  <c r="M27" i="64"/>
  <c r="M26" i="64"/>
  <c r="M13" i="64"/>
  <c r="M12" i="64"/>
  <c r="M11" i="64"/>
  <c r="M10" i="64"/>
  <c r="M9" i="64"/>
  <c r="M8" i="64"/>
  <c r="M7" i="64"/>
  <c r="M91" i="64" l="1"/>
  <c r="M63" i="64"/>
  <c r="M156" i="64"/>
  <c r="N92" i="64"/>
  <c r="K162" i="64"/>
  <c r="M47" i="64"/>
  <c r="M19" i="64"/>
  <c r="M112" i="64"/>
  <c r="J112" i="64"/>
  <c r="J162" i="64" s="1"/>
  <c r="J164" i="64" s="1"/>
  <c r="O149" i="64" l="1"/>
  <c r="M162" i="64"/>
  <c r="G59" i="34"/>
  <c r="J19" i="34" l="1"/>
  <c r="I19" i="34"/>
  <c r="H19" i="34"/>
  <c r="O19" i="34" s="1"/>
  <c r="O20" i="34"/>
  <c r="J20" i="34" l="1"/>
  <c r="K19" i="34"/>
  <c r="M19" i="34"/>
  <c r="P19" i="34" s="1"/>
  <c r="Q19" i="34" s="1"/>
  <c r="H20" i="34"/>
  <c r="M20" i="34"/>
  <c r="I20" i="34"/>
  <c r="H548" i="81"/>
  <c r="K20" i="34" l="1"/>
  <c r="P20" i="34" s="1"/>
  <c r="Q20" i="34" s="1"/>
  <c r="H45" i="80" l="1"/>
  <c r="K34" i="29" l="1"/>
  <c r="P76" i="82" l="1"/>
  <c r="H1051" i="74"/>
  <c r="H1059" i="74" s="1"/>
  <c r="H1031" i="74"/>
  <c r="H1002" i="74"/>
  <c r="H973" i="74" l="1"/>
  <c r="H1151" i="74" l="1"/>
  <c r="H3" i="59" l="1"/>
  <c r="J3" i="59"/>
  <c r="H4" i="59"/>
  <c r="H5" i="59"/>
  <c r="H6" i="59"/>
  <c r="H7" i="59"/>
  <c r="H8" i="59"/>
  <c r="H9" i="59"/>
  <c r="H10" i="59"/>
  <c r="H11" i="59"/>
  <c r="H12" i="59"/>
  <c r="H13" i="59"/>
  <c r="H1184" i="74" l="1"/>
  <c r="H2322" i="74" l="1"/>
  <c r="K87" i="82" l="1"/>
  <c r="H2235" i="74" l="1"/>
  <c r="H2241" i="74" s="1"/>
  <c r="C62" i="82" l="1"/>
  <c r="K62" i="34"/>
  <c r="I28" i="59"/>
  <c r="I29" i="59"/>
  <c r="I30" i="59"/>
  <c r="I31" i="59"/>
  <c r="I32" i="59"/>
  <c r="I33" i="59"/>
  <c r="I34" i="59"/>
  <c r="I35" i="59"/>
  <c r="I36" i="59"/>
  <c r="I37" i="59"/>
  <c r="I38" i="59"/>
  <c r="I27" i="59"/>
  <c r="M62" i="34" l="1"/>
  <c r="H174" i="74" l="1"/>
  <c r="H136" i="74"/>
  <c r="H140" i="74"/>
  <c r="H936" i="74" l="1"/>
  <c r="H135" i="74"/>
  <c r="F40" i="82" l="1"/>
  <c r="H1374" i="74" l="1"/>
  <c r="H38" i="81" l="1"/>
  <c r="L59" i="34" l="1"/>
  <c r="N59" i="34"/>
  <c r="L56" i="34"/>
  <c r="N56" i="34"/>
  <c r="G56" i="34"/>
  <c r="L60" i="34" l="1"/>
  <c r="N60" i="34"/>
  <c r="G60" i="34"/>
  <c r="C86" i="34"/>
  <c r="H58" i="34"/>
  <c r="K58" i="34" s="1"/>
  <c r="I58" i="34"/>
  <c r="J58" i="34"/>
  <c r="H57" i="34"/>
  <c r="I57" i="34"/>
  <c r="J57" i="34"/>
  <c r="J59" i="34" l="1"/>
  <c r="K72" i="34" s="1"/>
  <c r="I59" i="34"/>
  <c r="K57" i="34"/>
  <c r="K59" i="34" s="1"/>
  <c r="H59" i="34"/>
  <c r="C72" i="34" s="1"/>
  <c r="O57" i="34"/>
  <c r="O58" i="34"/>
  <c r="M58" i="34"/>
  <c r="M57" i="34"/>
  <c r="Q90" i="82"/>
  <c r="Q76" i="82"/>
  <c r="Q32" i="82"/>
  <c r="Q14" i="82"/>
  <c r="Q91" i="82"/>
  <c r="Q87" i="82"/>
  <c r="X87" i="82" s="1"/>
  <c r="Q86" i="82"/>
  <c r="Q48" i="82"/>
  <c r="Q39" i="82"/>
  <c r="Q36" i="82"/>
  <c r="Q31" i="82"/>
  <c r="Q27" i="82"/>
  <c r="H158" i="80"/>
  <c r="J72" i="34" l="1"/>
  <c r="F91" i="34" s="1"/>
  <c r="H23" i="38"/>
  <c r="M59" i="34"/>
  <c r="D72" i="34" s="1"/>
  <c r="O59" i="34"/>
  <c r="F72" i="34"/>
  <c r="P57" i="34"/>
  <c r="P58" i="34"/>
  <c r="Q58" i="34" s="1"/>
  <c r="H162" i="80"/>
  <c r="H130" i="80"/>
  <c r="F26" i="33" l="1"/>
  <c r="F15" i="82"/>
  <c r="H47" i="56" s="1"/>
  <c r="H72" i="34"/>
  <c r="P59" i="34"/>
  <c r="Q57" i="34"/>
  <c r="Q59" i="34" s="1"/>
  <c r="H1874" i="74" l="1"/>
  <c r="H1851" i="74"/>
  <c r="H1823" i="74"/>
  <c r="H1799" i="74"/>
  <c r="H1768" i="74"/>
  <c r="H1351" i="74"/>
  <c r="H524" i="81" l="1"/>
  <c r="H154" i="81" l="1"/>
  <c r="H155" i="81" s="1"/>
  <c r="H39" i="38" l="1"/>
  <c r="J39" i="38" s="1"/>
  <c r="L39" i="38" s="1"/>
  <c r="H1320" i="74"/>
  <c r="H1286" i="74"/>
  <c r="H1247" i="74"/>
  <c r="H1255" i="74" s="1"/>
  <c r="H1223" i="74"/>
  <c r="H882" i="74"/>
  <c r="H362" i="74" l="1"/>
  <c r="H269" i="74" l="1"/>
  <c r="H114" i="74"/>
  <c r="H76" i="80" l="1"/>
  <c r="K38" i="59" l="1"/>
  <c r="K37" i="59"/>
  <c r="K36" i="59"/>
  <c r="K35" i="59"/>
  <c r="K34" i="59"/>
  <c r="K33" i="59"/>
  <c r="K32" i="59"/>
  <c r="K31" i="59"/>
  <c r="K30" i="59"/>
  <c r="K29" i="59"/>
  <c r="K28" i="59"/>
  <c r="K27" i="59"/>
  <c r="O62" i="34" l="1"/>
  <c r="O30" i="34"/>
  <c r="O31" i="34"/>
  <c r="O18" i="34"/>
  <c r="O38" i="34"/>
  <c r="O39" i="34"/>
  <c r="O40" i="34"/>
  <c r="O41" i="34"/>
  <c r="O42" i="34"/>
  <c r="O43" i="34"/>
  <c r="O44" i="34"/>
  <c r="O45" i="34"/>
  <c r="O46" i="34"/>
  <c r="O47" i="34"/>
  <c r="H279" i="81" l="1"/>
  <c r="F258" i="81"/>
  <c r="F254" i="81"/>
  <c r="H217" i="81" s="1"/>
  <c r="F244" i="81"/>
  <c r="H216" i="81" s="1"/>
  <c r="H43" i="81"/>
  <c r="F65" i="81"/>
  <c r="G65" i="81" s="1"/>
  <c r="H65" i="81" s="1"/>
  <c r="F66" i="81"/>
  <c r="H13" i="81"/>
  <c r="H116" i="81"/>
  <c r="H113" i="81"/>
  <c r="H41" i="34"/>
  <c r="I41" i="34"/>
  <c r="J41" i="34"/>
  <c r="M41" i="34"/>
  <c r="K41" i="34" l="1"/>
  <c r="P41" i="34" s="1"/>
  <c r="Q41" i="34" s="1"/>
  <c r="N13" i="23" l="1"/>
  <c r="G14" i="23"/>
  <c r="J14" i="23"/>
  <c r="K14" i="23"/>
  <c r="R14" i="23"/>
  <c r="H17" i="23"/>
  <c r="W17" i="23" s="1"/>
  <c r="W18" i="23"/>
  <c r="W21" i="23"/>
  <c r="W22" i="23"/>
  <c r="C23" i="23"/>
  <c r="G23" i="23"/>
  <c r="R23" i="23"/>
  <c r="F24" i="23"/>
  <c r="N24" i="23"/>
  <c r="G25" i="23"/>
  <c r="K25" i="23"/>
  <c r="G26" i="23"/>
  <c r="H26" i="23"/>
  <c r="I26" i="23"/>
  <c r="J26" i="23"/>
  <c r="R26" i="23"/>
  <c r="F27" i="23"/>
  <c r="G27" i="23"/>
  <c r="J27" i="23"/>
  <c r="K27" i="23"/>
  <c r="R27" i="23"/>
  <c r="W28" i="23"/>
  <c r="G29" i="23"/>
  <c r="G30" i="23"/>
  <c r="R30" i="23"/>
  <c r="F31" i="23"/>
  <c r="R31" i="23"/>
  <c r="F32" i="23"/>
  <c r="K32" i="23"/>
  <c r="R32" i="23"/>
  <c r="G33" i="23"/>
  <c r="H33" i="23"/>
  <c r="I33" i="23"/>
  <c r="J33" i="23"/>
  <c r="N33" i="23"/>
  <c r="G34" i="23"/>
  <c r="H34" i="23"/>
  <c r="I34" i="23"/>
  <c r="J34" i="23"/>
  <c r="F36" i="23"/>
  <c r="G36" i="23"/>
  <c r="J36" i="23"/>
  <c r="K36" i="23"/>
  <c r="R36" i="23"/>
  <c r="F37" i="23"/>
  <c r="G37" i="23"/>
  <c r="J37" i="23"/>
  <c r="H38" i="23"/>
  <c r="W38" i="23" s="1"/>
  <c r="C39" i="23"/>
  <c r="F39" i="23"/>
  <c r="G39" i="23"/>
  <c r="H39" i="23"/>
  <c r="J39" i="23"/>
  <c r="K39" i="23"/>
  <c r="R39" i="23"/>
  <c r="G40" i="23"/>
  <c r="G41" i="23"/>
  <c r="G42" i="23"/>
  <c r="G43" i="23"/>
  <c r="W43" i="23" s="1"/>
  <c r="W44" i="23"/>
  <c r="C45" i="23"/>
  <c r="G45" i="23"/>
  <c r="J45" i="23"/>
  <c r="N45" i="23"/>
  <c r="C46" i="23"/>
  <c r="G46" i="23"/>
  <c r="F47" i="23"/>
  <c r="G47" i="23"/>
  <c r="J47" i="23"/>
  <c r="N47" i="23"/>
  <c r="C48" i="23"/>
  <c r="G48" i="23"/>
  <c r="H48" i="23"/>
  <c r="J48" i="23"/>
  <c r="K48" i="23"/>
  <c r="R48" i="23"/>
  <c r="G49" i="23"/>
  <c r="W49" i="23" s="1"/>
  <c r="G50" i="23"/>
  <c r="C51" i="23"/>
  <c r="G51" i="23"/>
  <c r="C52" i="23"/>
  <c r="N52" i="23"/>
  <c r="R52" i="23"/>
  <c r="N53" i="23"/>
  <c r="R53" i="23"/>
  <c r="C54" i="23"/>
  <c r="G54" i="23"/>
  <c r="N54" i="23"/>
  <c r="G55" i="23"/>
  <c r="H55" i="23"/>
  <c r="I55" i="23"/>
  <c r="J55" i="23"/>
  <c r="G56" i="23"/>
  <c r="H56" i="23"/>
  <c r="I56" i="23"/>
  <c r="J56" i="23"/>
  <c r="W57" i="23"/>
  <c r="C58" i="23"/>
  <c r="G58" i="23"/>
  <c r="G59" i="23"/>
  <c r="W59" i="23" s="1"/>
  <c r="G60" i="23"/>
  <c r="G61" i="23"/>
  <c r="W61" i="23" s="1"/>
  <c r="G62" i="23"/>
  <c r="R62" i="23"/>
  <c r="W63" i="23"/>
  <c r="W64" i="23"/>
  <c r="W65" i="23"/>
  <c r="W66" i="23"/>
  <c r="V67" i="23"/>
  <c r="W67" i="23" s="1"/>
  <c r="V68" i="23"/>
  <c r="W68" i="23" s="1"/>
  <c r="G69" i="23"/>
  <c r="W69" i="23" s="1"/>
  <c r="W70" i="23"/>
  <c r="G71" i="23"/>
  <c r="W71" i="23" s="1"/>
  <c r="G72" i="23"/>
  <c r="H72" i="23"/>
  <c r="G73" i="23"/>
  <c r="H73" i="23"/>
  <c r="W75" i="23"/>
  <c r="C76" i="23"/>
  <c r="G76" i="23"/>
  <c r="R76" i="23"/>
  <c r="N77" i="23"/>
  <c r="W77" i="23" s="1"/>
  <c r="G78" i="23"/>
  <c r="W78" i="23" s="1"/>
  <c r="G79" i="23"/>
  <c r="N79" i="23"/>
  <c r="G80" i="23"/>
  <c r="H80" i="23"/>
  <c r="W81" i="23"/>
  <c r="G82" i="23"/>
  <c r="W82" i="23" s="1"/>
  <c r="K83" i="23"/>
  <c r="R83" i="23"/>
  <c r="G84" i="23"/>
  <c r="W84" i="23" s="1"/>
  <c r="K85" i="23"/>
  <c r="N85" i="23"/>
  <c r="R85" i="23"/>
  <c r="R86" i="23"/>
  <c r="W86" i="23" s="1"/>
  <c r="W87" i="23"/>
  <c r="M88" i="23"/>
  <c r="R90" i="23"/>
  <c r="W90" i="23" s="1"/>
  <c r="M91" i="23"/>
  <c r="N91" i="23"/>
  <c r="R91" i="23"/>
  <c r="W92" i="23"/>
  <c r="W93" i="23"/>
  <c r="V94" i="23"/>
  <c r="W94" i="23" s="1"/>
  <c r="C95" i="23"/>
  <c r="N95" i="23"/>
  <c r="L96" i="23"/>
  <c r="O96" i="23"/>
  <c r="P96" i="23"/>
  <c r="Q96" i="23"/>
  <c r="S96" i="23"/>
  <c r="T96" i="23"/>
  <c r="V98" i="23" s="1"/>
  <c r="U96" i="23"/>
  <c r="T97" i="23"/>
  <c r="V97" i="23"/>
  <c r="V99" i="23" s="1"/>
  <c r="N76" i="23"/>
  <c r="F41" i="82"/>
  <c r="R98" i="23" l="1"/>
  <c r="W73" i="23"/>
  <c r="W55" i="23"/>
  <c r="W72" i="23"/>
  <c r="W51" i="23"/>
  <c r="W58" i="23"/>
  <c r="W62" i="23"/>
  <c r="W24" i="23"/>
  <c r="W52" i="23"/>
  <c r="W53" i="23"/>
  <c r="V96" i="23"/>
  <c r="W95" i="23"/>
  <c r="F35" i="35" s="1"/>
  <c r="W45" i="23"/>
  <c r="W54" i="23"/>
  <c r="W85" i="23"/>
  <c r="W76" i="23"/>
  <c r="W83" i="23"/>
  <c r="W79" i="23"/>
  <c r="W47" i="23"/>
  <c r="W33" i="23"/>
  <c r="R96" i="23"/>
  <c r="M96" i="23"/>
  <c r="T98" i="23" s="1"/>
  <c r="G29" i="34"/>
  <c r="O29" i="34" s="1"/>
  <c r="G28" i="34"/>
  <c r="O28" i="34" s="1"/>
  <c r="G27" i="34"/>
  <c r="O27" i="34" s="1"/>
  <c r="G12" i="34"/>
  <c r="O12" i="34" s="1"/>
  <c r="G16" i="34"/>
  <c r="O16" i="34" s="1"/>
  <c r="G13" i="34"/>
  <c r="O13" i="34" s="1"/>
  <c r="G14" i="34"/>
  <c r="O14" i="34" s="1"/>
  <c r="G24" i="34"/>
  <c r="O24" i="34" s="1"/>
  <c r="G23" i="34"/>
  <c r="O23" i="34" s="1"/>
  <c r="G21" i="34"/>
  <c r="O21" i="34" s="1"/>
  <c r="O34" i="34"/>
  <c r="G32" i="34"/>
  <c r="O32" i="34" s="1"/>
  <c r="G9" i="34"/>
  <c r="G15" i="34"/>
  <c r="O9" i="34" l="1"/>
  <c r="M9" i="34"/>
  <c r="G26" i="34" l="1"/>
  <c r="O26" i="34" s="1"/>
  <c r="G17" i="34"/>
  <c r="O17" i="34" s="1"/>
  <c r="G10" i="34"/>
  <c r="M10" i="34" l="1"/>
  <c r="O10" i="34"/>
  <c r="H1121" i="74" l="1"/>
  <c r="H16" i="80" l="1"/>
  <c r="H11" i="80"/>
  <c r="H943" i="74" l="1"/>
  <c r="K91" i="23" l="1"/>
  <c r="W91" i="23" s="1"/>
  <c r="K89" i="23"/>
  <c r="W89" i="23" s="1"/>
  <c r="K88" i="23"/>
  <c r="W88" i="23" s="1"/>
  <c r="N29" i="23" l="1"/>
  <c r="W29" i="23" s="1"/>
  <c r="N35" i="23"/>
  <c r="W35" i="23" s="1"/>
  <c r="N48" i="23" l="1"/>
  <c r="W48" i="23" s="1"/>
  <c r="N50" i="23"/>
  <c r="W50" i="23" s="1"/>
  <c r="N39" i="23"/>
  <c r="W39" i="23" s="1"/>
  <c r="N31" i="23"/>
  <c r="N23" i="23"/>
  <c r="W23" i="23" s="1"/>
  <c r="N27" i="23"/>
  <c r="W27" i="23" s="1"/>
  <c r="V97" i="82" l="1"/>
  <c r="T97" i="82"/>
  <c r="U96" i="82"/>
  <c r="T96" i="82"/>
  <c r="Q96" i="82"/>
  <c r="Q98" i="82" s="1"/>
  <c r="P96" i="82"/>
  <c r="O96" i="82"/>
  <c r="V98" i="82" s="1"/>
  <c r="L96" i="82"/>
  <c r="N95" i="82"/>
  <c r="X95" i="82" s="1"/>
  <c r="C95" i="82"/>
  <c r="R91" i="82"/>
  <c r="N91" i="82"/>
  <c r="R90" i="82"/>
  <c r="X90" i="82" s="1"/>
  <c r="K89" i="82"/>
  <c r="X89" i="82" s="1"/>
  <c r="R85" i="82"/>
  <c r="N85" i="82"/>
  <c r="K85" i="82"/>
  <c r="G84" i="82"/>
  <c r="X84" i="82" s="1"/>
  <c r="R83" i="82"/>
  <c r="K83" i="82"/>
  <c r="G82" i="82"/>
  <c r="X82" i="82" s="1"/>
  <c r="H80" i="82"/>
  <c r="G80" i="82"/>
  <c r="N79" i="82"/>
  <c r="G79" i="82"/>
  <c r="G78" i="82"/>
  <c r="X78" i="82" s="1"/>
  <c r="N77" i="82"/>
  <c r="X77" i="82" s="1"/>
  <c r="H73" i="82"/>
  <c r="G73" i="82"/>
  <c r="X73" i="82" s="1"/>
  <c r="H72" i="82"/>
  <c r="G72" i="82"/>
  <c r="X72" i="82" s="1"/>
  <c r="G71" i="82"/>
  <c r="X71" i="82" s="1"/>
  <c r="G69" i="82"/>
  <c r="X69" i="82" s="1"/>
  <c r="X67" i="82"/>
  <c r="R62" i="82"/>
  <c r="G62" i="82"/>
  <c r="G61" i="82"/>
  <c r="X61" i="82" s="1"/>
  <c r="G60" i="82"/>
  <c r="G59" i="82"/>
  <c r="X59" i="82" s="1"/>
  <c r="G58" i="82"/>
  <c r="X58" i="82" s="1"/>
  <c r="J56" i="82"/>
  <c r="I56" i="82"/>
  <c r="H56" i="82"/>
  <c r="G56" i="82"/>
  <c r="J55" i="82"/>
  <c r="I55" i="82"/>
  <c r="H55" i="82"/>
  <c r="G55" i="82"/>
  <c r="N54" i="82"/>
  <c r="G54" i="82"/>
  <c r="C54" i="82"/>
  <c r="R53" i="82"/>
  <c r="N53" i="82"/>
  <c r="R52" i="82"/>
  <c r="N52" i="82"/>
  <c r="C52" i="82"/>
  <c r="G51" i="82"/>
  <c r="X51" i="82" s="1"/>
  <c r="C51" i="82"/>
  <c r="N50" i="82"/>
  <c r="G50" i="82"/>
  <c r="G49" i="82"/>
  <c r="X49" i="82" s="1"/>
  <c r="R48" i="82"/>
  <c r="N48" i="82"/>
  <c r="K48" i="82"/>
  <c r="J48" i="82"/>
  <c r="H48" i="82"/>
  <c r="G48" i="82"/>
  <c r="C48" i="82"/>
  <c r="N47" i="82"/>
  <c r="J47" i="82"/>
  <c r="G47" i="82"/>
  <c r="F47" i="82"/>
  <c r="G46" i="82"/>
  <c r="C46" i="82"/>
  <c r="J45" i="82"/>
  <c r="G45" i="82"/>
  <c r="C45" i="82"/>
  <c r="G43" i="82"/>
  <c r="X43" i="82" s="1"/>
  <c r="G42" i="82"/>
  <c r="G41" i="82"/>
  <c r="G40" i="82"/>
  <c r="R39" i="82"/>
  <c r="N39" i="82"/>
  <c r="K39" i="82"/>
  <c r="J39" i="82"/>
  <c r="H39" i="82"/>
  <c r="G39" i="82"/>
  <c r="F39" i="82"/>
  <c r="C39" i="82"/>
  <c r="H38" i="82"/>
  <c r="X38" i="82" s="1"/>
  <c r="J37" i="82"/>
  <c r="G37" i="82"/>
  <c r="F37" i="82"/>
  <c r="R36" i="82"/>
  <c r="K36" i="82"/>
  <c r="J36" i="82"/>
  <c r="G36" i="82"/>
  <c r="F36" i="82"/>
  <c r="N35" i="82"/>
  <c r="X35" i="82" s="1"/>
  <c r="J34" i="82"/>
  <c r="I34" i="82"/>
  <c r="H34" i="82"/>
  <c r="G34" i="82"/>
  <c r="N33" i="82"/>
  <c r="J33" i="82"/>
  <c r="I33" i="82"/>
  <c r="H33" i="82"/>
  <c r="G33" i="82"/>
  <c r="R32" i="82"/>
  <c r="K32" i="82"/>
  <c r="F32" i="82"/>
  <c r="R31" i="82"/>
  <c r="N31" i="82"/>
  <c r="F31" i="82"/>
  <c r="R30" i="82"/>
  <c r="G30" i="82"/>
  <c r="N29" i="82"/>
  <c r="G29" i="82"/>
  <c r="N27" i="82"/>
  <c r="K27" i="82"/>
  <c r="J27" i="82"/>
  <c r="G27" i="82"/>
  <c r="F27" i="82"/>
  <c r="J26" i="82"/>
  <c r="I26" i="82"/>
  <c r="H26" i="82"/>
  <c r="G26" i="82"/>
  <c r="G25" i="82"/>
  <c r="N24" i="82"/>
  <c r="X24" i="82" s="1"/>
  <c r="F24" i="82"/>
  <c r="N23" i="82"/>
  <c r="G23" i="82"/>
  <c r="C23" i="82"/>
  <c r="H17" i="82"/>
  <c r="X17" i="82" s="1"/>
  <c r="K14" i="82"/>
  <c r="J14" i="82"/>
  <c r="G14" i="82"/>
  <c r="N13" i="82"/>
  <c r="H134" i="80"/>
  <c r="V99" i="82" l="1"/>
  <c r="X29" i="82"/>
  <c r="X45" i="82"/>
  <c r="X79" i="82"/>
  <c r="X50" i="82"/>
  <c r="X33" i="82"/>
  <c r="X23" i="82"/>
  <c r="X47" i="82"/>
  <c r="X62" i="82"/>
  <c r="X39" i="82"/>
  <c r="X54" i="82"/>
  <c r="X83" i="82"/>
  <c r="X85" i="82"/>
  <c r="X52" i="82"/>
  <c r="X53" i="82"/>
  <c r="X48" i="82"/>
  <c r="X55" i="82"/>
  <c r="M96" i="82"/>
  <c r="T98" i="82" s="1"/>
  <c r="C76" i="82"/>
  <c r="K88" i="82" l="1"/>
  <c r="X88" i="82" s="1"/>
  <c r="H1091" i="74"/>
  <c r="C70" i="29"/>
  <c r="K31" i="82" l="1"/>
  <c r="X31" i="82" s="1"/>
  <c r="K31" i="23"/>
  <c r="N76" i="82"/>
  <c r="W31" i="23" l="1"/>
  <c r="K96" i="23"/>
  <c r="G76" i="82"/>
  <c r="R27" i="82" l="1"/>
  <c r="X27" i="82" s="1"/>
  <c r="H914" i="74"/>
  <c r="R76" i="82" l="1"/>
  <c r="X76" i="82" s="1"/>
  <c r="K91" i="82" l="1"/>
  <c r="X91" i="82" s="1"/>
  <c r="H106" i="80"/>
  <c r="H2211" i="74"/>
  <c r="K96" i="82" l="1"/>
  <c r="R86" i="82"/>
  <c r="X86" i="82" s="1"/>
  <c r="R96" i="82" l="1"/>
  <c r="I22" i="76" l="1"/>
  <c r="F50" i="16" l="1"/>
  <c r="H35" i="37" l="1"/>
  <c r="G45" i="16" l="1"/>
  <c r="L45" i="16" s="1"/>
  <c r="G43" i="16"/>
  <c r="L43" i="16" s="1"/>
  <c r="G44" i="16"/>
  <c r="L44" i="16" s="1"/>
  <c r="G46" i="16"/>
  <c r="G47" i="16"/>
  <c r="L46" i="16"/>
  <c r="H850" i="74" l="1"/>
  <c r="K39" i="29"/>
  <c r="K40" i="29"/>
  <c r="K41" i="29"/>
  <c r="K42" i="29"/>
  <c r="K43" i="29"/>
  <c r="K44" i="29"/>
  <c r="K45" i="29"/>
  <c r="K46" i="29"/>
  <c r="K47" i="29"/>
  <c r="K57" i="29"/>
  <c r="H38" i="59" l="1"/>
  <c r="H37" i="59"/>
  <c r="H36" i="59"/>
  <c r="H35" i="59"/>
  <c r="H34" i="59"/>
  <c r="H33" i="59"/>
  <c r="H32" i="59"/>
  <c r="H31" i="59"/>
  <c r="H30" i="59"/>
  <c r="H29" i="59"/>
  <c r="H28" i="59"/>
  <c r="H27" i="59"/>
  <c r="G38" i="59"/>
  <c r="G37" i="59"/>
  <c r="G36" i="59"/>
  <c r="G35" i="59"/>
  <c r="G34" i="59"/>
  <c r="G33" i="59"/>
  <c r="G32" i="59"/>
  <c r="G31" i="59"/>
  <c r="G30" i="59"/>
  <c r="G29" i="59"/>
  <c r="G28" i="59"/>
  <c r="G27" i="59"/>
  <c r="J163" i="64"/>
  <c r="F4" i="29"/>
  <c r="J165" i="64" l="1"/>
  <c r="L165" i="64" s="1"/>
  <c r="F18" i="27" l="1"/>
  <c r="F17" i="27" s="1"/>
  <c r="H63" i="34" l="1"/>
  <c r="N63" i="34"/>
  <c r="L63" i="34"/>
  <c r="J63" i="34"/>
  <c r="I63" i="34"/>
  <c r="I64" i="34" s="1"/>
  <c r="G63" i="34"/>
  <c r="G64" i="34" s="1"/>
  <c r="L64" i="34" l="1"/>
  <c r="N64" i="34"/>
  <c r="H55" i="34"/>
  <c r="I55" i="34"/>
  <c r="J55" i="34"/>
  <c r="I54" i="34"/>
  <c r="J54" i="34"/>
  <c r="H54" i="34"/>
  <c r="J56" i="34" l="1"/>
  <c r="K71" i="34" s="1"/>
  <c r="K74" i="34" s="1"/>
  <c r="I56" i="34"/>
  <c r="H56" i="34"/>
  <c r="C71" i="34" s="1"/>
  <c r="D13" i="82" s="1"/>
  <c r="J71" i="34"/>
  <c r="I60" i="34"/>
  <c r="K55" i="34"/>
  <c r="J64" i="34"/>
  <c r="O63" i="34"/>
  <c r="H70" i="34"/>
  <c r="K54" i="34"/>
  <c r="M54" i="34"/>
  <c r="O55" i="34"/>
  <c r="M55" i="34"/>
  <c r="O54" i="34"/>
  <c r="D70" i="34"/>
  <c r="M56" i="34" l="1"/>
  <c r="D71" i="34" s="1"/>
  <c r="H60" i="34"/>
  <c r="O56" i="34"/>
  <c r="H71" i="34" s="1"/>
  <c r="H74" i="34" s="1"/>
  <c r="J60" i="34"/>
  <c r="J74" i="34"/>
  <c r="F89" i="34"/>
  <c r="H33" i="56"/>
  <c r="D13" i="23" s="1"/>
  <c r="W13" i="23" s="1"/>
  <c r="X13" i="82"/>
  <c r="K56" i="34"/>
  <c r="F71" i="34" s="1"/>
  <c r="P62" i="34"/>
  <c r="Q62" i="34" s="1"/>
  <c r="C74" i="34"/>
  <c r="M60" i="34"/>
  <c r="H64" i="34"/>
  <c r="O64" i="34"/>
  <c r="P55" i="34"/>
  <c r="K63" i="34"/>
  <c r="K64" i="34" s="1"/>
  <c r="F70" i="34"/>
  <c r="M63" i="34"/>
  <c r="P54" i="34"/>
  <c r="O60" i="34" l="1"/>
  <c r="D26" i="33"/>
  <c r="G26" i="33" s="1"/>
  <c r="D15" i="82"/>
  <c r="F92" i="34"/>
  <c r="P56" i="34"/>
  <c r="P60" i="34" s="1"/>
  <c r="K60" i="34"/>
  <c r="D74" i="34"/>
  <c r="F74" i="34"/>
  <c r="M64" i="34"/>
  <c r="Q55" i="34"/>
  <c r="Q63" i="34"/>
  <c r="P63" i="34"/>
  <c r="Q54" i="34"/>
  <c r="H34" i="56" l="1"/>
  <c r="D15" i="23" s="1"/>
  <c r="W15" i="23" s="1"/>
  <c r="X15" i="82"/>
  <c r="Q56" i="34"/>
  <c r="Q60" i="34" s="1"/>
  <c r="Q64" i="34"/>
  <c r="P64" i="34"/>
  <c r="H820" i="74"/>
  <c r="N32" i="82" l="1"/>
  <c r="X32" i="82" s="1"/>
  <c r="N32" i="23"/>
  <c r="W32" i="23" s="1"/>
  <c r="N80" i="82"/>
  <c r="N80" i="23"/>
  <c r="W80" i="23" s="1"/>
  <c r="N42" i="82"/>
  <c r="X42" i="82" s="1"/>
  <c r="N42" i="23"/>
  <c r="W42" i="23" s="1"/>
  <c r="N26" i="82"/>
  <c r="X26" i="82" s="1"/>
  <c r="N26" i="23"/>
  <c r="W26" i="23" s="1"/>
  <c r="N46" i="82"/>
  <c r="X46" i="82" s="1"/>
  <c r="N46" i="23"/>
  <c r="W46" i="23" s="1"/>
  <c r="N34" i="82"/>
  <c r="X34" i="82" s="1"/>
  <c r="N34" i="23"/>
  <c r="W34" i="23" s="1"/>
  <c r="N60" i="82"/>
  <c r="X60" i="82" s="1"/>
  <c r="N60" i="23"/>
  <c r="W60" i="23" s="1"/>
  <c r="N14" i="82"/>
  <c r="N14" i="23"/>
  <c r="N40" i="82"/>
  <c r="X40" i="82" s="1"/>
  <c r="N40" i="23"/>
  <c r="W40" i="23" s="1"/>
  <c r="N41" i="82"/>
  <c r="X41" i="82" s="1"/>
  <c r="N41" i="23"/>
  <c r="W41" i="23" s="1"/>
  <c r="N25" i="82"/>
  <c r="X25" i="82" s="1"/>
  <c r="N25" i="23"/>
  <c r="W25" i="23" s="1"/>
  <c r="N56" i="82"/>
  <c r="X56" i="82" s="1"/>
  <c r="N56" i="23"/>
  <c r="W56" i="23" s="1"/>
  <c r="N36" i="82"/>
  <c r="X36" i="82" s="1"/>
  <c r="N36" i="23"/>
  <c r="W36" i="23" s="1"/>
  <c r="N30" i="82"/>
  <c r="X30" i="82" s="1"/>
  <c r="N30" i="23"/>
  <c r="W30" i="23" s="1"/>
  <c r="N37" i="82"/>
  <c r="X37" i="82" s="1"/>
  <c r="N37" i="23"/>
  <c r="W37" i="23" s="1"/>
  <c r="Z10" i="23"/>
  <c r="X80" i="82" l="1"/>
  <c r="Y66" i="82"/>
  <c r="F29" i="35" s="1"/>
  <c r="Y92" i="82" l="1"/>
  <c r="F32" i="35" s="1"/>
  <c r="H423" i="74"/>
  <c r="H392" i="74" l="1"/>
  <c r="F259" i="81" l="1"/>
  <c r="F260" i="81"/>
  <c r="I302" i="74" l="1"/>
  <c r="Y73" i="82" l="1"/>
  <c r="F30" i="35" s="1"/>
  <c r="F34" i="35"/>
  <c r="V96" i="82" l="1"/>
  <c r="H15" i="81"/>
  <c r="E6" i="29" l="1"/>
  <c r="C76" i="29" s="1"/>
  <c r="H48" i="16" s="1"/>
  <c r="H50" i="16" s="1"/>
  <c r="F3" i="29"/>
  <c r="C29" i="45" l="1"/>
  <c r="D97" i="82"/>
  <c r="D49" i="16"/>
  <c r="C49" i="16"/>
  <c r="L39" i="16"/>
  <c r="L38" i="16"/>
  <c r="G49" i="16" l="1"/>
  <c r="F30" i="59"/>
  <c r="F31" i="59"/>
  <c r="F32" i="59"/>
  <c r="F33" i="59"/>
  <c r="F34" i="59"/>
  <c r="F35" i="59"/>
  <c r="F36" i="59"/>
  <c r="F37" i="59"/>
  <c r="F38" i="59"/>
  <c r="F29" i="59"/>
  <c r="F28" i="59"/>
  <c r="F27" i="59"/>
  <c r="H30" i="34" l="1"/>
  <c r="K30" i="34" s="1"/>
  <c r="I30" i="34"/>
  <c r="J30" i="34"/>
  <c r="M30" i="34"/>
  <c r="M31" i="34"/>
  <c r="J31" i="34" l="1"/>
  <c r="I31" i="34"/>
  <c r="H31" i="34"/>
  <c r="K31" i="34" s="1"/>
  <c r="P30" i="34"/>
  <c r="Q30" i="34" s="1"/>
  <c r="H18" i="34"/>
  <c r="K18" i="34" s="1"/>
  <c r="I18" i="34"/>
  <c r="J18" i="34"/>
  <c r="M18" i="34"/>
  <c r="H17" i="34"/>
  <c r="K17" i="34" s="1"/>
  <c r="I17" i="34"/>
  <c r="J17" i="34"/>
  <c r="M17" i="34"/>
  <c r="P31" i="34" l="1"/>
  <c r="Q31" i="34" s="1"/>
  <c r="P17" i="34"/>
  <c r="Q17" i="34" s="1"/>
  <c r="P18" i="34"/>
  <c r="Q18" i="34" s="1"/>
  <c r="C41" i="16" l="1"/>
  <c r="L42" i="16" l="1"/>
  <c r="K33" i="29"/>
  <c r="K35" i="29"/>
  <c r="M44" i="16" l="1"/>
  <c r="F18" i="35" s="1"/>
  <c r="H501" i="81"/>
  <c r="K61" i="81" l="1"/>
  <c r="K61" i="29" l="1"/>
  <c r="K62" i="29"/>
  <c r="K58" i="29"/>
  <c r="K59" i="29"/>
  <c r="L2271" i="74" l="1"/>
  <c r="H2294" i="74"/>
  <c r="H496" i="80"/>
  <c r="H2265" i="74" l="1"/>
  <c r="H470" i="81" l="1"/>
  <c r="H445" i="81"/>
  <c r="H415" i="81"/>
  <c r="H468" i="80"/>
  <c r="H437" i="80"/>
  <c r="H408" i="80"/>
  <c r="H381" i="80"/>
  <c r="H357" i="81"/>
  <c r="H323" i="81"/>
  <c r="H294" i="81"/>
  <c r="G260" i="81"/>
  <c r="H220" i="81" s="1"/>
  <c r="G259" i="81"/>
  <c r="G258" i="81"/>
  <c r="G253" i="81"/>
  <c r="G252" i="81"/>
  <c r="G251" i="81"/>
  <c r="G250" i="81"/>
  <c r="G249" i="81"/>
  <c r="G248" i="81"/>
  <c r="H190" i="81"/>
  <c r="H120" i="81"/>
  <c r="H87" i="81"/>
  <c r="G66" i="81"/>
  <c r="H66" i="81" s="1"/>
  <c r="H54" i="81"/>
  <c r="H17" i="80"/>
  <c r="H302" i="74"/>
  <c r="H238" i="74"/>
  <c r="H208" i="74"/>
  <c r="H219" i="81" l="1"/>
  <c r="H226" i="81" s="1"/>
  <c r="H333" i="74"/>
  <c r="G254" i="81"/>
  <c r="G261" i="81"/>
  <c r="F261" i="81"/>
  <c r="H82" i="74" l="1"/>
  <c r="H50" i="74"/>
  <c r="H19" i="74"/>
  <c r="H142" i="74" l="1"/>
  <c r="K83" i="38" l="1"/>
  <c r="M83" i="38" s="1"/>
  <c r="K86" i="38"/>
  <c r="L86" i="38" l="1"/>
  <c r="M86" i="38"/>
  <c r="L83" i="38"/>
  <c r="D48" i="16"/>
  <c r="D50" i="16" s="1"/>
  <c r="L20" i="16"/>
  <c r="L10" i="16"/>
  <c r="L11" i="16"/>
  <c r="L12" i="16"/>
  <c r="L13" i="16"/>
  <c r="L14" i="16"/>
  <c r="N97" i="23" l="1"/>
  <c r="F8" i="29"/>
  <c r="G79" i="29" s="1"/>
  <c r="C83" i="29" l="1"/>
  <c r="C48" i="16" l="1"/>
  <c r="C84" i="29"/>
  <c r="H97" i="82" l="1"/>
  <c r="H97" i="23"/>
  <c r="G80" i="29" l="1"/>
  <c r="K8" i="29"/>
  <c r="G48" i="16" l="1"/>
  <c r="L48" i="16" s="1"/>
  <c r="G76" i="29"/>
  <c r="K6" i="29"/>
  <c r="C50" i="16" l="1"/>
  <c r="C99" i="34" l="1"/>
  <c r="F99" i="34" s="1"/>
  <c r="J4" i="59" l="1"/>
  <c r="L5" i="59"/>
  <c r="J6" i="59"/>
  <c r="L7" i="59"/>
  <c r="L8" i="59"/>
  <c r="J9" i="59"/>
  <c r="J10" i="59"/>
  <c r="J12" i="59"/>
  <c r="L3" i="59"/>
  <c r="E14" i="59"/>
  <c r="A28" i="59"/>
  <c r="A29" i="59" s="1"/>
  <c r="A30" i="59" s="1"/>
  <c r="A31" i="59" s="1"/>
  <c r="A32" i="59" s="1"/>
  <c r="A33" i="59" s="1"/>
  <c r="A34" i="59" s="1"/>
  <c r="A35" i="59" s="1"/>
  <c r="A36" i="59" s="1"/>
  <c r="A37" i="59" s="1"/>
  <c r="A38" i="59" s="1"/>
  <c r="K14" i="59"/>
  <c r="I14" i="59"/>
  <c r="A4" i="59"/>
  <c r="A5" i="59" s="1"/>
  <c r="A6" i="59" s="1"/>
  <c r="A7" i="59" s="1"/>
  <c r="A8" i="59" s="1"/>
  <c r="A9" i="59" s="1"/>
  <c r="A10" i="59" s="1"/>
  <c r="A11" i="59" s="1"/>
  <c r="A12" i="59" s="1"/>
  <c r="A13" i="59" s="1"/>
  <c r="M3" i="59" l="1"/>
  <c r="N3" i="59" s="1"/>
  <c r="M12" i="59"/>
  <c r="L4" i="59"/>
  <c r="M4" i="59" s="1"/>
  <c r="L12" i="59"/>
  <c r="L10" i="59"/>
  <c r="M10" i="59" s="1"/>
  <c r="J8" i="59"/>
  <c r="M8" i="59" s="1"/>
  <c r="N8" i="59" s="1"/>
  <c r="K73" i="59"/>
  <c r="J7" i="59"/>
  <c r="M7" i="59" s="1"/>
  <c r="L6" i="59"/>
  <c r="M6" i="59" s="1"/>
  <c r="L13" i="59"/>
  <c r="J5" i="59"/>
  <c r="M5" i="59" s="1"/>
  <c r="J11" i="59"/>
  <c r="L39" i="59"/>
  <c r="J13" i="59"/>
  <c r="J39" i="59"/>
  <c r="I39" i="59"/>
  <c r="K39" i="59"/>
  <c r="N35" i="59"/>
  <c r="N33" i="59"/>
  <c r="N27" i="59"/>
  <c r="M39" i="59"/>
  <c r="N28" i="59"/>
  <c r="N31" i="59"/>
  <c r="N30" i="59"/>
  <c r="H39" i="59"/>
  <c r="N34" i="59"/>
  <c r="N38" i="59"/>
  <c r="L11" i="59"/>
  <c r="F14" i="59"/>
  <c r="L9" i="59"/>
  <c r="M9" i="59" s="1"/>
  <c r="N37" i="59"/>
  <c r="N32" i="59"/>
  <c r="N29" i="59"/>
  <c r="N36" i="59"/>
  <c r="G39" i="59"/>
  <c r="F39" i="59"/>
  <c r="N39" i="59" l="1"/>
  <c r="H45" i="56" s="1"/>
  <c r="F14" i="23" s="1"/>
  <c r="W14" i="23" s="1"/>
  <c r="M13" i="59"/>
  <c r="N13" i="59" s="1"/>
  <c r="M11" i="59"/>
  <c r="N11" i="59" s="1"/>
  <c r="N4" i="59"/>
  <c r="N10" i="59"/>
  <c r="N5" i="59"/>
  <c r="N12" i="59"/>
  <c r="N9" i="59"/>
  <c r="N7" i="59"/>
  <c r="N6" i="59"/>
  <c r="N58" i="59"/>
  <c r="H14" i="59"/>
  <c r="L14" i="59"/>
  <c r="J14" i="59"/>
  <c r="N14" i="59" l="1"/>
  <c r="F14" i="82"/>
  <c r="X14" i="82" s="1"/>
  <c r="M14" i="59"/>
  <c r="A22" i="56" l="1"/>
  <c r="A23" i="56" s="1"/>
  <c r="A24" i="56" s="1"/>
  <c r="A25" i="56" s="1"/>
  <c r="A26" i="56" s="1"/>
  <c r="A27" i="56" s="1"/>
  <c r="A28" i="56" s="1"/>
  <c r="A29" i="56" s="1"/>
  <c r="A30" i="56" s="1"/>
  <c r="L35" i="34" l="1"/>
  <c r="N35" i="34"/>
  <c r="H46" i="34" l="1"/>
  <c r="K46" i="34" s="1"/>
  <c r="I46" i="34"/>
  <c r="J46" i="34"/>
  <c r="M46" i="34"/>
  <c r="H45" i="34"/>
  <c r="K45" i="34" s="1"/>
  <c r="I45" i="34"/>
  <c r="J45" i="34"/>
  <c r="M45" i="34"/>
  <c r="P46" i="34" l="1"/>
  <c r="Q46" i="34" s="1"/>
  <c r="P45" i="34"/>
  <c r="Q45" i="34" s="1"/>
  <c r="M17" i="33"/>
  <c r="M29" i="34" l="1"/>
  <c r="I29" i="34"/>
  <c r="J29" i="34"/>
  <c r="G35" i="34"/>
  <c r="H60" i="27"/>
  <c r="I60" i="27" s="1"/>
  <c r="G59" i="27"/>
  <c r="J59" i="27" s="1"/>
  <c r="F59" i="27"/>
  <c r="H58" i="27"/>
  <c r="I58" i="27" s="1"/>
  <c r="H57" i="27"/>
  <c r="I57" i="27" s="1"/>
  <c r="H56" i="27"/>
  <c r="I56" i="27" s="1"/>
  <c r="H55" i="27"/>
  <c r="I55" i="27" s="1"/>
  <c r="H54" i="27"/>
  <c r="I54" i="27" s="1"/>
  <c r="H53" i="27"/>
  <c r="I53" i="27" s="1"/>
  <c r="H51" i="27"/>
  <c r="I51" i="27" s="1"/>
  <c r="H50" i="27"/>
  <c r="I50" i="27" s="1"/>
  <c r="F49" i="27"/>
  <c r="E49" i="27"/>
  <c r="D49" i="27"/>
  <c r="C49" i="27"/>
  <c r="H48" i="27"/>
  <c r="I48" i="27" s="1"/>
  <c r="F42" i="27"/>
  <c r="E42" i="27"/>
  <c r="D42" i="27"/>
  <c r="C42" i="27"/>
  <c r="H40" i="27"/>
  <c r="I40" i="27" s="1"/>
  <c r="F37" i="27"/>
  <c r="F36" i="27" s="1"/>
  <c r="E37" i="27"/>
  <c r="E36" i="27" s="1"/>
  <c r="D37" i="27"/>
  <c r="C37" i="27"/>
  <c r="C36" i="27" s="1"/>
  <c r="F32" i="27"/>
  <c r="E32" i="27"/>
  <c r="D32" i="27"/>
  <c r="C32" i="27"/>
  <c r="H30" i="27"/>
  <c r="I30" i="27" s="1"/>
  <c r="H22" i="27"/>
  <c r="I22" i="27" s="1"/>
  <c r="E18" i="27"/>
  <c r="D18" i="27"/>
  <c r="C18" i="27"/>
  <c r="H13" i="27"/>
  <c r="I13" i="27" s="1"/>
  <c r="H12" i="27"/>
  <c r="I12" i="27" s="1"/>
  <c r="H11" i="27"/>
  <c r="I11" i="27" s="1"/>
  <c r="H10" i="27"/>
  <c r="I10" i="27" s="1"/>
  <c r="H9" i="27"/>
  <c r="I9" i="27" s="1"/>
  <c r="F7" i="27"/>
  <c r="F6" i="27" s="1"/>
  <c r="E7" i="27"/>
  <c r="D7" i="27"/>
  <c r="C7" i="27"/>
  <c r="C6" i="27" s="1"/>
  <c r="D64" i="27" l="1"/>
  <c r="C7" i="32" s="1"/>
  <c r="C41" i="27"/>
  <c r="D6" i="27"/>
  <c r="E41" i="27"/>
  <c r="E64" i="27"/>
  <c r="C8" i="32" s="1"/>
  <c r="E17" i="27"/>
  <c r="H46" i="27"/>
  <c r="I46" i="27" s="1"/>
  <c r="F41" i="27"/>
  <c r="H47" i="27"/>
  <c r="I47" i="27" s="1"/>
  <c r="F64" i="27"/>
  <c r="C9" i="32" s="1"/>
  <c r="D9" i="32" s="1"/>
  <c r="D41" i="27"/>
  <c r="H59" i="27"/>
  <c r="I59" i="27" s="1"/>
  <c r="C64" i="27"/>
  <c r="C6" i="32" s="1"/>
  <c r="D6" i="32" s="1"/>
  <c r="D17" i="27"/>
  <c r="D36" i="27"/>
  <c r="E6" i="27"/>
  <c r="C17" i="27"/>
  <c r="G41" i="16" l="1"/>
  <c r="G50" i="16" l="1"/>
  <c r="C27" i="45" s="1"/>
  <c r="L41" i="16"/>
  <c r="K65" i="29"/>
  <c r="M41" i="16" l="1"/>
  <c r="I70" i="29"/>
  <c r="K60" i="29"/>
  <c r="G86" i="29" l="1"/>
  <c r="G87" i="29" s="1"/>
  <c r="H44" i="34"/>
  <c r="K44" i="34" s="1"/>
  <c r="I44" i="34"/>
  <c r="J44" i="34"/>
  <c r="M44" i="34"/>
  <c r="H43" i="34"/>
  <c r="K43" i="34" s="1"/>
  <c r="I43" i="34"/>
  <c r="J43" i="34"/>
  <c r="M43" i="34"/>
  <c r="H42" i="34"/>
  <c r="I42" i="34"/>
  <c r="J42" i="34"/>
  <c r="M42" i="34"/>
  <c r="M39" i="34"/>
  <c r="M40" i="34"/>
  <c r="M47" i="34"/>
  <c r="J39" i="34"/>
  <c r="J40" i="34"/>
  <c r="J47" i="34"/>
  <c r="I39" i="34"/>
  <c r="I40" i="34"/>
  <c r="I47" i="34"/>
  <c r="H40" i="34"/>
  <c r="K40" i="34" s="1"/>
  <c r="H47" i="34"/>
  <c r="K47" i="34" s="1"/>
  <c r="H39" i="34"/>
  <c r="K39" i="34" s="1"/>
  <c r="M38" i="34"/>
  <c r="J38" i="34"/>
  <c r="I38" i="34"/>
  <c r="H38" i="34"/>
  <c r="G22" i="34"/>
  <c r="H21" i="34"/>
  <c r="K21" i="34" s="1"/>
  <c r="I21" i="34"/>
  <c r="J21" i="34"/>
  <c r="M21" i="34"/>
  <c r="K38" i="34" l="1"/>
  <c r="H48" i="34"/>
  <c r="K42" i="34"/>
  <c r="P42" i="34" s="1"/>
  <c r="Q42" i="34" s="1"/>
  <c r="P44" i="34"/>
  <c r="Q44" i="34" s="1"/>
  <c r="P43" i="34"/>
  <c r="Q43" i="34" s="1"/>
  <c r="P38" i="34"/>
  <c r="Q38" i="34" s="1"/>
  <c r="P21" i="34"/>
  <c r="Q21" i="34" s="1"/>
  <c r="P47" i="34"/>
  <c r="Q47" i="34" s="1"/>
  <c r="P40" i="34"/>
  <c r="Q40" i="34" s="1"/>
  <c r="P39" i="34"/>
  <c r="Q39" i="34" s="1"/>
  <c r="I48" i="34"/>
  <c r="D109" i="34" s="1"/>
  <c r="N16" i="23" s="1"/>
  <c r="C106" i="34" l="1"/>
  <c r="N10" i="82" s="1"/>
  <c r="H43" i="38" s="1"/>
  <c r="J43" i="38" s="1"/>
  <c r="L43" i="38" s="1"/>
  <c r="N10" i="23"/>
  <c r="N16" i="82"/>
  <c r="H47" i="38" s="1"/>
  <c r="J47" i="38" s="1"/>
  <c r="L47" i="38" s="1"/>
  <c r="J48" i="34"/>
  <c r="C109" i="34" s="1"/>
  <c r="N11" i="23" l="1"/>
  <c r="N11" i="82"/>
  <c r="H46" i="38" s="1"/>
  <c r="J46" i="38" s="1"/>
  <c r="L46" i="38" s="1"/>
  <c r="K48" i="34"/>
  <c r="Q107" i="34" s="1"/>
  <c r="N20" i="82" l="1"/>
  <c r="N20" i="23"/>
  <c r="H49" i="38" s="1"/>
  <c r="L48" i="34"/>
  <c r="M48" i="34" l="1"/>
  <c r="J49" i="38" l="1"/>
  <c r="L49" i="38" s="1"/>
  <c r="N48" i="34"/>
  <c r="O48" i="34" l="1"/>
  <c r="L107" i="34" l="1"/>
  <c r="N19" i="82" s="1"/>
  <c r="N96" i="82" s="1"/>
  <c r="P48" i="34"/>
  <c r="D14" i="45" l="1"/>
  <c r="N98" i="82"/>
  <c r="N19" i="23"/>
  <c r="H48" i="38" s="1"/>
  <c r="Q48" i="34"/>
  <c r="H87" i="38" l="1"/>
  <c r="H89" i="38" s="1"/>
  <c r="J48" i="38"/>
  <c r="L48" i="38" s="1"/>
  <c r="N96" i="23"/>
  <c r="N98" i="23" s="1"/>
  <c r="N99" i="23" s="1"/>
  <c r="E50" i="16"/>
  <c r="N97" i="82" s="1"/>
  <c r="D27" i="45" s="1"/>
  <c r="I50" i="16"/>
  <c r="E83" i="38"/>
  <c r="D83" i="38"/>
  <c r="C83" i="38"/>
  <c r="B83" i="38"/>
  <c r="A83" i="38"/>
  <c r="N99" i="82" l="1"/>
  <c r="M27" i="34"/>
  <c r="M28" i="34"/>
  <c r="M32" i="34"/>
  <c r="M34" i="34"/>
  <c r="M24" i="34"/>
  <c r="M12" i="34"/>
  <c r="M13" i="34"/>
  <c r="M14" i="34"/>
  <c r="M16" i="34"/>
  <c r="M26" i="34"/>
  <c r="M23" i="34"/>
  <c r="O35" i="34" l="1"/>
  <c r="M35" i="34"/>
  <c r="M22" i="34"/>
  <c r="O22" i="34"/>
  <c r="I24" i="34"/>
  <c r="I23" i="34"/>
  <c r="I12" i="34"/>
  <c r="I13" i="34"/>
  <c r="I14" i="34"/>
  <c r="I15" i="34"/>
  <c r="I16" i="34"/>
  <c r="I27" i="34"/>
  <c r="I28" i="34"/>
  <c r="I32" i="34"/>
  <c r="I34" i="34"/>
  <c r="I26" i="34"/>
  <c r="I9" i="34"/>
  <c r="I10" i="34"/>
  <c r="J8" i="34"/>
  <c r="K7" i="29"/>
  <c r="K9" i="29"/>
  <c r="K11" i="29"/>
  <c r="K36" i="29"/>
  <c r="K38" i="29"/>
  <c r="K64" i="29"/>
  <c r="K66" i="29"/>
  <c r="K67" i="29"/>
  <c r="K68" i="29"/>
  <c r="K69" i="29"/>
  <c r="C77" i="29"/>
  <c r="G10" i="33"/>
  <c r="G11" i="33"/>
  <c r="G12" i="33"/>
  <c r="G23" i="33"/>
  <c r="G25" i="33"/>
  <c r="G28" i="33"/>
  <c r="N84" i="34" l="1"/>
  <c r="F29" i="33" s="1"/>
  <c r="L84" i="34"/>
  <c r="F13" i="33" s="1"/>
  <c r="L47" i="16"/>
  <c r="K3" i="29"/>
  <c r="G75" i="29" s="1"/>
  <c r="E70" i="29"/>
  <c r="I35" i="34"/>
  <c r="D91" i="34" s="1"/>
  <c r="I22" i="34"/>
  <c r="D89" i="34" s="1"/>
  <c r="I25" i="34"/>
  <c r="D90" i="34" s="1"/>
  <c r="E27" i="33" s="1"/>
  <c r="C98" i="29"/>
  <c r="G77" i="29"/>
  <c r="G78" i="29" l="1"/>
  <c r="D27" i="33"/>
  <c r="D16" i="23" s="1"/>
  <c r="E16" i="82"/>
  <c r="E16" i="23"/>
  <c r="H40" i="56" s="1"/>
  <c r="J19" i="82"/>
  <c r="J19" i="23"/>
  <c r="F19" i="82"/>
  <c r="F19" i="23"/>
  <c r="H48" i="56" s="1"/>
  <c r="F27" i="33"/>
  <c r="F16" i="82" l="1"/>
  <c r="F16" i="23"/>
  <c r="H46" i="56" s="1"/>
  <c r="D16" i="82"/>
  <c r="H35" i="56"/>
  <c r="J34" i="34" l="1"/>
  <c r="H34" i="34"/>
  <c r="K34" i="34" s="1"/>
  <c r="J9" i="34"/>
  <c r="H9" i="34"/>
  <c r="K9" i="34" s="1"/>
  <c r="K5" i="29"/>
  <c r="P9" i="34" l="1"/>
  <c r="P34" i="34"/>
  <c r="Q34" i="34" s="1"/>
  <c r="K10" i="29"/>
  <c r="Q9" i="34" l="1"/>
  <c r="H42" i="38"/>
  <c r="J42" i="38" s="1"/>
  <c r="L42" i="38" s="1"/>
  <c r="L87" i="38" s="1"/>
  <c r="A11" i="38"/>
  <c r="A12" i="38" s="1"/>
  <c r="A13" i="38" s="1"/>
  <c r="A14" i="38" s="1"/>
  <c r="A15" i="38" s="1"/>
  <c r="A16" i="38" s="1"/>
  <c r="B12" i="38"/>
  <c r="B13" i="38" s="1"/>
  <c r="B14" i="38" s="1"/>
  <c r="B15" i="38" s="1"/>
  <c r="B16" i="38" s="1"/>
  <c r="C11" i="38"/>
  <c r="C12" i="38" s="1"/>
  <c r="C13" i="38" s="1"/>
  <c r="C14" i="38" s="1"/>
  <c r="C15" i="38" s="1"/>
  <c r="C16" i="38" s="1"/>
  <c r="D11" i="38"/>
  <c r="D12" i="38" s="1"/>
  <c r="D13" i="38" s="1"/>
  <c r="D14" i="38" s="1"/>
  <c r="D15" i="38" s="1"/>
  <c r="D16" i="38" s="1"/>
  <c r="E11" i="38"/>
  <c r="E12" i="38" s="1"/>
  <c r="E13" i="38" s="1"/>
  <c r="E14" i="38" s="1"/>
  <c r="E15" i="38" s="1"/>
  <c r="E16" i="38" s="1"/>
  <c r="J14" i="34"/>
  <c r="H14" i="34"/>
  <c r="K14" i="34" s="1"/>
  <c r="I8" i="34"/>
  <c r="I11" i="34" s="1"/>
  <c r="J10" i="34"/>
  <c r="J11" i="34" s="1"/>
  <c r="J12" i="34"/>
  <c r="J13" i="34"/>
  <c r="J15" i="34"/>
  <c r="J16" i="34"/>
  <c r="J23" i="34"/>
  <c r="J26" i="34"/>
  <c r="J24" i="34"/>
  <c r="J27" i="34"/>
  <c r="J28" i="34"/>
  <c r="J32" i="34"/>
  <c r="H10" i="34"/>
  <c r="K10" i="34" s="1"/>
  <c r="H12" i="34"/>
  <c r="K12" i="34" s="1"/>
  <c r="H13" i="34"/>
  <c r="K13" i="34" s="1"/>
  <c r="H15" i="34"/>
  <c r="H16" i="34"/>
  <c r="K16" i="34" s="1"/>
  <c r="H23" i="34"/>
  <c r="K23" i="34" s="1"/>
  <c r="H26" i="34"/>
  <c r="H24" i="34"/>
  <c r="K24" i="34" s="1"/>
  <c r="H27" i="34"/>
  <c r="K27" i="34" s="1"/>
  <c r="H28" i="34"/>
  <c r="K28" i="34" s="1"/>
  <c r="H29" i="34"/>
  <c r="K29" i="34" s="1"/>
  <c r="P29" i="34" s="1"/>
  <c r="Q29" i="34" s="1"/>
  <c r="H32" i="34"/>
  <c r="C24" i="33"/>
  <c r="L11" i="34"/>
  <c r="M11" i="34"/>
  <c r="N11" i="34"/>
  <c r="L22" i="34"/>
  <c r="N25" i="34"/>
  <c r="H8" i="34"/>
  <c r="G11" i="34"/>
  <c r="G25" i="34"/>
  <c r="E36" i="34"/>
  <c r="E22" i="34"/>
  <c r="D7" i="32"/>
  <c r="D8" i="32"/>
  <c r="G70" i="29"/>
  <c r="G85" i="29"/>
  <c r="D70" i="29"/>
  <c r="H14" i="28"/>
  <c r="K50" i="16"/>
  <c r="D88" i="34" l="1"/>
  <c r="I36" i="34"/>
  <c r="I65" i="34" s="1"/>
  <c r="P16" i="34"/>
  <c r="Q16" i="34" s="1"/>
  <c r="P28" i="34"/>
  <c r="C12" i="82"/>
  <c r="X12" i="82" s="1"/>
  <c r="C12" i="23"/>
  <c r="W12" i="23" s="1"/>
  <c r="G36" i="34"/>
  <c r="G65" i="34" s="1"/>
  <c r="B18" i="38"/>
  <c r="B19" i="38" s="1"/>
  <c r="B17" i="38"/>
  <c r="E18" i="38"/>
  <c r="E19" i="38" s="1"/>
  <c r="E17" i="38"/>
  <c r="A18" i="38"/>
  <c r="A19" i="38" s="1"/>
  <c r="A17" i="38"/>
  <c r="D18" i="38"/>
  <c r="D19" i="38" s="1"/>
  <c r="D17" i="38"/>
  <c r="C18" i="38"/>
  <c r="C19" i="38" s="1"/>
  <c r="C17" i="38"/>
  <c r="G49" i="34"/>
  <c r="G24" i="33"/>
  <c r="L49" i="34"/>
  <c r="I49" i="34"/>
  <c r="L36" i="34"/>
  <c r="L65" i="34" s="1"/>
  <c r="J35" i="34"/>
  <c r="C91" i="34" s="1"/>
  <c r="F9" i="33" s="1"/>
  <c r="H35" i="34"/>
  <c r="D83" i="34" s="1"/>
  <c r="K26" i="34"/>
  <c r="N82" i="34"/>
  <c r="K22" i="34"/>
  <c r="H22" i="34"/>
  <c r="K32" i="34"/>
  <c r="J22" i="34"/>
  <c r="C89" i="34" s="1"/>
  <c r="C88" i="34"/>
  <c r="C9" i="33" s="1"/>
  <c r="H11" i="34"/>
  <c r="P15" i="34"/>
  <c r="Q15" i="34" s="1"/>
  <c r="P13" i="34"/>
  <c r="Q13" i="34" s="1"/>
  <c r="P12" i="34"/>
  <c r="Q12" i="34" s="1"/>
  <c r="K11" i="34"/>
  <c r="P27" i="34"/>
  <c r="Q27" i="34" s="1"/>
  <c r="P24" i="34"/>
  <c r="Q24" i="34" s="1"/>
  <c r="P23" i="34"/>
  <c r="P14" i="34"/>
  <c r="Q14" i="34" s="1"/>
  <c r="M25" i="34"/>
  <c r="O11" i="34"/>
  <c r="K25" i="34"/>
  <c r="O25" i="34"/>
  <c r="P8" i="34"/>
  <c r="H25" i="34"/>
  <c r="J25" i="34"/>
  <c r="O36" i="34" l="1"/>
  <c r="C21" i="38"/>
  <c r="C22" i="38" s="1"/>
  <c r="C20" i="38"/>
  <c r="A21" i="38"/>
  <c r="A22" i="38" s="1"/>
  <c r="A20" i="38"/>
  <c r="B21" i="38"/>
  <c r="B22" i="38" s="1"/>
  <c r="B20" i="38"/>
  <c r="E21" i="38"/>
  <c r="E22" i="38" s="1"/>
  <c r="E20" i="38"/>
  <c r="D21" i="38"/>
  <c r="D22" i="38" s="1"/>
  <c r="D20" i="38"/>
  <c r="C81" i="34"/>
  <c r="D81" i="34"/>
  <c r="N83" i="34"/>
  <c r="L83" i="34"/>
  <c r="E13" i="33" s="1"/>
  <c r="D80" i="34"/>
  <c r="C22" i="33" s="1"/>
  <c r="C80" i="34"/>
  <c r="L81" i="34"/>
  <c r="C13" i="33" s="1"/>
  <c r="L89" i="34"/>
  <c r="N89" i="34"/>
  <c r="C82" i="34"/>
  <c r="E8" i="33" s="1"/>
  <c r="D82" i="34"/>
  <c r="E22" i="33" s="1"/>
  <c r="L87" i="34"/>
  <c r="C14" i="33" s="1"/>
  <c r="N87" i="34"/>
  <c r="C30" i="33" s="1"/>
  <c r="N81" i="34"/>
  <c r="C29" i="33" s="1"/>
  <c r="C19" i="82" s="1"/>
  <c r="C83" i="34"/>
  <c r="F8" i="33" s="1"/>
  <c r="L82" i="34"/>
  <c r="D8" i="33"/>
  <c r="N88" i="34"/>
  <c r="D30" i="33" s="1"/>
  <c r="L88" i="34"/>
  <c r="D14" i="33" s="1"/>
  <c r="J11" i="82"/>
  <c r="J11" i="23"/>
  <c r="G11" i="82"/>
  <c r="G11" i="23"/>
  <c r="M49" i="34"/>
  <c r="H11" i="56"/>
  <c r="F17" i="35"/>
  <c r="M36" i="34"/>
  <c r="M65" i="34" s="1"/>
  <c r="J49" i="34"/>
  <c r="N49" i="34"/>
  <c r="D92" i="34"/>
  <c r="C27" i="33"/>
  <c r="H49" i="34"/>
  <c r="O49" i="34"/>
  <c r="H36" i="34"/>
  <c r="H65" i="34" s="1"/>
  <c r="J36" i="34"/>
  <c r="J65" i="34" s="1"/>
  <c r="N36" i="34"/>
  <c r="N65" i="34" s="1"/>
  <c r="F22" i="33"/>
  <c r="K35" i="34"/>
  <c r="K36" i="34" s="1"/>
  <c r="P26" i="34"/>
  <c r="Q26" i="34" s="1"/>
  <c r="E14" i="33"/>
  <c r="E30" i="33"/>
  <c r="P32" i="34"/>
  <c r="Q28" i="34"/>
  <c r="D9" i="33"/>
  <c r="C90" i="34"/>
  <c r="E9" i="33" s="1"/>
  <c r="P10" i="34"/>
  <c r="Q10" i="34" s="1"/>
  <c r="P25" i="34"/>
  <c r="Q23" i="34"/>
  <c r="Q25" i="34" s="1"/>
  <c r="Q8" i="34"/>
  <c r="C19" i="23" l="1"/>
  <c r="Q81" i="34"/>
  <c r="N90" i="34"/>
  <c r="F30" i="33" s="1"/>
  <c r="L90" i="34"/>
  <c r="F14" i="33" s="1"/>
  <c r="I10" i="82"/>
  <c r="I10" i="23"/>
  <c r="I11" i="82"/>
  <c r="I11" i="23"/>
  <c r="E10" i="82"/>
  <c r="E10" i="23"/>
  <c r="F10" i="82"/>
  <c r="F10" i="23"/>
  <c r="C16" i="82"/>
  <c r="X16" i="82" s="1"/>
  <c r="C16" i="23"/>
  <c r="W16" i="23" s="1"/>
  <c r="I19" i="82"/>
  <c r="I19" i="23"/>
  <c r="H11" i="82"/>
  <c r="X11" i="82" s="1"/>
  <c r="H11" i="23"/>
  <c r="E20" i="82"/>
  <c r="E20" i="23"/>
  <c r="H42" i="56" s="1"/>
  <c r="G20" i="82"/>
  <c r="G20" i="23"/>
  <c r="J10" i="82"/>
  <c r="J10" i="23"/>
  <c r="H10" i="82"/>
  <c r="H10" i="23"/>
  <c r="C20" i="82"/>
  <c r="C20" i="23"/>
  <c r="I20" i="82"/>
  <c r="I20" i="23"/>
  <c r="C10" i="82"/>
  <c r="C10" i="23"/>
  <c r="H20" i="82"/>
  <c r="H20" i="23"/>
  <c r="D20" i="82"/>
  <c r="D20" i="23"/>
  <c r="G19" i="82"/>
  <c r="G19" i="23"/>
  <c r="C31" i="33"/>
  <c r="C15" i="33"/>
  <c r="O65" i="34"/>
  <c r="K65" i="34"/>
  <c r="C8" i="33"/>
  <c r="E80" i="34"/>
  <c r="H13" i="56"/>
  <c r="E16" i="33"/>
  <c r="E29" i="33"/>
  <c r="H39" i="56"/>
  <c r="L85" i="34"/>
  <c r="D13" i="33"/>
  <c r="G9" i="33"/>
  <c r="G27" i="33"/>
  <c r="K49" i="34"/>
  <c r="E83" i="34"/>
  <c r="Q83" i="34"/>
  <c r="P35" i="34"/>
  <c r="C92" i="34"/>
  <c r="Q22" i="34"/>
  <c r="P22" i="34"/>
  <c r="Q32" i="34"/>
  <c r="Q35" i="34" s="1"/>
  <c r="E82" i="34"/>
  <c r="C84" i="34"/>
  <c r="Q87" i="34"/>
  <c r="Q11" i="34"/>
  <c r="P11" i="34"/>
  <c r="Q84" i="34"/>
  <c r="Q36" i="34" l="1"/>
  <c r="Q65" i="34" s="1"/>
  <c r="E105" i="34" s="1"/>
  <c r="C32" i="33"/>
  <c r="G31" i="33"/>
  <c r="I96" i="23"/>
  <c r="W11" i="23"/>
  <c r="I96" i="82"/>
  <c r="C74" i="82"/>
  <c r="X74" i="82" s="1"/>
  <c r="Y77" i="82" s="1"/>
  <c r="C74" i="23"/>
  <c r="E19" i="82"/>
  <c r="E96" i="82" s="1"/>
  <c r="E19" i="23"/>
  <c r="E96" i="23" s="1"/>
  <c r="F20" i="82"/>
  <c r="F20" i="23"/>
  <c r="F96" i="23" s="1"/>
  <c r="G10" i="82"/>
  <c r="G96" i="82" s="1"/>
  <c r="G10" i="23"/>
  <c r="J20" i="82"/>
  <c r="J96" i="82" s="1"/>
  <c r="J20" i="23"/>
  <c r="H10" i="56"/>
  <c r="G74" i="23"/>
  <c r="H19" i="82"/>
  <c r="H19" i="23"/>
  <c r="H37" i="56"/>
  <c r="G8" i="33"/>
  <c r="D16" i="33"/>
  <c r="E32" i="33"/>
  <c r="H14" i="56"/>
  <c r="C16" i="33"/>
  <c r="G14" i="33"/>
  <c r="F16" i="33"/>
  <c r="H12" i="56"/>
  <c r="H44" i="56"/>
  <c r="G30" i="33"/>
  <c r="F32" i="33"/>
  <c r="G13" i="33"/>
  <c r="G15" i="33"/>
  <c r="P49" i="34"/>
  <c r="Q49" i="34"/>
  <c r="P36" i="34"/>
  <c r="P65" i="34" s="1"/>
  <c r="Q93" i="34"/>
  <c r="Q89" i="34"/>
  <c r="Q90" i="34"/>
  <c r="L91" i="34"/>
  <c r="F100" i="34" s="1"/>
  <c r="F102" i="34" s="1"/>
  <c r="Q88" i="34"/>
  <c r="K4" i="29"/>
  <c r="F70" i="29"/>
  <c r="G81" i="29" s="1"/>
  <c r="X20" i="82" l="1"/>
  <c r="H100" i="34"/>
  <c r="H49" i="56"/>
  <c r="H60" i="56" s="1"/>
  <c r="W20" i="23"/>
  <c r="F31" i="35"/>
  <c r="G96" i="23"/>
  <c r="J96" i="23"/>
  <c r="W74" i="23"/>
  <c r="H96" i="23"/>
  <c r="C96" i="82"/>
  <c r="C96" i="23"/>
  <c r="H96" i="82"/>
  <c r="H41" i="56"/>
  <c r="H43" i="56" s="1"/>
  <c r="G16" i="33"/>
  <c r="N91" i="34"/>
  <c r="Q91" i="34"/>
  <c r="H98" i="82" l="1"/>
  <c r="H99" i="82" s="1"/>
  <c r="H98" i="23"/>
  <c r="H99" i="23" s="1"/>
  <c r="H31" i="56"/>
  <c r="F96" i="82" l="1"/>
  <c r="E81" i="34" l="1"/>
  <c r="D84" i="34"/>
  <c r="E84" i="34" s="1"/>
  <c r="D22" i="33"/>
  <c r="G22" i="33" l="1"/>
  <c r="D10" i="23"/>
  <c r="D10" i="82"/>
  <c r="X10" i="82" s="1"/>
  <c r="W10" i="23" l="1"/>
  <c r="H32" i="56"/>
  <c r="N85" i="34"/>
  <c r="Q82" i="34"/>
  <c r="Q85" i="34" s="1"/>
  <c r="D29" i="33"/>
  <c r="D19" i="82" l="1"/>
  <c r="D96" i="82" s="1"/>
  <c r="X96" i="82" s="1"/>
  <c r="D32" i="33"/>
  <c r="G32" i="33" s="1"/>
  <c r="D19" i="23"/>
  <c r="D96" i="23" s="1"/>
  <c r="D98" i="23" s="1"/>
  <c r="G34" i="33"/>
  <c r="G29" i="33"/>
  <c r="Y22" i="82" l="1"/>
  <c r="F28" i="35" s="1"/>
  <c r="F36" i="35" s="1"/>
  <c r="X19" i="82"/>
  <c r="X97" i="82" s="1"/>
  <c r="H36" i="56"/>
  <c r="H38" i="56" s="1"/>
  <c r="H61" i="56" s="1"/>
  <c r="J61" i="56" s="1"/>
  <c r="W19" i="23"/>
  <c r="W97" i="23" s="1"/>
  <c r="W96" i="23"/>
  <c r="D98" i="82"/>
  <c r="G14" i="59"/>
  <c r="K63" i="29" l="1"/>
  <c r="J70" i="29"/>
  <c r="G82" i="29" s="1"/>
  <c r="G83" i="29" s="1"/>
  <c r="G88" i="29" s="1"/>
  <c r="K70" i="29" l="1"/>
  <c r="L28" i="16" l="1"/>
  <c r="L17" i="16"/>
  <c r="L22" i="16"/>
  <c r="L27" i="16"/>
  <c r="L31" i="16"/>
  <c r="L36" i="16"/>
  <c r="J8" i="27"/>
  <c r="H8" i="27"/>
  <c r="I8" i="27" s="1"/>
  <c r="L32" i="16"/>
  <c r="M33" i="16" s="1"/>
  <c r="L37" i="16"/>
  <c r="L18" i="16"/>
  <c r="L15" i="16"/>
  <c r="L24" i="16"/>
  <c r="L29" i="16"/>
  <c r="L33" i="16"/>
  <c r="L40" i="16"/>
  <c r="L23" i="16"/>
  <c r="L19" i="16"/>
  <c r="L16" i="16"/>
  <c r="L21" i="16"/>
  <c r="L26" i="16"/>
  <c r="L30" i="16"/>
  <c r="L35" i="16"/>
  <c r="L9" i="16"/>
  <c r="F15" i="35"/>
  <c r="M40" i="16" l="1"/>
  <c r="F16" i="35"/>
  <c r="J43" i="27"/>
  <c r="H43" i="27"/>
  <c r="G42" i="27"/>
  <c r="J16" i="27"/>
  <c r="H16" i="27"/>
  <c r="I16" i="27" s="1"/>
  <c r="J26" i="27"/>
  <c r="H26" i="27"/>
  <c r="I26" i="27" s="1"/>
  <c r="J44" i="27"/>
  <c r="H44" i="27"/>
  <c r="I44" i="27" s="1"/>
  <c r="J29" i="27"/>
  <c r="H29" i="27"/>
  <c r="I29" i="27" s="1"/>
  <c r="J19" i="27"/>
  <c r="H19" i="27"/>
  <c r="I19" i="27" s="1"/>
  <c r="L49" i="16"/>
  <c r="F20" i="35" s="1"/>
  <c r="J34" i="27"/>
  <c r="H34" i="27"/>
  <c r="I34" i="27" s="1"/>
  <c r="J23" i="27"/>
  <c r="H23" i="27"/>
  <c r="I23" i="27" s="1"/>
  <c r="J21" i="27"/>
  <c r="H21" i="27"/>
  <c r="I21" i="27" s="1"/>
  <c r="J52" i="27"/>
  <c r="J49" i="27" s="1"/>
  <c r="G49" i="27"/>
  <c r="H52" i="27"/>
  <c r="I52" i="27" s="1"/>
  <c r="J33" i="27"/>
  <c r="H33" i="27"/>
  <c r="I33" i="27" s="1"/>
  <c r="G32" i="27"/>
  <c r="H32" i="27" s="1"/>
  <c r="I32" i="27" s="1"/>
  <c r="J15" i="27"/>
  <c r="H15" i="27"/>
  <c r="I15" i="27" s="1"/>
  <c r="J45" i="27"/>
  <c r="H45" i="27"/>
  <c r="I45" i="27" s="1"/>
  <c r="L25" i="16"/>
  <c r="F14" i="35" s="1"/>
  <c r="G7" i="27"/>
  <c r="J35" i="27"/>
  <c r="H35" i="27"/>
  <c r="I35" i="27" s="1"/>
  <c r="J24" i="27"/>
  <c r="H24" i="27"/>
  <c r="I24" i="27" s="1"/>
  <c r="J31" i="27"/>
  <c r="H31" i="27"/>
  <c r="I31" i="27" s="1"/>
  <c r="J28" i="27"/>
  <c r="H28" i="27"/>
  <c r="I28" i="27" s="1"/>
  <c r="J25" i="27"/>
  <c r="H25" i="27"/>
  <c r="I25" i="27" s="1"/>
  <c r="J39" i="27"/>
  <c r="H39" i="27"/>
  <c r="I39" i="27" s="1"/>
  <c r="J20" i="27"/>
  <c r="H20" i="27"/>
  <c r="I20" i="27" s="1"/>
  <c r="J38" i="27"/>
  <c r="J37" i="27" s="1"/>
  <c r="J36" i="27" s="1"/>
  <c r="H38" i="27"/>
  <c r="I38" i="27" s="1"/>
  <c r="G37" i="27"/>
  <c r="M16" i="16"/>
  <c r="F13" i="35"/>
  <c r="F21" i="35" s="1"/>
  <c r="J7" i="27" l="1"/>
  <c r="J6" i="27" s="1"/>
  <c r="H49" i="27"/>
  <c r="I49" i="27" s="1"/>
  <c r="H36" i="35"/>
  <c r="J32" i="27"/>
  <c r="H7" i="27"/>
  <c r="G6" i="27"/>
  <c r="G41" i="27"/>
  <c r="J27" i="27"/>
  <c r="J18" i="27" s="1"/>
  <c r="H27" i="27"/>
  <c r="I27" i="27" s="1"/>
  <c r="I43" i="27"/>
  <c r="I42" i="27" s="1"/>
  <c r="I41" i="27" s="1"/>
  <c r="H42" i="27"/>
  <c r="H41" i="27" s="1"/>
  <c r="G18" i="27"/>
  <c r="G64" i="27" s="1"/>
  <c r="C10" i="32" s="1"/>
  <c r="J42" i="27"/>
  <c r="J41" i="27" s="1"/>
  <c r="L50" i="16"/>
  <c r="M50" i="16" s="1"/>
  <c r="G36" i="27"/>
  <c r="H37" i="27"/>
  <c r="J63" i="27"/>
  <c r="H63" i="27"/>
  <c r="I63" i="27" s="1"/>
  <c r="M31" i="16"/>
  <c r="D99" i="82"/>
  <c r="D97" i="23"/>
  <c r="C33" i="45"/>
  <c r="J17" i="27" l="1"/>
  <c r="J64" i="27"/>
  <c r="J61" i="27"/>
  <c r="J62" i="27"/>
  <c r="H62" i="27"/>
  <c r="H36" i="27"/>
  <c r="I37" i="27"/>
  <c r="I36" i="27" s="1"/>
  <c r="G17" i="27"/>
  <c r="H18" i="27"/>
  <c r="I7" i="27"/>
  <c r="H6" i="27"/>
  <c r="D12" i="45"/>
  <c r="D18" i="45" s="1"/>
  <c r="D29" i="45"/>
  <c r="D33" i="45" s="1"/>
  <c r="G33" i="45" s="1"/>
  <c r="D99" i="23"/>
  <c r="F33" i="45" l="1"/>
  <c r="I18" i="27"/>
  <c r="I17" i="27" s="1"/>
  <c r="H17" i="27"/>
  <c r="C75" i="29"/>
  <c r="C79" i="29" s="1"/>
  <c r="C104" i="29" s="1"/>
  <c r="H64" i="27"/>
  <c r="I62" i="27"/>
  <c r="H61" i="27"/>
  <c r="I61" i="27" s="1"/>
  <c r="I6" i="27"/>
  <c r="F105" i="29" l="1"/>
  <c r="I64" i="27"/>
  <c r="C11" i="32"/>
  <c r="C17" i="32" s="1"/>
  <c r="B25" i="32" s="1"/>
  <c r="B26" i="32" s="1"/>
  <c r="C29" i="32"/>
  <c r="D10" i="32"/>
  <c r="D11" i="32" s="1"/>
  <c r="C20" i="32" s="1"/>
  <c r="C25" i="32" s="1"/>
  <c r="C26" i="32" s="1"/>
  <c r="B30" i="32"/>
  <c r="D30" i="32" s="1"/>
  <c r="B27" i="32" l="1"/>
  <c r="B29" i="32" s="1"/>
  <c r="D29" i="32" l="1"/>
  <c r="B32" i="32" s="1"/>
  <c r="B33" i="32" s="1"/>
  <c r="J87" i="38" l="1"/>
</calcChain>
</file>

<file path=xl/comments1.xml><?xml version="1.0" encoding="utf-8"?>
<comments xmlns="http://schemas.openxmlformats.org/spreadsheetml/2006/main">
  <authors>
    <author>Dagoberto</author>
    <author>DAGOBERTO</author>
    <author>win10</author>
  </authors>
  <commentList>
    <comment ref="D12" authorId="0" shapeId="0">
      <text>
        <r>
          <rPr>
            <b/>
            <sz val="8"/>
            <color indexed="81"/>
            <rFont val="Tahoma"/>
            <family val="2"/>
          </rPr>
          <t>Dagoberto:</t>
        </r>
        <r>
          <rPr>
            <sz val="8"/>
            <color indexed="81"/>
            <rFont val="Tahoma"/>
            <family val="2"/>
          </rPr>
          <t xml:space="preserve">
Suma de los gastos en    A G 1,  con Fondos Propios y 25 % FODES</t>
        </r>
      </text>
    </comment>
    <comment ref="D14" authorId="0" shapeId="0">
      <text>
        <r>
          <rPr>
            <b/>
            <sz val="8"/>
            <color indexed="81"/>
            <rFont val="Tahoma"/>
            <family val="2"/>
          </rPr>
          <t>Dagoberto:</t>
        </r>
        <r>
          <rPr>
            <sz val="8"/>
            <color indexed="81"/>
            <rFont val="Tahoma"/>
            <family val="2"/>
          </rPr>
          <t xml:space="preserve">
Suma de  Inversion en  AG 3 y  AG 4</t>
        </r>
      </text>
    </comment>
    <comment ref="D16" authorId="0" shapeId="0">
      <text>
        <r>
          <rPr>
            <b/>
            <sz val="8"/>
            <color indexed="81"/>
            <rFont val="Tahoma"/>
            <family val="2"/>
          </rPr>
          <t>Dagoberto:</t>
        </r>
        <r>
          <rPr>
            <sz val="8"/>
            <color indexed="81"/>
            <rFont val="Tahoma"/>
            <family val="2"/>
          </rPr>
          <t xml:space="preserve">
Pago de Prestamo</t>
        </r>
      </text>
    </comment>
    <comment ref="B27" authorId="1" shapeId="0">
      <text>
        <r>
          <rPr>
            <b/>
            <sz val="8"/>
            <color indexed="81"/>
            <rFont val="Tahoma"/>
            <family val="2"/>
          </rPr>
          <t>DAGOBERTO:</t>
        </r>
        <r>
          <rPr>
            <sz val="8"/>
            <color indexed="81"/>
            <rFont val="Tahoma"/>
            <family val="2"/>
          </rPr>
          <t xml:space="preserve">
FODES,FISDL Y VICEMINISTERIO DE VIVIENDA</t>
        </r>
      </text>
    </comment>
    <comment ref="C29" authorId="2" shapeId="0">
      <text>
        <r>
          <rPr>
            <b/>
            <sz val="9"/>
            <color indexed="81"/>
            <rFont val="Tahoma"/>
            <family val="2"/>
          </rPr>
          <t>win10:</t>
        </r>
        <r>
          <rPr>
            <sz val="9"/>
            <color indexed="81"/>
            <rFont val="Tahoma"/>
            <family val="2"/>
          </rPr>
          <t xml:space="preserve">
areglar mañana esto por que esta mal lo que esta jalando lo del prestamo 
</t>
        </r>
      </text>
    </comment>
  </commentList>
</comments>
</file>

<file path=xl/comments10.xml><?xml version="1.0" encoding="utf-8"?>
<comments xmlns="http://schemas.openxmlformats.org/spreadsheetml/2006/main">
  <authors>
    <author>USER</author>
    <author>win10</author>
  </authors>
  <commentList>
    <comment ref="H17" authorId="0" shapeId="0">
      <text>
        <r>
          <rPr>
            <b/>
            <sz val="9"/>
            <color indexed="81"/>
            <rFont val="Tahoma"/>
            <family val="2"/>
          </rPr>
          <t>USER:</t>
        </r>
        <r>
          <rPr>
            <sz val="9"/>
            <color indexed="81"/>
            <rFont val="Tahoma"/>
            <family val="2"/>
          </rPr>
          <t xml:space="preserve">
PAGO DE ALQUILER DE LA MAQUINA PARA AREGLAR LAS CALLES </t>
        </r>
      </text>
    </comment>
    <comment ref="H19" authorId="0" shapeId="0">
      <text>
        <r>
          <rPr>
            <b/>
            <sz val="9"/>
            <color indexed="81"/>
            <rFont val="Tahoma"/>
            <family val="2"/>
          </rPr>
          <t>USER:</t>
        </r>
        <r>
          <rPr>
            <sz val="9"/>
            <color indexed="81"/>
            <rFont val="Tahoma"/>
            <family val="2"/>
          </rPr>
          <t xml:space="preserve">
para  pago del arquitecto 5% fodes
</t>
        </r>
      </text>
    </comment>
    <comment ref="H20" authorId="0" shapeId="0">
      <text>
        <r>
          <rPr>
            <b/>
            <sz val="9"/>
            <color indexed="81"/>
            <rFont val="Tahoma"/>
            <family val="2"/>
          </rPr>
          <t>USER:</t>
        </r>
        <r>
          <rPr>
            <sz val="9"/>
            <color indexed="81"/>
            <rFont val="Tahoma"/>
            <family val="2"/>
          </rPr>
          <t xml:space="preserve">
LAS COLAS DE LOS PROYECTOS 0401
</t>
        </r>
      </text>
    </comment>
    <comment ref="H21" authorId="0" shapeId="0">
      <text>
        <r>
          <rPr>
            <b/>
            <sz val="9"/>
            <color indexed="81"/>
            <rFont val="Tahoma"/>
            <family val="2"/>
          </rPr>
          <t>USER:</t>
        </r>
        <r>
          <rPr>
            <sz val="9"/>
            <color indexed="81"/>
            <rFont val="Tahoma"/>
            <family val="2"/>
          </rPr>
          <t xml:space="preserve">
para pago de carpetas 
</t>
        </r>
      </text>
    </comment>
    <comment ref="H23" authorId="1" shapeId="0">
      <text>
        <r>
          <rPr>
            <b/>
            <sz val="9"/>
            <color indexed="81"/>
            <rFont val="Tahoma"/>
            <family val="2"/>
          </rPr>
          <t>win10:</t>
        </r>
        <r>
          <rPr>
            <sz val="9"/>
            <color indexed="81"/>
            <rFont val="Tahoma"/>
            <family val="2"/>
          </rPr>
          <t xml:space="preserve">
en este codigo VIAL van lo de dos proyectos 
Mejoramiento de calle caserio el Mollejo canton taquillo $20.000
Mejoramiento de calle caserio taquillito canton santa marta $20.000</t>
        </r>
      </text>
    </comment>
    <comment ref="H24" authorId="1" shapeId="0">
      <text>
        <r>
          <rPr>
            <b/>
            <sz val="9"/>
            <color indexed="81"/>
            <rFont val="Tahoma"/>
            <family val="2"/>
          </rPr>
          <t>win10:</t>
        </r>
        <r>
          <rPr>
            <sz val="9"/>
            <color indexed="81"/>
            <rFont val="Tahoma"/>
            <family val="2"/>
          </rPr>
          <t xml:space="preserve">
aquí va el sobrante del proy, introduccion de agua potable el regadillo</t>
        </r>
      </text>
    </comment>
    <comment ref="H25" authorId="1" shapeId="0">
      <text>
        <r>
          <rPr>
            <b/>
            <sz val="9"/>
            <color indexed="81"/>
            <rFont val="Tahoma"/>
            <family val="2"/>
          </rPr>
          <t>win10:</t>
        </r>
        <r>
          <rPr>
            <sz val="9"/>
            <color indexed="81"/>
            <rFont val="Tahoma"/>
            <family val="2"/>
          </rPr>
          <t xml:space="preserve">
aquí va el sobrante del proy, y el sobrandte de 9,204.63 para poder cuadrar 
</t>
        </r>
      </text>
    </comment>
  </commentList>
</comments>
</file>

<file path=xl/comments11.xml><?xml version="1.0" encoding="utf-8"?>
<comments xmlns="http://schemas.openxmlformats.org/spreadsheetml/2006/main">
  <authors>
    <author>win10</author>
  </authors>
  <commentList>
    <comment ref="H12" authorId="0" shapeId="0">
      <text>
        <r>
          <rPr>
            <b/>
            <sz val="9"/>
            <color indexed="81"/>
            <rFont val="Tahoma"/>
            <family val="2"/>
          </rPr>
          <t>win10:</t>
        </r>
        <r>
          <rPr>
            <sz val="9"/>
            <color indexed="81"/>
            <rFont val="Tahoma"/>
            <family val="2"/>
          </rPr>
          <t xml:space="preserve">
INTERESES VA EN ESTE 
CODIGO</t>
        </r>
      </text>
    </comment>
    <comment ref="H13" authorId="0" shapeId="0">
      <text>
        <r>
          <rPr>
            <b/>
            <sz val="9"/>
            <color indexed="81"/>
            <rFont val="Tahoma"/>
            <family val="2"/>
          </rPr>
          <t>win10:</t>
        </r>
        <r>
          <rPr>
            <sz val="9"/>
            <color indexed="81"/>
            <rFont val="Tahoma"/>
            <family val="2"/>
          </rPr>
          <t xml:space="preserve">
CAPITAL
EN ESTE CODIGO</t>
        </r>
      </text>
    </comment>
  </commentList>
</comments>
</file>

<file path=xl/comments12.xml><?xml version="1.0" encoding="utf-8"?>
<comments xmlns="http://schemas.openxmlformats.org/spreadsheetml/2006/main">
  <authors>
    <author>win10</author>
  </authors>
  <commentList>
    <comment ref="C81" authorId="0" shapeId="0">
      <text>
        <r>
          <rPr>
            <b/>
            <sz val="9"/>
            <color indexed="81"/>
            <rFont val="Tahoma"/>
            <family val="2"/>
          </rPr>
          <t xml:space="preserve">win10:   AQUÍ VA EL SALDO DE LOS MESES QUE NO HEMOS RECIVIDO EL FODES DEL 25%, QUE SON JUNIO, JULIO, AGOSTO, SEPTIEMBRE, OCTUBRE Y NOVIEMBRE 2020.  </t>
        </r>
        <r>
          <rPr>
            <sz val="9"/>
            <color indexed="81"/>
            <rFont val="Tahoma"/>
            <family val="2"/>
          </rPr>
          <t xml:space="preserve">
</t>
        </r>
      </text>
    </comment>
    <comment ref="C82" authorId="0" shapeId="0">
      <text>
        <r>
          <rPr>
            <b/>
            <sz val="9"/>
            <color indexed="81"/>
            <rFont val="Tahoma"/>
            <family val="2"/>
          </rPr>
          <t>win10:  CUOTA PENDIENTE DE TRANSFERIR
AL 25% FODES QUE CORRESPONDE AL MES DE DICIEMBRE 2020</t>
        </r>
        <r>
          <rPr>
            <sz val="9"/>
            <color indexed="81"/>
            <rFont val="Tahoma"/>
            <family val="2"/>
          </rPr>
          <t xml:space="preserve">
</t>
        </r>
      </text>
    </comment>
    <comment ref="C86" authorId="0" shapeId="0">
      <text>
        <r>
          <rPr>
            <b/>
            <sz val="9"/>
            <color indexed="81"/>
            <rFont val="Tahoma"/>
            <family val="2"/>
          </rPr>
          <t>win10:</t>
        </r>
        <r>
          <rPr>
            <sz val="9"/>
            <color indexed="81"/>
            <rFont val="Tahoma"/>
            <family val="2"/>
          </rPr>
          <t xml:space="preserve">
 </t>
        </r>
        <r>
          <rPr>
            <b/>
            <i/>
            <sz val="9"/>
            <color indexed="81"/>
            <rFont val="Tahoma"/>
            <family val="2"/>
          </rPr>
          <t>AQUÍ VA EL SALDO DE LOS MESES QUE NO HEMOS RECIVIDO EL FODES DEL 75%, QUE SON JUNIO, JULIO, AGOSTO, SEPTIEMBRE, OCTUBRE Y NOVIEMBRE 2020.</t>
        </r>
        <r>
          <rPr>
            <sz val="9"/>
            <color indexed="81"/>
            <rFont val="Tahoma"/>
            <family val="2"/>
          </rPr>
          <t xml:space="preserve">  </t>
        </r>
      </text>
    </comment>
    <comment ref="C87" authorId="0" shapeId="0">
      <text>
        <r>
          <rPr>
            <b/>
            <sz val="9"/>
            <color indexed="81"/>
            <rFont val="Tahoma"/>
            <family val="2"/>
          </rPr>
          <t>win10:</t>
        </r>
        <r>
          <rPr>
            <sz val="9"/>
            <color indexed="81"/>
            <rFont val="Tahoma"/>
            <family val="2"/>
          </rPr>
          <t xml:space="preserve">
</t>
        </r>
        <r>
          <rPr>
            <b/>
            <i/>
            <sz val="9"/>
            <color indexed="81"/>
            <rFont val="Tahoma"/>
            <family val="2"/>
          </rPr>
          <t xml:space="preserve"> AQUÍ VA EL SALDO DE LOS MESES QUE NO HEMOS RECIVIDO EL FODES DEL 2%, FODES   QUE SON JUNIO, JULIO, AGOSTO, SEPTIEMBRE, OCTUBRE Y NOVIEMBRE 2020.  </t>
        </r>
      </text>
    </comment>
    <comment ref="C89" authorId="0" shapeId="0">
      <text>
        <r>
          <rPr>
            <b/>
            <sz val="9"/>
            <color indexed="81"/>
            <rFont val="Tahoma"/>
            <family val="2"/>
          </rPr>
          <t>win10:</t>
        </r>
        <r>
          <rPr>
            <sz val="9"/>
            <color indexed="81"/>
            <rFont val="Tahoma"/>
            <family val="2"/>
          </rPr>
          <t xml:space="preserve">
CUOTA PENDIENTE DE TRANSFERIR
AL 2% FODES QUE CORRESPONDE AL MES DE DICIEMBRE 2020</t>
        </r>
      </text>
    </comment>
    <comment ref="C91" authorId="0" shapeId="0">
      <text>
        <r>
          <rPr>
            <b/>
            <sz val="9"/>
            <color indexed="81"/>
            <rFont val="Tahoma"/>
            <family val="2"/>
          </rPr>
          <t>win10:</t>
        </r>
        <r>
          <rPr>
            <sz val="9"/>
            <color indexed="81"/>
            <rFont val="Tahoma"/>
            <family val="2"/>
          </rPr>
          <t xml:space="preserve">
</t>
        </r>
        <r>
          <rPr>
            <b/>
            <i/>
            <sz val="9"/>
            <color indexed="81"/>
            <rFont val="Tahoma"/>
            <family val="2"/>
          </rPr>
          <t xml:space="preserve"> CUOTA PENDIENTE DE TRANSFERIR
AL 75% FODES QUE CORRESPONDE AL MES DE DICIEMBRE 2020</t>
        </r>
      </text>
    </comment>
  </commentList>
</comments>
</file>

<file path=xl/comments13.xml><?xml version="1.0" encoding="utf-8"?>
<comments xmlns="http://schemas.openxmlformats.org/spreadsheetml/2006/main">
  <authors>
    <author>USER</author>
    <author>win10</author>
  </authors>
  <commentList>
    <comment ref="H10" authorId="0" shapeId="0">
      <text>
        <r>
          <rPr>
            <b/>
            <sz val="9"/>
            <color indexed="81"/>
            <rFont val="Tahoma"/>
            <family val="2"/>
          </rPr>
          <t>USER:</t>
        </r>
        <r>
          <rPr>
            <sz val="9"/>
            <color indexed="81"/>
            <rFont val="Tahoma"/>
            <family val="2"/>
          </rPr>
          <t xml:space="preserve">
AQUÍ AGREGUE EL SOBRANTE DE CAMINOS VECINALES 2018 QUE SON $6.380.34</t>
        </r>
      </text>
    </comment>
    <comment ref="H11" authorId="0" shapeId="0">
      <text>
        <r>
          <rPr>
            <b/>
            <sz val="9"/>
            <color indexed="81"/>
            <rFont val="Tahoma"/>
            <family val="2"/>
          </rPr>
          <t>USER:</t>
        </r>
        <r>
          <rPr>
            <sz val="9"/>
            <color indexed="81"/>
            <rFont val="Tahoma"/>
            <family val="2"/>
          </rPr>
          <t xml:space="preserve">
para proyecto concreteado pasaje la ronda vides</t>
        </r>
      </text>
    </comment>
    <comment ref="H23" authorId="1" shapeId="0">
      <text>
        <r>
          <rPr>
            <b/>
            <sz val="9"/>
            <color indexed="81"/>
            <rFont val="Tahoma"/>
            <family val="2"/>
          </rPr>
          <t>win10:</t>
        </r>
        <r>
          <rPr>
            <sz val="9"/>
            <color indexed="81"/>
            <rFont val="Tahoma"/>
            <family val="2"/>
          </rPr>
          <t xml:space="preserve">
aquí esta el proyecto, atencion a Emergencia por pandemia COVID-19
Aquí tambien va el sobrante de la cuenta, (decreto 608)
</t>
        </r>
      </text>
    </comment>
  </commentList>
</comments>
</file>

<file path=xl/comments14.xml><?xml version="1.0" encoding="utf-8"?>
<comments xmlns="http://schemas.openxmlformats.org/spreadsheetml/2006/main">
  <authors>
    <author>USER</author>
    <author>win10</author>
  </authors>
  <commentList>
    <comment ref="H62" authorId="0" shapeId="0">
      <text>
        <r>
          <rPr>
            <b/>
            <sz val="9"/>
            <color indexed="81"/>
            <rFont val="Tahoma"/>
            <family val="2"/>
          </rPr>
          <t>USER:</t>
        </r>
        <r>
          <rPr>
            <sz val="9"/>
            <color indexed="81"/>
            <rFont val="Tahoma"/>
            <family val="2"/>
          </rPr>
          <t xml:space="preserve">
AQUÍ VA LOS 12 MESES INCLUIDO DEL AÑO Y DOS DIETA DE JUNIO Y DOS DIETAS MAS EN DICIEMBRE</t>
        </r>
      </text>
    </comment>
    <comment ref="J71" authorId="1" shapeId="0">
      <text>
        <r>
          <rPr>
            <b/>
            <sz val="9"/>
            <color indexed="81"/>
            <rFont val="Tahoma"/>
            <family val="2"/>
          </rPr>
          <t>win10:</t>
        </r>
        <r>
          <rPr>
            <sz val="9"/>
            <color indexed="81"/>
            <rFont val="Tahoma"/>
            <family val="2"/>
          </rPr>
          <t xml:space="preserve">
RECTIFICAR FORMULA LA $312.00 ESA SE QUEDARA EN LA 0102 Y LA OTRA DE $460.00 SE QUEDARA EN LA 0202 SEGÚN LA BONIFICACIÓN POR QUE LAS DOS ESTAN EN LA 0102</t>
        </r>
      </text>
    </comment>
    <comment ref="N88" authorId="0" shapeId="0">
      <text>
        <r>
          <rPr>
            <b/>
            <sz val="9"/>
            <color indexed="81"/>
            <rFont val="Tahoma"/>
            <family val="2"/>
          </rPr>
          <t>USER:</t>
        </r>
        <r>
          <rPr>
            <sz val="9"/>
            <color indexed="81"/>
            <rFont val="Tahoma"/>
            <family val="2"/>
          </rPr>
          <t xml:space="preserve">
SE LE ILIMINARA LA FORMULA POR QUE ME ESTA AUMENTANDO UN CENTAVO MAS EN EL PRESUPUESTO $1.510.79, ESTO ES LO CORRECTO EN LA FORMULA
FORMULA =K19/12*3</t>
        </r>
      </text>
    </comment>
    <comment ref="N89" authorId="0" shapeId="0">
      <text>
        <r>
          <rPr>
            <b/>
            <sz val="9"/>
            <color indexed="81"/>
            <rFont val="Tahoma"/>
            <family val="2"/>
          </rPr>
          <t>USER:</t>
        </r>
        <r>
          <rPr>
            <sz val="9"/>
            <color indexed="81"/>
            <rFont val="Tahoma"/>
            <family val="2"/>
          </rPr>
          <t xml:space="preserve">
SE LE ILIMINARA LA FORMULA POR QUE ME ESTA AUMENTANDO UN CENTAVO MAS EN EL PRESUPUESTO $1.510.79, ESTO ES LO CORRECTO EN LA FORMULA
FORMULA =K22/12*3</t>
        </r>
      </text>
    </comment>
  </commentList>
</comments>
</file>

<file path=xl/comments15.xml><?xml version="1.0" encoding="utf-8"?>
<comments xmlns="http://schemas.openxmlformats.org/spreadsheetml/2006/main">
  <authors>
    <author>USER</author>
  </authors>
  <commentList>
    <comment ref="C8" authorId="0" shapeId="0">
      <text>
        <r>
          <rPr>
            <b/>
            <sz val="9"/>
            <color indexed="81"/>
            <rFont val="Tahoma"/>
            <family val="2"/>
          </rPr>
          <t>USER:</t>
        </r>
        <r>
          <rPr>
            <sz val="9"/>
            <color indexed="81"/>
            <rFont val="Tahoma"/>
            <family val="2"/>
          </rPr>
          <t xml:space="preserve">
SUELDO DE LA LINEA 01-01, PARA PAGAR LO DE 9 MESES </t>
        </r>
      </text>
    </comment>
    <comment ref="D8" authorId="0" shapeId="0">
      <text>
        <r>
          <rPr>
            <b/>
            <sz val="9"/>
            <color indexed="81"/>
            <rFont val="Tahoma"/>
            <family val="2"/>
          </rPr>
          <t>USER:</t>
        </r>
        <r>
          <rPr>
            <sz val="9"/>
            <color indexed="81"/>
            <rFont val="Tahoma"/>
            <family val="2"/>
          </rPr>
          <t xml:space="preserve">
SUELDO DE LA LINEA 01-02, PARA PAGAR 9 MESES</t>
        </r>
      </text>
    </comment>
    <comment ref="E8" authorId="0" shapeId="0">
      <text>
        <r>
          <rPr>
            <b/>
            <sz val="9"/>
            <color indexed="81"/>
            <rFont val="Tahoma"/>
            <family val="2"/>
          </rPr>
          <t>USER:</t>
        </r>
        <r>
          <rPr>
            <sz val="9"/>
            <color indexed="81"/>
            <rFont val="Tahoma"/>
            <family val="2"/>
          </rPr>
          <t xml:space="preserve">
SUELDO DE LA LINEA 02-01, PARA PAGAR  9 MESES </t>
        </r>
      </text>
    </comment>
    <comment ref="F8" authorId="0" shapeId="0">
      <text>
        <r>
          <rPr>
            <b/>
            <sz val="9"/>
            <color indexed="81"/>
            <rFont val="Tahoma"/>
            <family val="2"/>
          </rPr>
          <t>USER
SUELDO DE LA LINEA 02-02, PAGA PAGAR EN 9 MESES</t>
        </r>
      </text>
    </comment>
    <comment ref="C11" authorId="0" shapeId="0">
      <text>
        <r>
          <rPr>
            <b/>
            <sz val="9"/>
            <color indexed="81"/>
            <rFont val="Tahoma"/>
            <family val="2"/>
          </rPr>
          <t xml:space="preserve">USER:
SUELDO DEL AUDITOR DE LA 01-01, PAGO EN 9 MESES </t>
        </r>
        <r>
          <rPr>
            <sz val="9"/>
            <color indexed="81"/>
            <rFont val="Tahoma"/>
            <family val="2"/>
          </rPr>
          <t xml:space="preserve">
</t>
        </r>
      </text>
    </comment>
    <comment ref="F11" authorId="0" shapeId="0">
      <text>
        <r>
          <rPr>
            <b/>
            <sz val="9"/>
            <color indexed="81"/>
            <rFont val="Tahoma"/>
            <family val="2"/>
          </rPr>
          <t xml:space="preserve">USER:
SUELDO DE LOS DE CONTRATO DE LA LINEA 02-02 PAGO DE 9 MESES </t>
        </r>
        <r>
          <rPr>
            <sz val="9"/>
            <color indexed="81"/>
            <rFont val="Tahoma"/>
            <family val="2"/>
          </rPr>
          <t xml:space="preserve">
</t>
        </r>
      </text>
    </comment>
    <comment ref="C22" authorId="0" shapeId="0">
      <text>
        <r>
          <rPr>
            <b/>
            <sz val="9"/>
            <color indexed="81"/>
            <rFont val="Tahoma"/>
            <family val="2"/>
          </rPr>
          <t>USER:</t>
        </r>
        <r>
          <rPr>
            <sz val="9"/>
            <color indexed="81"/>
            <rFont val="Tahoma"/>
            <family val="2"/>
          </rPr>
          <t xml:space="preserve">
SE PAGRA DE FONDOS PROPIOS 2  MESES</t>
        </r>
      </text>
    </comment>
    <comment ref="D22" authorId="0" shapeId="0">
      <text>
        <r>
          <rPr>
            <b/>
            <sz val="9"/>
            <color indexed="81"/>
            <rFont val="Tahoma"/>
            <family val="2"/>
          </rPr>
          <t>USER:</t>
        </r>
        <r>
          <rPr>
            <sz val="9"/>
            <color indexed="81"/>
            <rFont val="Tahoma"/>
            <family val="2"/>
          </rPr>
          <t xml:space="preserve">
SE PAGARA 2 MESES DE FONDOS PROPIOS</t>
        </r>
      </text>
    </comment>
    <comment ref="E22" authorId="0" shapeId="0">
      <text>
        <r>
          <rPr>
            <b/>
            <sz val="9"/>
            <color indexed="81"/>
            <rFont val="Tahoma"/>
            <family val="2"/>
          </rPr>
          <t>USER:</t>
        </r>
        <r>
          <rPr>
            <sz val="9"/>
            <color indexed="81"/>
            <rFont val="Tahoma"/>
            <family val="2"/>
          </rPr>
          <t xml:space="preserve">
SE PAGARA DE FONDOS PROPIOS 2  MESES </t>
        </r>
      </text>
    </comment>
    <comment ref="F22" authorId="0" shapeId="0">
      <text>
        <r>
          <rPr>
            <b/>
            <sz val="9"/>
            <color indexed="81"/>
            <rFont val="Tahoma"/>
            <family val="2"/>
          </rPr>
          <t>USER:</t>
        </r>
        <r>
          <rPr>
            <sz val="9"/>
            <color indexed="81"/>
            <rFont val="Tahoma"/>
            <family val="2"/>
          </rPr>
          <t xml:space="preserve">
SE PAGARA DE FONDOS PROPIOS 2 MESES</t>
        </r>
      </text>
    </comment>
  </commentList>
</comments>
</file>

<file path=xl/comments16.xml><?xml version="1.0" encoding="utf-8"?>
<comments xmlns="http://schemas.openxmlformats.org/spreadsheetml/2006/main">
  <authors>
    <author>win10</author>
    <author>USER</author>
  </authors>
  <commentList>
    <comment ref="M7" authorId="0" shapeId="0">
      <text>
        <r>
          <rPr>
            <b/>
            <sz val="9"/>
            <color indexed="81"/>
            <rFont val="Tahoma"/>
            <family val="2"/>
          </rPr>
          <t>win10:</t>
        </r>
        <r>
          <rPr>
            <sz val="9"/>
            <color indexed="81"/>
            <rFont val="Tahoma"/>
            <family val="2"/>
          </rPr>
          <t xml:space="preserve">
este proyecto ya no seva hacer por que los fondos de este proyecto se traslararan a un nuevo proyecyo que no estava en presuesto y sellama FORTALECIMIENTO A LA PRODUCTIVAD AGRICOLA DEL MUNICIPIO DE CHILTIUPAN 2020</t>
        </r>
      </text>
    </comment>
    <comment ref="J12" authorId="1" shapeId="0">
      <text>
        <r>
          <rPr>
            <b/>
            <sz val="9"/>
            <color indexed="81"/>
            <rFont val="Tahoma"/>
            <family val="2"/>
          </rPr>
          <t>USER:</t>
        </r>
        <r>
          <rPr>
            <sz val="9"/>
            <color indexed="81"/>
            <rFont val="Tahoma"/>
            <family val="2"/>
          </rPr>
          <t xml:space="preserve">
</t>
        </r>
      </text>
    </comment>
    <comment ref="M71" authorId="0" shapeId="0">
      <text>
        <r>
          <rPr>
            <b/>
            <sz val="9"/>
            <color indexed="81"/>
            <rFont val="Tahoma"/>
            <family val="2"/>
          </rPr>
          <t>win10:</t>
        </r>
        <r>
          <rPr>
            <sz val="9"/>
            <color indexed="81"/>
            <rFont val="Tahoma"/>
            <family val="2"/>
          </rPr>
          <t xml:space="preserve">
este proyecto ya no seva hacer por que el concejo acordo el trasladar los fondos de este proy, para el nuevo proyecto, </t>
        </r>
        <r>
          <rPr>
            <b/>
            <sz val="9"/>
            <color indexed="81"/>
            <rFont val="Tahoma"/>
            <family val="2"/>
          </rPr>
          <t xml:space="preserve">ATENCIÓN Y PREVENCIÓN A EMERGENCIA POR PANDEMIA COVID-19 </t>
        </r>
      </text>
    </comment>
    <comment ref="M83" authorId="0" shapeId="0">
      <text>
        <r>
          <rPr>
            <b/>
            <sz val="9"/>
            <color indexed="81"/>
            <rFont val="Tahoma"/>
            <charset val="1"/>
          </rPr>
          <t>win10:</t>
        </r>
        <r>
          <rPr>
            <sz val="9"/>
            <color indexed="81"/>
            <rFont val="Tahoma"/>
            <charset val="1"/>
          </rPr>
          <t xml:space="preserve">
aumentar 20.000 mas </t>
        </r>
      </text>
    </comment>
    <comment ref="M103" authorId="0" shapeId="0">
      <text>
        <r>
          <rPr>
            <b/>
            <sz val="9"/>
            <color indexed="81"/>
            <rFont val="Tahoma"/>
            <family val="2"/>
          </rPr>
          <t>win10:</t>
        </r>
        <r>
          <rPr>
            <sz val="9"/>
            <color indexed="81"/>
            <rFont val="Tahoma"/>
            <family val="2"/>
          </rPr>
          <t xml:space="preserve">
el proyecto ya no se va ejecutar porque los fondos pasaran a un nuevo proyecto que el concejo acordo </t>
        </r>
        <r>
          <rPr>
            <b/>
            <sz val="9"/>
            <color indexed="81"/>
            <rFont val="Tahoma"/>
            <family val="2"/>
          </rPr>
          <t>ATENCIÓN A EMERGENCIA POR PANDEMIA COVID-19</t>
        </r>
      </text>
    </comment>
    <comment ref="J121" authorId="0" shapeId="0">
      <text>
        <r>
          <rPr>
            <b/>
            <sz val="9"/>
            <color indexed="81"/>
            <rFont val="Tahoma"/>
            <family val="2"/>
          </rPr>
          <t>win10:</t>
        </r>
        <r>
          <rPr>
            <sz val="9"/>
            <color indexed="81"/>
            <rFont val="Tahoma"/>
            <family val="2"/>
          </rPr>
          <t xml:space="preserve">
tenia 25.000 pero le recorte 5.000.00
</t>
        </r>
      </text>
    </comment>
    <comment ref="M122" authorId="0" shapeId="0">
      <text>
        <r>
          <rPr>
            <b/>
            <sz val="9"/>
            <color indexed="81"/>
            <rFont val="Tahoma"/>
            <family val="2"/>
          </rPr>
          <t>win10:</t>
        </r>
        <r>
          <rPr>
            <sz val="9"/>
            <color indexed="81"/>
            <rFont val="Tahoma"/>
            <family val="2"/>
          </rPr>
          <t xml:space="preserve">
este proyecto ya no seva hacer por que los fondos de este proyecto se traslararan a un nuevo proyecyo que no estava en presuesto y sellama FORTALECIMIENTO A LA PRODUCTIVAD AGRICOLA DEL MUNICIPIO DE CHILTIUPAN 2020</t>
        </r>
      </text>
    </comment>
    <comment ref="M124" authorId="0" shapeId="0">
      <text>
        <r>
          <rPr>
            <b/>
            <sz val="9"/>
            <color indexed="81"/>
            <rFont val="Tahoma"/>
            <family val="2"/>
          </rPr>
          <t>win10:</t>
        </r>
        <r>
          <rPr>
            <sz val="9"/>
            <color indexed="81"/>
            <rFont val="Tahoma"/>
            <family val="2"/>
          </rPr>
          <t xml:space="preserve">
el proyecto ya no se va ejecutar porque los fondos pasaran a un nuevo proyecto que el concejo acordo ATENCIÓN A EMERGENCIA POR PANDEMIA COVID-19</t>
        </r>
      </text>
    </comment>
    <comment ref="M126" authorId="0" shapeId="0">
      <text>
        <r>
          <rPr>
            <b/>
            <sz val="9"/>
            <color indexed="81"/>
            <rFont val="Tahoma"/>
            <family val="2"/>
          </rPr>
          <t>win10:</t>
        </r>
        <r>
          <rPr>
            <sz val="9"/>
            <color indexed="81"/>
            <rFont val="Tahoma"/>
            <family val="2"/>
          </rPr>
          <t xml:space="preserve">
el proyecto ya no se va ejecutar porque los fondos pasaran a un nuevo proyecto que el concejo acordo ATENCIÓN A EMERGENCIA POR PANDEMIA COVID-19</t>
        </r>
      </text>
    </comment>
    <comment ref="M137" authorId="0" shapeId="0">
      <text>
        <r>
          <rPr>
            <b/>
            <sz val="9"/>
            <color indexed="81"/>
            <rFont val="Tahoma"/>
            <family val="2"/>
          </rPr>
          <t>win10:</t>
        </r>
        <r>
          <rPr>
            <sz val="9"/>
            <color indexed="81"/>
            <rFont val="Tahoma"/>
            <family val="2"/>
          </rPr>
          <t xml:space="preserve">
el proyecto ya no se va ejecutar porque los fondos pasaran a un nuevo proyecto que el concejo acordo ATENCIÓN A EMERGENCIA POR PANDEMIA COVID-19</t>
        </r>
      </text>
    </comment>
    <comment ref="N142" authorId="0" shapeId="0">
      <text>
        <r>
          <rPr>
            <b/>
            <sz val="9"/>
            <color indexed="81"/>
            <rFont val="Tahoma"/>
            <family val="2"/>
          </rPr>
          <t>win10:</t>
        </r>
        <r>
          <rPr>
            <sz val="9"/>
            <color indexed="81"/>
            <rFont val="Tahoma"/>
            <family val="2"/>
          </rPr>
          <t xml:space="preserve">
DEL CONCRETEADO LA RONDA BARRIO SANTO DOMINGO LE QUITARON $8,500.00 QUEDANDOLE $6,500.00 DOBRANTE</t>
        </r>
      </text>
    </comment>
    <comment ref="J159" authorId="1" shapeId="0">
      <text>
        <r>
          <rPr>
            <b/>
            <sz val="9"/>
            <color indexed="81"/>
            <rFont val="Tahoma"/>
            <family val="2"/>
          </rPr>
          <t>USER:</t>
        </r>
        <r>
          <rPr>
            <sz val="9"/>
            <color indexed="81"/>
            <rFont val="Tahoma"/>
            <family val="2"/>
          </rPr>
          <t xml:space="preserve">
PAGO DE  CAPITAL E INTERESES DE LOS PRESTAMOS AL BCO.HIPOT. Mas   comision de ISDEM y comision por otorgamiento de prestamo en B.H.</t>
        </r>
      </text>
    </comment>
    <comment ref="J163" authorId="1" shapeId="0">
      <text>
        <r>
          <rPr>
            <b/>
            <sz val="9"/>
            <color indexed="81"/>
            <rFont val="Tahoma"/>
            <family val="2"/>
          </rPr>
          <t>USER:</t>
        </r>
        <r>
          <rPr>
            <sz val="9"/>
            <color indexed="81"/>
            <rFont val="Tahoma"/>
            <family val="2"/>
          </rPr>
          <t xml:space="preserve">
posible asignacion del 75% fodes 2019, mas asignacion del mes de diciembre, 2020 que no se ejecuto en el ejercio.</t>
        </r>
      </text>
    </comment>
    <comment ref="L165" authorId="0" shapeId="0">
      <text>
        <r>
          <rPr>
            <b/>
            <sz val="9"/>
            <color indexed="81"/>
            <rFont val="Tahoma"/>
            <family val="2"/>
          </rPr>
          <t>win10:</t>
        </r>
        <r>
          <rPr>
            <sz val="9"/>
            <color indexed="81"/>
            <rFont val="Tahoma"/>
            <family val="2"/>
          </rPr>
          <t xml:space="preserve">
ESTO HAY Q AUMENTAR MAS EN PROYECTO
</t>
        </r>
      </text>
    </comment>
  </commentList>
</comments>
</file>

<file path=xl/comments17.xml><?xml version="1.0" encoding="utf-8"?>
<comments xmlns="http://schemas.openxmlformats.org/spreadsheetml/2006/main">
  <authors>
    <author>USER</author>
  </authors>
  <commentList>
    <comment ref="C6" authorId="0" shapeId="0">
      <text>
        <r>
          <rPr>
            <b/>
            <sz val="9"/>
            <color indexed="81"/>
            <rFont val="Tahoma"/>
            <family val="2"/>
          </rPr>
          <t>USER:</t>
        </r>
        <r>
          <rPr>
            <sz val="9"/>
            <color indexed="81"/>
            <rFont val="Tahoma"/>
            <family val="2"/>
          </rPr>
          <t xml:space="preserve">
pago de bibliotecario,coco y julupe, al codigo, 56304</t>
        </r>
      </text>
    </comment>
    <comment ref="C25" authorId="0" shapeId="0">
      <text>
        <r>
          <rPr>
            <b/>
            <sz val="9"/>
            <color indexed="81"/>
            <rFont val="Tahoma"/>
            <family val="2"/>
          </rPr>
          <t>USER:</t>
        </r>
        <r>
          <rPr>
            <sz val="9"/>
            <color indexed="81"/>
            <rFont val="Tahoma"/>
            <family val="2"/>
          </rPr>
          <t xml:space="preserve">
pago de arendamiento de maquina que emparejo la cancha taquillo codigo 54316</t>
        </r>
      </text>
    </comment>
    <comment ref="G25" authorId="0" shapeId="0">
      <text>
        <r>
          <rPr>
            <b/>
            <sz val="9"/>
            <color indexed="81"/>
            <rFont val="Tahoma"/>
            <family val="2"/>
          </rPr>
          <t>USER:</t>
        </r>
        <r>
          <rPr>
            <sz val="9"/>
            <color indexed="81"/>
            <rFont val="Tahoma"/>
            <family val="2"/>
          </rPr>
          <t xml:space="preserve">
se reformo para umentar
a mantenimiento de infraestructura de la cancha de la plaza public</t>
        </r>
      </text>
    </comment>
  </commentList>
</comments>
</file>

<file path=xl/comments18.xml><?xml version="1.0" encoding="utf-8"?>
<comments xmlns="http://schemas.openxmlformats.org/spreadsheetml/2006/main">
  <authors>
    <author>USER</author>
    <author>Chiltuipan</author>
  </authors>
  <commentList>
    <comment ref="J48" authorId="0" shapeId="0">
      <text>
        <r>
          <rPr>
            <b/>
            <sz val="9"/>
            <color indexed="81"/>
            <rFont val="Tahoma"/>
            <family val="2"/>
          </rPr>
          <t>USER:</t>
        </r>
        <r>
          <rPr>
            <sz val="9"/>
            <color indexed="81"/>
            <rFont val="Tahoma"/>
            <family val="2"/>
          </rPr>
          <t xml:space="preserve">
2.000, mas para recolector de basura
500 para metalicos y 1.500, para combustible</t>
        </r>
      </text>
    </comment>
    <comment ref="F65" authorId="1" shapeId="0">
      <text>
        <r>
          <rPr>
            <b/>
            <sz val="9"/>
            <color indexed="81"/>
            <rFont val="Tahoma"/>
            <family val="2"/>
          </rPr>
          <t>Chiltuipan:</t>
        </r>
        <r>
          <rPr>
            <sz val="9"/>
            <color indexed="81"/>
            <rFont val="Tahoma"/>
            <family val="2"/>
          </rPr>
          <t xml:space="preserve">
SALARIO DE LOS RECOLECTORES DE BASURA ES $123.00 POR PERSONA Y EN LOS CUATRO SALE, $492,00 POR MES</t>
        </r>
      </text>
    </comment>
    <comment ref="H119" authorId="0" shapeId="0">
      <text>
        <r>
          <rPr>
            <b/>
            <sz val="9"/>
            <color indexed="81"/>
            <rFont val="Tahoma"/>
            <family val="2"/>
          </rPr>
          <t>USER:</t>
        </r>
        <r>
          <rPr>
            <sz val="9"/>
            <color indexed="81"/>
            <rFont val="Tahoma"/>
            <family val="2"/>
          </rPr>
          <t xml:space="preserve">
PARA COMPRA DE DETERGENTE DE LIMPIEZA Y PAPELES DE ORNATO</t>
        </r>
      </text>
    </comment>
    <comment ref="H180" authorId="0" shapeId="0">
      <text>
        <r>
          <rPr>
            <b/>
            <sz val="9"/>
            <color indexed="81"/>
            <rFont val="Tahoma"/>
            <family val="2"/>
          </rPr>
          <t>USER:</t>
        </r>
        <r>
          <rPr>
            <sz val="9"/>
            <color indexed="81"/>
            <rFont val="Tahoma"/>
            <family val="2"/>
          </rPr>
          <t xml:space="preserve">
SEGÚN LA LEY DE TRABAJO ES PAGAR A $ 8.17, DOLARES</t>
        </r>
      </text>
    </comment>
    <comment ref="H222" authorId="0" shapeId="0">
      <text>
        <r>
          <rPr>
            <b/>
            <sz val="9"/>
            <color indexed="81"/>
            <rFont val="Tahoma"/>
            <family val="2"/>
          </rPr>
          <t>USER:</t>
        </r>
        <r>
          <rPr>
            <sz val="9"/>
            <color indexed="81"/>
            <rFont val="Tahoma"/>
            <family val="2"/>
          </rPr>
          <t xml:space="preserve">
municiones, cascos, cartuchos, herramientas de campaña y afines, etc. y equipo destinado a la defensa de la soberanía nacional, mantenimiento del orden público y seguridad </t>
        </r>
      </text>
    </comment>
    <comment ref="H223" authorId="0" shapeId="0">
      <text>
        <r>
          <rPr>
            <b/>
            <sz val="9"/>
            <color indexed="81"/>
            <rFont val="Tahoma"/>
            <family val="2"/>
          </rPr>
          <t>USER:</t>
        </r>
        <r>
          <rPr>
            <sz val="9"/>
            <color indexed="81"/>
            <rFont val="Tahoma"/>
            <family val="2"/>
          </rPr>
          <t xml:space="preserve">
aquí agrego lo que son compra de trofeos y pelotas y para otras actividases prevencion contra la violencia </t>
        </r>
      </text>
    </comment>
    <comment ref="A238" authorId="0" shapeId="0">
      <text>
        <r>
          <rPr>
            <b/>
            <sz val="9"/>
            <color indexed="81"/>
            <rFont val="Tahoma"/>
            <family val="2"/>
          </rPr>
          <t>USER:</t>
        </r>
        <r>
          <rPr>
            <sz val="9"/>
            <color indexed="81"/>
            <rFont val="Tahoma"/>
            <family val="2"/>
          </rPr>
          <t xml:space="preserve">
JOSE ALCIDES GUERRA</t>
        </r>
      </text>
    </comment>
    <comment ref="A239" authorId="0" shapeId="0">
      <text>
        <r>
          <rPr>
            <b/>
            <sz val="9"/>
            <color indexed="81"/>
            <rFont val="Tahoma"/>
            <family val="2"/>
          </rPr>
          <t>USER:</t>
        </r>
        <r>
          <rPr>
            <sz val="9"/>
            <color indexed="81"/>
            <rFont val="Tahoma"/>
            <family val="2"/>
          </rPr>
          <t xml:space="preserve">
ARNOLDO ROGELIO CLARA</t>
        </r>
      </text>
    </comment>
    <comment ref="A240" authorId="0" shapeId="0">
      <text>
        <r>
          <rPr>
            <b/>
            <sz val="9"/>
            <color indexed="81"/>
            <rFont val="Tahoma"/>
            <family val="2"/>
          </rPr>
          <t>USER:</t>
        </r>
        <r>
          <rPr>
            <sz val="9"/>
            <color indexed="81"/>
            <rFont val="Tahoma"/>
            <family val="2"/>
          </rPr>
          <t xml:space="preserve">
FREDIS MENJIVAR ORELLANA</t>
        </r>
      </text>
    </comment>
    <comment ref="A241" authorId="0" shapeId="0">
      <text>
        <r>
          <rPr>
            <b/>
            <sz val="9"/>
            <color indexed="81"/>
            <rFont val="Tahoma"/>
            <family val="2"/>
          </rPr>
          <t>USER:</t>
        </r>
        <r>
          <rPr>
            <sz val="9"/>
            <color indexed="81"/>
            <rFont val="Tahoma"/>
            <family val="2"/>
          </rPr>
          <t xml:space="preserve">
ARMANDO ESCOBAR ARIZA </t>
        </r>
      </text>
    </comment>
    <comment ref="A242" authorId="0" shapeId="0">
      <text>
        <r>
          <rPr>
            <b/>
            <sz val="9"/>
            <color indexed="81"/>
            <rFont val="Tahoma"/>
            <family val="2"/>
          </rPr>
          <t>USER:</t>
        </r>
        <r>
          <rPr>
            <sz val="9"/>
            <color indexed="81"/>
            <rFont val="Tahoma"/>
            <family val="2"/>
          </rPr>
          <t xml:space="preserve">
JOSE RICARDO ALAS RENDEROS </t>
        </r>
      </text>
    </comment>
    <comment ref="A243" authorId="0" shapeId="0">
      <text>
        <r>
          <rPr>
            <b/>
            <sz val="9"/>
            <color indexed="81"/>
            <rFont val="Tahoma"/>
            <family val="2"/>
          </rPr>
          <t>USER:</t>
        </r>
        <r>
          <rPr>
            <sz val="9"/>
            <color indexed="81"/>
            <rFont val="Tahoma"/>
            <family val="2"/>
          </rPr>
          <t xml:space="preserve">
EVARISTO BADIO OLIVA</t>
        </r>
      </text>
    </comment>
    <comment ref="A248" authorId="0" shapeId="0">
      <text>
        <r>
          <rPr>
            <b/>
            <sz val="9"/>
            <color indexed="81"/>
            <rFont val="Tahoma"/>
            <family val="2"/>
          </rPr>
          <t>USER:</t>
        </r>
        <r>
          <rPr>
            <sz val="9"/>
            <color indexed="81"/>
            <rFont val="Tahoma"/>
            <family val="2"/>
          </rPr>
          <t xml:space="preserve">
EVARISTO BADIO OLIVA</t>
        </r>
      </text>
    </comment>
    <comment ref="A249" authorId="0" shapeId="0">
      <text>
        <r>
          <rPr>
            <b/>
            <sz val="9"/>
            <color indexed="81"/>
            <rFont val="Tahoma"/>
            <family val="2"/>
          </rPr>
          <t>USER:</t>
        </r>
        <r>
          <rPr>
            <sz val="9"/>
            <color indexed="81"/>
            <rFont val="Tahoma"/>
            <family val="2"/>
          </rPr>
          <t xml:space="preserve">
EVARISTO BADIO OLIVA</t>
        </r>
      </text>
    </comment>
    <comment ref="A250" authorId="0" shapeId="0">
      <text>
        <r>
          <rPr>
            <b/>
            <sz val="9"/>
            <color indexed="81"/>
            <rFont val="Tahoma"/>
            <family val="2"/>
          </rPr>
          <t>USER:</t>
        </r>
        <r>
          <rPr>
            <sz val="9"/>
            <color indexed="81"/>
            <rFont val="Tahoma"/>
            <family val="2"/>
          </rPr>
          <t xml:space="preserve">
EVARISTO BADIO OLIVA</t>
        </r>
      </text>
    </comment>
    <comment ref="A251" authorId="0" shapeId="0">
      <text>
        <r>
          <rPr>
            <b/>
            <sz val="9"/>
            <color indexed="81"/>
            <rFont val="Tahoma"/>
            <family val="2"/>
          </rPr>
          <t>USER:</t>
        </r>
        <r>
          <rPr>
            <sz val="9"/>
            <color indexed="81"/>
            <rFont val="Tahoma"/>
            <family val="2"/>
          </rPr>
          <t xml:space="preserve">
EVARISTO BADIO OLIVA</t>
        </r>
      </text>
    </comment>
    <comment ref="A252" authorId="0" shapeId="0">
      <text>
        <r>
          <rPr>
            <b/>
            <sz val="9"/>
            <color indexed="81"/>
            <rFont val="Tahoma"/>
            <family val="2"/>
          </rPr>
          <t>USER:</t>
        </r>
        <r>
          <rPr>
            <sz val="9"/>
            <color indexed="81"/>
            <rFont val="Tahoma"/>
            <family val="2"/>
          </rPr>
          <t xml:space="preserve">
EVARISTO BADIO OLIVA</t>
        </r>
      </text>
    </comment>
    <comment ref="A253" authorId="0" shapeId="0">
      <text>
        <r>
          <rPr>
            <b/>
            <sz val="9"/>
            <color indexed="81"/>
            <rFont val="Tahoma"/>
            <family val="2"/>
          </rPr>
          <t>USER:</t>
        </r>
        <r>
          <rPr>
            <sz val="9"/>
            <color indexed="81"/>
            <rFont val="Tahoma"/>
            <family val="2"/>
          </rPr>
          <t xml:space="preserve">
EVARISTO BADIO OLIVA</t>
        </r>
      </text>
    </comment>
    <comment ref="G496" authorId="0" shapeId="0">
      <text>
        <r>
          <rPr>
            <b/>
            <sz val="9"/>
            <color indexed="81"/>
            <rFont val="Tahoma"/>
            <family val="2"/>
          </rPr>
          <t>USER:</t>
        </r>
        <r>
          <rPr>
            <sz val="9"/>
            <color indexed="81"/>
            <rFont val="Tahoma"/>
            <family val="2"/>
          </rPr>
          <t xml:space="preserve">
aqui va la compra de semillas para las ortalizas de las escuelas 
 </t>
        </r>
      </text>
    </comment>
    <comment ref="G498" authorId="0" shapeId="0">
      <text>
        <r>
          <rPr>
            <b/>
            <sz val="9"/>
            <color indexed="81"/>
            <rFont val="Tahoma"/>
            <family val="2"/>
          </rPr>
          <t>USER:</t>
        </r>
        <r>
          <rPr>
            <sz val="9"/>
            <color indexed="81"/>
            <rFont val="Tahoma"/>
            <family val="2"/>
          </rPr>
          <t xml:space="preserve">
aquí va las compra de benenos para fumigar las ortalizas de la escuela 
aquí va tambien lo que es compra de mangueras pegamento o otras 
aquí va tambien si compran bosas plasticas para llenar tierra
</t>
        </r>
      </text>
    </comment>
    <comment ref="G500" authorId="0" shapeId="0">
      <text>
        <r>
          <rPr>
            <b/>
            <sz val="9"/>
            <color indexed="81"/>
            <rFont val="Tahoma"/>
            <family val="2"/>
          </rPr>
          <t>USER:</t>
        </r>
        <r>
          <rPr>
            <sz val="9"/>
            <color indexed="81"/>
            <rFont val="Tahoma"/>
            <family val="2"/>
          </rPr>
          <t xml:space="preserve">
aquí va la compra de tierra organica para las ortalizas de las escuelas </t>
        </r>
      </text>
    </comment>
  </commentList>
</comments>
</file>

<file path=xl/comments2.xml><?xml version="1.0" encoding="utf-8"?>
<comments xmlns="http://schemas.openxmlformats.org/spreadsheetml/2006/main">
  <authors>
    <author>win10</author>
    <author>DAGOBERTO</author>
    <author>USER</author>
  </authors>
  <commentList>
    <comment ref="H39" authorId="0" shapeId="0">
      <text>
        <r>
          <rPr>
            <b/>
            <sz val="9"/>
            <color indexed="81"/>
            <rFont val="Tahoma"/>
            <family val="2"/>
          </rPr>
          <t>win10:</t>
        </r>
        <r>
          <rPr>
            <sz val="9"/>
            <color indexed="81"/>
            <rFont val="Tahoma"/>
            <family val="2"/>
          </rPr>
          <t xml:space="preserve">
PROVISION DE DICIEMBRE 2019
</t>
        </r>
      </text>
    </comment>
    <comment ref="C41" authorId="1" shapeId="0">
      <text>
        <r>
          <rPr>
            <sz val="8"/>
            <color indexed="81"/>
            <rFont val="Tahoma"/>
            <family val="2"/>
          </rPr>
          <t xml:space="preserve">JORGE VIDES
 $364,603.32,Asignacion  de 2020, 25% FODES
</t>
        </r>
      </text>
    </comment>
    <comment ref="D42" authorId="1" shapeId="0">
      <text>
        <r>
          <rPr>
            <b/>
            <sz val="8"/>
            <color indexed="81"/>
            <rFont val="Tahoma"/>
            <family val="2"/>
          </rPr>
          <t>DAGOBERTO:</t>
        </r>
        <r>
          <rPr>
            <sz val="8"/>
            <color indexed="81"/>
            <rFont val="Tahoma"/>
            <family val="2"/>
          </rPr>
          <t xml:space="preserve">
$1,093.809.74,Asignacion  de 2020, mas $85.819.68  de diciembre de 2019
ESTO SE ESPERA EN EL AÑO 2020 DEL 2% FODES $364,603.26</t>
        </r>
      </text>
    </comment>
    <comment ref="E43" authorId="1" shapeId="0">
      <text>
        <r>
          <rPr>
            <b/>
            <sz val="8"/>
            <color indexed="81"/>
            <rFont val="Tahoma"/>
            <family val="2"/>
          </rPr>
          <t>DAGOBERTO:</t>
        </r>
        <r>
          <rPr>
            <sz val="8"/>
            <color indexed="81"/>
            <rFont val="Tahoma"/>
            <family val="2"/>
          </rPr>
          <t xml:space="preserve">
Se buscara financiamiento para proyecto de agua en siberia-Regadio-El zonte</t>
        </r>
      </text>
    </comment>
    <comment ref="C48" authorId="2" shapeId="0">
      <text>
        <r>
          <rPr>
            <b/>
            <sz val="9"/>
            <color indexed="81"/>
            <rFont val="Tahoma"/>
            <family val="2"/>
          </rPr>
          <t>USER:</t>
        </r>
        <r>
          <rPr>
            <sz val="9"/>
            <color indexed="81"/>
            <rFont val="Tahoma"/>
            <family val="2"/>
          </rPr>
          <t xml:space="preserve">
 saldo AL 31diciembre 2020, mas asignacion de Diciembre 2020
 pendiente de tranferir al 25%</t>
        </r>
      </text>
    </comment>
    <comment ref="D48" authorId="2" shapeId="0">
      <text>
        <r>
          <rPr>
            <b/>
            <sz val="9"/>
            <color indexed="81"/>
            <rFont val="Tahoma"/>
            <family val="2"/>
          </rPr>
          <t xml:space="preserve">USER: saldo al 31 de diciembre </t>
        </r>
        <r>
          <rPr>
            <sz val="9"/>
            <color indexed="81"/>
            <rFont val="Tahoma"/>
            <family val="2"/>
          </rPr>
          <t>l 75% Fodes en la chequera $ 251.62  el total en los bancos de  Diciembre 2018</t>
        </r>
      </text>
    </comment>
    <comment ref="E48" authorId="2" shapeId="0">
      <text>
        <r>
          <rPr>
            <b/>
            <sz val="9"/>
            <color indexed="81"/>
            <rFont val="Tahoma"/>
            <family val="2"/>
          </rPr>
          <t>USER:</t>
        </r>
        <r>
          <rPr>
            <sz val="9"/>
            <color indexed="81"/>
            <rFont val="Tahoma"/>
            <family val="2"/>
          </rPr>
          <t xml:space="preserve">
sobrantes de interes y seva a transferir al FONDO PROPIOS</t>
        </r>
      </text>
    </comment>
    <comment ref="G48" authorId="2" shapeId="0">
      <text>
        <r>
          <rPr>
            <b/>
            <sz val="9"/>
            <color indexed="81"/>
            <rFont val="Tahoma"/>
            <family val="2"/>
          </rPr>
          <t>USER:</t>
        </r>
        <r>
          <rPr>
            <sz val="9"/>
            <color indexed="81"/>
            <rFont val="Tahoma"/>
            <family val="2"/>
          </rPr>
          <t xml:space="preserve">
total de las las cuentas del 25 y 75</t>
        </r>
      </text>
    </comment>
    <comment ref="H48" authorId="2" shapeId="0">
      <text>
        <r>
          <rPr>
            <b/>
            <sz val="9"/>
            <color indexed="81"/>
            <rFont val="Tahoma"/>
            <family val="2"/>
          </rPr>
          <t>USER:</t>
        </r>
        <r>
          <rPr>
            <sz val="9"/>
            <color indexed="81"/>
            <rFont val="Tahoma"/>
            <family val="2"/>
          </rPr>
          <t xml:space="preserve">
aquí va lo del saldo final del fondo municipal lo que queda en Diciembr</t>
        </r>
      </text>
    </comment>
    <comment ref="J48" authorId="2" shapeId="0">
      <text>
        <r>
          <rPr>
            <b/>
            <sz val="9"/>
            <color indexed="81"/>
            <rFont val="Tahoma"/>
            <family val="2"/>
          </rPr>
          <t>USER:</t>
        </r>
        <r>
          <rPr>
            <sz val="9"/>
            <color indexed="81"/>
            <rFont val="Tahoma"/>
            <family val="2"/>
          </rPr>
          <t xml:space="preserve">
sobranstes de prestamos seva a transferir al fondo propio</t>
        </r>
      </text>
    </comment>
    <comment ref="C49" authorId="2" shapeId="0">
      <text>
        <r>
          <rPr>
            <b/>
            <sz val="9"/>
            <color indexed="81"/>
            <rFont val="Tahoma"/>
            <family val="2"/>
          </rPr>
          <t>USER:</t>
        </r>
        <r>
          <rPr>
            <sz val="9"/>
            <color indexed="81"/>
            <rFont val="Tahoma"/>
            <family val="2"/>
          </rPr>
          <t xml:space="preserve">
saldo pendiente del mes de diciembre</t>
        </r>
      </text>
    </comment>
  </commentList>
</comments>
</file>

<file path=xl/comments3.xml><?xml version="1.0" encoding="utf-8"?>
<comments xmlns="http://schemas.openxmlformats.org/spreadsheetml/2006/main">
  <authors>
    <author>USER</author>
    <author>DAGOBERTO</author>
    <author>win10</author>
    <author>Chiltuipan</author>
  </authors>
  <commentList>
    <comment ref="H10" authorId="0" shapeId="0">
      <text>
        <r>
          <rPr>
            <b/>
            <sz val="9"/>
            <color indexed="81"/>
            <rFont val="Tahoma"/>
            <family val="2"/>
          </rPr>
          <t>USER:</t>
        </r>
        <r>
          <rPr>
            <sz val="9"/>
            <color indexed="81"/>
            <rFont val="Tahoma"/>
            <family val="2"/>
          </rPr>
          <t xml:space="preserve">
SUELDO DE LA LINEA 01-02, PARA PAGAR 9 MESES</t>
        </r>
      </text>
    </comment>
    <comment ref="I10" authorId="0" shapeId="0">
      <text>
        <r>
          <rPr>
            <b/>
            <sz val="9"/>
            <color indexed="81"/>
            <rFont val="Tahoma"/>
            <family val="2"/>
          </rPr>
          <t>USER:</t>
        </r>
        <r>
          <rPr>
            <sz val="9"/>
            <color indexed="81"/>
            <rFont val="Tahoma"/>
            <family val="2"/>
          </rPr>
          <t xml:space="preserve">
SUELDO DE LA LINEA 02-01, PARA PAGAR  9 MESES </t>
        </r>
      </text>
    </comment>
    <comment ref="J10" authorId="0" shapeId="0">
      <text>
        <r>
          <rPr>
            <b/>
            <sz val="9"/>
            <color indexed="81"/>
            <rFont val="Tahoma"/>
            <family val="2"/>
          </rPr>
          <t>USER
SUELDO DE LA LINEA 02-02, PAGA PAGAR EN 9 MESES</t>
        </r>
      </text>
    </comment>
    <comment ref="N10" authorId="0" shapeId="0">
      <text>
        <r>
          <rPr>
            <b/>
            <sz val="9"/>
            <color indexed="81"/>
            <rFont val="Tahoma"/>
            <family val="2"/>
          </rPr>
          <t>USER:</t>
        </r>
        <r>
          <rPr>
            <sz val="9"/>
            <color indexed="81"/>
            <rFont val="Tahoma"/>
            <family val="2"/>
          </rPr>
          <t xml:space="preserve">
Pago sueldos a encargados de casa de la juventud,
pago de sueldo comité local de derechos de la niñez
 motorista de ambulacia de u. de salud,
 pago a 6 viglinates de program de apoyo a la deguridad CAM,PNC Y FAES
</t>
        </r>
      </text>
    </comment>
    <comment ref="C13" authorId="1" shapeId="0">
      <text>
        <r>
          <rPr>
            <b/>
            <sz val="8"/>
            <color indexed="81"/>
            <rFont val="Tahoma"/>
            <family val="2"/>
          </rPr>
          <t>DAGOBERTO:</t>
        </r>
        <r>
          <rPr>
            <sz val="8"/>
            <color indexed="81"/>
            <rFont val="Tahoma"/>
            <family val="2"/>
          </rPr>
          <t xml:space="preserve">
Pago Auditor Interno 2 meses</t>
        </r>
      </text>
    </comment>
    <comment ref="G13" authorId="1" shapeId="0">
      <text>
        <r>
          <rPr>
            <b/>
            <sz val="8"/>
            <color indexed="81"/>
            <rFont val="Tahoma"/>
            <family val="2"/>
          </rPr>
          <t>DAGOBERTO:</t>
        </r>
        <r>
          <rPr>
            <sz val="8"/>
            <color indexed="81"/>
            <rFont val="Tahoma"/>
            <family val="2"/>
          </rPr>
          <t xml:space="preserve">
pago del Auditor Intern  10 meses  del 25% fodes</t>
        </r>
      </text>
    </comment>
    <comment ref="J13" authorId="1" shapeId="0">
      <text>
        <r>
          <rPr>
            <b/>
            <sz val="8"/>
            <color indexed="81"/>
            <rFont val="Tahoma"/>
            <family val="2"/>
          </rPr>
          <t>DAGOBERTO:</t>
        </r>
        <r>
          <rPr>
            <sz val="8"/>
            <color indexed="81"/>
            <rFont val="Tahoma"/>
            <family val="2"/>
          </rPr>
          <t xml:space="preserve">
PAGO A OF. DE INFORMACION, Y A 2 POLICIAS ( Vigilantes Municipales) y Ordenanza de limpieza
</t>
        </r>
      </text>
    </comment>
    <comment ref="G15" authorId="1" shapeId="0">
      <text>
        <r>
          <rPr>
            <b/>
            <sz val="8"/>
            <color indexed="81"/>
            <rFont val="Tahoma"/>
            <family val="2"/>
          </rPr>
          <t>DAGOBERTO:</t>
        </r>
        <r>
          <rPr>
            <sz val="8"/>
            <color indexed="81"/>
            <rFont val="Tahoma"/>
            <family val="2"/>
          </rPr>
          <t xml:space="preserve">
Aguinaldo del Auditor</t>
        </r>
      </text>
    </comment>
    <comment ref="J15" authorId="1" shapeId="0">
      <text>
        <r>
          <rPr>
            <b/>
            <sz val="8"/>
            <color indexed="81"/>
            <rFont val="Tahoma"/>
            <family val="2"/>
          </rPr>
          <t>DAGOBERTO:</t>
        </r>
        <r>
          <rPr>
            <sz val="8"/>
            <color indexed="81"/>
            <rFont val="Tahoma"/>
            <family val="2"/>
          </rPr>
          <t xml:space="preserve">
Aguinaldo de Of.de Informacion y 2 policias
</t>
        </r>
      </text>
    </comment>
    <comment ref="H17" authorId="0" shapeId="0">
      <text>
        <r>
          <rPr>
            <b/>
            <sz val="9"/>
            <color indexed="81"/>
            <rFont val="Tahoma"/>
            <family val="2"/>
          </rPr>
          <t>USER:</t>
        </r>
        <r>
          <rPr>
            <sz val="9"/>
            <color indexed="81"/>
            <rFont val="Tahoma"/>
            <family val="2"/>
          </rPr>
          <t xml:space="preserve">
PARA HORAS EXTRAS </t>
        </r>
      </text>
    </comment>
    <comment ref="N19" authorId="1" shapeId="0">
      <text>
        <r>
          <rPr>
            <b/>
            <sz val="8"/>
            <color indexed="81"/>
            <rFont val="Tahoma"/>
            <family val="2"/>
          </rPr>
          <t>JORGE VIDES:</t>
        </r>
        <r>
          <rPr>
            <sz val="8"/>
            <color indexed="81"/>
            <rFont val="Tahoma"/>
            <family val="2"/>
          </rPr>
          <t xml:space="preserve">
ISSS   a vigilantes o CAM
ISSS, DE MOTORISTA DE AMBULANCIA
ISSS, COMITÉ DE DERECHO DE LA NIÑEZ
ISSS,  CASA DE ENCUENTRO JUVENIL
MAS EL APORTE DEL INSAFORD QUE VA INCLUIDO CON EL PAGO DEL ISSS $453.48</t>
        </r>
      </text>
    </comment>
    <comment ref="N20" authorId="1" shapeId="0">
      <text>
        <r>
          <rPr>
            <b/>
            <sz val="8"/>
            <color indexed="81"/>
            <rFont val="Tahoma"/>
            <family val="2"/>
          </rPr>
          <t>JORGEVIDES:</t>
        </r>
        <r>
          <rPr>
            <sz val="8"/>
            <color indexed="81"/>
            <rFont val="Tahoma"/>
            <family val="2"/>
          </rPr>
          <t xml:space="preserve">
AFP   a vigilantes o CAM
AFP, DE MOTORISTA DE AMBULANCIA
AFP, COMITÉ DE DERECHO DE LA NIÑEZ
AFP,  CASA DE ENCUENTRO JUVENIL</t>
        </r>
      </text>
    </comment>
    <comment ref="C23" authorId="0" shapeId="0">
      <text>
        <r>
          <rPr>
            <b/>
            <sz val="9"/>
            <color indexed="81"/>
            <rFont val="Tahoma"/>
            <family val="2"/>
          </rPr>
          <t>USER:</t>
        </r>
        <r>
          <rPr>
            <sz val="9"/>
            <color indexed="81"/>
            <rFont val="Tahoma"/>
            <family val="2"/>
          </rPr>
          <t xml:space="preserve">
alimentos o refrigerio del consejo municipal $1.500
adulto mayor $300
dia de la madre $1.000
dia del padre  $ 700
apoyo a charlas prevencion de la violencia $800
otros actividades $800</t>
        </r>
      </text>
    </comment>
    <comment ref="N23" authorId="1" shapeId="0">
      <text>
        <r>
          <rPr>
            <b/>
            <sz val="8"/>
            <color indexed="81"/>
            <rFont val="Tahoma"/>
            <family val="2"/>
          </rPr>
          <t>DAGOBERTO:</t>
        </r>
        <r>
          <rPr>
            <sz val="8"/>
            <color indexed="81"/>
            <rFont val="Tahoma"/>
            <family val="2"/>
          </rPr>
          <t xml:space="preserve">
1) </t>
        </r>
        <r>
          <rPr>
            <sz val="9"/>
            <color indexed="81"/>
            <rFont val="Tahoma"/>
            <family val="2"/>
          </rPr>
          <t>Compra alimentos para elementos de tropa de Regimiento de Caballeria  destacados en el Municipio, en programa de Seguridad del municipio,
2) Almuerzo y refrigerios para actividades de Casa de Encuentro,
3) Progrmas  del comité de Derechos de la niñes , 
4) Unidad de la mujer,reuniones de deporte, Etc.
5) plan municipal prevencion a la violencia hacia la mujer</t>
        </r>
      </text>
    </comment>
    <comment ref="N24" authorId="0" shapeId="0">
      <text>
        <r>
          <rPr>
            <b/>
            <sz val="9"/>
            <color indexed="81"/>
            <rFont val="Tahoma"/>
            <family val="2"/>
          </rPr>
          <t>USER:</t>
        </r>
        <r>
          <rPr>
            <sz val="9"/>
            <color indexed="81"/>
            <rFont val="Tahoma"/>
            <family val="2"/>
          </rPr>
          <t xml:space="preserve">
PARA COMPRA DE DE SEMILLA DE HUERTOS DE EDUCO A LAS ESCUELAS </t>
        </r>
      </text>
    </comment>
    <comment ref="H26" authorId="0" shapeId="0">
      <text>
        <r>
          <rPr>
            <b/>
            <sz val="9"/>
            <color indexed="81"/>
            <rFont val="Tahoma"/>
            <family val="2"/>
          </rPr>
          <t>USER:</t>
        </r>
        <r>
          <rPr>
            <sz val="9"/>
            <color indexed="81"/>
            <rFont val="Tahoma"/>
            <family val="2"/>
          </rPr>
          <t xml:space="preserve">
PARA COMPRAR SOBRES BLANCOS PARA COLECTURIA</t>
        </r>
      </text>
    </comment>
    <comment ref="F27" authorId="1" shapeId="0">
      <text>
        <r>
          <rPr>
            <b/>
            <sz val="8"/>
            <color indexed="81"/>
            <rFont val="Tahoma"/>
            <family val="2"/>
          </rPr>
          <t>DAGOBERTO:</t>
        </r>
        <r>
          <rPr>
            <sz val="8"/>
            <color indexed="81"/>
            <rFont val="Tahoma"/>
            <family val="2"/>
          </rPr>
          <t xml:space="preserve">
Para comprar fertilizante para la finca municipal</t>
        </r>
      </text>
    </comment>
    <comment ref="N27" authorId="1" shapeId="0">
      <text>
        <r>
          <rPr>
            <b/>
            <sz val="8"/>
            <color indexed="81"/>
            <rFont val="Tahoma"/>
            <family val="2"/>
          </rPr>
          <t>DAGOBERTO:</t>
        </r>
        <r>
          <rPr>
            <sz val="8"/>
            <color indexed="81"/>
            <rFont val="Tahoma"/>
            <family val="2"/>
          </rPr>
          <t xml:space="preserve">
Para fertilizante de la cancha el bambu</t>
        </r>
      </text>
    </comment>
    <comment ref="N30" authorId="1" shapeId="0">
      <text>
        <r>
          <rPr>
            <b/>
            <sz val="8"/>
            <color indexed="81"/>
            <rFont val="Tahoma"/>
            <family val="2"/>
          </rPr>
          <t>DAGOBERTO:</t>
        </r>
        <r>
          <rPr>
            <sz val="8"/>
            <color indexed="81"/>
            <rFont val="Tahoma"/>
            <family val="2"/>
          </rPr>
          <t xml:space="preserve">
Combustble para camion recolector, para Ambulancia 
 Unidad de Salud 
cancha el bambu</t>
        </r>
      </text>
    </comment>
    <comment ref="N35" authorId="1" shapeId="0">
      <text>
        <r>
          <rPr>
            <b/>
            <sz val="8"/>
            <color indexed="81"/>
            <rFont val="Tahoma"/>
            <family val="2"/>
          </rPr>
          <t>DAGOBERTO:</t>
        </r>
        <r>
          <rPr>
            <sz val="8"/>
            <color indexed="81"/>
            <rFont val="Tahoma"/>
            <family val="2"/>
          </rPr>
          <t xml:space="preserve">
Municion para los mismos.</t>
        </r>
      </text>
    </comment>
    <comment ref="F37" authorId="0" shapeId="0">
      <text>
        <r>
          <rPr>
            <b/>
            <sz val="9"/>
            <color indexed="81"/>
            <rFont val="Tahoma"/>
            <family val="2"/>
          </rPr>
          <t>USER:</t>
        </r>
        <r>
          <rPr>
            <sz val="9"/>
            <color indexed="81"/>
            <rFont val="Tahoma"/>
            <family val="2"/>
          </rPr>
          <t xml:space="preserve">
compra de materiales electricos para mantenimiento de alumbrado publico </t>
        </r>
      </text>
    </comment>
    <comment ref="K37" authorId="1" shapeId="0">
      <text>
        <r>
          <rPr>
            <b/>
            <sz val="8"/>
            <color indexed="81"/>
            <rFont val="Tahoma"/>
            <family val="2"/>
          </rPr>
          <t>DAGOBERTO:</t>
        </r>
        <r>
          <rPr>
            <sz val="8"/>
            <color indexed="81"/>
            <rFont val="Tahoma"/>
            <family val="2"/>
          </rPr>
          <t xml:space="preserve">
Compra de materiales electricos para alumbrado publico en zonas estrategicas para la seguridad  ciudadana</t>
        </r>
      </text>
    </comment>
    <comment ref="G38" authorId="2" shapeId="0">
      <text>
        <r>
          <rPr>
            <b/>
            <sz val="9"/>
            <color indexed="81"/>
            <rFont val="Tahoma"/>
            <family val="2"/>
          </rPr>
          <t>win10:</t>
        </r>
        <r>
          <rPr>
            <sz val="9"/>
            <color indexed="81"/>
            <rFont val="Tahoma"/>
            <family val="2"/>
          </rPr>
          <t xml:space="preserve">
especies donde van carnet, formulas Isam y otras </t>
        </r>
      </text>
    </comment>
    <comment ref="N40" authorId="1" shapeId="0">
      <text>
        <r>
          <rPr>
            <b/>
            <sz val="8"/>
            <color indexed="81"/>
            <rFont val="Tahoma"/>
            <family val="2"/>
          </rPr>
          <t>DAGOBERTO:</t>
        </r>
        <r>
          <rPr>
            <sz val="8"/>
            <color indexed="81"/>
            <rFont val="Tahoma"/>
            <family val="2"/>
          </rPr>
          <t xml:space="preserve">
Energia Electrica para Alumbrado Publico
y de la cancha el bambu</t>
        </r>
      </text>
    </comment>
    <comment ref="N41" authorId="1" shapeId="0">
      <text>
        <r>
          <rPr>
            <b/>
            <sz val="8"/>
            <color indexed="81"/>
            <rFont val="Tahoma"/>
            <family val="2"/>
          </rPr>
          <t>DAGOBERTO:</t>
        </r>
        <r>
          <rPr>
            <sz val="8"/>
            <color indexed="81"/>
            <rFont val="Tahoma"/>
            <family val="2"/>
          </rPr>
          <t xml:space="preserve">
Pago agua  de Cancha el Bambu 
</t>
        </r>
      </text>
    </comment>
    <comment ref="N42" authorId="1" shapeId="0">
      <text>
        <r>
          <rPr>
            <b/>
            <sz val="8"/>
            <color indexed="81"/>
            <rFont val="Tahoma"/>
            <family val="2"/>
          </rPr>
          <t>DAGOBERTO:</t>
        </r>
        <r>
          <rPr>
            <sz val="8"/>
            <color indexed="81"/>
            <rFont val="Tahoma"/>
            <family val="2"/>
          </rPr>
          <t xml:space="preserve">
Internet de Casa de Encuentro</t>
        </r>
      </text>
    </comment>
    <comment ref="N45" authorId="1" shapeId="0">
      <text>
        <r>
          <rPr>
            <b/>
            <sz val="8"/>
            <color indexed="81"/>
            <rFont val="Tahoma"/>
            <family val="2"/>
          </rPr>
          <t>DAGOBERTO:</t>
        </r>
        <r>
          <rPr>
            <sz val="8"/>
            <color indexed="81"/>
            <rFont val="Tahoma"/>
            <family val="2"/>
          </rPr>
          <t xml:space="preserve">
Para mantenimiento de equipos informaticos en  Casa de Encuentro </t>
        </r>
      </text>
    </comment>
    <comment ref="N46" authorId="1" shapeId="0">
      <text>
        <r>
          <rPr>
            <b/>
            <sz val="8"/>
            <color indexed="81"/>
            <rFont val="Tahoma"/>
            <family val="2"/>
          </rPr>
          <t>DAGOBERTO:</t>
        </r>
        <r>
          <rPr>
            <sz val="8"/>
            <color indexed="81"/>
            <rFont val="Tahoma"/>
            <family val="2"/>
          </rPr>
          <t xml:space="preserve">
Mantenimiento de Camion recolector
ambulancia 
policia</t>
        </r>
      </text>
    </comment>
    <comment ref="F47" authorId="0" shapeId="0">
      <text>
        <r>
          <rPr>
            <b/>
            <sz val="9"/>
            <color indexed="81"/>
            <rFont val="Tahoma"/>
            <family val="2"/>
          </rPr>
          <t>USER:</t>
        </r>
        <r>
          <rPr>
            <sz val="9"/>
            <color indexed="81"/>
            <rFont val="Tahoma"/>
            <family val="2"/>
          </rPr>
          <t xml:space="preserve">
mantenimiento de bienes muebles como alumbrado publico, reparacion de cañerias las flores, taquillo, corinto y otras</t>
        </r>
      </text>
    </comment>
    <comment ref="N47" authorId="3" shapeId="0">
      <text>
        <r>
          <rPr>
            <b/>
            <sz val="9"/>
            <color indexed="81"/>
            <rFont val="Tahoma"/>
            <family val="2"/>
          </rPr>
          <t>Chiltuipan:</t>
        </r>
        <r>
          <rPr>
            <sz val="9"/>
            <color indexed="81"/>
            <rFont val="Tahoma"/>
            <family val="2"/>
          </rPr>
          <t xml:space="preserve">
 mantenimiento de agua potable, corinto, taquillo,las flores y siberia 
los tres miradores </t>
        </r>
      </text>
    </comment>
    <comment ref="N50" authorId="3" shapeId="0">
      <text>
        <r>
          <rPr>
            <b/>
            <sz val="9"/>
            <color indexed="81"/>
            <rFont val="Tahoma"/>
            <family val="2"/>
          </rPr>
          <t>Chiltuipan:</t>
        </r>
        <r>
          <rPr>
            <sz val="9"/>
            <color indexed="81"/>
            <rFont val="Tahoma"/>
            <family val="2"/>
          </rPr>
          <t xml:space="preserve">
IMPRECIONES DE BLOCCHUR, BANER, PUBLICACIONES, DE TURISMO</t>
        </r>
      </text>
    </comment>
    <comment ref="C51" authorId="0" shapeId="0">
      <text>
        <r>
          <rPr>
            <b/>
            <sz val="9"/>
            <color indexed="81"/>
            <rFont val="Tahoma"/>
            <family val="2"/>
          </rPr>
          <t>USER:</t>
        </r>
        <r>
          <rPr>
            <sz val="9"/>
            <color indexed="81"/>
            <rFont val="Tahoma"/>
            <family val="2"/>
          </rPr>
          <t xml:space="preserve">
dia del empleado municipal 
convivio con otras instituciones </t>
        </r>
      </text>
    </comment>
    <comment ref="G51" authorId="1" shapeId="0">
      <text>
        <r>
          <rPr>
            <b/>
            <sz val="8"/>
            <color indexed="81"/>
            <rFont val="Tahoma"/>
            <family val="2"/>
          </rPr>
          <t>DAGOBERTO:</t>
        </r>
        <r>
          <rPr>
            <sz val="8"/>
            <color indexed="81"/>
            <rFont val="Tahoma"/>
            <family val="2"/>
          </rPr>
          <t xml:space="preserve">
pago de atenciones a alcaldes del CDA, cuando es reunion local</t>
        </r>
      </text>
    </comment>
    <comment ref="N51" authorId="3" shapeId="0">
      <text>
        <r>
          <rPr>
            <b/>
            <sz val="9"/>
            <color indexed="81"/>
            <rFont val="Tahoma"/>
            <family val="2"/>
          </rPr>
          <t>Chiltuipan:</t>
        </r>
        <r>
          <rPr>
            <sz val="9"/>
            <color indexed="81"/>
            <rFont val="Tahoma"/>
            <family val="2"/>
          </rPr>
          <t xml:space="preserve">
pago de basura al puerto de la libertad</t>
        </r>
      </text>
    </comment>
    <comment ref="C52" authorId="3" shapeId="0">
      <text>
        <r>
          <rPr>
            <b/>
            <sz val="9"/>
            <color indexed="81"/>
            <rFont val="Tahoma"/>
            <family val="2"/>
          </rPr>
          <t>Chiltuipan:</t>
        </r>
        <r>
          <rPr>
            <sz val="9"/>
            <color indexed="81"/>
            <rFont val="Tahoma"/>
            <family val="2"/>
          </rPr>
          <t xml:space="preserve">
ESTA PARTIDA ES PARA PAGAR ALGUNA GRUA PARA PODER REMOLCAR ALGUN VEHICULO </t>
        </r>
      </text>
    </comment>
    <comment ref="N52" authorId="0" shapeId="0">
      <text>
        <r>
          <rPr>
            <b/>
            <sz val="9"/>
            <color indexed="81"/>
            <rFont val="Tahoma"/>
            <family val="2"/>
          </rPr>
          <t>USER:</t>
        </r>
        <r>
          <rPr>
            <sz val="9"/>
            <color indexed="81"/>
            <rFont val="Tahoma"/>
            <family val="2"/>
          </rPr>
          <t xml:space="preserve">
PARA PAGO DE MAQUINA QUE TRABAJO EN CANCHA TAQUILLO
</t>
        </r>
      </text>
    </comment>
    <comment ref="R52" authorId="3" shapeId="0">
      <text>
        <r>
          <rPr>
            <b/>
            <sz val="9"/>
            <color indexed="81"/>
            <rFont val="Tahoma"/>
            <family val="2"/>
          </rPr>
          <t>Chiltuipan:</t>
        </r>
        <r>
          <rPr>
            <sz val="9"/>
            <color indexed="81"/>
            <rFont val="Tahoma"/>
            <family val="2"/>
          </rPr>
          <t xml:space="preserve">
para alquilar maquina para las calles de caminos vecinales</t>
        </r>
      </text>
    </comment>
    <comment ref="N53" authorId="1" shapeId="0">
      <text>
        <r>
          <rPr>
            <b/>
            <sz val="8"/>
            <color indexed="81"/>
            <rFont val="Tahoma"/>
            <family val="2"/>
          </rPr>
          <t>DAGOBERTO:</t>
        </r>
        <r>
          <rPr>
            <sz val="8"/>
            <color indexed="81"/>
            <rFont val="Tahoma"/>
            <family val="2"/>
          </rPr>
          <t xml:space="preserve">
Alquiler local Casa de encuentro Juvenil</t>
        </r>
      </text>
    </comment>
    <comment ref="R53" authorId="3" shapeId="0">
      <text>
        <r>
          <rPr>
            <b/>
            <sz val="9"/>
            <color indexed="81"/>
            <rFont val="Tahoma"/>
            <family val="2"/>
          </rPr>
          <t>Chiltuipan:</t>
        </r>
        <r>
          <rPr>
            <sz val="9"/>
            <color indexed="81"/>
            <rFont val="Tahoma"/>
            <family val="2"/>
          </rPr>
          <t xml:space="preserve">
pago de alquiler donde dejar herramientas de proyecto</t>
        </r>
      </text>
    </comment>
    <comment ref="C54" authorId="0" shapeId="0">
      <text>
        <r>
          <rPr>
            <b/>
            <sz val="9"/>
            <color indexed="81"/>
            <rFont val="Tahoma"/>
            <family val="2"/>
          </rPr>
          <t>USER:</t>
        </r>
        <r>
          <rPr>
            <sz val="9"/>
            <color indexed="81"/>
            <rFont val="Tahoma"/>
            <family val="2"/>
          </rPr>
          <t xml:space="preserve">
3- MESES DE PAGO DE CAPSA SOBRE LO QUE ES LA BASURA PORQUE DEL 75% ESTA PRESUPUESTADO HASTA SEPTIEMBRE Y SE PAGARA 3 MESES DE AQUÍ DEL FONDOS PROPIOS. </t>
        </r>
      </text>
    </comment>
    <comment ref="N54" authorId="1" shapeId="0">
      <text>
        <r>
          <rPr>
            <b/>
            <sz val="8"/>
            <color indexed="81"/>
            <rFont val="Tahoma"/>
            <family val="2"/>
          </rPr>
          <t>DAGOBERTO:</t>
        </r>
        <r>
          <rPr>
            <sz val="8"/>
            <color indexed="81"/>
            <rFont val="Tahoma"/>
            <family val="2"/>
          </rPr>
          <t xml:space="preserve">
DISPOSICION FINAL DE DESECHOS SOLIDOS DE CHILTIUAPAN ( PAGO A   (CAPSA, S.A )</t>
        </r>
      </text>
    </comment>
    <comment ref="G55" authorId="1" shapeId="0">
      <text>
        <r>
          <rPr>
            <b/>
            <sz val="8"/>
            <color indexed="81"/>
            <rFont val="Tahoma"/>
            <family val="2"/>
          </rPr>
          <t>DAGOBERTO:</t>
        </r>
        <r>
          <rPr>
            <sz val="8"/>
            <color indexed="81"/>
            <rFont val="Tahoma"/>
            <family val="2"/>
          </rPr>
          <t xml:space="preserve">
pago pasajes a personal operativo y para gestion de proyectos</t>
        </r>
      </text>
    </comment>
    <comment ref="G56" authorId="1" shapeId="0">
      <text>
        <r>
          <rPr>
            <b/>
            <sz val="8"/>
            <color indexed="81"/>
            <rFont val="Tahoma"/>
            <family val="2"/>
          </rPr>
          <t>DAGOBERTO:</t>
        </r>
        <r>
          <rPr>
            <sz val="8"/>
            <color indexed="81"/>
            <rFont val="Tahoma"/>
            <family val="2"/>
          </rPr>
          <t xml:space="preserve">
Viaticos personal opertivo
Viaticos para Gestion de  Proyectos</t>
        </r>
      </text>
    </comment>
    <comment ref="G62" authorId="1" shapeId="0">
      <text>
        <r>
          <rPr>
            <b/>
            <sz val="8"/>
            <color indexed="81"/>
            <rFont val="Tahoma"/>
            <family val="2"/>
          </rPr>
          <t>DAGOBERTO:</t>
        </r>
        <r>
          <rPr>
            <sz val="8"/>
            <color indexed="81"/>
            <rFont val="Tahoma"/>
            <family val="2"/>
          </rPr>
          <t xml:space="preserve">
,Ordenaza de medio Ambiente, </t>
        </r>
      </text>
    </comment>
    <comment ref="R62" authorId="3" shapeId="0">
      <text>
        <r>
          <rPr>
            <b/>
            <sz val="9"/>
            <color indexed="81"/>
            <rFont val="Tahoma"/>
            <family val="2"/>
          </rPr>
          <t>Chiltuipan:</t>
        </r>
        <r>
          <rPr>
            <sz val="9"/>
            <color indexed="81"/>
            <rFont val="Tahoma"/>
            <family val="2"/>
          </rPr>
          <t xml:space="preserve">
pago del aquitecto </t>
        </r>
      </text>
    </comment>
    <comment ref="V67" authorId="1" shapeId="0">
      <text>
        <r>
          <rPr>
            <b/>
            <sz val="8"/>
            <color indexed="81"/>
            <rFont val="Tahoma"/>
            <family val="2"/>
          </rPr>
          <t>DAGOBERTO:</t>
        </r>
        <r>
          <rPr>
            <sz val="8"/>
            <color indexed="81"/>
            <rFont val="Tahoma"/>
            <family val="2"/>
          </rPr>
          <t xml:space="preserve">
PAGO DE COMISION POR PRESTAMOS A ISDEM</t>
        </r>
      </text>
    </comment>
    <comment ref="V68" authorId="1" shapeId="0">
      <text>
        <r>
          <rPr>
            <b/>
            <sz val="8"/>
            <color indexed="81"/>
            <rFont val="Tahoma"/>
            <family val="2"/>
          </rPr>
          <t>DAGOBERTO:</t>
        </r>
        <r>
          <rPr>
            <sz val="8"/>
            <color indexed="81"/>
            <rFont val="Tahoma"/>
            <family val="2"/>
          </rPr>
          <t xml:space="preserve">
Intereses  por pagar al B.H. por creditos</t>
        </r>
      </text>
    </comment>
    <comment ref="G72" authorId="0" shapeId="0">
      <text>
        <r>
          <rPr>
            <b/>
            <sz val="9"/>
            <color indexed="81"/>
            <rFont val="Tahoma"/>
            <family val="2"/>
          </rPr>
          <t>USER:</t>
        </r>
        <r>
          <rPr>
            <sz val="9"/>
            <color indexed="81"/>
            <rFont val="Tahoma"/>
            <family val="2"/>
          </rPr>
          <t xml:space="preserve">
certificacion de cheque</t>
        </r>
      </text>
    </comment>
    <comment ref="G73" authorId="0" shapeId="0">
      <text>
        <r>
          <rPr>
            <b/>
            <sz val="9"/>
            <color indexed="81"/>
            <rFont val="Tahoma"/>
            <family val="2"/>
          </rPr>
          <t>USER:</t>
        </r>
        <r>
          <rPr>
            <sz val="9"/>
            <color indexed="81"/>
            <rFont val="Tahoma"/>
            <family val="2"/>
          </rPr>
          <t xml:space="preserve">
pago para refrenda de tarjeta de vehiculo</t>
        </r>
      </text>
    </comment>
    <comment ref="C74" authorId="1" shapeId="0">
      <text>
        <r>
          <rPr>
            <b/>
            <sz val="8"/>
            <color indexed="81"/>
            <rFont val="Tahoma"/>
            <family val="2"/>
          </rPr>
          <t>DAGOBERTO:</t>
        </r>
        <r>
          <rPr>
            <sz val="8"/>
            <color indexed="81"/>
            <rFont val="Tahoma"/>
            <family val="2"/>
          </rPr>
          <t xml:space="preserve">
Cuotas de INSAFORP, Concejales y empleados</t>
        </r>
      </text>
    </comment>
    <comment ref="G74" authorId="1" shapeId="0">
      <text>
        <r>
          <rPr>
            <b/>
            <sz val="8"/>
            <color indexed="81"/>
            <rFont val="Tahoma"/>
            <family val="2"/>
          </rPr>
          <t>DAGOBERTO:</t>
        </r>
        <r>
          <rPr>
            <sz val="8"/>
            <color indexed="81"/>
            <rFont val="Tahoma"/>
            <family val="2"/>
          </rPr>
          <t xml:space="preserve">
Cuota de afiliacion a COMURES $ 14,400.00 ,
   pago al INSAFORP $ 1.459.53
  y  CDA, SON $100, ANUAL $1.200
Y MENBRESIA DE AMUSDELI, $3.600, ANUAL AÑO 2018</t>
        </r>
      </text>
    </comment>
    <comment ref="N74" authorId="1" shapeId="0">
      <text>
        <r>
          <rPr>
            <b/>
            <sz val="8"/>
            <color indexed="81"/>
            <rFont val="Tahoma"/>
            <family val="2"/>
          </rPr>
          <t>DAGOBERTO:</t>
        </r>
        <r>
          <rPr>
            <sz val="8"/>
            <color indexed="81"/>
            <rFont val="Tahoma"/>
            <family val="2"/>
          </rPr>
          <t xml:space="preserve">
   pago al INSAFORP $ 1.431.63
</t>
        </r>
      </text>
    </comment>
    <comment ref="C76" authorId="0" shapeId="0">
      <text>
        <r>
          <rPr>
            <b/>
            <sz val="9"/>
            <color indexed="81"/>
            <rFont val="Tahoma"/>
            <family val="2"/>
          </rPr>
          <t>USER:</t>
        </r>
        <r>
          <rPr>
            <sz val="9"/>
            <color indexed="81"/>
            <rFont val="Tahoma"/>
            <family val="2"/>
          </rPr>
          <t xml:space="preserve">
APOYO A PERSONAS DE ESCASOS RECURSOS MEDICOS Y OTRAS </t>
        </r>
      </text>
    </comment>
    <comment ref="N76" authorId="3" shapeId="0">
      <text>
        <r>
          <rPr>
            <b/>
            <sz val="9"/>
            <color indexed="81"/>
            <rFont val="Tahoma"/>
            <family val="2"/>
          </rPr>
          <t>Chiltuipan:</t>
        </r>
        <r>
          <rPr>
            <sz val="9"/>
            <color indexed="81"/>
            <rFont val="Tahoma"/>
            <family val="2"/>
          </rPr>
          <t xml:space="preserve">
Unidad de la Mujer $ 500.00
 proyectos  diversos 2018 $ 69.300
 fiestas patronales,2018, $ 20.000 
apoyo con materiales electricos a personas de escasos recursos. $4.000
Mitigacion de Daños, y apoyo a personas afectadas por eventos naturales. $10.000
dotacion de laminas para mejoramiento de techos a personas de escasos recursos, $38,000</t>
        </r>
      </text>
    </comment>
    <comment ref="R76" authorId="3" shapeId="0">
      <text>
        <r>
          <rPr>
            <b/>
            <sz val="9"/>
            <color indexed="81"/>
            <rFont val="Tahoma"/>
            <family val="2"/>
          </rPr>
          <t>Chiltuipan:</t>
        </r>
        <r>
          <rPr>
            <sz val="9"/>
            <color indexed="81"/>
            <rFont val="Tahoma"/>
            <family val="2"/>
          </rPr>
          <t xml:space="preserve">
compra de abono </t>
        </r>
      </text>
    </comment>
    <comment ref="G79" authorId="0" shapeId="0">
      <text>
        <r>
          <rPr>
            <b/>
            <sz val="9"/>
            <color indexed="81"/>
            <rFont val="Tahoma"/>
            <family val="2"/>
          </rPr>
          <t>USER:</t>
        </r>
        <r>
          <rPr>
            <sz val="9"/>
            <color indexed="81"/>
            <rFont val="Tahoma"/>
            <family val="2"/>
          </rPr>
          <t xml:space="preserve">
ESTA PARTIDA LA HEMOS DEJADO PARA COMPRAR LOS AIRES ACONDICIONADO DE LA COMUNAL </t>
        </r>
      </text>
    </comment>
    <comment ref="G82" authorId="0" shapeId="0">
      <text>
        <r>
          <rPr>
            <b/>
            <sz val="9"/>
            <color indexed="81"/>
            <rFont val="Tahoma"/>
            <family val="2"/>
          </rPr>
          <t>USER:</t>
        </r>
        <r>
          <rPr>
            <sz val="9"/>
            <color indexed="81"/>
            <rFont val="Tahoma"/>
            <family val="2"/>
          </rPr>
          <t xml:space="preserve">
PARA COMPRA DE CORTINAS DE LA CASA COMUNAL </t>
        </r>
      </text>
    </comment>
    <comment ref="N83" authorId="1" shapeId="0">
      <text>
        <r>
          <rPr>
            <b/>
            <sz val="8"/>
            <color indexed="81"/>
            <rFont val="Tahoma"/>
            <family val="2"/>
          </rPr>
          <t>DAGOBERTO:</t>
        </r>
        <r>
          <rPr>
            <sz val="8"/>
            <color indexed="81"/>
            <rFont val="Tahoma"/>
            <family val="2"/>
          </rPr>
          <t xml:space="preserve">
Compra de terreno , para Casa  Comunal en Caserio El Progreso Cuervo Arriba .</t>
        </r>
      </text>
    </comment>
    <comment ref="G84" authorId="0" shapeId="0">
      <text>
        <r>
          <rPr>
            <b/>
            <sz val="9"/>
            <color indexed="81"/>
            <rFont val="Tahoma"/>
            <family val="2"/>
          </rPr>
          <t>USER:</t>
        </r>
        <r>
          <rPr>
            <sz val="9"/>
            <color indexed="81"/>
            <rFont val="Tahoma"/>
            <family val="2"/>
          </rPr>
          <t xml:space="preserve">
compra para licencia de computadora
Mejoramiento del sistema catastral</t>
        </r>
      </text>
    </comment>
    <comment ref="K85" authorId="1" shapeId="0">
      <text>
        <r>
          <rPr>
            <b/>
            <sz val="8"/>
            <color indexed="81"/>
            <rFont val="Tahoma"/>
            <family val="2"/>
          </rPr>
          <t>DAGOBERTO:</t>
        </r>
        <r>
          <rPr>
            <sz val="8"/>
            <color indexed="81"/>
            <rFont val="Tahoma"/>
            <family val="2"/>
          </rPr>
          <t xml:space="preserve">
pago de Carpetas tecnicas</t>
        </r>
      </text>
    </comment>
    <comment ref="R85" authorId="1" shapeId="0">
      <text>
        <r>
          <rPr>
            <b/>
            <sz val="8"/>
            <color indexed="81"/>
            <rFont val="Tahoma"/>
            <family val="2"/>
          </rPr>
          <t>DAGOBERTO:</t>
        </r>
        <r>
          <rPr>
            <sz val="8"/>
            <color indexed="81"/>
            <rFont val="Tahoma"/>
            <family val="2"/>
          </rPr>
          <t xml:space="preserve">
pago de formulacion de carpetas tecnicas</t>
        </r>
      </text>
    </comment>
    <comment ref="R86" authorId="3" shapeId="0">
      <text>
        <r>
          <rPr>
            <b/>
            <sz val="9"/>
            <color indexed="81"/>
            <rFont val="Tahoma"/>
            <family val="2"/>
          </rPr>
          <t>Chiltuipan:</t>
        </r>
        <r>
          <rPr>
            <sz val="9"/>
            <color indexed="81"/>
            <rFont val="Tahoma"/>
            <family val="2"/>
          </rPr>
          <t xml:space="preserve">
ampliacion de puente santa marta $14,229-03
mejoramiento y balastado cton siberia sur y norte $30,000</t>
        </r>
      </text>
    </comment>
    <comment ref="U86" authorId="1" shapeId="0">
      <text>
        <r>
          <rPr>
            <b/>
            <sz val="8"/>
            <color indexed="81"/>
            <rFont val="Tahoma"/>
            <family val="2"/>
          </rPr>
          <t>DAGOBERTO:</t>
        </r>
        <r>
          <rPr>
            <sz val="8"/>
            <color indexed="81"/>
            <rFont val="Tahoma"/>
            <family val="2"/>
          </rPr>
          <t xml:space="preserve">
SOLO ESPERAMOS QUE DESCONGELEN ESTOS FONDOS,</t>
        </r>
      </text>
    </comment>
    <comment ref="K88" authorId="1" shapeId="0">
      <text>
        <r>
          <rPr>
            <b/>
            <sz val="8"/>
            <color indexed="81"/>
            <rFont val="Tahoma"/>
            <family val="2"/>
          </rPr>
          <t>DAGOBERTO:</t>
        </r>
        <r>
          <rPr>
            <sz val="8"/>
            <color indexed="81"/>
            <rFont val="Tahoma"/>
            <family val="2"/>
          </rPr>
          <t xml:space="preserve">
CONVENIO CON 4 ESCUELAS ADARLE UNA CONTRAPARTE, Y LA CANCHA DE JU LUPE</t>
        </r>
      </text>
    </comment>
    <comment ref="M88" authorId="0" shapeId="0">
      <text>
        <r>
          <rPr>
            <b/>
            <sz val="9"/>
            <color indexed="81"/>
            <rFont val="Tahoma"/>
            <family val="2"/>
          </rPr>
          <t>USER:</t>
        </r>
        <r>
          <rPr>
            <sz val="9"/>
            <color indexed="81"/>
            <rFont val="Tahoma"/>
            <family val="2"/>
          </rPr>
          <t xml:space="preserve">
30.000, QUE DIO EL MINISTERIO DE HACIENDA PARA HACER UN PARQUE EN EL ZONTE</t>
        </r>
      </text>
    </comment>
    <comment ref="K93" authorId="1" shapeId="0">
      <text>
        <r>
          <rPr>
            <b/>
            <sz val="8"/>
            <color indexed="81"/>
            <rFont val="Tahoma"/>
            <family val="2"/>
          </rPr>
          <t>DAGOBERTO:</t>
        </r>
        <r>
          <rPr>
            <sz val="8"/>
            <color indexed="81"/>
            <rFont val="Tahoma"/>
            <family val="2"/>
          </rPr>
          <t xml:space="preserve">
Contrapartida a ANDA, para introducir agua potable a El balsamo y las Pacayas</t>
        </r>
      </text>
    </comment>
    <comment ref="G95" authorId="0" shapeId="0">
      <text>
        <r>
          <rPr>
            <b/>
            <sz val="9"/>
            <color indexed="81"/>
            <rFont val="Tahoma"/>
            <family val="2"/>
          </rPr>
          <t>USER:</t>
        </r>
        <r>
          <rPr>
            <sz val="9"/>
            <color indexed="81"/>
            <rFont val="Tahoma"/>
            <family val="2"/>
          </rPr>
          <t xml:space="preserve">
CUOTA DE MENBRESIA DE AMUSDELI  DE AÑOS ANTERIORES, NOV, Y DIC, 2013 ASTA 2017
pago de facturas de año 2017 por pagar $4.672.17
</t>
        </r>
      </text>
    </comment>
    <comment ref="K95" authorId="3" shapeId="0">
      <text>
        <r>
          <rPr>
            <b/>
            <sz val="9"/>
            <color indexed="81"/>
            <rFont val="Tahoma"/>
            <family val="2"/>
          </rPr>
          <t>Chiltuipan:</t>
        </r>
        <r>
          <rPr>
            <sz val="9"/>
            <color indexed="81"/>
            <rFont val="Tahoma"/>
            <family val="2"/>
          </rPr>
          <t xml:space="preserve">
saldo de proyectos anteriores de la G3- 03-01</t>
        </r>
      </text>
    </comment>
    <comment ref="R95" authorId="3" shapeId="0">
      <text>
        <r>
          <rPr>
            <b/>
            <sz val="9"/>
            <color indexed="81"/>
            <rFont val="Tahoma"/>
            <family val="2"/>
          </rPr>
          <t>Chiltuipan:</t>
        </r>
        <r>
          <rPr>
            <sz val="9"/>
            <color indexed="81"/>
            <rFont val="Tahoma"/>
            <family val="2"/>
          </rPr>
          <t xml:space="preserve">
SALDO DE PROYECTOS ANTERIORES DE LA G4, 04-01</t>
        </r>
      </text>
    </comment>
  </commentList>
</comments>
</file>

<file path=xl/comments4.xml><?xml version="1.0" encoding="utf-8"?>
<comments xmlns="http://schemas.openxmlformats.org/spreadsheetml/2006/main">
  <authors>
    <author>USER</author>
    <author>DAGOBERTO</author>
    <author>Chiltuipan</author>
  </authors>
  <commentList>
    <comment ref="AE10" authorId="0" shapeId="0">
      <text>
        <r>
          <rPr>
            <b/>
            <sz val="9"/>
            <color indexed="81"/>
            <rFont val="Tahoma"/>
            <family val="2"/>
          </rPr>
          <t>USER:</t>
        </r>
        <r>
          <rPr>
            <sz val="9"/>
            <color indexed="81"/>
            <rFont val="Tahoma"/>
            <family val="2"/>
          </rPr>
          <t xml:space="preserve">
SUELDO DE LA LINEA 01-02, PARA PAGAR 9 MESES</t>
        </r>
      </text>
    </comment>
    <comment ref="AF10" authorId="0" shapeId="0">
      <text>
        <r>
          <rPr>
            <b/>
            <sz val="9"/>
            <color indexed="81"/>
            <rFont val="Tahoma"/>
            <family val="2"/>
          </rPr>
          <t>USER:</t>
        </r>
        <r>
          <rPr>
            <sz val="9"/>
            <color indexed="81"/>
            <rFont val="Tahoma"/>
            <family val="2"/>
          </rPr>
          <t xml:space="preserve">
SUELDO DE LA LINEA 02-01, PARA PAGAR  9 MESES </t>
        </r>
      </text>
    </comment>
    <comment ref="AG10" authorId="0" shapeId="0">
      <text>
        <r>
          <rPr>
            <b/>
            <sz val="9"/>
            <color indexed="81"/>
            <rFont val="Tahoma"/>
            <family val="2"/>
          </rPr>
          <t>USER
SUELDO DE LA LINEA 02-02, PAGA PAGAR EN 9 MESES</t>
        </r>
      </text>
    </comment>
    <comment ref="AK10" authorId="0" shapeId="0">
      <text>
        <r>
          <rPr>
            <b/>
            <sz val="9"/>
            <color indexed="81"/>
            <rFont val="Tahoma"/>
            <family val="2"/>
          </rPr>
          <t>USER:</t>
        </r>
        <r>
          <rPr>
            <sz val="9"/>
            <color indexed="81"/>
            <rFont val="Tahoma"/>
            <family val="2"/>
          </rPr>
          <t xml:space="preserve">
Pago sueldos a encargados de casa de la juventud,
pago de sueldo comité local de derechos de la niñez
 motorista de ambulacia de u. de salud,
 pago a 6 viglinates de program de apoyo a la deguridad CAM,PNC Y FAES
</t>
        </r>
      </text>
    </comment>
    <comment ref="Z13" authorId="1" shapeId="0">
      <text>
        <r>
          <rPr>
            <b/>
            <sz val="8"/>
            <color indexed="81"/>
            <rFont val="Tahoma"/>
            <family val="2"/>
          </rPr>
          <t>DAGOBERTO:</t>
        </r>
        <r>
          <rPr>
            <sz val="8"/>
            <color indexed="81"/>
            <rFont val="Tahoma"/>
            <family val="2"/>
          </rPr>
          <t xml:space="preserve">
Pago Auditor Interno 2 meses</t>
        </r>
      </text>
    </comment>
    <comment ref="AD13" authorId="1" shapeId="0">
      <text>
        <r>
          <rPr>
            <b/>
            <sz val="8"/>
            <color indexed="81"/>
            <rFont val="Tahoma"/>
            <family val="2"/>
          </rPr>
          <t>DAGOBERTO:</t>
        </r>
        <r>
          <rPr>
            <sz val="8"/>
            <color indexed="81"/>
            <rFont val="Tahoma"/>
            <family val="2"/>
          </rPr>
          <t xml:space="preserve">
pago del Auditor Intern  10 meses  del 25% fodes</t>
        </r>
      </text>
    </comment>
    <comment ref="AG13" authorId="1" shapeId="0">
      <text>
        <r>
          <rPr>
            <b/>
            <sz val="8"/>
            <color indexed="81"/>
            <rFont val="Tahoma"/>
            <family val="2"/>
          </rPr>
          <t>DAGOBERTO:</t>
        </r>
        <r>
          <rPr>
            <sz val="8"/>
            <color indexed="81"/>
            <rFont val="Tahoma"/>
            <family val="2"/>
          </rPr>
          <t xml:space="preserve">
PAGO A OF. DE INFORMACION, Y A 2 POLICIAS ( Vigilantes Municipales) y Ordenanza de limpieza
</t>
        </r>
      </text>
    </comment>
    <comment ref="AD15" authorId="1" shapeId="0">
      <text>
        <r>
          <rPr>
            <b/>
            <sz val="8"/>
            <color indexed="81"/>
            <rFont val="Tahoma"/>
            <family val="2"/>
          </rPr>
          <t>DAGOBERTO:</t>
        </r>
        <r>
          <rPr>
            <sz val="8"/>
            <color indexed="81"/>
            <rFont val="Tahoma"/>
            <family val="2"/>
          </rPr>
          <t xml:space="preserve">
Aguinaldo del Auditor</t>
        </r>
      </text>
    </comment>
    <comment ref="AG15" authorId="1" shapeId="0">
      <text>
        <r>
          <rPr>
            <b/>
            <sz val="8"/>
            <color indexed="81"/>
            <rFont val="Tahoma"/>
            <family val="2"/>
          </rPr>
          <t>DAGOBERTO:</t>
        </r>
        <r>
          <rPr>
            <sz val="8"/>
            <color indexed="81"/>
            <rFont val="Tahoma"/>
            <family val="2"/>
          </rPr>
          <t xml:space="preserve">
Aguinaldo de Of.de Informacion y 2 policias
</t>
        </r>
      </text>
    </comment>
    <comment ref="AE17" authorId="0" shapeId="0">
      <text>
        <r>
          <rPr>
            <b/>
            <sz val="9"/>
            <color indexed="81"/>
            <rFont val="Tahoma"/>
            <family val="2"/>
          </rPr>
          <t>USER:</t>
        </r>
        <r>
          <rPr>
            <sz val="9"/>
            <color indexed="81"/>
            <rFont val="Tahoma"/>
            <family val="2"/>
          </rPr>
          <t xml:space="preserve">
PARA HORAS EXTRAS </t>
        </r>
      </text>
    </comment>
    <comment ref="AK19" authorId="1" shapeId="0">
      <text>
        <r>
          <rPr>
            <b/>
            <sz val="8"/>
            <color indexed="81"/>
            <rFont val="Tahoma"/>
            <family val="2"/>
          </rPr>
          <t>JORGE VIDES:</t>
        </r>
        <r>
          <rPr>
            <sz val="8"/>
            <color indexed="81"/>
            <rFont val="Tahoma"/>
            <family val="2"/>
          </rPr>
          <t xml:space="preserve">
ISSS   a vigilantes o CAM
ISSS, DE MOTORISTA DE AMBULANCIA
ISSS, COMITÉ DE DERECHO DE LA NIÑEZ
ISSS,  CASA DE ENCUENTRO JUVENIL
MAS EL APORTE DEL INSAFORD QUE VA INCLUIDO CON EL PAGO DEL ISSS $453.48</t>
        </r>
      </text>
    </comment>
    <comment ref="AK20" authorId="1" shapeId="0">
      <text>
        <r>
          <rPr>
            <b/>
            <sz val="8"/>
            <color indexed="81"/>
            <rFont val="Tahoma"/>
            <family val="2"/>
          </rPr>
          <t>JORGEVIDES:</t>
        </r>
        <r>
          <rPr>
            <sz val="8"/>
            <color indexed="81"/>
            <rFont val="Tahoma"/>
            <family val="2"/>
          </rPr>
          <t xml:space="preserve">
AFP   a vigilantes o CAM
AFP, DE MOTORISTA DE AMBULANCIA
AFP, COMITÉ DE DERECHO DE LA NIÑEZ
AFP,  CASA DE ENCUENTRO JUVENIL</t>
        </r>
      </text>
    </comment>
    <comment ref="Z23" authorId="0" shapeId="0">
      <text>
        <r>
          <rPr>
            <b/>
            <sz val="9"/>
            <color indexed="81"/>
            <rFont val="Tahoma"/>
            <family val="2"/>
          </rPr>
          <t>USER:</t>
        </r>
        <r>
          <rPr>
            <sz val="9"/>
            <color indexed="81"/>
            <rFont val="Tahoma"/>
            <family val="2"/>
          </rPr>
          <t xml:space="preserve">
alimentos o refrigerio del consejo municipal $1.500
adulto mayor $300
dia de la madre $1.000
dia del padre  $ 700
apoyo a charlas prevencion de la violencia $800
otros actividades $800</t>
        </r>
      </text>
    </comment>
    <comment ref="AK23" authorId="1" shapeId="0">
      <text>
        <r>
          <rPr>
            <b/>
            <sz val="8"/>
            <color indexed="81"/>
            <rFont val="Tahoma"/>
            <family val="2"/>
          </rPr>
          <t>DAGOBERTO:</t>
        </r>
        <r>
          <rPr>
            <sz val="8"/>
            <color indexed="81"/>
            <rFont val="Tahoma"/>
            <family val="2"/>
          </rPr>
          <t xml:space="preserve">
1) </t>
        </r>
        <r>
          <rPr>
            <sz val="9"/>
            <color indexed="81"/>
            <rFont val="Tahoma"/>
            <family val="2"/>
          </rPr>
          <t>Compra alimentos para elementos de tropa de Regimiento de Caballeria  destacados en el Municipio, en programa de Seguridad del municipio,
2) Almuerzo y refrigerios para actividades de Casa de Encuentro,
3) Progrmas  del comité de Derechos de la niñes , 
4) Unidad de la mujer,reuniones de deporte, Etc.
5) plan municipal prevencion a la violencia hacia la mujer</t>
        </r>
      </text>
    </comment>
    <comment ref="AK24" authorId="0" shapeId="0">
      <text>
        <r>
          <rPr>
            <b/>
            <sz val="9"/>
            <color indexed="81"/>
            <rFont val="Tahoma"/>
            <family val="2"/>
          </rPr>
          <t>USER:</t>
        </r>
        <r>
          <rPr>
            <sz val="9"/>
            <color indexed="81"/>
            <rFont val="Tahoma"/>
            <family val="2"/>
          </rPr>
          <t xml:space="preserve">
PARA COMPRA DE DE SEMILLA DE HUERTOS DE EDUCO A LAS ESCUELAS </t>
        </r>
      </text>
    </comment>
    <comment ref="AE26" authorId="0" shapeId="0">
      <text>
        <r>
          <rPr>
            <b/>
            <sz val="9"/>
            <color indexed="81"/>
            <rFont val="Tahoma"/>
            <family val="2"/>
          </rPr>
          <t>USER:</t>
        </r>
        <r>
          <rPr>
            <sz val="9"/>
            <color indexed="81"/>
            <rFont val="Tahoma"/>
            <family val="2"/>
          </rPr>
          <t xml:space="preserve">
PARA COMPRAR SOBRES BLANCOS PARA COLECTURIA</t>
        </r>
      </text>
    </comment>
    <comment ref="AC27" authorId="1" shapeId="0">
      <text>
        <r>
          <rPr>
            <b/>
            <sz val="8"/>
            <color indexed="81"/>
            <rFont val="Tahoma"/>
            <family val="2"/>
          </rPr>
          <t>DAGOBERTO:</t>
        </r>
        <r>
          <rPr>
            <sz val="8"/>
            <color indexed="81"/>
            <rFont val="Tahoma"/>
            <family val="2"/>
          </rPr>
          <t xml:space="preserve">
Para comprar fertilizante para la finca municipal</t>
        </r>
      </text>
    </comment>
    <comment ref="AK27" authorId="1" shapeId="0">
      <text>
        <r>
          <rPr>
            <b/>
            <sz val="8"/>
            <color indexed="81"/>
            <rFont val="Tahoma"/>
            <family val="2"/>
          </rPr>
          <t>DAGOBERTO:</t>
        </r>
        <r>
          <rPr>
            <sz val="8"/>
            <color indexed="81"/>
            <rFont val="Tahoma"/>
            <family val="2"/>
          </rPr>
          <t xml:space="preserve">
Para fertilizante de la cancha el bambu</t>
        </r>
      </text>
    </comment>
    <comment ref="AK30" authorId="1" shapeId="0">
      <text>
        <r>
          <rPr>
            <b/>
            <sz val="8"/>
            <color indexed="81"/>
            <rFont val="Tahoma"/>
            <family val="2"/>
          </rPr>
          <t>DAGOBERTO:</t>
        </r>
        <r>
          <rPr>
            <sz val="8"/>
            <color indexed="81"/>
            <rFont val="Tahoma"/>
            <family val="2"/>
          </rPr>
          <t xml:space="preserve">
Combustble para camion recolector, para Ambulancia 
 Unidad de Salud 
cancha el bambu</t>
        </r>
      </text>
    </comment>
    <comment ref="AK35" authorId="1" shapeId="0">
      <text>
        <r>
          <rPr>
            <b/>
            <sz val="8"/>
            <color indexed="81"/>
            <rFont val="Tahoma"/>
            <family val="2"/>
          </rPr>
          <t>DAGOBERTO:</t>
        </r>
        <r>
          <rPr>
            <sz val="8"/>
            <color indexed="81"/>
            <rFont val="Tahoma"/>
            <family val="2"/>
          </rPr>
          <t xml:space="preserve">
Municion para los mismos.</t>
        </r>
      </text>
    </comment>
    <comment ref="AC37" authorId="0" shapeId="0">
      <text>
        <r>
          <rPr>
            <b/>
            <sz val="9"/>
            <color indexed="81"/>
            <rFont val="Tahoma"/>
            <family val="2"/>
          </rPr>
          <t>USER:</t>
        </r>
        <r>
          <rPr>
            <sz val="9"/>
            <color indexed="81"/>
            <rFont val="Tahoma"/>
            <family val="2"/>
          </rPr>
          <t xml:space="preserve">
compra de materiales electricos para mantenimiento de alumbrado publico </t>
        </r>
      </text>
    </comment>
    <comment ref="AH37" authorId="1" shapeId="0">
      <text>
        <r>
          <rPr>
            <b/>
            <sz val="8"/>
            <color indexed="81"/>
            <rFont val="Tahoma"/>
            <family val="2"/>
          </rPr>
          <t>DAGOBERTO:</t>
        </r>
        <r>
          <rPr>
            <sz val="8"/>
            <color indexed="81"/>
            <rFont val="Tahoma"/>
            <family val="2"/>
          </rPr>
          <t xml:space="preserve">
Compra de materiales electricos para alumbrado publico en zonas estrategicas para la seguridad  ciudadana</t>
        </r>
      </text>
    </comment>
    <comment ref="AE38" authorId="0" shapeId="0">
      <text>
        <r>
          <rPr>
            <b/>
            <sz val="9"/>
            <color indexed="81"/>
            <rFont val="Tahoma"/>
            <family val="2"/>
          </rPr>
          <t>USER:</t>
        </r>
        <r>
          <rPr>
            <sz val="9"/>
            <color indexed="81"/>
            <rFont val="Tahoma"/>
            <family val="2"/>
          </rPr>
          <t xml:space="preserve">
especies donde van carnet, formulas Isam y otras </t>
        </r>
      </text>
    </comment>
    <comment ref="AK40" authorId="1" shapeId="0">
      <text>
        <r>
          <rPr>
            <b/>
            <sz val="8"/>
            <color indexed="81"/>
            <rFont val="Tahoma"/>
            <family val="2"/>
          </rPr>
          <t>DAGOBERTO:</t>
        </r>
        <r>
          <rPr>
            <sz val="8"/>
            <color indexed="81"/>
            <rFont val="Tahoma"/>
            <family val="2"/>
          </rPr>
          <t xml:space="preserve">
Energia Electrica para Alumbrado Publico
y de la cancha el bambu</t>
        </r>
      </text>
    </comment>
    <comment ref="AK41" authorId="1" shapeId="0">
      <text>
        <r>
          <rPr>
            <b/>
            <sz val="8"/>
            <color indexed="81"/>
            <rFont val="Tahoma"/>
            <family val="2"/>
          </rPr>
          <t>DAGOBERTO:</t>
        </r>
        <r>
          <rPr>
            <sz val="8"/>
            <color indexed="81"/>
            <rFont val="Tahoma"/>
            <family val="2"/>
          </rPr>
          <t xml:space="preserve">
Pago agua  de Cancha el Bambu 
</t>
        </r>
      </text>
    </comment>
    <comment ref="AK42" authorId="1" shapeId="0">
      <text>
        <r>
          <rPr>
            <b/>
            <sz val="8"/>
            <color indexed="81"/>
            <rFont val="Tahoma"/>
            <family val="2"/>
          </rPr>
          <t>DAGOBERTO:</t>
        </r>
        <r>
          <rPr>
            <sz val="8"/>
            <color indexed="81"/>
            <rFont val="Tahoma"/>
            <family val="2"/>
          </rPr>
          <t xml:space="preserve">
Internet de Casa de Encuentro</t>
        </r>
      </text>
    </comment>
    <comment ref="AK45" authorId="1" shapeId="0">
      <text>
        <r>
          <rPr>
            <b/>
            <sz val="8"/>
            <color indexed="81"/>
            <rFont val="Tahoma"/>
            <family val="2"/>
          </rPr>
          <t>DAGOBERTO:</t>
        </r>
        <r>
          <rPr>
            <sz val="8"/>
            <color indexed="81"/>
            <rFont val="Tahoma"/>
            <family val="2"/>
          </rPr>
          <t xml:space="preserve">
Para mantenimiento de equipos informaticos en  Casa de Encuentro </t>
        </r>
      </text>
    </comment>
    <comment ref="AK46" authorId="1" shapeId="0">
      <text>
        <r>
          <rPr>
            <b/>
            <sz val="8"/>
            <color indexed="81"/>
            <rFont val="Tahoma"/>
            <family val="2"/>
          </rPr>
          <t>DAGOBERTO:</t>
        </r>
        <r>
          <rPr>
            <sz val="8"/>
            <color indexed="81"/>
            <rFont val="Tahoma"/>
            <family val="2"/>
          </rPr>
          <t xml:space="preserve">
Mantenimiento de Camion recolector
ambulancia 
policia</t>
        </r>
      </text>
    </comment>
    <comment ref="AC47" authorId="0" shapeId="0">
      <text>
        <r>
          <rPr>
            <b/>
            <sz val="9"/>
            <color indexed="81"/>
            <rFont val="Tahoma"/>
            <family val="2"/>
          </rPr>
          <t>USER:</t>
        </r>
        <r>
          <rPr>
            <sz val="9"/>
            <color indexed="81"/>
            <rFont val="Tahoma"/>
            <family val="2"/>
          </rPr>
          <t xml:space="preserve">
mantenimiento de bienes muebles como alumbrado publico, reparacion de cañerias las flores, taquillo, corinto y otras</t>
        </r>
      </text>
    </comment>
    <comment ref="AK47" authorId="2" shapeId="0">
      <text>
        <r>
          <rPr>
            <b/>
            <sz val="9"/>
            <color indexed="81"/>
            <rFont val="Tahoma"/>
            <family val="2"/>
          </rPr>
          <t>Chiltuipan:</t>
        </r>
        <r>
          <rPr>
            <sz val="9"/>
            <color indexed="81"/>
            <rFont val="Tahoma"/>
            <family val="2"/>
          </rPr>
          <t xml:space="preserve">
 mantenimiento de agua potable, corinto, taquillo,las flores y siberia 
los tres miradores </t>
        </r>
      </text>
    </comment>
    <comment ref="AK50" authorId="2" shapeId="0">
      <text>
        <r>
          <rPr>
            <b/>
            <sz val="9"/>
            <color indexed="81"/>
            <rFont val="Tahoma"/>
            <family val="2"/>
          </rPr>
          <t>Chiltuipan:</t>
        </r>
        <r>
          <rPr>
            <sz val="9"/>
            <color indexed="81"/>
            <rFont val="Tahoma"/>
            <family val="2"/>
          </rPr>
          <t xml:space="preserve">
IMPRECIONES DE BLOCCHUR, BANER, PUBLICACIONES, DE TURISMO</t>
        </r>
      </text>
    </comment>
    <comment ref="Z51" authorId="0" shapeId="0">
      <text>
        <r>
          <rPr>
            <b/>
            <sz val="9"/>
            <color indexed="81"/>
            <rFont val="Tahoma"/>
            <family val="2"/>
          </rPr>
          <t>USER:</t>
        </r>
        <r>
          <rPr>
            <sz val="9"/>
            <color indexed="81"/>
            <rFont val="Tahoma"/>
            <family val="2"/>
          </rPr>
          <t xml:space="preserve">
dia del empleado municipal 
convivio con otras instituciones </t>
        </r>
      </text>
    </comment>
    <comment ref="AD51" authorId="1" shapeId="0">
      <text>
        <r>
          <rPr>
            <b/>
            <sz val="8"/>
            <color indexed="81"/>
            <rFont val="Tahoma"/>
            <family val="2"/>
          </rPr>
          <t>DAGOBERTO:</t>
        </r>
        <r>
          <rPr>
            <sz val="8"/>
            <color indexed="81"/>
            <rFont val="Tahoma"/>
            <family val="2"/>
          </rPr>
          <t xml:space="preserve">
pago de atenciones a alcaldes del CDA, cuando es reunion local</t>
        </r>
      </text>
    </comment>
    <comment ref="AK51" authorId="2" shapeId="0">
      <text>
        <r>
          <rPr>
            <b/>
            <sz val="9"/>
            <color indexed="81"/>
            <rFont val="Tahoma"/>
            <family val="2"/>
          </rPr>
          <t>Chiltuipan:</t>
        </r>
        <r>
          <rPr>
            <sz val="9"/>
            <color indexed="81"/>
            <rFont val="Tahoma"/>
            <family val="2"/>
          </rPr>
          <t xml:space="preserve">
pago de basura al puerto de la libertad</t>
        </r>
      </text>
    </comment>
    <comment ref="Z52" authorId="2" shapeId="0">
      <text>
        <r>
          <rPr>
            <b/>
            <sz val="9"/>
            <color indexed="81"/>
            <rFont val="Tahoma"/>
            <family val="2"/>
          </rPr>
          <t>Chiltuipan:</t>
        </r>
        <r>
          <rPr>
            <sz val="9"/>
            <color indexed="81"/>
            <rFont val="Tahoma"/>
            <family val="2"/>
          </rPr>
          <t xml:space="preserve">
ESTA PARTIDA ES PARA PAGAR ALGUNA GRUA PARA PODER REMOLCAR ALGUN VEHICULO </t>
        </r>
      </text>
    </comment>
    <comment ref="AK52" authorId="0" shapeId="0">
      <text>
        <r>
          <rPr>
            <b/>
            <sz val="9"/>
            <color indexed="81"/>
            <rFont val="Tahoma"/>
            <family val="2"/>
          </rPr>
          <t>USER:</t>
        </r>
        <r>
          <rPr>
            <sz val="9"/>
            <color indexed="81"/>
            <rFont val="Tahoma"/>
            <family val="2"/>
          </rPr>
          <t xml:space="preserve">
PARA PAGO DE MAQUINA QUE TRABAJO EN CANCHA TAQUILLO
</t>
        </r>
      </text>
    </comment>
    <comment ref="AO52" authorId="2" shapeId="0">
      <text>
        <r>
          <rPr>
            <b/>
            <sz val="9"/>
            <color indexed="81"/>
            <rFont val="Tahoma"/>
            <family val="2"/>
          </rPr>
          <t>Chiltuipan:</t>
        </r>
        <r>
          <rPr>
            <sz val="9"/>
            <color indexed="81"/>
            <rFont val="Tahoma"/>
            <family val="2"/>
          </rPr>
          <t xml:space="preserve">
para alquilar maquina para las calles de caminos vecinales</t>
        </r>
      </text>
    </comment>
    <comment ref="AK53" authorId="1" shapeId="0">
      <text>
        <r>
          <rPr>
            <b/>
            <sz val="8"/>
            <color indexed="81"/>
            <rFont val="Tahoma"/>
            <family val="2"/>
          </rPr>
          <t>DAGOBERTO:</t>
        </r>
        <r>
          <rPr>
            <sz val="8"/>
            <color indexed="81"/>
            <rFont val="Tahoma"/>
            <family val="2"/>
          </rPr>
          <t xml:space="preserve">
Alquiler local Casa de encuentro Juvenil</t>
        </r>
      </text>
    </comment>
    <comment ref="AO53" authorId="2" shapeId="0">
      <text>
        <r>
          <rPr>
            <b/>
            <sz val="9"/>
            <color indexed="81"/>
            <rFont val="Tahoma"/>
            <family val="2"/>
          </rPr>
          <t>Chiltuipan:</t>
        </r>
        <r>
          <rPr>
            <sz val="9"/>
            <color indexed="81"/>
            <rFont val="Tahoma"/>
            <family val="2"/>
          </rPr>
          <t xml:space="preserve">
pago de alquiler donde dejar herramientas de proyecto</t>
        </r>
      </text>
    </comment>
    <comment ref="Z54" authorId="0" shapeId="0">
      <text>
        <r>
          <rPr>
            <b/>
            <sz val="9"/>
            <color indexed="81"/>
            <rFont val="Tahoma"/>
            <family val="2"/>
          </rPr>
          <t>USER:</t>
        </r>
        <r>
          <rPr>
            <sz val="9"/>
            <color indexed="81"/>
            <rFont val="Tahoma"/>
            <family val="2"/>
          </rPr>
          <t xml:space="preserve">
3- MESES DE PAGO DE CAPSA SOBRE LO QUE ES LA BASURA PORQUE DEL 75% ESTA PRESUPUESTADO HASTA SEPTIEMBRE Y SE PAGARA 3 MESES DE AQUÍ DEL FONDOS PROPIOS. </t>
        </r>
      </text>
    </comment>
    <comment ref="AK54" authorId="1" shapeId="0">
      <text>
        <r>
          <rPr>
            <b/>
            <sz val="8"/>
            <color indexed="81"/>
            <rFont val="Tahoma"/>
            <family val="2"/>
          </rPr>
          <t>DAGOBERTO:</t>
        </r>
        <r>
          <rPr>
            <sz val="8"/>
            <color indexed="81"/>
            <rFont val="Tahoma"/>
            <family val="2"/>
          </rPr>
          <t xml:space="preserve">
DISPOSICION FINAL DE DESECHOS SOLIDOS DE CHILTIUAPAN ( PAGO A   (CAPSA, S.A )</t>
        </r>
      </text>
    </comment>
    <comment ref="AD55" authorId="1" shapeId="0">
      <text>
        <r>
          <rPr>
            <b/>
            <sz val="8"/>
            <color indexed="81"/>
            <rFont val="Tahoma"/>
            <family val="2"/>
          </rPr>
          <t>DAGOBERTO:</t>
        </r>
        <r>
          <rPr>
            <sz val="8"/>
            <color indexed="81"/>
            <rFont val="Tahoma"/>
            <family val="2"/>
          </rPr>
          <t xml:space="preserve">
pago pasajes a personal operativo y para gestion de proyectos</t>
        </r>
      </text>
    </comment>
    <comment ref="AD56" authorId="1" shapeId="0">
      <text>
        <r>
          <rPr>
            <b/>
            <sz val="8"/>
            <color indexed="81"/>
            <rFont val="Tahoma"/>
            <family val="2"/>
          </rPr>
          <t>DAGOBERTO:</t>
        </r>
        <r>
          <rPr>
            <sz val="8"/>
            <color indexed="81"/>
            <rFont val="Tahoma"/>
            <family val="2"/>
          </rPr>
          <t xml:space="preserve">
Viaticos personal opertivo
Viaticos para Gestion de  Proyectos</t>
        </r>
      </text>
    </comment>
    <comment ref="AD62" authorId="1" shapeId="0">
      <text>
        <r>
          <rPr>
            <b/>
            <sz val="8"/>
            <color indexed="81"/>
            <rFont val="Tahoma"/>
            <family val="2"/>
          </rPr>
          <t>DAGOBERTO:</t>
        </r>
        <r>
          <rPr>
            <sz val="8"/>
            <color indexed="81"/>
            <rFont val="Tahoma"/>
            <family val="2"/>
          </rPr>
          <t xml:space="preserve">
,Ordenaza de medio Ambiente, </t>
        </r>
      </text>
    </comment>
    <comment ref="AO62" authorId="2" shapeId="0">
      <text>
        <r>
          <rPr>
            <b/>
            <sz val="9"/>
            <color indexed="81"/>
            <rFont val="Tahoma"/>
            <family val="2"/>
          </rPr>
          <t>Chiltuipan:</t>
        </r>
        <r>
          <rPr>
            <sz val="9"/>
            <color indexed="81"/>
            <rFont val="Tahoma"/>
            <family val="2"/>
          </rPr>
          <t xml:space="preserve">
pago del aquitecto </t>
        </r>
      </text>
    </comment>
    <comment ref="AS67" authorId="1" shapeId="0">
      <text>
        <r>
          <rPr>
            <b/>
            <sz val="8"/>
            <color indexed="81"/>
            <rFont val="Tahoma"/>
            <family val="2"/>
          </rPr>
          <t>DAGOBERTO:</t>
        </r>
        <r>
          <rPr>
            <sz val="8"/>
            <color indexed="81"/>
            <rFont val="Tahoma"/>
            <family val="2"/>
          </rPr>
          <t xml:space="preserve">
PAGO DE COMISION POR PRESTAMOS A ISDEM</t>
        </r>
      </text>
    </comment>
    <comment ref="AS68" authorId="1" shapeId="0">
      <text>
        <r>
          <rPr>
            <b/>
            <sz val="8"/>
            <color indexed="81"/>
            <rFont val="Tahoma"/>
            <family val="2"/>
          </rPr>
          <t>DAGOBERTO:</t>
        </r>
        <r>
          <rPr>
            <sz val="8"/>
            <color indexed="81"/>
            <rFont val="Tahoma"/>
            <family val="2"/>
          </rPr>
          <t xml:space="preserve">
Intereses  por pagar al B.H. por creditos</t>
        </r>
      </text>
    </comment>
    <comment ref="AD72" authorId="0" shapeId="0">
      <text>
        <r>
          <rPr>
            <b/>
            <sz val="9"/>
            <color indexed="81"/>
            <rFont val="Tahoma"/>
            <family val="2"/>
          </rPr>
          <t>USER:</t>
        </r>
        <r>
          <rPr>
            <sz val="9"/>
            <color indexed="81"/>
            <rFont val="Tahoma"/>
            <family val="2"/>
          </rPr>
          <t xml:space="preserve">
certificacion de cheque</t>
        </r>
      </text>
    </comment>
    <comment ref="AD73" authorId="0" shapeId="0">
      <text>
        <r>
          <rPr>
            <b/>
            <sz val="9"/>
            <color indexed="81"/>
            <rFont val="Tahoma"/>
            <family val="2"/>
          </rPr>
          <t>USER:</t>
        </r>
        <r>
          <rPr>
            <sz val="9"/>
            <color indexed="81"/>
            <rFont val="Tahoma"/>
            <family val="2"/>
          </rPr>
          <t xml:space="preserve">
pago para refrenda de tarjeta de vehiculo</t>
        </r>
      </text>
    </comment>
    <comment ref="Z74" authorId="1" shapeId="0">
      <text>
        <r>
          <rPr>
            <b/>
            <sz val="8"/>
            <color indexed="81"/>
            <rFont val="Tahoma"/>
            <family val="2"/>
          </rPr>
          <t>DAGOBERTO:</t>
        </r>
        <r>
          <rPr>
            <sz val="8"/>
            <color indexed="81"/>
            <rFont val="Tahoma"/>
            <family val="2"/>
          </rPr>
          <t xml:space="preserve">
Cuotas de INSAFORP, Concejales y empleados</t>
        </r>
      </text>
    </comment>
    <comment ref="AD74" authorId="1" shapeId="0">
      <text>
        <r>
          <rPr>
            <b/>
            <sz val="8"/>
            <color indexed="81"/>
            <rFont val="Tahoma"/>
            <family val="2"/>
          </rPr>
          <t>DAGOBERTO:</t>
        </r>
        <r>
          <rPr>
            <sz val="8"/>
            <color indexed="81"/>
            <rFont val="Tahoma"/>
            <family val="2"/>
          </rPr>
          <t xml:space="preserve">
Cuota de afiliacion a COMURES $ 14,400.00 ,
   pago al INSAFORP $ 1.459.53
  y  CDA, SON $100, ANUAL $1.200
Y MENBRESIA DE AMUSDELI, $3.600, ANUAL AÑO 2018</t>
        </r>
      </text>
    </comment>
    <comment ref="AK74" authorId="1" shapeId="0">
      <text>
        <r>
          <rPr>
            <b/>
            <sz val="8"/>
            <color indexed="81"/>
            <rFont val="Tahoma"/>
            <family val="2"/>
          </rPr>
          <t>DAGOBERTO:</t>
        </r>
        <r>
          <rPr>
            <sz val="8"/>
            <color indexed="81"/>
            <rFont val="Tahoma"/>
            <family val="2"/>
          </rPr>
          <t xml:space="preserve">
   pago al INSAFORP $ 1.431.63
</t>
        </r>
      </text>
    </comment>
    <comment ref="Z76" authorId="0" shapeId="0">
      <text>
        <r>
          <rPr>
            <b/>
            <sz val="9"/>
            <color indexed="81"/>
            <rFont val="Tahoma"/>
            <family val="2"/>
          </rPr>
          <t>USER:</t>
        </r>
        <r>
          <rPr>
            <sz val="9"/>
            <color indexed="81"/>
            <rFont val="Tahoma"/>
            <family val="2"/>
          </rPr>
          <t xml:space="preserve">
APOYO A PERSONAS DE ESCASOS RECURSOS MEDICOS Y OTRAS </t>
        </r>
      </text>
    </comment>
    <comment ref="AK76" authorId="2" shapeId="0">
      <text>
        <r>
          <rPr>
            <b/>
            <sz val="9"/>
            <color indexed="81"/>
            <rFont val="Tahoma"/>
            <family val="2"/>
          </rPr>
          <t>Chiltuipan:</t>
        </r>
        <r>
          <rPr>
            <sz val="9"/>
            <color indexed="81"/>
            <rFont val="Tahoma"/>
            <family val="2"/>
          </rPr>
          <t xml:space="preserve">
Unidad de la Mujer $ 500.00
 proyectos  diversos 2018 $ 69.300
 fiestas patronales,2018, $ 20.000 
apoyo con materiales electricos a personas de escasos recursos. $4.000
Mitigacion de Daños, y apoyo a personas afectadas por eventos naturales. $10.000
dotacion de laminas para mejoramiento de techos a personas de escasos recursos, $38,000</t>
        </r>
      </text>
    </comment>
    <comment ref="AO76" authorId="2" shapeId="0">
      <text>
        <r>
          <rPr>
            <b/>
            <sz val="9"/>
            <color indexed="81"/>
            <rFont val="Tahoma"/>
            <family val="2"/>
          </rPr>
          <t>Chiltuipan:</t>
        </r>
        <r>
          <rPr>
            <sz val="9"/>
            <color indexed="81"/>
            <rFont val="Tahoma"/>
            <family val="2"/>
          </rPr>
          <t xml:space="preserve">
compra de abono </t>
        </r>
      </text>
    </comment>
    <comment ref="AD79" authorId="0" shapeId="0">
      <text>
        <r>
          <rPr>
            <b/>
            <sz val="9"/>
            <color indexed="81"/>
            <rFont val="Tahoma"/>
            <family val="2"/>
          </rPr>
          <t>USER:</t>
        </r>
        <r>
          <rPr>
            <sz val="9"/>
            <color indexed="81"/>
            <rFont val="Tahoma"/>
            <family val="2"/>
          </rPr>
          <t xml:space="preserve">
ESTA PARTIDA LA HEMOS DEJADO PARA COMPRAR LOS AIRES ACONDICIONADO DE LA COMUNAL </t>
        </r>
      </text>
    </comment>
    <comment ref="AD82" authorId="0" shapeId="0">
      <text>
        <r>
          <rPr>
            <b/>
            <sz val="9"/>
            <color indexed="81"/>
            <rFont val="Tahoma"/>
            <family val="2"/>
          </rPr>
          <t>USER:</t>
        </r>
        <r>
          <rPr>
            <sz val="9"/>
            <color indexed="81"/>
            <rFont val="Tahoma"/>
            <family val="2"/>
          </rPr>
          <t xml:space="preserve">
PARA COMPRA DE CORTINAS DE LA CASA COMUNAL </t>
        </r>
      </text>
    </comment>
    <comment ref="AK83" authorId="1" shapeId="0">
      <text>
        <r>
          <rPr>
            <b/>
            <sz val="8"/>
            <color indexed="81"/>
            <rFont val="Tahoma"/>
            <family val="2"/>
          </rPr>
          <t>DAGOBERTO:</t>
        </r>
        <r>
          <rPr>
            <sz val="8"/>
            <color indexed="81"/>
            <rFont val="Tahoma"/>
            <family val="2"/>
          </rPr>
          <t xml:space="preserve">
Compra de terreno , para Casa  Comunal en Caserio El Progreso Cuervo Arriba .</t>
        </r>
      </text>
    </comment>
    <comment ref="AD84" authorId="0" shapeId="0">
      <text>
        <r>
          <rPr>
            <b/>
            <sz val="9"/>
            <color indexed="81"/>
            <rFont val="Tahoma"/>
            <family val="2"/>
          </rPr>
          <t>USER:</t>
        </r>
        <r>
          <rPr>
            <sz val="9"/>
            <color indexed="81"/>
            <rFont val="Tahoma"/>
            <family val="2"/>
          </rPr>
          <t xml:space="preserve">
compra para licencia de computadora
Mejoramiento del sistema catastral</t>
        </r>
      </text>
    </comment>
    <comment ref="AH85" authorId="1" shapeId="0">
      <text>
        <r>
          <rPr>
            <b/>
            <sz val="8"/>
            <color indexed="81"/>
            <rFont val="Tahoma"/>
            <family val="2"/>
          </rPr>
          <t>DAGOBERTO:</t>
        </r>
        <r>
          <rPr>
            <sz val="8"/>
            <color indexed="81"/>
            <rFont val="Tahoma"/>
            <family val="2"/>
          </rPr>
          <t xml:space="preserve">
pago de Carpetas tecnicas</t>
        </r>
      </text>
    </comment>
    <comment ref="AO85" authorId="1" shapeId="0">
      <text>
        <r>
          <rPr>
            <b/>
            <sz val="8"/>
            <color indexed="81"/>
            <rFont val="Tahoma"/>
            <family val="2"/>
          </rPr>
          <t>DAGOBERTO:</t>
        </r>
        <r>
          <rPr>
            <sz val="8"/>
            <color indexed="81"/>
            <rFont val="Tahoma"/>
            <family val="2"/>
          </rPr>
          <t xml:space="preserve">
pago de formulacion de carpetas tecnicas</t>
        </r>
      </text>
    </comment>
    <comment ref="AO86" authorId="2" shapeId="0">
      <text>
        <r>
          <rPr>
            <b/>
            <sz val="9"/>
            <color indexed="81"/>
            <rFont val="Tahoma"/>
            <family val="2"/>
          </rPr>
          <t>Chiltuipan:</t>
        </r>
        <r>
          <rPr>
            <sz val="9"/>
            <color indexed="81"/>
            <rFont val="Tahoma"/>
            <family val="2"/>
          </rPr>
          <t xml:space="preserve">
ampliacion de puente santa marta $14,229-03
mejoramiento y balastado cton siberia sur y norte $30,000</t>
        </r>
      </text>
    </comment>
    <comment ref="AR86" authorId="1" shapeId="0">
      <text>
        <r>
          <rPr>
            <b/>
            <sz val="8"/>
            <color indexed="81"/>
            <rFont val="Tahoma"/>
            <family val="2"/>
          </rPr>
          <t>DAGOBERTO:</t>
        </r>
        <r>
          <rPr>
            <sz val="8"/>
            <color indexed="81"/>
            <rFont val="Tahoma"/>
            <family val="2"/>
          </rPr>
          <t xml:space="preserve">
SOLO ESPERAMOS QUE DESCONGELEN ESTOS FONDOS,</t>
        </r>
      </text>
    </comment>
    <comment ref="AH88" authorId="1" shapeId="0">
      <text>
        <r>
          <rPr>
            <b/>
            <sz val="8"/>
            <color indexed="81"/>
            <rFont val="Tahoma"/>
            <family val="2"/>
          </rPr>
          <t>DAGOBERTO:</t>
        </r>
        <r>
          <rPr>
            <sz val="8"/>
            <color indexed="81"/>
            <rFont val="Tahoma"/>
            <family val="2"/>
          </rPr>
          <t xml:space="preserve">
CONVENIO CON 4 ESCUELAS ADARLE UNA CONTRAPARTE, Y LA CANCHA DE JU LUPE</t>
        </r>
      </text>
    </comment>
    <comment ref="AJ88" authorId="0" shapeId="0">
      <text>
        <r>
          <rPr>
            <b/>
            <sz val="9"/>
            <color indexed="81"/>
            <rFont val="Tahoma"/>
            <family val="2"/>
          </rPr>
          <t>USER:</t>
        </r>
        <r>
          <rPr>
            <sz val="9"/>
            <color indexed="81"/>
            <rFont val="Tahoma"/>
            <family val="2"/>
          </rPr>
          <t xml:space="preserve">
30.000, QUE DIO EL MINISTERIO DE HACIENDA PARA HACER UN PARQUE EN EL ZONTE</t>
        </r>
      </text>
    </comment>
    <comment ref="AH93" authorId="1" shapeId="0">
      <text>
        <r>
          <rPr>
            <b/>
            <sz val="8"/>
            <color indexed="81"/>
            <rFont val="Tahoma"/>
            <family val="2"/>
          </rPr>
          <t>DAGOBERTO:</t>
        </r>
        <r>
          <rPr>
            <sz val="8"/>
            <color indexed="81"/>
            <rFont val="Tahoma"/>
            <family val="2"/>
          </rPr>
          <t xml:space="preserve">
Contrapartida a ANDA, para introducir agua potable a El balsamo y las Pacayas</t>
        </r>
      </text>
    </comment>
    <comment ref="AD95" authorId="0" shapeId="0">
      <text>
        <r>
          <rPr>
            <b/>
            <sz val="9"/>
            <color indexed="81"/>
            <rFont val="Tahoma"/>
            <family val="2"/>
          </rPr>
          <t>USER:</t>
        </r>
        <r>
          <rPr>
            <sz val="9"/>
            <color indexed="81"/>
            <rFont val="Tahoma"/>
            <family val="2"/>
          </rPr>
          <t xml:space="preserve">
CUOTA DE MENBRESIA DE AMUSDELI  DE AÑOS ANTERIORES, NOV, Y DIC, 2013 ASTA 2017
pago de facturas de año 2017 por pagar $4.672.17
</t>
        </r>
      </text>
    </comment>
    <comment ref="AH95" authorId="2" shapeId="0">
      <text>
        <r>
          <rPr>
            <b/>
            <sz val="9"/>
            <color indexed="81"/>
            <rFont val="Tahoma"/>
            <family val="2"/>
          </rPr>
          <t>Chiltuipan:</t>
        </r>
        <r>
          <rPr>
            <sz val="9"/>
            <color indexed="81"/>
            <rFont val="Tahoma"/>
            <family val="2"/>
          </rPr>
          <t xml:space="preserve">
saldo de proyectos anteriores de la G3- 03-01</t>
        </r>
      </text>
    </comment>
    <comment ref="AO95" authorId="2" shapeId="0">
      <text>
        <r>
          <rPr>
            <b/>
            <sz val="9"/>
            <color indexed="81"/>
            <rFont val="Tahoma"/>
            <family val="2"/>
          </rPr>
          <t>Chiltuipan:</t>
        </r>
        <r>
          <rPr>
            <sz val="9"/>
            <color indexed="81"/>
            <rFont val="Tahoma"/>
            <family val="2"/>
          </rPr>
          <t xml:space="preserve">
SALDO DE PROYECTOS ANTERIORES DE LA G4, 04-01</t>
        </r>
      </text>
    </comment>
  </commentList>
</comments>
</file>

<file path=xl/comments5.xml><?xml version="1.0" encoding="utf-8"?>
<comments xmlns="http://schemas.openxmlformats.org/spreadsheetml/2006/main">
  <authors>
    <author>USER</author>
  </authors>
  <commentList>
    <comment ref="J27" authorId="0" shapeId="0">
      <text>
        <r>
          <rPr>
            <b/>
            <sz val="9"/>
            <color indexed="81"/>
            <rFont val="Tahoma"/>
            <family val="2"/>
          </rPr>
          <t>USER:</t>
        </r>
        <r>
          <rPr>
            <sz val="9"/>
            <color indexed="81"/>
            <rFont val="Tahoma"/>
            <family val="2"/>
          </rPr>
          <t xml:space="preserve">
2.000, DOLARES PARA para limpieza y chapeo de los cementerio de chiltiupan siberia y julupe</t>
        </r>
      </text>
    </comment>
  </commentList>
</comments>
</file>

<file path=xl/comments6.xml><?xml version="1.0" encoding="utf-8"?>
<comments xmlns="http://schemas.openxmlformats.org/spreadsheetml/2006/main">
  <authors>
    <author>USER</author>
  </authors>
  <commentList>
    <comment ref="H26" authorId="0" shapeId="0">
      <text>
        <r>
          <rPr>
            <b/>
            <sz val="9"/>
            <color indexed="81"/>
            <rFont val="Tahoma"/>
            <family val="2"/>
          </rPr>
          <t>USER:</t>
        </r>
        <r>
          <rPr>
            <sz val="9"/>
            <color indexed="81"/>
            <rFont val="Tahoma"/>
            <family val="2"/>
          </rPr>
          <t xml:space="preserve">
PARA PAGO DE BASURA SI EN EL AÑO 2019 YA NO DAN PROLOGA A SO SE  DEJA PRESUPUESTADO LO DE  3 MESES DEL AÑO 2019 </t>
        </r>
      </text>
    </comment>
  </commentList>
</comments>
</file>

<file path=xl/comments7.xml><?xml version="1.0" encoding="utf-8"?>
<comments xmlns="http://schemas.openxmlformats.org/spreadsheetml/2006/main">
  <authors>
    <author>USER</author>
    <author>DAGOBERTO</author>
    <author>win10</author>
  </authors>
  <commentList>
    <comment ref="H46" authorId="0" shapeId="0">
      <text>
        <r>
          <rPr>
            <b/>
            <sz val="9"/>
            <color indexed="81"/>
            <rFont val="Tahoma"/>
            <family val="2"/>
          </rPr>
          <t>USER:</t>
        </r>
        <r>
          <rPr>
            <sz val="9"/>
            <color indexed="81"/>
            <rFont val="Tahoma"/>
            <family val="2"/>
          </rPr>
          <t xml:space="preserve">
ordenanza de medio ambiente </t>
        </r>
      </text>
    </comment>
    <comment ref="O49" authorId="1" shapeId="0">
      <text>
        <r>
          <rPr>
            <b/>
            <sz val="8"/>
            <color indexed="81"/>
            <rFont val="Tahoma"/>
            <family val="2"/>
          </rPr>
          <t>DAGOBERTO:</t>
        </r>
        <r>
          <rPr>
            <sz val="8"/>
            <color indexed="81"/>
            <rFont val="Tahoma"/>
            <family val="2"/>
          </rPr>
          <t xml:space="preserve">
Cuota de afiliacion a COMURES $ 14,400.00 ,
   pago al INSAFORP $ 1.459.53
  y  CDA, SON $100, ANUAL $1.200
Y MENBRESIA DE AMUSDELI, $3.600, ANUAL AÑO 2018</t>
        </r>
      </text>
    </comment>
    <comment ref="H50" authorId="2" shapeId="0">
      <text>
        <r>
          <rPr>
            <b/>
            <sz val="9"/>
            <color indexed="81"/>
            <rFont val="Tahoma"/>
            <family val="2"/>
          </rPr>
          <t>win10:</t>
        </r>
        <r>
          <rPr>
            <sz val="9"/>
            <color indexed="81"/>
            <rFont val="Tahoma"/>
            <family val="2"/>
          </rPr>
          <t xml:space="preserve">
pago de tarjetas de los vehiculos y camion de la basura de la alcaldia </t>
        </r>
      </text>
    </comment>
    <comment ref="H51" authorId="0" shapeId="0">
      <text>
        <r>
          <rPr>
            <b/>
            <sz val="9"/>
            <color indexed="81"/>
            <rFont val="Tahoma"/>
            <family val="2"/>
          </rPr>
          <t>USER:</t>
        </r>
        <r>
          <rPr>
            <sz val="9"/>
            <color indexed="81"/>
            <rFont val="Tahoma"/>
            <family val="2"/>
          </rPr>
          <t xml:space="preserve">
Cuota de afiliacion a COMURES $ 1,061.34 anual $12,736.08, para el año 2020
   pago al INSAFORP $ 1.459.53
  y  CDA, SON $100, ANUAL $1.200
Y MENBRESIA DE AMUSDELI, $3.600, ANUAL AÑO 2020</t>
        </r>
      </text>
    </comment>
    <comment ref="H56" authorId="0" shapeId="0">
      <text>
        <r>
          <rPr>
            <b/>
            <sz val="9"/>
            <color indexed="81"/>
            <rFont val="Tahoma"/>
            <family val="2"/>
          </rPr>
          <t>USER:</t>
        </r>
        <r>
          <rPr>
            <sz val="9"/>
            <color indexed="81"/>
            <rFont val="Tahoma"/>
            <family val="2"/>
          </rPr>
          <t xml:space="preserve">
PARA COMPRA DE OASIS, CAFETERA, VENTILADOR, RELOJ Y OTRAS MAS </t>
        </r>
      </text>
    </comment>
    <comment ref="H57" authorId="0" shapeId="0">
      <text>
        <r>
          <rPr>
            <b/>
            <sz val="9"/>
            <color indexed="81"/>
            <rFont val="Tahoma"/>
            <family val="2"/>
          </rPr>
          <t>USER:</t>
        </r>
        <r>
          <rPr>
            <sz val="9"/>
            <color indexed="81"/>
            <rFont val="Tahoma"/>
            <family val="2"/>
          </rPr>
          <t xml:space="preserve">
licencia de programa catastral 
</t>
        </r>
      </text>
    </comment>
    <comment ref="H58" authorId="0" shapeId="0">
      <text>
        <r>
          <rPr>
            <b/>
            <sz val="9"/>
            <color indexed="81"/>
            <rFont val="Tahoma"/>
            <family val="2"/>
          </rPr>
          <t>USER:</t>
        </r>
        <r>
          <rPr>
            <sz val="9"/>
            <color indexed="81"/>
            <rFont val="Tahoma"/>
            <family val="2"/>
          </rPr>
          <t xml:space="preserve">
MENBRESIA DE AÑOS ANTERIORES DE AMUSDELI, NOV, Y DIC,  ASTA </t>
        </r>
      </text>
    </comment>
  </commentList>
</comments>
</file>

<file path=xl/comments8.xml><?xml version="1.0" encoding="utf-8"?>
<comments xmlns="http://schemas.openxmlformats.org/spreadsheetml/2006/main">
  <authors>
    <author>win10</author>
    <author>Chiltuipan</author>
    <author>USER</author>
  </authors>
  <commentList>
    <comment ref="H21" authorId="0" shapeId="0">
      <text>
        <r>
          <rPr>
            <b/>
            <sz val="9"/>
            <color indexed="81"/>
            <rFont val="Tahoma"/>
            <family val="2"/>
          </rPr>
          <t>win10:</t>
        </r>
        <r>
          <rPr>
            <sz val="9"/>
            <color indexed="81"/>
            <rFont val="Tahoma"/>
            <family val="2"/>
          </rPr>
          <t xml:space="preserve">
aquí va lo del parque municipal  $17.000
Mejoramiento de calle y cancha de futbol canton santa marta
construccion de cancha en colonia espiritu santo canton el zonte
</t>
        </r>
      </text>
    </comment>
    <comment ref="H48" authorId="1" shapeId="0">
      <text>
        <r>
          <rPr>
            <b/>
            <sz val="9"/>
            <color indexed="81"/>
            <rFont val="Tahoma"/>
            <family val="2"/>
          </rPr>
          <t>Chiltuipan:</t>
        </r>
        <r>
          <rPr>
            <sz val="9"/>
            <color indexed="81"/>
            <rFont val="Tahoma"/>
            <family val="2"/>
          </rPr>
          <t xml:space="preserve">
318,58 agregando para cuadrar
</t>
        </r>
      </text>
    </comment>
    <comment ref="H51" authorId="2" shapeId="0">
      <text>
        <r>
          <rPr>
            <b/>
            <sz val="9"/>
            <color indexed="81"/>
            <rFont val="Tahoma"/>
            <family val="2"/>
          </rPr>
          <t>USER:</t>
        </r>
        <r>
          <rPr>
            <sz val="9"/>
            <color indexed="81"/>
            <rFont val="Tahoma"/>
            <family val="2"/>
          </rPr>
          <t xml:space="preserve">
PARA SEMILLA DE ORTALIZA DE EDUCO </t>
        </r>
      </text>
    </comment>
    <comment ref="I56" authorId="1" shapeId="0">
      <text>
        <r>
          <rPr>
            <b/>
            <sz val="9"/>
            <color indexed="81"/>
            <rFont val="Tahoma"/>
            <family val="2"/>
          </rPr>
          <t>Chiltuipan:</t>
        </r>
        <r>
          <rPr>
            <sz val="9"/>
            <color indexed="81"/>
            <rFont val="Tahoma"/>
            <family val="2"/>
          </rPr>
          <t xml:space="preserve">
combustible, cancha, recolector, ambulancia, para unidad de salud, para el zancudo</t>
        </r>
      </text>
    </comment>
    <comment ref="H68" authorId="2" shapeId="0">
      <text>
        <r>
          <rPr>
            <b/>
            <sz val="9"/>
            <color indexed="81"/>
            <rFont val="Tahoma"/>
            <family val="2"/>
          </rPr>
          <t>USER:</t>
        </r>
        <r>
          <rPr>
            <sz val="9"/>
            <color indexed="81"/>
            <rFont val="Tahoma"/>
            <family val="2"/>
          </rPr>
          <t xml:space="preserve">
PARA EQUIPOS INFORMATICOS DE CASA DE ENCUENTRO </t>
        </r>
      </text>
    </comment>
    <comment ref="H69" authorId="1" shapeId="0">
      <text>
        <r>
          <rPr>
            <b/>
            <sz val="9"/>
            <color indexed="81"/>
            <rFont val="Tahoma"/>
            <family val="2"/>
          </rPr>
          <t>Chiltuipan:</t>
        </r>
        <r>
          <rPr>
            <sz val="9"/>
            <color indexed="81"/>
            <rFont val="Tahoma"/>
            <family val="2"/>
          </rPr>
          <t xml:space="preserve">
PARA REPARAR CARRO DE LOS POLICIAS
RECOLECTOR</t>
        </r>
      </text>
    </comment>
    <comment ref="I70" authorId="1" shapeId="0">
      <text>
        <r>
          <rPr>
            <b/>
            <sz val="9"/>
            <color indexed="81"/>
            <rFont val="Tahoma"/>
            <family val="2"/>
          </rPr>
          <t>Chiltuipan:</t>
        </r>
        <r>
          <rPr>
            <sz val="9"/>
            <color indexed="81"/>
            <rFont val="Tahoma"/>
            <family val="2"/>
          </rPr>
          <t xml:space="preserve">
para reparar casa de encuentro y mantenimiento de agua potable, corinto, taquillo,las flores y siberia y los tres miradores </t>
        </r>
      </text>
    </comment>
    <comment ref="H71" authorId="2" shapeId="0">
      <text>
        <r>
          <rPr>
            <b/>
            <sz val="9"/>
            <color indexed="81"/>
            <rFont val="Tahoma"/>
            <family val="2"/>
          </rPr>
          <t>USER:</t>
        </r>
        <r>
          <rPr>
            <sz val="9"/>
            <color indexed="81"/>
            <rFont val="Tahoma"/>
            <family val="2"/>
          </rPr>
          <t xml:space="preserve">
1.000, dolares para desalojo de basura y ripio contra enfermedad del dengue
</t>
        </r>
      </text>
    </comment>
    <comment ref="H72" authorId="1" shapeId="0">
      <text>
        <r>
          <rPr>
            <b/>
            <sz val="9"/>
            <color indexed="81"/>
            <rFont val="Tahoma"/>
            <family val="2"/>
          </rPr>
          <t>Chiltuipan:</t>
        </r>
        <r>
          <rPr>
            <sz val="9"/>
            <color indexed="81"/>
            <rFont val="Tahoma"/>
            <family val="2"/>
          </rPr>
          <t xml:space="preserve">
IMPRECIONES DE BLOCCHUR, BANER, PUBLICACIONES, DE TURISMO</t>
        </r>
      </text>
    </comment>
    <comment ref="H73" authorId="2" shapeId="0">
      <text>
        <r>
          <rPr>
            <b/>
            <sz val="9"/>
            <color indexed="81"/>
            <rFont val="Tahoma"/>
            <family val="2"/>
          </rPr>
          <t>USER:</t>
        </r>
        <r>
          <rPr>
            <sz val="9"/>
            <color indexed="81"/>
            <rFont val="Tahoma"/>
            <family val="2"/>
          </rPr>
          <t xml:space="preserve">
PARA PAGO DE LA MAQUINA QUE AREGLO LA CANCHA TAQUILLO
</t>
        </r>
      </text>
    </comment>
    <comment ref="H74" authorId="2" shapeId="0">
      <text>
        <r>
          <rPr>
            <b/>
            <sz val="9"/>
            <color indexed="81"/>
            <rFont val="Tahoma"/>
            <family val="2"/>
          </rPr>
          <t>USER:</t>
        </r>
        <r>
          <rPr>
            <sz val="9"/>
            <color indexed="81"/>
            <rFont val="Tahoma"/>
            <family val="2"/>
          </rPr>
          <t xml:space="preserve">
PAGO DE LA CASA DE ENCUENTRO 
</t>
        </r>
      </text>
    </comment>
    <comment ref="H75" authorId="1" shapeId="0">
      <text>
        <r>
          <rPr>
            <b/>
            <sz val="9"/>
            <color indexed="81"/>
            <rFont val="Tahoma"/>
            <family val="2"/>
          </rPr>
          <t>Chiltuipan:</t>
        </r>
        <r>
          <rPr>
            <sz val="9"/>
            <color indexed="81"/>
            <rFont val="Tahoma"/>
            <family val="2"/>
          </rPr>
          <t xml:space="preserve">
pago de basura al puerto de la libertad</t>
        </r>
      </text>
    </comment>
    <comment ref="H78" authorId="1" shapeId="0">
      <text>
        <r>
          <rPr>
            <b/>
            <sz val="9"/>
            <color indexed="81"/>
            <rFont val="Tahoma"/>
            <family val="2"/>
          </rPr>
          <t>Chiltuipan:</t>
        </r>
        <r>
          <rPr>
            <sz val="9"/>
            <color indexed="81"/>
            <rFont val="Tahoma"/>
            <family val="2"/>
          </rPr>
          <t xml:space="preserve">
 proyectos  diversos 2020 $ 101,202.41
 fiestas patronales,2018, $ 20.000 
aquí va lo de turismo que son $ 20,000.00
proy, talleres a la violencia para jovenes del municipio $ 10.000.00
UNIDAD DE MEDIO AMBIENTE $10.000
UNIDAD DE LA MUJER $3.000
MEJORAMIENTO DE VIVIENDA EN CASERIO SAN JUAN $15.000
casa d encuentro juvenil lo que sobro $
Proyectos Diversos 2020 lo que sobro $
fomento al turismo lo que sobro $
</t>
        </r>
      </text>
    </comment>
    <comment ref="H83" authorId="1" shapeId="0">
      <text>
        <r>
          <rPr>
            <b/>
            <sz val="9"/>
            <color indexed="81"/>
            <rFont val="Tahoma"/>
            <family val="2"/>
          </rPr>
          <t>Chiltuipan:</t>
        </r>
        <r>
          <rPr>
            <sz val="9"/>
            <color indexed="81"/>
            <rFont val="Tahoma"/>
            <family val="2"/>
          </rPr>
          <t xml:space="preserve">
para el proyecto del cacao</t>
        </r>
      </text>
    </comment>
    <comment ref="I83" authorId="1" shapeId="0">
      <text>
        <r>
          <rPr>
            <b/>
            <sz val="9"/>
            <color indexed="81"/>
            <rFont val="Tahoma"/>
            <family val="2"/>
          </rPr>
          <t>Chiltuipan:</t>
        </r>
        <r>
          <rPr>
            <sz val="9"/>
            <color indexed="81"/>
            <rFont val="Tahoma"/>
            <family val="2"/>
          </rPr>
          <t xml:space="preserve">
proy, del cacao</t>
        </r>
      </text>
    </comment>
  </commentList>
</comments>
</file>

<file path=xl/comments9.xml><?xml version="1.0" encoding="utf-8"?>
<comments xmlns="http://schemas.openxmlformats.org/spreadsheetml/2006/main">
  <authors>
    <author>USER</author>
  </authors>
  <commentList>
    <comment ref="H10" authorId="0" shapeId="0">
      <text>
        <r>
          <rPr>
            <b/>
            <sz val="9"/>
            <color indexed="81"/>
            <rFont val="Tahoma"/>
            <family val="2"/>
          </rPr>
          <t>USER:</t>
        </r>
        <r>
          <rPr>
            <sz val="9"/>
            <color indexed="81"/>
            <rFont val="Tahoma"/>
            <family val="2"/>
          </rPr>
          <t xml:space="preserve">
AQUÍ AGREGUE EL SOBRANTE DE CAMINOS VECINALES 2018 QUE SON $6.380.34</t>
        </r>
      </text>
    </comment>
    <comment ref="H11" authorId="0" shapeId="0">
      <text>
        <r>
          <rPr>
            <b/>
            <sz val="9"/>
            <color indexed="81"/>
            <rFont val="Tahoma"/>
            <family val="2"/>
          </rPr>
          <t>USER:</t>
        </r>
        <r>
          <rPr>
            <sz val="9"/>
            <color indexed="81"/>
            <rFont val="Tahoma"/>
            <family val="2"/>
          </rPr>
          <t xml:space="preserve">
para proyecto concreteado pasaje la ronda vides</t>
        </r>
      </text>
    </comment>
    <comment ref="H25" authorId="0" shapeId="0">
      <text>
        <r>
          <rPr>
            <b/>
            <sz val="9"/>
            <color indexed="81"/>
            <rFont val="Tahoma"/>
            <family val="2"/>
          </rPr>
          <t>USER:</t>
        </r>
        <r>
          <rPr>
            <sz val="9"/>
            <color indexed="81"/>
            <rFont val="Tahoma"/>
            <family val="2"/>
          </rPr>
          <t xml:space="preserve">
PAGO DE ALQUILER DE LA MAQUINA PARA AREGLAR LAS CALLES </t>
        </r>
      </text>
    </comment>
    <comment ref="H27" authorId="0" shapeId="0">
      <text>
        <r>
          <rPr>
            <b/>
            <sz val="9"/>
            <color indexed="81"/>
            <rFont val="Tahoma"/>
            <family val="2"/>
          </rPr>
          <t>USER:</t>
        </r>
        <r>
          <rPr>
            <sz val="9"/>
            <color indexed="81"/>
            <rFont val="Tahoma"/>
            <family val="2"/>
          </rPr>
          <t xml:space="preserve">
para  pago del arquitecto 5% fodes
</t>
        </r>
      </text>
    </comment>
    <comment ref="H28" authorId="0" shapeId="0">
      <text>
        <r>
          <rPr>
            <b/>
            <sz val="9"/>
            <color indexed="81"/>
            <rFont val="Tahoma"/>
            <family val="2"/>
          </rPr>
          <t>USER:</t>
        </r>
        <r>
          <rPr>
            <sz val="9"/>
            <color indexed="81"/>
            <rFont val="Tahoma"/>
            <family val="2"/>
          </rPr>
          <t xml:space="preserve">
LAS COLAS DE LOS PROYECTOS 0401
mejoramiento de calle internas en canton el zonte$60.000
concreteado de calle la ronda poniente barrio santo domingo$20.000
concreteado de calle hacia la cooperativa las termopilas $15.000
Mejoramiento de calle principal canton el regadillo $31.614.95
mejoramiento de calle los pajales canton julupe $20.000
mejoramiento de calle a caserio rio mar canton taquillo $20.000
FORTALECIMIENTO A LA PRODUCTIVIDAD AGRICOLA $120.000</t>
        </r>
      </text>
    </comment>
    <comment ref="H29" authorId="0" shapeId="0">
      <text>
        <r>
          <rPr>
            <b/>
            <sz val="9"/>
            <color indexed="81"/>
            <rFont val="Tahoma"/>
            <family val="2"/>
          </rPr>
          <t>USER:</t>
        </r>
        <r>
          <rPr>
            <sz val="9"/>
            <color indexed="81"/>
            <rFont val="Tahoma"/>
            <family val="2"/>
          </rPr>
          <t xml:space="preserve">
para pago de carpetas 
</t>
        </r>
      </text>
    </comment>
  </commentList>
</comments>
</file>

<file path=xl/sharedStrings.xml><?xml version="1.0" encoding="utf-8"?>
<sst xmlns="http://schemas.openxmlformats.org/spreadsheetml/2006/main" count="11858" uniqueCount="1533">
  <si>
    <t>De los Nombramientos y Licencias.</t>
  </si>
  <si>
    <t>Viaticos</t>
  </si>
  <si>
    <t xml:space="preserve">Transporte </t>
  </si>
  <si>
    <t>Alimentación $</t>
  </si>
  <si>
    <t>Chiltiupan  a Cantones,Julupe, el Zonte, Regadio</t>
  </si>
  <si>
    <t>Chiltiupan  a Canton  Taquillo</t>
  </si>
  <si>
    <t>Chiltiupan a  Ciudad Puerto La Libertad</t>
  </si>
  <si>
    <t>Chiltiupan  a Santa Tecla - San Salvador</t>
  </si>
  <si>
    <t>Chiltiupan,  otros lugares no especificados</t>
  </si>
  <si>
    <t>V/  según gastos de transporte</t>
  </si>
  <si>
    <t>Otras misiones especiales , deberán tener acuerdo específico.  Para comisiones fuera del país, los fijará el Concejo Municipal.</t>
  </si>
  <si>
    <t>JORGE LUIS DIAZ MORALES</t>
  </si>
  <si>
    <t>RAFAEL EDGAR IRAHETA NAVIDAD</t>
  </si>
  <si>
    <t>ALCALDE MUNICIPAL</t>
  </si>
  <si>
    <t xml:space="preserve">            SINDICO MUNICIPAL</t>
  </si>
  <si>
    <t xml:space="preserve">               SEGUNDO REGIDOR</t>
  </si>
  <si>
    <t xml:space="preserve"> TERCER REGIDOR</t>
  </si>
  <si>
    <t xml:space="preserve"> CUARTO REGIROR</t>
  </si>
  <si>
    <t>QUINTO REGIDOR</t>
  </si>
  <si>
    <t>SEXTO REGIDOR</t>
  </si>
  <si>
    <t xml:space="preserve"> PRIMER REGIDOR SUPLENTE</t>
  </si>
  <si>
    <t xml:space="preserve">           SEGUNDO REGIDOR SUPLENTE</t>
  </si>
  <si>
    <t>TERCER REGIDOR SUPLENTE</t>
  </si>
  <si>
    <t xml:space="preserve">          CUARTO REGIDOR SUPLENTE</t>
  </si>
  <si>
    <r>
      <t>De los nombramientos de Funcionarios y Empleados y otros</t>
    </r>
    <r>
      <rPr>
        <b/>
        <sz val="10"/>
        <rFont val="Trebuchet MS"/>
        <family val="2"/>
      </rPr>
      <t xml:space="preserve"> </t>
    </r>
    <r>
      <rPr>
        <b/>
        <i/>
        <sz val="10"/>
        <rFont val="Trebuchet MS"/>
        <family val="2"/>
      </rPr>
      <t>compromisos</t>
    </r>
  </si>
  <si>
    <r>
      <t>e)</t>
    </r>
    <r>
      <rPr>
        <sz val="10"/>
        <rFont val="Trebuchet MS"/>
        <family val="2"/>
      </rPr>
      <t>        Por regla general se entenderá que el acuerdo por el cual se separa a una persona de determinado empleo, da fin a las relaciones jurídicas existentes entre la entidad y el empleado, mas si se trata de cargos que por su índole especial no pueden permanecer vacantes, sin causar perjuicios a la Administración, dichas relaciones subsistirán mientras no se presente a tomar posesión el sustituto designado legalmente, en cuyo caso debe tenerse como en posesión legal de su cargo el empleado saliente.</t>
    </r>
  </si>
  <si>
    <r>
      <t>a)</t>
    </r>
    <r>
      <rPr>
        <sz val="10"/>
        <rFont val="Trebuchet MS"/>
        <family val="2"/>
      </rPr>
      <t>        Que sean de carácter profesional o técnico y no de índole administrativa;</t>
    </r>
  </si>
  <si>
    <r>
      <t>b)</t>
    </r>
    <r>
      <rPr>
        <sz val="10"/>
        <rFont val="Trebuchet MS"/>
        <family val="2"/>
      </rPr>
      <t>        Que las labores a desempeñar por el contratista sean propias de su profesión o técnica; y</t>
    </r>
  </si>
  <si>
    <r>
      <t>c)</t>
    </r>
    <r>
      <rPr>
        <sz val="10"/>
        <rFont val="Trebuchet MS"/>
        <family val="2"/>
      </rPr>
      <t>        Que aún cuando sean de carácter profesional o técnico no constituyan una actividad regular y continua dentro de la entidad contratante.</t>
    </r>
  </si>
  <si>
    <t>ESTRUCTURA PRESUPUESTARIA</t>
  </si>
  <si>
    <t>(En Dolares de los Estados Unidos de America)</t>
  </si>
  <si>
    <t>FORMULACION DEL PRESUPUESTO MUNICIPAL DE EGRESOS</t>
  </si>
  <si>
    <t>(En Dolares de los Estados Unidos de América)</t>
  </si>
  <si>
    <t>DETALLE CONSOLIDADO DE EGRESOS POR ESPECIFICO Y ESTRUCTURA PRESUPUESTARIA</t>
  </si>
  <si>
    <t>(1) Objeto Específico</t>
  </si>
  <si>
    <t>(4) FODES</t>
  </si>
  <si>
    <t>(8) SUBTOTAL</t>
  </si>
  <si>
    <t>(4) TOTAL</t>
  </si>
  <si>
    <t>(5)TOTAL EGRESOS</t>
  </si>
  <si>
    <t>(1) Area de Gestión</t>
  </si>
  <si>
    <t>(2) Unidd Presupuestaria</t>
  </si>
  <si>
    <t>(3) Linea de Trabajo</t>
  </si>
  <si>
    <t>(5) Subfuente de Financiamiento</t>
  </si>
  <si>
    <t>(6) Objeto Específico</t>
  </si>
  <si>
    <t>(7) DENOMINACIÓN</t>
  </si>
  <si>
    <t>(4) Fuente de Financiamiento</t>
  </si>
  <si>
    <t>TOTAL INVERSION  F.O.D.E.S 75 %</t>
  </si>
  <si>
    <t>PRESUPUESTO MUNICIPAL DE FUNCIONAMIENTO POR ESTRUCTURA PRESUPUESTARIA</t>
  </si>
  <si>
    <t>DETALLE CONSOLIDADO DE INGRESOS POR ESPECIFICO Y FUENTE DE FINANCIAMIENTO</t>
  </si>
  <si>
    <t>PRESUPUESTO MUNICIPAL DE INVERSION POR ESTRUCTURA PRESUPUESTARIA</t>
  </si>
  <si>
    <t>PRESUPUESTO MUNICIPAL DEL SERVICIO DE LA DEUDA POR ESTRUCTURA PRESUPUESTARIA</t>
  </si>
  <si>
    <t>(8) MONTO</t>
  </si>
  <si>
    <t>Alumbrado Público</t>
  </si>
  <si>
    <t>Permisos y Licencias Municipales</t>
  </si>
  <si>
    <t>Cotejo de Fierros</t>
  </si>
  <si>
    <t>51101</t>
  </si>
  <si>
    <t>Sueldos</t>
  </si>
  <si>
    <t>Miner. Metalicos y Prod. Der.</t>
  </si>
  <si>
    <t>Miner. No Metalicos y Prod. Der.</t>
  </si>
  <si>
    <t>01</t>
  </si>
  <si>
    <t>2</t>
  </si>
  <si>
    <t>02</t>
  </si>
  <si>
    <t>1</t>
  </si>
  <si>
    <t>110</t>
  </si>
  <si>
    <t>03</t>
  </si>
  <si>
    <t>111</t>
  </si>
  <si>
    <t>HORAS  EXTRAORDINARIAS</t>
  </si>
  <si>
    <t>000</t>
  </si>
  <si>
    <t>05</t>
  </si>
  <si>
    <t>04</t>
  </si>
  <si>
    <t>Comercio</t>
  </si>
  <si>
    <t>Industria</t>
  </si>
  <si>
    <t>Servicios</t>
  </si>
  <si>
    <t>Bares y Restaurantes</t>
  </si>
  <si>
    <t>Transportes</t>
  </si>
  <si>
    <t>Vilalidad</t>
  </si>
  <si>
    <t>Impuestos Municipales Diversos</t>
  </si>
  <si>
    <t>Servicios de Certificación</t>
  </si>
  <si>
    <t>Expedicion de documentos de identifica.</t>
  </si>
  <si>
    <t>Casetas Telefonicas</t>
  </si>
  <si>
    <t>Cementerios Municipales</t>
  </si>
  <si>
    <t>Desechos</t>
  </si>
  <si>
    <t>Fiestas</t>
  </si>
  <si>
    <t>Mercados</t>
  </si>
  <si>
    <t>Pavimentación</t>
  </si>
  <si>
    <t>Postes, Torres y Antenas</t>
  </si>
  <si>
    <t>Rastro y Tiangue</t>
  </si>
  <si>
    <t>Tasas Diversas</t>
  </si>
  <si>
    <t>Derechos Diversos</t>
  </si>
  <si>
    <t>Servicios básicos</t>
  </si>
  <si>
    <t>Servicios diversos</t>
  </si>
  <si>
    <t>Multas  por pago de Impuestos</t>
  </si>
  <si>
    <t>Intereses por Mora Impuestos</t>
  </si>
  <si>
    <t>Multas  por Registro Civil</t>
  </si>
  <si>
    <t>Rentabilidad de Ctas.Bancarias</t>
  </si>
  <si>
    <t>Ingresos Diversos</t>
  </si>
  <si>
    <t>Transferencias Corrientes del Sec.Pub</t>
  </si>
  <si>
    <t>Transferencias Corrientes de Cap.Pub</t>
  </si>
  <si>
    <t>Transferencias Ctes .de Cap.Pub FISDL</t>
  </si>
  <si>
    <t>Transferencias Ctes .de Cap.Pub. PFGL</t>
  </si>
  <si>
    <t>Saldo Inicial en Caja</t>
  </si>
  <si>
    <t>Saldo Inicial en Banco</t>
  </si>
  <si>
    <t>Cuentas por cobrar  de  años anteriores</t>
  </si>
  <si>
    <t>De empresas publicas financieras</t>
  </si>
  <si>
    <t>TOTALES</t>
  </si>
  <si>
    <t>55302</t>
  </si>
  <si>
    <t>71304</t>
  </si>
  <si>
    <t>55304</t>
  </si>
  <si>
    <t>De Instituciones Desentralizadas no Empresariales</t>
  </si>
  <si>
    <t>De Empresas Publicas Financieras</t>
  </si>
  <si>
    <t>ALCALDIA MUNICIPAL DE CHILTIUPAN</t>
  </si>
  <si>
    <t>DEPARTAMENTO DE LA LIBERTAD</t>
  </si>
  <si>
    <t>SUELDOS</t>
  </si>
  <si>
    <t>51103</t>
  </si>
  <si>
    <t>AGUINALDOS</t>
  </si>
  <si>
    <t>51105</t>
  </si>
  <si>
    <t>DIETAS</t>
  </si>
  <si>
    <t>SUELDOS POR JORNAL</t>
  </si>
  <si>
    <t>51203</t>
  </si>
  <si>
    <t>HORAS EXTRAORDINARIAS</t>
  </si>
  <si>
    <t>BENEFICIOS EXTRAORDINARIAS</t>
  </si>
  <si>
    <t>51401</t>
  </si>
  <si>
    <t>CONTRIB PAT.INST.SEG.PUB</t>
  </si>
  <si>
    <t>51501</t>
  </si>
  <si>
    <t>CONTRIB PAT.INST.SEG.PRIV.</t>
  </si>
  <si>
    <t>REMUNERACIONES DIVERSAS</t>
  </si>
  <si>
    <t>PASAJES AL INTERIOR</t>
  </si>
  <si>
    <t>VIATICOS AL INTERIOR</t>
  </si>
  <si>
    <t>SERVICIOS JURIDICOS</t>
  </si>
  <si>
    <t>CONSULT., ESTUDIOS  E INVESTIG. DIVIERSAS</t>
  </si>
  <si>
    <t>LIMPIEZA DE  DE CALLES</t>
  </si>
  <si>
    <t>DEPOSITOS DE DESECHOS</t>
  </si>
  <si>
    <t>RECOLECCION DE DESECHOS</t>
  </si>
  <si>
    <t>SERVICIOS DIVERSOS</t>
  </si>
  <si>
    <t>DE INSTITUCIONES DESENTRALIZADAS NO EMPRESARIALES</t>
  </si>
  <si>
    <t>PRIMAS Y GASTOS DE SEGUROS DE BIENES</t>
  </si>
  <si>
    <t>COMISION Y GASTOS BANCARIOS</t>
  </si>
  <si>
    <t>GASTOS DIVERSOS</t>
  </si>
  <si>
    <t>TRANSFERENCIAS CORRIENTES</t>
  </si>
  <si>
    <t>TRANSFERENCIAS CORRIENTES AL SECTOR PUBLICO</t>
  </si>
  <si>
    <t>ORGANISMOS SIN FINES DE LUCRO</t>
  </si>
  <si>
    <t>A PERSONAS NATURALES</t>
  </si>
  <si>
    <t>BECAS</t>
  </si>
  <si>
    <t>61104</t>
  </si>
  <si>
    <t>EQUIPOS INFORMATICOS</t>
  </si>
  <si>
    <t>61199</t>
  </si>
  <si>
    <t>BIENES MUEBLES DIVERSOS</t>
  </si>
  <si>
    <t>61201</t>
  </si>
  <si>
    <t>TERRENOS</t>
  </si>
  <si>
    <t>61403</t>
  </si>
  <si>
    <t>DERECHOS  DE  PROPIEDAD  INTELECTUAL</t>
  </si>
  <si>
    <t>PROYECTOS Y PROGRAMAS DE INVERSION DIVERSA</t>
  </si>
  <si>
    <t>VIALES</t>
  </si>
  <si>
    <t>DE SALUD Y SANEAMIENTO AMBIENTAL</t>
  </si>
  <si>
    <t>DE EDUCACION Y RECREACION</t>
  </si>
  <si>
    <t>ELECTRICAS Y COMUNICACIONES</t>
  </si>
  <si>
    <t>SUPERVISION DE INFRAESTRUCTURAS</t>
  </si>
  <si>
    <t>OBRAS DE INFRAESTRUCTURA DIVERSAS</t>
  </si>
  <si>
    <t>CUENTAS POR PAGAR AÑOS ANTERIORES</t>
  </si>
  <si>
    <t>PRODUCTOS ALIMENTICIOS P/PERSONAS</t>
  </si>
  <si>
    <t>PRODUCTOS AGROPECUARIOS Y FORESTAL</t>
  </si>
  <si>
    <t>PRODUCTOS TEXTILES</t>
  </si>
  <si>
    <t>PRODUCTOS  PAPEL Y CARTON</t>
  </si>
  <si>
    <t>PRODUCTOS QUIMICOS</t>
  </si>
  <si>
    <t>PRODUCTOS FARMACEUTICOS Y MEDICINALES</t>
  </si>
  <si>
    <t>LLANTAS Y NEUMATICOS</t>
  </si>
  <si>
    <t>COMBUSTIBLES Y LUBRICANTES</t>
  </si>
  <si>
    <t>MINERALES NO METALICOS Y PROD.DERIVADOS</t>
  </si>
  <si>
    <t>MINERALES METALICOS Y PRODUCTOS DERV.</t>
  </si>
  <si>
    <t>MATERIALES DE OFICINA</t>
  </si>
  <si>
    <t>MATERIALES INFORMATICOS</t>
  </si>
  <si>
    <t>MATERIALES DE DEFENSA Y SEG.PUBLICA</t>
  </si>
  <si>
    <t>HERRAMIENTAS, REPUESTOS Y ACCESOR.</t>
  </si>
  <si>
    <t>MATERIALES ELECTRICOS</t>
  </si>
  <si>
    <t>ESPECIES MUNICIPALES DIVERSAS</t>
  </si>
  <si>
    <t>BIENES DE USO Y CONSUMO DIVERSO</t>
  </si>
  <si>
    <t>ENERGIA ELECTRICA</t>
  </si>
  <si>
    <t>SERVICIO DE AGUA</t>
  </si>
  <si>
    <t>TELECOMUNICACIONES</t>
  </si>
  <si>
    <t>CORREOS</t>
  </si>
  <si>
    <t>ALUMBRADO PUBLICO</t>
  </si>
  <si>
    <t>MANT.REPARACION BIENES MUEBLES</t>
  </si>
  <si>
    <t>MANT.REPARACION DE VEHICULOS</t>
  </si>
  <si>
    <t>MANT. REPARACION BIENES INMUEBLES</t>
  </si>
  <si>
    <t>TRANSPORTES, FLETES Y ALMACENAMIENTO</t>
  </si>
  <si>
    <t>SERVICIOS DE PUBLICIDAD</t>
  </si>
  <si>
    <t>IMPRESIONES, PUBLICAC. Y REPRODUC.</t>
  </si>
  <si>
    <t>ATENCIONES OFICIALES</t>
  </si>
  <si>
    <t>ARRENDAMIENTO DE BIENES MUEBLES</t>
  </si>
  <si>
    <t>ARRENDAMIENTO DE BIENES INMUEBLES</t>
  </si>
  <si>
    <t>SERVICIOS GENERALES DIVERSOS</t>
  </si>
  <si>
    <t>HONORARIOS</t>
  </si>
  <si>
    <t>TRANSPORTES</t>
  </si>
  <si>
    <t>CONSULTORIAS,ESTUDIOS E INVESTIGACIONES</t>
  </si>
  <si>
    <t>PRIMAS Y GASTOS SEGUROS DE BIENES</t>
  </si>
  <si>
    <t xml:space="preserve">MOBILIARIOS </t>
  </si>
  <si>
    <t>MAQUINARIA Y EQUIPO</t>
  </si>
  <si>
    <t>DERECHOS DE PROPIEDAD INTELECTUAL</t>
  </si>
  <si>
    <t>CUENTAS X PAGAR AÑOS ANTERIORES</t>
  </si>
  <si>
    <t>TOTAL</t>
  </si>
  <si>
    <t>COMICIONES Y GASTOS BANCARIOS</t>
  </si>
  <si>
    <t>SUB 'TOTAL</t>
  </si>
  <si>
    <t>GRAN TOTAL</t>
  </si>
  <si>
    <t>SERVICIOS DE CONTABILIDAD Y AUDITORIA</t>
  </si>
  <si>
    <t>51207</t>
  </si>
  <si>
    <t>BENEFICIOS ADICIONALES</t>
  </si>
  <si>
    <t xml:space="preserve"> AL SECTOR PUBLICO</t>
  </si>
  <si>
    <t>SALARIOS POR JORNAL</t>
  </si>
  <si>
    <t>Sueldos por jornal</t>
  </si>
  <si>
    <t>51202</t>
  </si>
  <si>
    <t>productos Quimicos</t>
  </si>
  <si>
    <t xml:space="preserve"> PRESUPUESTO MUNICIPAL DE EGRESOS</t>
  </si>
  <si>
    <t>VIATICOS POR COMISION  EXTERNA</t>
  </si>
  <si>
    <t>PRIMAS Y GASTOS DE SEGUROS DE PERSONAS</t>
  </si>
  <si>
    <t>MOBILIARIOS</t>
  </si>
  <si>
    <t>DE EMPRESAS PUBLICAS FINANCIERAS</t>
  </si>
  <si>
    <t>(2) Unidad Presupuestaria</t>
  </si>
  <si>
    <t>Cta. Ctb.</t>
  </si>
  <si>
    <t>Nombre de la Cuenta</t>
  </si>
  <si>
    <t>Saldo</t>
  </si>
  <si>
    <t>A Gestion</t>
  </si>
  <si>
    <t>Fdo Mpal</t>
  </si>
  <si>
    <t>FISDL</t>
  </si>
  <si>
    <t xml:space="preserve">OTROS- CREDITOS </t>
  </si>
  <si>
    <t>Caja  General</t>
  </si>
  <si>
    <t>A G 1</t>
  </si>
  <si>
    <t>Caja  Chica</t>
  </si>
  <si>
    <t>25 % FODES,  PARA ADMINISTRACION</t>
  </si>
  <si>
    <t>75 % FODES PARA INVERSION</t>
  </si>
  <si>
    <t>A G 4</t>
  </si>
  <si>
    <t>A G 3</t>
  </si>
  <si>
    <t>FISDL  PARA INVERSION</t>
  </si>
  <si>
    <t>CREDITOS</t>
  </si>
  <si>
    <t>FONDOS PROPIOS</t>
  </si>
  <si>
    <t>Caja General</t>
  </si>
  <si>
    <t>Fondo Municipal</t>
  </si>
  <si>
    <t>TRANSF. INTERESES  GENERADOS EN CUENTA DE AHORROS</t>
  </si>
  <si>
    <t xml:space="preserve">TOTAL </t>
  </si>
  <si>
    <t>FONDOS PARA GASTOS DE  ADMINISTRACION.  25  %  F.O.D.E.S</t>
  </si>
  <si>
    <t>TOTAL FODES</t>
  </si>
  <si>
    <t>FONDOS PARA INVERSION  75 % F.O.D.E.S</t>
  </si>
  <si>
    <t>FODES 25%</t>
  </si>
  <si>
    <t>FODES 75%</t>
  </si>
  <si>
    <t>FONDOS DEL  F I S D L</t>
  </si>
  <si>
    <t>G R A N      T O T A L</t>
  </si>
  <si>
    <t>INGRESOS PROPIOS DE LOS ULTIMOS   5  AÑOS, PARA  ESTABLECER   UNA  MEDIA  SIMPLE</t>
  </si>
  <si>
    <t>AÑOS</t>
  </si>
  <si>
    <t>METODO DE MEDIA SIMPLE</t>
  </si>
  <si>
    <t>METODO DE  REGRESION LINEAL</t>
  </si>
  <si>
    <t>IMPUESTOS</t>
  </si>
  <si>
    <t>IMPUESTOS MUNICIPALES</t>
  </si>
  <si>
    <t>Financiero</t>
  </si>
  <si>
    <t>Bares  y Restaurantes</t>
  </si>
  <si>
    <t>Vialidad</t>
  </si>
  <si>
    <t>TASAS  Y DERECHOS</t>
  </si>
  <si>
    <t>TASAS DE SERVICIOS PUBLICOS</t>
  </si>
  <si>
    <t>Exp.Doc. De  Ident.Carné de Minoridad</t>
  </si>
  <si>
    <t>Terminal de Buses</t>
  </si>
  <si>
    <t xml:space="preserve">DERECHOS  </t>
  </si>
  <si>
    <t>VENTA DE BIENES Y SERVICIOS</t>
  </si>
  <si>
    <t>INGRESOS POR PRES. DE SER. PUB</t>
  </si>
  <si>
    <t>Servicios básicos  ( agua)</t>
  </si>
  <si>
    <t>INGRESOS FINANCIEROS Y OTROS</t>
  </si>
  <si>
    <t>MULTAS E INTERESES POR MORA</t>
  </si>
  <si>
    <t>Multas  por pago de impuestos</t>
  </si>
  <si>
    <t>Multaspor Registro Civil</t>
  </si>
  <si>
    <t>Otras multas Municipales</t>
  </si>
  <si>
    <t xml:space="preserve">ARRENDAMIENTO DE BIENES   </t>
  </si>
  <si>
    <t>Arrendamiento de Bienes Diversos</t>
  </si>
  <si>
    <t>OTROS INGRESOS NO CLASIFICADOS</t>
  </si>
  <si>
    <t>Diferenciales Bancarios</t>
  </si>
  <si>
    <t xml:space="preserve">TRANSFERENCIAS CORRIENTES  </t>
  </si>
  <si>
    <t>TRANS. CTES DEL SECTOR PUBLICO</t>
  </si>
  <si>
    <t>TRANSFERENCIAS DE CAPITAL</t>
  </si>
  <si>
    <t>TRANS. CAP.SECTOR PUBLICO</t>
  </si>
  <si>
    <t>SALDOS DE AÑOS ANTERIORES</t>
  </si>
  <si>
    <t>CTAS.X COBRAR AÑOS ANTERIORES</t>
  </si>
  <si>
    <t>Cuentas x cobrar  de años anteriores</t>
  </si>
  <si>
    <t>METODO  DE REGRESION LINEAL</t>
  </si>
  <si>
    <t>X</t>
  </si>
  <si>
    <t>Y     INGRESOS ANUALES</t>
  </si>
  <si>
    <t>X   Y</t>
  </si>
  <si>
    <t>Formula =  a+bx</t>
  </si>
  <si>
    <t>a   =</t>
  </si>
  <si>
    <t>esto se lee,sumatoria de  de Y entre 5 años</t>
  </si>
  <si>
    <t>N</t>
  </si>
  <si>
    <t>b   =</t>
  </si>
  <si>
    <t>esto se lee,sumatoria de XY entre 10,  y este 10 es un factor ya definido para esta formula</t>
  </si>
  <si>
    <t>X =  3</t>
  </si>
  <si>
    <t>esto es  el  producto de    a  y  b</t>
  </si>
  <si>
    <t>Y  =</t>
  </si>
  <si>
    <t>x 3</t>
  </si>
  <si>
    <t>Δ =</t>
  </si>
  <si>
    <t xml:space="preserve">Δ = </t>
  </si>
  <si>
    <t>( INGRESO DE FONDOS PROPIOS, EN  LOS  ULTIMOS  5 AÑOS  )</t>
  </si>
  <si>
    <t>ALCALDIA MUNCIPAL DE CHILTIUPAN, DEPARTAMENTO DE  LA LIBERTAD</t>
  </si>
  <si>
    <t>No.</t>
  </si>
  <si>
    <t>Nombres del Empleado</t>
  </si>
  <si>
    <t>Cargo o Puesto</t>
  </si>
  <si>
    <t>Depto.</t>
  </si>
  <si>
    <t>sub- Linea</t>
  </si>
  <si>
    <t>Sistema de remuneración</t>
  </si>
  <si>
    <t>SALARIO</t>
  </si>
  <si>
    <t>Aportes Por Contribuciones Patronales</t>
  </si>
  <si>
    <t>Seg.Soc.Priv.</t>
  </si>
  <si>
    <t>Seguridad Social Publica</t>
  </si>
  <si>
    <t>Mensual</t>
  </si>
  <si>
    <t>Anual</t>
  </si>
  <si>
    <t>Aguinaldo</t>
  </si>
  <si>
    <t>ISSS 7.5%</t>
  </si>
  <si>
    <t>INSAFORP</t>
  </si>
  <si>
    <t>Total</t>
  </si>
  <si>
    <t>Alcalde  Municipal</t>
  </si>
  <si>
    <t>Despacho</t>
  </si>
  <si>
    <t>0101</t>
  </si>
  <si>
    <t>Ley de Salario</t>
  </si>
  <si>
    <t>Secretaria  Municipal</t>
  </si>
  <si>
    <t>Secretaría</t>
  </si>
  <si>
    <t>SUB-TOTAL   ( LINEA 0101)</t>
  </si>
  <si>
    <t>0102</t>
  </si>
  <si>
    <t>Catastro</t>
  </si>
  <si>
    <t>Jefe de la U.A.C.I.</t>
  </si>
  <si>
    <t>U.A.C.I.</t>
  </si>
  <si>
    <t>Contrato</t>
  </si>
  <si>
    <t>Contador</t>
  </si>
  <si>
    <t>Contabilidad</t>
  </si>
  <si>
    <t xml:space="preserve"> SUB- TOTAL  ( LINEA 0102)</t>
  </si>
  <si>
    <t>Jefe del Reg. Del Estado Familiar</t>
  </si>
  <si>
    <t>Reg. Del Estado Fam.</t>
  </si>
  <si>
    <t>0201</t>
  </si>
  <si>
    <t>SUB-TOTAL (LINEA 0201)</t>
  </si>
  <si>
    <t>Fontanero</t>
  </si>
  <si>
    <t>0202</t>
  </si>
  <si>
    <t>Promotor Social</t>
  </si>
  <si>
    <t>Promocion Social</t>
  </si>
  <si>
    <t>Policia Municipal</t>
  </si>
  <si>
    <t>Medio Ambiente</t>
  </si>
  <si>
    <t>SUB TOTAL ( LINEA  0101) + (LINEA 0102) + (LINEA 0201)+(LINEA 0202)</t>
  </si>
  <si>
    <t>DIETAS A CONCEJALES</t>
  </si>
  <si>
    <t>Auditoria Interna</t>
  </si>
  <si>
    <t>Distribución del gasto presupuestado  en personal ,  por líneas de trabajo ,  y   por  fuente  de recursos</t>
  </si>
  <si>
    <t>Pago  de sueldos, dietas y  aguinaldos</t>
  </si>
  <si>
    <t>Contribuciones    Patronales</t>
  </si>
  <si>
    <t>TOTAL   SUELDOS</t>
  </si>
  <si>
    <t>Totales</t>
  </si>
  <si>
    <t>0101       Dir. Y Administ. Superior</t>
  </si>
  <si>
    <t>A  Instit. De Seg.Publica</t>
  </si>
  <si>
    <t>0102  Adm. Financiera y Tribut.</t>
  </si>
  <si>
    <t>0101      Dir. Y Administ. Superior</t>
  </si>
  <si>
    <t>0201     Serv. Internos</t>
  </si>
  <si>
    <t>0102    Adm. Financiera y Tribut.</t>
  </si>
  <si>
    <t>0202     Serv. Externos</t>
  </si>
  <si>
    <t>0201   Serv. Internos</t>
  </si>
  <si>
    <t>0202   Serv. Externos</t>
  </si>
  <si>
    <t>Dietas</t>
  </si>
  <si>
    <t>Pagar con fdo. Mppal.</t>
  </si>
  <si>
    <t>Dietas a Regidores y Sindico</t>
  </si>
  <si>
    <t>A Inst.de Seg. Privada</t>
  </si>
  <si>
    <t>0101     Dir. Y Administ. Superior</t>
  </si>
  <si>
    <t>0101        Dir. Y Administ. Superior</t>
  </si>
  <si>
    <t>0102   Adm. Financiera y Tribut.</t>
  </si>
  <si>
    <t>0101   'Tranf. Sector Publico. INSAFORP</t>
  </si>
  <si>
    <t>DIFERENCIA</t>
  </si>
  <si>
    <t>ALCALDIA MUNCIPAL DE CHILTIUPAN</t>
  </si>
  <si>
    <t>FODES  25  % - FF1</t>
  </si>
  <si>
    <t>COD.</t>
  </si>
  <si>
    <t>0201  servicios Intitucionales</t>
  </si>
  <si>
    <t>0202 servicios externos</t>
  </si>
  <si>
    <t>SUB TOTAL</t>
  </si>
  <si>
    <t>CONCEPTO</t>
  </si>
  <si>
    <t>51201</t>
  </si>
  <si>
    <t>51301</t>
  </si>
  <si>
    <t>SUB-TOTAL</t>
  </si>
  <si>
    <t>FONDOS PROPIOS - FF2</t>
  </si>
  <si>
    <t>0101 Direccion Superior</t>
  </si>
  <si>
    <t>0102 Administración Financiera y Tributaria</t>
  </si>
  <si>
    <t>REMUNERACIONES EN LAS 2 FUENTES DE FINANCIAMIENTO</t>
  </si>
  <si>
    <t>0302</t>
  </si>
  <si>
    <t>APOYO  A  CENTROS  ESCOLARES</t>
  </si>
  <si>
    <t>APOYO A LO SOCIAL</t>
  </si>
  <si>
    <t>3</t>
  </si>
  <si>
    <t>4</t>
  </si>
  <si>
    <t>MINERALES NO METALICOS Y PROD. DERIVADOS</t>
  </si>
  <si>
    <t>MINERALES  METALICOS Y PROD. DERIVADOS</t>
  </si>
  <si>
    <t>TRANSP.  FLETES Y ALMACENAMIENTO</t>
  </si>
  <si>
    <t>SUPERVISION</t>
  </si>
  <si>
    <t>TRANSPORTES FLETES Y ALMACENAMIENTOS</t>
  </si>
  <si>
    <t>56304</t>
  </si>
  <si>
    <t>ELECTRICAS Y DE COMUNCACIONES</t>
  </si>
  <si>
    <t>OBRAS DE INFRAESTRUCTURAS DIVERSAS</t>
  </si>
  <si>
    <t>APOYO AL DEPORTE</t>
  </si>
  <si>
    <t>Los viáticos  y   pasajes, en comisiones oficiales que cumplan funcionarios, empleados y demás trabajadores se autorizan de conformidad al detalle siguiente:</t>
  </si>
  <si>
    <t>(5) Sub fuente de Financiamiento</t>
  </si>
  <si>
    <t xml:space="preserve">ALCALDIA  MUNICIPAL  DE CHILTIUPAN,  </t>
  </si>
  <si>
    <t>LA MUNICIPALIDAD DE CHILTIUPÁN</t>
  </si>
  <si>
    <t>DEPARTAMENTO DE LA LIBERTAD.</t>
  </si>
  <si>
    <t>En uso de las facultades que le confiere el Art. 30 numeral 7 del Código  Municipal,</t>
  </si>
  <si>
    <t>ACUERDA:</t>
  </si>
  <si>
    <t xml:space="preserve">Art. 1.- Apruébese el Presupuesto de Ingresos y Egresos del Municipio de Chiltiupán, con sus Disposiciones Generales. </t>
  </si>
  <si>
    <t>EN DÓLARES AMERICANOS</t>
  </si>
  <si>
    <t>PRIMERA PARTE</t>
  </si>
  <si>
    <t>RUBRO</t>
  </si>
  <si>
    <t xml:space="preserve">             TOTAL</t>
  </si>
  <si>
    <t>TASAS Y DERECHOS</t>
  </si>
  <si>
    <t>VENTA  DE BIENES Y SERVICIOS</t>
  </si>
  <si>
    <t>INGRESOS FINANCIEROS  Y OTROS</t>
  </si>
  <si>
    <t>TRANFERENCIAS DE CAPITAL</t>
  </si>
  <si>
    <t>ENDEUDAMIENTO PUBLICO</t>
  </si>
  <si>
    <t>TOTAL INGRESOS</t>
  </si>
  <si>
    <t>REMUNERACIONES</t>
  </si>
  <si>
    <t>ADQUISICION DE BIENES Y SERVICIOS</t>
  </si>
  <si>
    <t>GASTOS FINANCIEROS Y OTROS</t>
  </si>
  <si>
    <t>TRANSFERENCIAS   CORRIENTES</t>
  </si>
  <si>
    <t>INVERSIONES EN  ACTIVOS FIJOS</t>
  </si>
  <si>
    <t>AMORTIZACION   DEL ENDEUDAMIENTO  PUBLICO</t>
  </si>
  <si>
    <t>TOTAL   EGRESOS</t>
  </si>
  <si>
    <t>Art. 2.-El presente presupuesto se aplicará bajo la modalidad de ÁREAS DE GESTIÓN, a fin de facilitar el cumplimiento de la técnica del registro de los hechos económicos de la Contabilidad Gubernamental.</t>
  </si>
  <si>
    <t>DISPOSICIONES GENERALES</t>
  </si>
  <si>
    <t>Disposiciones Fundamentales</t>
  </si>
  <si>
    <t>Art. 3.- Las presentes disposiciones constituyen las normas complementarias para ordenar y enmarcar la ejecución del Presupuesto Municipal; las cuales se aplicarán a todas las operaciones relacionadas con los ingresos y egresos de esta Municipalidad, que estarán bajo la responsabilidad de las unidades  designadas para tal proposito, actuando cada una dentro del área de su competencia.</t>
  </si>
  <si>
    <t>Art. 6.- Todo compromiso legalmente adquirido disminuye un crédito presupuestario, por tanto, no se podrá incurrir en gasto alguno sin afectar un crédito del presupuesto; tampoco deberá autorizarse pagos a cuenta de una asignación que estuviere agotada.</t>
  </si>
  <si>
    <t>Art. 7.- Los créditos presupuestarios se administrarán con orden y economía, no deben comprometerse sino en la medida estrictamente necesaria, para obtener un funcionamiento ordenado y económico de la administración municipal.</t>
  </si>
  <si>
    <t>A una asignación de carácter general no se podrá imputar gastos para los cuales exista en el Presupuesto una asignación de carácter específico, aún cuando esta última estuviere agotada.</t>
  </si>
  <si>
    <t>Las reservas de crédito constituidas estarán disponibles para los fines a que las mismas se refieran.</t>
  </si>
  <si>
    <t>Para afectar una asignación o cuota que no tenga saldo disponible, deberá previamente ser reforzada en forma legal.</t>
  </si>
  <si>
    <t>Art. 9. Los funcionarios que contravengan lo dispuesto en el inciso anterior responderán con sus bienes por los sueldos pagados o compromisos económicos adquiridos.</t>
  </si>
  <si>
    <t>Art. 10- La cantidad autorizada para una obra, trabajo o servicio es una limitación al gasto; pero no deberá utilizarse necesariamente el total autorizado.  Los sobrantes de autorizaciones de gastos no podrán invertirse en otras obras, trabajos o servicios, sin la  previa autorizacion respectiva.</t>
  </si>
  <si>
    <t>Art. 11- Cuando una obra, proyecto o compromiso no se termine o liquide en el ejercicio del presupuesto vigente y éstos exigieren continuidad, los saldos deberán ser trasladados al presupuesto del ejercicio siguiente en las asignaciones respectivas.  Si las obras, proyectos o compromisos no requieren  continuidad , el  Concejo Municipal resolverá lo mas conveniente.</t>
  </si>
  <si>
    <t>Art. 12- Los saldos provenientes de asignaciones o cuotas, al término del ejercicio fiscal, y que no tengan requerimientos o compromisos pendientes, caducarán y serán cancelados.</t>
  </si>
  <si>
    <t>Art. 14- El gasto ilegal hace responsables a los Miembros del Concejo Municipal que lo aprobaren, por el pago indebido.  El responsable de la Contabilidad, participará de la misma responsabilidad, cuando fuere por insuficiencia de crédito presupuestario o aplicacion indebida de la asignacion de presupuesto.</t>
  </si>
  <si>
    <t>Art. 15- Los Funcionarios y Empleados que ordenen gastos, son responsables personalmente y con sus bienes de aquellas erogaciones que no estén comprendidas en el presupuesto, sin perjuicio de la acción penal que corresponda.</t>
  </si>
  <si>
    <t>Art. 16- Para los créditos comprendidos con cargo al presupuesto que al treinta y uno de Diciembre se encuentren pendientes de pago, deberán estar constituidas y aprobadas sus reservas de créditos. La entidad deberá liquidar el presupuesto para determinarla situacion financiera del ejercicio finalizado.</t>
  </si>
  <si>
    <t>Art. 17-  El Alcalde mensualmente evaluará la aplicación y desarrollo del presupuesto; con ese objeto, las unidades ejecutoras de los programas estarán obligadas a preparar y rendir los informes de la labor realizada, de conformidad con las instrucciones recibidas por dicho funcionario, la que los verificará en la oportunidad que estimare necesaria.</t>
  </si>
  <si>
    <t>El Concejo Municipal podrá suspender la provisión de fondos que correspondiere a los proyectos o programas, en los casos en que verifique incumplimiento de las metas fijadas en los mismos, conforme al calendario de actividades.</t>
  </si>
  <si>
    <t>La persona Encargada del Fondo Circulante podrá hacer pagos de gastos señalados en el inciso primero de este Artículo, contra recibos ó facturas firmados por los recipientes y autorizados por el ordenador de pagos que designare El Concejo Municipal.</t>
  </si>
  <si>
    <t>Los recibos por viáticos y transportes deben ser firmados en concepto de recipientes, por cada uno de los funcionarios, empleados o trabajadores beneficiarios que desempeñen la comisión oficial, por la cual se autorizan los viáticos y el transporte.</t>
  </si>
  <si>
    <t>Sé prohíbe adquirir al crédito los suministros y servicios que menciona el inciso primero de este Artículo.</t>
  </si>
  <si>
    <t>CUADRO RESUMEN</t>
  </si>
  <si>
    <t>PRESUPUESTO DE EGRESOS POR</t>
  </si>
  <si>
    <t>CLASIFICACIONES ECONOMICAS DE GASTO</t>
  </si>
  <si>
    <t>21</t>
  </si>
  <si>
    <t>GASTOS CORRIENTES</t>
  </si>
  <si>
    <t>22</t>
  </si>
  <si>
    <t>GASTOS DE CAPITAL</t>
  </si>
  <si>
    <t>23</t>
  </si>
  <si>
    <t>APLICACIONES FINANCIERAS</t>
  </si>
  <si>
    <t>CUADRO RESUMEN POR FUENTE DE FINANCIAMIENTO</t>
  </si>
  <si>
    <t>N°</t>
  </si>
  <si>
    <t>FUENTE</t>
  </si>
  <si>
    <t>INGRESOS</t>
  </si>
  <si>
    <t>EGRESOS</t>
  </si>
  <si>
    <t>FONDO GENERAL</t>
  </si>
  <si>
    <t>FONDO MUNICIPAL</t>
  </si>
  <si>
    <t>Auditor Interno</t>
  </si>
  <si>
    <t>Concejales</t>
  </si>
  <si>
    <t>Otras Multas Municipales</t>
  </si>
  <si>
    <t>Apoyo  a equipos de Fut Bool,Soft Bol, Fut bol Playa,Fut Bol femenino   y al  Surf.</t>
  </si>
  <si>
    <t>3 - 03 - 01 - 1 - 112   Infraestructura Social. Fondos FISDL</t>
  </si>
  <si>
    <t>3-03-03-0-000  Infraestructura social , prestamos internos</t>
  </si>
  <si>
    <t>3-03-04-1-112 Infraestructura Social ,fondos  PFGL</t>
  </si>
  <si>
    <t>4-04-02-0-000 Desarrollo Economico, Prestamos Internos</t>
  </si>
  <si>
    <t>4-04-03-1-112 desarrollo Economico,Fondos  PFGL</t>
  </si>
  <si>
    <t>MTTO.Y REPARACION DE  INMUEBLES</t>
  </si>
  <si>
    <t>TRANSF. CORRIENTES AL SECTOR PUBLICO</t>
  </si>
  <si>
    <r>
      <t>T</t>
    </r>
    <r>
      <rPr>
        <b/>
        <sz val="8"/>
        <rFont val="Arial"/>
        <family val="2"/>
      </rPr>
      <t xml:space="preserve">OTAL INVERSION  F.I.S.D.L. </t>
    </r>
  </si>
  <si>
    <t xml:space="preserve">SUELDOS </t>
  </si>
  <si>
    <t>(2)</t>
  </si>
  <si>
    <t>HERRAMIENTAS ,REPUESTOS Y ACCESORIOS</t>
  </si>
  <si>
    <t>El Fondo Circulante se formará en el mes de enero y se liquidará al final del ejercicio presupuestario.  Los reintegros al Fondo por pagos y gastos efectuados se harán cuantas veces sea necesario y por lo menos cada mes, previa autorización correspondiente.</t>
  </si>
  <si>
    <t>El Fondo Circulante cuyo monto exceda de: QUINIENTOS 00/100 DOLARES ($  500.00),  deberá depositarse en cuenta bancaria, y los pagos se harán por medio de cheques.</t>
  </si>
  <si>
    <t>Art. 26- El funcionario o empleado que en nombre de la Municipalidad contraiga deudas o compromisos de cualquier naturaleza, en contra de las leyes y reglamentos o sin autorización legal, será exclusivamente responsable ante los acreedores correspondientes y además será suspendido del ejercicio de sus funciones hasta por un mes sin goce de sueldo; en caso de reincidencia y si el hecho fuere delictuoso, será destituido. Cuando se tratare de un miembro del Concejo Municipal, éste quedará en la obligación de responder; si no cumpliere o reincidiere, el Concejo procederá a la suspensión correspondiente.</t>
  </si>
  <si>
    <t>PFGL</t>
  </si>
  <si>
    <t>FODES 75 %</t>
  </si>
  <si>
    <t>FDO. MPAL.</t>
  </si>
  <si>
    <t>A.G.</t>
  </si>
  <si>
    <t>APOYO A  CUMUNIDADES RELIGIOSAS  DE CHILTIUPAN</t>
  </si>
  <si>
    <t>APOYO A ADESCOS Y COMITES DE APOYO</t>
  </si>
  <si>
    <t>BIENES DE USO Y CONSUMO DIVERSOS</t>
  </si>
  <si>
    <t>Art. 5.- Las presentes Disposiciones Generales son parte de los Documentos Técnicos que identifican los criterios, normas y procedimientos que regularán el proceso de ejecución presupuestaria. El Alcalde Municipal coordinará la integración de actividades, registros e información con las demás unidades administrativas y financieras, a fin de que interactúen conjuntamente en dicho proceso.</t>
  </si>
  <si>
    <t xml:space="preserve">Vallas Publicitarias </t>
  </si>
  <si>
    <t>Vallas publicitarias</t>
  </si>
  <si>
    <t xml:space="preserve"> TOTAL CAJA GENERAL  Y FDO MPAL</t>
  </si>
  <si>
    <t>Encargado del Depto.Catastro</t>
  </si>
  <si>
    <t>∑      Y</t>
  </si>
  <si>
    <t xml:space="preserve">      XY</t>
  </si>
  <si>
    <t>Disponibilidad</t>
  </si>
  <si>
    <t>Diferencia</t>
  </si>
  <si>
    <t>DESARROLLOS INFORMATICOS</t>
  </si>
  <si>
    <t>Disp. 75% fodes</t>
  </si>
  <si>
    <t>3-03-02-1-111 Desarrollo                             social</t>
  </si>
  <si>
    <t>Dispn. PFGL</t>
  </si>
  <si>
    <t>3 - 03 - 01 - 1  - 111 Infraestructura Social</t>
  </si>
  <si>
    <t>1-  02- 01- 2-  000     FONDOS PROPIOS</t>
  </si>
  <si>
    <t>1- 02- 02- 2- 000         FONDOS PROPIOS</t>
  </si>
  <si>
    <t>Denominacion</t>
  </si>
  <si>
    <t>LLANTAS Y MEUMATICOS</t>
  </si>
  <si>
    <t>COMBUSTIBLE</t>
  </si>
  <si>
    <t>TRANSPORTES,FLETES  Y ALMACENIMIENTO</t>
  </si>
  <si>
    <t>54107</t>
  </si>
  <si>
    <t>CLASIFICACION PRESUPUESTARIA DE  INGRESOS</t>
  </si>
  <si>
    <t>CLASIFICACION PRESUPUESTARIA DE EGRESOS</t>
  </si>
  <si>
    <t xml:space="preserve">        0202       Servicios externos</t>
  </si>
  <si>
    <t xml:space="preserve">     0201  Servicios Intitucionales</t>
  </si>
  <si>
    <t xml:space="preserve">    0101  Direccion y Administracion Municipal</t>
  </si>
  <si>
    <r>
      <t>f)</t>
    </r>
    <r>
      <rPr>
        <sz val="10"/>
        <rFont val="Trebuchet MS"/>
        <family val="2"/>
      </rPr>
      <t xml:space="preserve">        Las remuneraciones basadas en contratos se podrán pagar por medio de planillas en la misma fecha en que se efectúe el pago de los salarios del personal permanente. </t>
    </r>
  </si>
  <si>
    <r>
      <t>g)</t>
    </r>
    <r>
      <rPr>
        <sz val="10"/>
        <rFont val="Trebuchet MS"/>
        <family val="2"/>
      </rPr>
      <t>          Los contratos a que se refiere este Artículo no podrán firmarse por períodos que excedan del 31 de diciembre de cada año; pero cuando las necesidades del servicio lo exijan podrán prorrogarse sólo por dos meses mientras se suscribe el nuevo contrato, de ser necesario.</t>
    </r>
  </si>
  <si>
    <r>
      <t>a)</t>
    </r>
    <r>
      <rPr>
        <sz val="10"/>
        <rFont val="Trebuchet MS"/>
        <family val="2"/>
      </rPr>
      <t xml:space="preserve">        Ninguna persona tomará posesión de su cargo, si no ha sido </t>
    </r>
    <r>
      <rPr>
        <b/>
        <u/>
        <sz val="10"/>
        <rFont val="Trebuchet MS"/>
        <family val="2"/>
      </rPr>
      <t xml:space="preserve">nombrada </t>
    </r>
    <r>
      <rPr>
        <u/>
        <sz val="10"/>
        <rFont val="Trebuchet MS"/>
        <family val="2"/>
      </rPr>
      <t>o</t>
    </r>
    <r>
      <rPr>
        <b/>
        <u/>
        <sz val="10"/>
        <rFont val="Trebuchet MS"/>
        <family val="2"/>
      </rPr>
      <t xml:space="preserve"> contratada</t>
    </r>
    <r>
      <rPr>
        <b/>
        <sz val="10"/>
        <rFont val="Trebuchet MS"/>
        <family val="2"/>
      </rPr>
      <t xml:space="preserve"> </t>
    </r>
    <r>
      <rPr>
        <sz val="10"/>
        <rFont val="Trebuchet MS"/>
        <family val="2"/>
      </rPr>
      <t>formalmente.</t>
    </r>
  </si>
  <si>
    <r>
      <t>b)</t>
    </r>
    <r>
      <rPr>
        <sz val="10"/>
        <rFont val="Trebuchet MS"/>
        <family val="2"/>
      </rPr>
      <t>        Se entenderá que una persona ha tomado posesión de su cargo, cuando asuma los deberes y responsabilidades del mismo; y que deja de ocuparlo, en el momento en que cesa de cumplir sus deberes y de incurrir en responsabilidades con relación a su puesto oficial.</t>
    </r>
  </si>
  <si>
    <r>
      <t>h) </t>
    </r>
    <r>
      <rPr>
        <sz val="10"/>
        <rFont val="Trebuchet MS"/>
        <family val="2"/>
      </rPr>
      <t>      Las personas contratadas gozarán de las prestaciones laborales  de ley, excepto la  licencia por beca: en este caso, será necesario que los contratados favorecidos con becas, tengan por lo menos seis meses consecutivos  de trabajar para la entidad.</t>
    </r>
  </si>
  <si>
    <r>
      <t>c)</t>
    </r>
    <r>
      <rPr>
        <sz val="10"/>
        <rFont val="Trebuchet MS"/>
        <family val="2"/>
      </rPr>
      <t>        El Alcalde o funcionario designado al efecto, no dará posesión de su cargo a funcionarios o empleados que estando  obligados  por tener  la  custodia de  Fondos Publicos , no hayan presentado F</t>
    </r>
    <r>
      <rPr>
        <b/>
        <sz val="10"/>
        <rFont val="Trebuchet MS"/>
        <family val="2"/>
      </rPr>
      <t>ianza  de Fidelidad</t>
    </r>
    <r>
      <rPr>
        <sz val="10"/>
        <rFont val="Trebuchet MS"/>
        <family val="2"/>
      </rPr>
      <t xml:space="preserve"> a satisfacción de la Municipalidad.</t>
    </r>
  </si>
  <si>
    <r>
      <t>d)</t>
    </r>
    <r>
      <rPr>
        <sz val="10"/>
        <rFont val="Trebuchet MS"/>
        <family val="2"/>
      </rPr>
      <t>        El funcionario que ordenare y el que diere posesión incumpliendo las condiciones expresadas en el literal   anterior, responderá solidariamente con el nombrado por toda pérdida de bienes que sufra la Entidad, en el período de la fecha de  toma de posesión incorrecta, y el de la a autorización de la toma de posesión legal, por no haber  exigido  la Fianza de Fidelidad  a satisfacción de la expresada Municipalidad.</t>
    </r>
  </si>
  <si>
    <t>1-  01- 01- 2- 000       FONDOS PROPIOS</t>
  </si>
  <si>
    <t>1 -  01-02 -2 -000 FONDOS  PROPIOS</t>
  </si>
  <si>
    <t>Fondo  propio  -Prestamos Internos (Bco.Hipotecario )</t>
  </si>
  <si>
    <t xml:space="preserve">PRESTACIONES </t>
  </si>
  <si>
    <t>Total prestaciones laborales y sociales</t>
  </si>
  <si>
    <t>Pagar en Junio  bono con Fdo Mpal</t>
  </si>
  <si>
    <t>Celebración  día del Adulto mayor ( en apoyo a comunidades que organizan estas actividades</t>
  </si>
  <si>
    <t>Apoyo a las diferentes comunidades religiosas del Municipio, en vista que en ellas   se fomenta el convivio armonioso entre jóvenes y adultos de los diferentes estratos sociales del Municipio</t>
  </si>
  <si>
    <t>Apoyo a las ADESCOS y Comités de Apoyo , organizados en el Municipio, con el fin de mejorar sus comunidades, según Art.  112 y 123 del código Municipal .</t>
  </si>
  <si>
    <t>SERVICIOS DE CAPACITACION</t>
  </si>
  <si>
    <t>4-04-01-1-112 Dearrollo economico, Fondos FISDL</t>
  </si>
  <si>
    <t>61105</t>
  </si>
  <si>
    <t>VEHICULOS DE TRANSPORTE</t>
  </si>
  <si>
    <t>MINERALES   NO   METALICOS   Y    PRODUCTOS   DERIVADOS</t>
  </si>
  <si>
    <t>TRANSFERENCIAS DE CAPITAL AL SECTOR PUBLICO</t>
  </si>
  <si>
    <t xml:space="preserve"> Dotación de Uniformes, pelotas ,mayas para portería guantes, Trofeos    y  apoyo para complementar el pago de transportes para realizar  encuentros  deportivos, o  para participar en competencias Nacionales o Internacionales.  </t>
  </si>
  <si>
    <t>Disponib.Prest.</t>
  </si>
  <si>
    <t xml:space="preserve"> </t>
  </si>
  <si>
    <t>COMBUSTIBLES  Y LUBRICANTES</t>
  </si>
  <si>
    <t>54101</t>
  </si>
  <si>
    <t>PRODUCTOS ALIMENTICION PARA PERSONAS</t>
  </si>
  <si>
    <t>MATERIALES DE DEFENSA Y SEGURIDAD PUBLICA</t>
  </si>
  <si>
    <t>HERRAMIENTAS,REPUESTOS Y ACSESORIAS</t>
  </si>
  <si>
    <t>MANTENIMIENTO Y REPARACION DE VEHICULOS</t>
  </si>
  <si>
    <t>Disp.FISDL</t>
  </si>
  <si>
    <t>56201</t>
  </si>
  <si>
    <t>TRANSFERENCIAS CORRIENTES AL SECTOR PUBLICO ( INSAFORP )</t>
  </si>
  <si>
    <t>TRANSFERENCIAS CORRIENTES AL SECTOR PUBLICO  ( INSAFORP )</t>
  </si>
  <si>
    <t xml:space="preserve">Aguinaldo    y  un  Bono </t>
  </si>
  <si>
    <t>Nota: La diferencia  entre la Proyecion y la Concentracion de recursos humanos ,se da por el redondeo a la decena superior para efectos de presupuesto.</t>
  </si>
  <si>
    <t>TOMAS HECTOR SALINAS LOPEZ</t>
  </si>
  <si>
    <t>JOSE ALFREDO IBARRA ALVARADO</t>
  </si>
  <si>
    <t>WILFREDO CONTRERAS ROSALES</t>
  </si>
  <si>
    <t>PRIMER REGIDOR</t>
  </si>
  <si>
    <t>Y= Ingresos  del año 2016,proyectado</t>
  </si>
  <si>
    <t>AFP,s 7.75%</t>
  </si>
  <si>
    <t xml:space="preserve">Facilitadora </t>
  </si>
  <si>
    <t xml:space="preserve">Secretaria   </t>
  </si>
  <si>
    <t>Encargado de Presupuesto</t>
  </si>
  <si>
    <t>Presupuesto</t>
  </si>
  <si>
    <t>Tesoreria</t>
  </si>
  <si>
    <t>TOTAL A PAGAR   DEL 25% FODES  Y FONDO MUNICIPAL</t>
  </si>
  <si>
    <t xml:space="preserve">TOTAL A PAGAR CON EL 75% FODES         PROGRAMAS SOCIALES </t>
  </si>
  <si>
    <t>SUB TOTAL ( LINEA  0302)</t>
  </si>
  <si>
    <t xml:space="preserve">0302       Programa Social </t>
  </si>
  <si>
    <t xml:space="preserve"> Pagar  12  Meses con                75 % fodes</t>
  </si>
  <si>
    <t>Pagar Bono en Juinio del 75% Fodes</t>
  </si>
  <si>
    <t xml:space="preserve"> Pagar  Aguinaldo en  Dic. Con  75 % fodes</t>
  </si>
  <si>
    <t>IPSFA 7.0%</t>
  </si>
  <si>
    <t>INPEP 7.50%</t>
  </si>
  <si>
    <t>ARENDAMIENTO DE BIENES MUEBLES</t>
  </si>
  <si>
    <t>DESARROLLO INFORMATICOS</t>
  </si>
  <si>
    <t>54105</t>
  </si>
  <si>
    <t>PRODUCTOS DE PAPEL Y CARTON</t>
  </si>
  <si>
    <t>54114</t>
  </si>
  <si>
    <t>NOMBRE</t>
  </si>
  <si>
    <t>CARGO</t>
  </si>
  <si>
    <t>SISTEMA REMUNERACION</t>
  </si>
  <si>
    <t>INGRESOS DEVENGADOS</t>
  </si>
  <si>
    <t>APORTACIONES PATRONALES</t>
  </si>
  <si>
    <t>VALOR C/U</t>
  </si>
  <si>
    <t>ANUAL</t>
  </si>
  <si>
    <t>TOTAL APORTACIONES</t>
  </si>
  <si>
    <t>Rafael Edgar  Iraheta Navidad</t>
  </si>
  <si>
    <t>Sindico Municipal</t>
  </si>
  <si>
    <t>Dieta</t>
  </si>
  <si>
    <t>Primer Regidor</t>
  </si>
  <si>
    <t>Segundo Regidor</t>
  </si>
  <si>
    <t>Tercer Regidor</t>
  </si>
  <si>
    <t>Eliana Marcela Vides Olaizola</t>
  </si>
  <si>
    <t>Cuarto Regidor</t>
  </si>
  <si>
    <t>Quinto Regidor</t>
  </si>
  <si>
    <t>Sexto Regidor</t>
  </si>
  <si>
    <t>José Alfredo Ibarra Alvarado</t>
  </si>
  <si>
    <t>1er. Reg. Supl.</t>
  </si>
  <si>
    <t>Wilfredo Contreras Rosales</t>
  </si>
  <si>
    <t>2do. Reg. Supl.</t>
  </si>
  <si>
    <t>Jose Gonzalo Dominguez Duran</t>
  </si>
  <si>
    <t>3er. Reg. Supl.</t>
  </si>
  <si>
    <t>4to. Reg. Supl.</t>
  </si>
  <si>
    <t>TOTAL REMUNERACIONES CONCEJALES</t>
  </si>
  <si>
    <t>FUENTE DE FINANCIAMIENTO: Fondos propios.</t>
  </si>
  <si>
    <t>DETALLE REMUNERACIONES EVENTUALES</t>
  </si>
  <si>
    <t>LINEA DE TRABAJO: 0202 SERVICIOS EXTERNOS</t>
  </si>
  <si>
    <t>PERIODOS</t>
  </si>
  <si>
    <t xml:space="preserve">VIGILANCIA DEL CEMENTERIO </t>
  </si>
  <si>
    <t>SUMINISTRO DE AGUA LAS FLORES</t>
  </si>
  <si>
    <t>SUMINISTRO DE AGUA TAQUILLO</t>
  </si>
  <si>
    <t>MTTO. DE JARDIN MUNICIPAL</t>
  </si>
  <si>
    <t>CODIGO</t>
  </si>
  <si>
    <t>FUENTE DE FINANCIAMIENTO</t>
  </si>
  <si>
    <t>Cargos por remuneracion de trabajos eventuales.</t>
  </si>
  <si>
    <t>Enero</t>
  </si>
  <si>
    <t>Febrero</t>
  </si>
  <si>
    <t>Marzo</t>
  </si>
  <si>
    <t>Abril</t>
  </si>
  <si>
    <t>Mayo</t>
  </si>
  <si>
    <t>Junio</t>
  </si>
  <si>
    <t>Julio</t>
  </si>
  <si>
    <t>Agosto</t>
  </si>
  <si>
    <t>Septiembre</t>
  </si>
  <si>
    <t>Octubre</t>
  </si>
  <si>
    <t>Noviembre</t>
  </si>
  <si>
    <t>Diciembre</t>
  </si>
  <si>
    <t>No. DE PERSONAS CONTRATADAS EVENTUALMENTE POR MES</t>
  </si>
  <si>
    <t>PROYECCION GASTOS CORRIENTES</t>
  </si>
  <si>
    <t>ESTIMADO AÑO</t>
  </si>
  <si>
    <t>Concejo Municipal</t>
  </si>
  <si>
    <t>Otros eventos</t>
  </si>
  <si>
    <t xml:space="preserve">ESTRUCTURA </t>
  </si>
  <si>
    <t>U.P.</t>
  </si>
  <si>
    <t>L.T.</t>
  </si>
  <si>
    <t>F.F.</t>
  </si>
  <si>
    <t>NATURALEZA DEL PROYECTO</t>
  </si>
  <si>
    <t>FODES           MONTO</t>
  </si>
  <si>
    <t>F. R.</t>
  </si>
  <si>
    <t>MODALIDAD DE EJECUCION</t>
  </si>
  <si>
    <t>TOTAL INVERSION</t>
  </si>
  <si>
    <t xml:space="preserve">FONDO GENERAL FODES </t>
  </si>
  <si>
    <t>Infraestrucctura Social</t>
  </si>
  <si>
    <t>Gastos de Preinverción</t>
  </si>
  <si>
    <t>Infraestructura social</t>
  </si>
  <si>
    <t>contrato</t>
  </si>
  <si>
    <t xml:space="preserve">Inversión Social </t>
  </si>
  <si>
    <t>Administración</t>
  </si>
  <si>
    <t xml:space="preserve">Infraestructura Vial </t>
  </si>
  <si>
    <t>54115</t>
  </si>
  <si>
    <t>Administracion</t>
  </si>
  <si>
    <t xml:space="preserve"> MONTO</t>
  </si>
  <si>
    <t xml:space="preserve"> DENOMINACIÓN</t>
  </si>
  <si>
    <t>AÑO 2018</t>
  </si>
  <si>
    <t>54110</t>
  </si>
  <si>
    <t>combustible y lubricante</t>
  </si>
  <si>
    <t xml:space="preserve">Herramient, y accesorios </t>
  </si>
  <si>
    <t>Materiales Electricos</t>
  </si>
  <si>
    <t>Bienes y consumo Diversos</t>
  </si>
  <si>
    <t>Energia Electrica</t>
  </si>
  <si>
    <t>servicio de Agua</t>
  </si>
  <si>
    <t>aguinaldos</t>
  </si>
  <si>
    <t>51107</t>
  </si>
  <si>
    <t xml:space="preserve">Beneficios Adicionales </t>
  </si>
  <si>
    <t>Contribuciones Patronales de Instituciones de Seguridad Publica.</t>
  </si>
  <si>
    <t>Contribuciones Patronales de Instituciones de Seguridad Privada</t>
  </si>
  <si>
    <t>Productos Alimenticios para Personas</t>
  </si>
  <si>
    <t>Productos Textiles y Vestuarios</t>
  </si>
  <si>
    <t>Productos de Papel y Cartón</t>
  </si>
  <si>
    <t>54199</t>
  </si>
  <si>
    <t>Bienes de Uso y Consumo Diversos</t>
  </si>
  <si>
    <t>Telecomunicaciones.</t>
  </si>
  <si>
    <t>Equipos Informaticos.</t>
  </si>
  <si>
    <t>Transporte</t>
  </si>
  <si>
    <t>Reparacion y Mantenimiento de Vehiculo</t>
  </si>
  <si>
    <t xml:space="preserve">Llantas y Neumaticos </t>
  </si>
  <si>
    <t>Materiales de Defensa y Seguridad Publica.</t>
  </si>
  <si>
    <t>54302</t>
  </si>
  <si>
    <t>Mnto. y  Reparaciones Vehiculos</t>
  </si>
  <si>
    <t xml:space="preserve">Sueldos </t>
  </si>
  <si>
    <t>NOMBRES</t>
  </si>
  <si>
    <t>2- Los aguinaldos y bonos se componen de la siguiente manera:</t>
  </si>
  <si>
    <t>VALOR AGUINALDO</t>
  </si>
  <si>
    <t>VALOR BONIFICACION</t>
  </si>
  <si>
    <t xml:space="preserve">ISSS </t>
  </si>
  <si>
    <t xml:space="preserve">INSAFORP </t>
  </si>
  <si>
    <t>AFP</t>
  </si>
  <si>
    <t xml:space="preserve"> Las cuotas patronales de ISSS, INSAFORP y AFP se componen de la siguiente manera:</t>
  </si>
  <si>
    <t>Los Sueldos se componen de la siguiente manera:</t>
  </si>
  <si>
    <t>54304</t>
  </si>
  <si>
    <t>Transportes, Fletes y Almacenamientos</t>
  </si>
  <si>
    <t>Servicios de Capacitacion</t>
  </si>
  <si>
    <t xml:space="preserve">Personas naturales </t>
  </si>
  <si>
    <t>MANTENIMIENTO DE PROYECTOS DE AGUA POTABLE</t>
  </si>
  <si>
    <t xml:space="preserve">Cañerias de agua taquillo </t>
  </si>
  <si>
    <t>Cañerias y tanque en Siberia</t>
  </si>
  <si>
    <t>MANTENIMIENTO DE MIRADORES</t>
  </si>
  <si>
    <t xml:space="preserve">Mirador la cueva los ladrones </t>
  </si>
  <si>
    <t xml:space="preserve">Mirador pergola el coco </t>
  </si>
  <si>
    <t xml:space="preserve">Mirador  caserio corinto </t>
  </si>
  <si>
    <t xml:space="preserve">Apoyo con materiales Electricos a personas de escasos recuersos </t>
  </si>
  <si>
    <t>transporte</t>
  </si>
  <si>
    <t>PROYECTO: PLAN MUNICIPAL DE PREVENCION A LA VIOLENCIA HACIA LAS MUJERES DEL MUNICIPIO DE CHILTIUPAN 2018</t>
  </si>
  <si>
    <t xml:space="preserve">Transportes, </t>
  </si>
  <si>
    <t xml:space="preserve">INDICADOR: </t>
  </si>
  <si>
    <t xml:space="preserve">SECTOR: SOCIAL </t>
  </si>
  <si>
    <t xml:space="preserve">NATURALEZA: PROYECTO DE INVERCION SOCIAL </t>
  </si>
  <si>
    <t>MODALIDAD: ADMINISTRACIÓN</t>
  </si>
  <si>
    <t>RESPONSABLE: CONCEJO MUNICIPAL</t>
  </si>
  <si>
    <t>META: CONTRIBUIR A DISMINUIR LA VIOLENCIA CONTRA LAS MUJERES, Y CONSTRUIR UN MUNICIPIO MAS JUSTO Y SEGURO.</t>
  </si>
  <si>
    <r>
      <rPr>
        <b/>
        <sz val="10"/>
        <rFont val="Trebuchet MS"/>
        <family val="2"/>
      </rPr>
      <t>META</t>
    </r>
    <r>
      <rPr>
        <sz val="10"/>
        <rFont val="Trebuchet MS"/>
        <family val="2"/>
      </rPr>
      <t>: GARANTIZAR LA TRANSVERSALIZACIÓN DEL PRINCIPIO CONSTITUCIONAL DE IGUALDAD, EN LA PLANIFICACIÓN EJECUCIÓN Y EVALUACIÓN, DEL PLAN ESTRATEJICO MUNICIPAL ASI COMO PROGRAMAS Y PROYECTOS REALIZADOS.</t>
    </r>
  </si>
  <si>
    <r>
      <rPr>
        <b/>
        <sz val="10"/>
        <rFont val="Trebuchet MS"/>
        <family val="2"/>
      </rPr>
      <t>PROGRAMA:</t>
    </r>
    <r>
      <rPr>
        <sz val="10"/>
        <rFont val="Trebuchet MS"/>
        <family val="2"/>
      </rPr>
      <t xml:space="preserve"> PLAN MUNICIPAL DE PREVENCION DE LA VIOLENCIA CONTRA LA MUJER</t>
    </r>
  </si>
  <si>
    <r>
      <rPr>
        <b/>
        <sz val="10"/>
        <rFont val="Trebuchet MS"/>
        <family val="2"/>
      </rPr>
      <t>SECTOR:</t>
    </r>
    <r>
      <rPr>
        <sz val="10"/>
        <rFont val="Trebuchet MS"/>
        <family val="2"/>
      </rPr>
      <t xml:space="preserve"> SOCIAL </t>
    </r>
  </si>
  <si>
    <r>
      <rPr>
        <b/>
        <sz val="10"/>
        <rFont val="Trebuchet MS"/>
        <family val="2"/>
      </rPr>
      <t>NATURALEZA:</t>
    </r>
    <r>
      <rPr>
        <sz val="10"/>
        <rFont val="Trebuchet MS"/>
        <family val="2"/>
      </rPr>
      <t xml:space="preserve"> PROYECTO DE INVERCION SOCIAL </t>
    </r>
  </si>
  <si>
    <r>
      <rPr>
        <b/>
        <sz val="10"/>
        <rFont val="Trebuchet MS"/>
        <family val="2"/>
      </rPr>
      <t>MODALIDAD:</t>
    </r>
    <r>
      <rPr>
        <sz val="10"/>
        <rFont val="Trebuchet MS"/>
        <family val="2"/>
      </rPr>
      <t xml:space="preserve"> ADMINISTRACIÓN</t>
    </r>
  </si>
  <si>
    <r>
      <rPr>
        <b/>
        <sz val="10"/>
        <rFont val="Trebuchet MS"/>
        <family val="2"/>
      </rPr>
      <t>RESPONSABLE:</t>
    </r>
    <r>
      <rPr>
        <sz val="10"/>
        <rFont val="Trebuchet MS"/>
        <family val="2"/>
      </rPr>
      <t xml:space="preserve"> CONCEJO MUNICIPAL</t>
    </r>
  </si>
  <si>
    <t>PROGRAMA: UNIDAD DE LA MUJER</t>
  </si>
  <si>
    <r>
      <rPr>
        <b/>
        <sz val="10"/>
        <rFont val="Trebuchet MS"/>
        <family val="2"/>
      </rPr>
      <t>META</t>
    </r>
    <r>
      <rPr>
        <sz val="10"/>
        <rFont val="Trebuchet MS"/>
        <family val="2"/>
      </rPr>
      <t>: ES PODER ENSEÑAR A LOS JOVENES CON PROGRAMAS Y PROYECTOS, DE COMPUTO PARA QUE PUEDAN DESENBOLVERSE EN AREA DE COMPUTACIÓN Y OTRAS MAS,</t>
    </r>
  </si>
  <si>
    <r>
      <rPr>
        <b/>
        <sz val="10"/>
        <rFont val="Trebuchet MS"/>
        <family val="2"/>
      </rPr>
      <t>META</t>
    </r>
    <r>
      <rPr>
        <sz val="10"/>
        <rFont val="Trebuchet MS"/>
        <family val="2"/>
      </rPr>
      <t xml:space="preserve">: ES DE PODER BAJAR CADA AÑO LA VIOLENCIA EN EL MUNCIPIO DE CHILTIUOPÁN, CON EL APOYO DE LA FUERZA ARMADA, PNC Y CAM, MUNICIPAL </t>
    </r>
  </si>
  <si>
    <t>PROGRAMA: MANTENIMIENTO DE CANCHA EL BAMBÚ</t>
  </si>
  <si>
    <r>
      <rPr>
        <b/>
        <sz val="10"/>
        <rFont val="Trebuchet MS"/>
        <family val="2"/>
      </rPr>
      <t>META</t>
    </r>
    <r>
      <rPr>
        <sz val="10"/>
        <rFont val="Trebuchet MS"/>
        <family val="2"/>
      </rPr>
      <t xml:space="preserve">: MANTENER LA CANCHA SIEMPRE LIMPIA  EN BUEN ESTADO PARA PODER HACER ENCUENTROS DEPORTIVOS CON DIFERENTES INSTITUCIONES, TORNEOS, RELAMPAGOS COMO EL NAVIDEÑOS Y OTROS. </t>
    </r>
  </si>
  <si>
    <r>
      <rPr>
        <b/>
        <sz val="10"/>
        <rFont val="Trebuchet MS"/>
        <family val="2"/>
      </rPr>
      <t>META</t>
    </r>
    <r>
      <rPr>
        <sz val="10"/>
        <rFont val="Trebuchet MS"/>
        <family val="2"/>
      </rPr>
      <t>: ES PODER DAR MEJOR SERVICIO A LOS ENFERMOS QUE VAN DE EMERGENCIA Y QUE LA POBLACIÓN SE SIENTE SATISFECHA CON EL SERVICIO DE LA AMBULANCIA.</t>
    </r>
  </si>
  <si>
    <t>PROGRAMA: CONVENIO CON MINSAL Y AMBULANCIA.</t>
  </si>
  <si>
    <t>Materiales Informaticos</t>
  </si>
  <si>
    <t>META: EL OBJETIVO DEL CLD, ES VELAR Y GARANTIZAR QUE LOS DERECHOS DE LA NIÑEZ Y LA ADOLESCENCIA SE CUMPLAN Y SEAN RESPETADOS.</t>
  </si>
  <si>
    <t>Productos Textiles y Vestuario</t>
  </si>
  <si>
    <t xml:space="preserve">PROGRAMA: COMITÉ LOCAL DE DERECHOS DE LA NIÑEZ Y LA   ADOLECENCIA </t>
  </si>
  <si>
    <t>FECHA DE INICIO/FINALIZACION : 01/01/2018 - 31/12/2018</t>
  </si>
  <si>
    <t>POLICIA MUNICIPAL</t>
  </si>
  <si>
    <t>Celebración del día de la Madre. ( compra de regalos pago de show artisticos para menizar dia de la madre . Etc. )</t>
  </si>
  <si>
    <t>Celebración del día del Padre. (compra de regalos pago de show artistico para minizar el dias del padre, etc, )</t>
  </si>
  <si>
    <t>Celebración del día 15 de Septiembre. ( Compra de refrigerios para todos los centro escolares, compra de adornos alucivos al mes civico , etc, )</t>
  </si>
  <si>
    <t>Celebración  día del  Niño ( en apoyo a comunidades que celebran el dia del niño   y  ONG'S que organizan estas actividades )</t>
  </si>
  <si>
    <t>Dotación de juguetes a niños  en la  Navidad, (compra de jeguetes, dulces y piñatas,  etc, )</t>
  </si>
  <si>
    <t xml:space="preserve">Materiales informaticos </t>
  </si>
  <si>
    <t>materiales de oficina</t>
  </si>
  <si>
    <t xml:space="preserve">Salario por Jornal </t>
  </si>
  <si>
    <t xml:space="preserve">Productos Quimicos </t>
  </si>
  <si>
    <t>54111</t>
  </si>
  <si>
    <t xml:space="preserve">Minerales no Metalicos y productos Derivados </t>
  </si>
  <si>
    <t>Minerales Metalicos y productos Derivados</t>
  </si>
  <si>
    <t xml:space="preserve">Herramienta Repuesto y Accesorios </t>
  </si>
  <si>
    <t xml:space="preserve">Bienes y uso Consumo Diversos </t>
  </si>
  <si>
    <t>Supervición de Infraestructura</t>
  </si>
  <si>
    <t xml:space="preserve">SECTOR: VIAL </t>
  </si>
  <si>
    <r>
      <rPr>
        <b/>
        <sz val="10"/>
        <rFont val="Trebuchet MS"/>
        <family val="2"/>
      </rPr>
      <t>META</t>
    </r>
    <r>
      <rPr>
        <sz val="10"/>
        <rFont val="Trebuchet MS"/>
        <family val="2"/>
      </rPr>
      <t xml:space="preserve">: ES MEJORAR LOS CAMINOS DE PASO DE VEHICULOS Y PEATONES </t>
    </r>
  </si>
  <si>
    <t xml:space="preserve">NATURALEZA: INFRAESTRUCTURA VIAL </t>
  </si>
  <si>
    <t>61608</t>
  </si>
  <si>
    <t>Supervicion de Infraestructura</t>
  </si>
  <si>
    <t>MODALIDAD: CONTRATO</t>
  </si>
  <si>
    <t xml:space="preserve"> DESGLOSE DE GASTOS CORRIENTES  </t>
  </si>
  <si>
    <t>Cta.Ahorros, Nº 01460019172, Tesoreria Minicipal de Chiltiupan ( en  Bco. Hipotecario)</t>
  </si>
  <si>
    <t xml:space="preserve">PROYECTO: ALUMBRADO PUBLICO </t>
  </si>
  <si>
    <t xml:space="preserve">DEPARTAMENTO DE LA LIBERTAD </t>
  </si>
  <si>
    <t xml:space="preserve">ALCALDIA MUNICIPAL DE CHILTIUPÁN </t>
  </si>
  <si>
    <t>Productos Quimicos</t>
  </si>
  <si>
    <t>Llantas y Neumaticos</t>
  </si>
  <si>
    <t>Combustible y Lubricantes</t>
  </si>
  <si>
    <t>Herramientas, Repuestos y Accesorios</t>
  </si>
  <si>
    <t>54399</t>
  </si>
  <si>
    <t>MES</t>
  </si>
  <si>
    <t>AÑO</t>
  </si>
  <si>
    <t>PROGRAMA: RECOLECCION DE DESECHOS SOLIDOS</t>
  </si>
  <si>
    <r>
      <rPr>
        <b/>
        <sz val="10"/>
        <rFont val="Trebuchet MS"/>
        <family val="2"/>
      </rPr>
      <t>META</t>
    </r>
    <r>
      <rPr>
        <sz val="10"/>
        <rFont val="Trebuchet MS"/>
        <family val="2"/>
      </rPr>
      <t>: ES MANTENER SIEMPRE LIMPIO EL MUNICIPIO Y DARLE UNA MUEVA IMAGEN</t>
    </r>
  </si>
  <si>
    <t>54104</t>
  </si>
  <si>
    <t xml:space="preserve">MINERALES METALICOS </t>
  </si>
  <si>
    <t>personas Naturales</t>
  </si>
  <si>
    <t>PROGRAMA: FIESTAS PATRONALES</t>
  </si>
  <si>
    <r>
      <rPr>
        <b/>
        <sz val="10"/>
        <rFont val="Trebuchet MS"/>
        <family val="2"/>
      </rPr>
      <t>META</t>
    </r>
    <r>
      <rPr>
        <sz val="10"/>
        <rFont val="Trebuchet MS"/>
        <family val="2"/>
      </rPr>
      <t>: QUE LA POBLACION DISFRUTE DE SUS FIESTAS PATRONALES SANA MENTE</t>
    </r>
  </si>
  <si>
    <t>ALCALDIA MUNICIPAL DE CHILTIUPÁN</t>
  </si>
  <si>
    <t>PROGRAMA: PROYECTO DE CACAO</t>
  </si>
  <si>
    <t>Salarios por Jornal</t>
  </si>
  <si>
    <t>VIATICOS</t>
  </si>
  <si>
    <t>SERVICIO DE CAPASITACION</t>
  </si>
  <si>
    <t>Ingreso fodes 25%</t>
  </si>
  <si>
    <t>Total remuneraciones del FODES 25%</t>
  </si>
  <si>
    <t>Porcentaje utilizado</t>
  </si>
  <si>
    <t>50% para sueldos , aguinaldos</t>
  </si>
  <si>
    <t xml:space="preserve"> Pagar en  Dic. Con  25 % fodes Aguinaldo</t>
  </si>
  <si>
    <t>54202</t>
  </si>
  <si>
    <t xml:space="preserve">sueldo por Jornal </t>
  </si>
  <si>
    <t xml:space="preserve">Materiales no Metalicos </t>
  </si>
  <si>
    <t xml:space="preserve">Mnerales Metalicos </t>
  </si>
  <si>
    <t>54112</t>
  </si>
  <si>
    <t>MODALIDAD: ADMINISTRACION</t>
  </si>
  <si>
    <t>54118</t>
  </si>
  <si>
    <t xml:space="preserve">Herramienta y Accesorio </t>
  </si>
  <si>
    <t>Bienes y Consumo Diversos</t>
  </si>
  <si>
    <t xml:space="preserve">Transporte y Fletes </t>
  </si>
  <si>
    <t xml:space="preserve">Salarios por Jornal </t>
  </si>
  <si>
    <t>Minerales No Metálicos y Productos Derivados</t>
  </si>
  <si>
    <t xml:space="preserve">Materiales Metalicos </t>
  </si>
  <si>
    <t>Supervición de Infraestructuras.</t>
  </si>
  <si>
    <r>
      <rPr>
        <b/>
        <sz val="10"/>
        <rFont val="Trebuchet MS"/>
        <family val="2"/>
      </rPr>
      <t>META</t>
    </r>
    <r>
      <rPr>
        <sz val="10"/>
        <rFont val="Trebuchet MS"/>
        <family val="2"/>
      </rPr>
      <t xml:space="preserve">: </t>
    </r>
  </si>
  <si>
    <t>Minerales Metálicos y Productos Derivados</t>
  </si>
  <si>
    <t>PROYECTO: MEJORAMIENTO DE PASAJE BELEN CASERIO SHUTIA</t>
  </si>
  <si>
    <t>Arrendamiento de Bienes Muebles.</t>
  </si>
  <si>
    <t>61601</t>
  </si>
  <si>
    <t>61602</t>
  </si>
  <si>
    <t>De Salud y Saneamiento Ambiental</t>
  </si>
  <si>
    <t>PROYECTO: INTRODUCCIÓN DE AGUA POTABLE SAN ISIDRO</t>
  </si>
  <si>
    <t>PROYECTO: PERFORACIÓN DE POZO EN CANTÓN EL ZONTE</t>
  </si>
  <si>
    <t>PROYECTO: CREACIÓN DE ESCUELA JUVENIL.</t>
  </si>
  <si>
    <t xml:space="preserve">Textiles y Vestuarios </t>
  </si>
  <si>
    <t>PROYECTO: MEJORAMIENTO DE CANCHA  CANTÓN EL JULUPE</t>
  </si>
  <si>
    <t>Impreciones y publicaciones y Reproducciones</t>
  </si>
  <si>
    <r>
      <rPr>
        <b/>
        <sz val="10"/>
        <rFont val="Trebuchet MS"/>
        <family val="2"/>
      </rPr>
      <t>META</t>
    </r>
    <r>
      <rPr>
        <sz val="10"/>
        <rFont val="Trebuchet MS"/>
        <family val="2"/>
      </rPr>
      <t xml:space="preserve">: ES PODER DARLE MAS DESARROLLO AL MUNICIPIO EN LO QUE ES TURISMO </t>
    </r>
  </si>
  <si>
    <t>Becas</t>
  </si>
  <si>
    <r>
      <rPr>
        <b/>
        <sz val="10"/>
        <rFont val="Trebuchet MS"/>
        <family val="2"/>
      </rPr>
      <t>META</t>
    </r>
    <r>
      <rPr>
        <sz val="10"/>
        <rFont val="Trebuchet MS"/>
        <family val="2"/>
      </rPr>
      <t xml:space="preserve">: ES HACER PERSONAS COMPETITIVAS EN LA EDUCACION </t>
    </r>
  </si>
  <si>
    <t>PROGRAMA: FOMENTO A LA EDUCACION</t>
  </si>
  <si>
    <t>Personas Naturales</t>
  </si>
  <si>
    <t xml:space="preserve">PROGRAMA: DOTACION DE LAMINAS </t>
  </si>
  <si>
    <r>
      <rPr>
        <b/>
        <sz val="10"/>
        <rFont val="Trebuchet MS"/>
        <family val="2"/>
      </rPr>
      <t>META</t>
    </r>
    <r>
      <rPr>
        <sz val="10"/>
        <rFont val="Trebuchet MS"/>
        <family val="2"/>
      </rPr>
      <t xml:space="preserve">: PARA MEJORAR LAS VIVIENDAS DE LAS PERSONAS DE ESCASOS RECURSOS </t>
    </r>
  </si>
  <si>
    <t xml:space="preserve">PROYECTO: REPARACION DE GRADAS LAS VICTORIAS </t>
  </si>
  <si>
    <t>PROYECTO: CONCRETEADO DE CALLE JULIO ROSADO CANTÓN GUADALUPE</t>
  </si>
  <si>
    <t>PROYECTO: PERFORACIÓN DE POZO  EN CASERIO LA CAMARONERA CANTÓN TAQUILLO</t>
  </si>
  <si>
    <t>PROGRAMA: PROYECTO DE CONCRETEADO CANTÓN GUADALUPE</t>
  </si>
  <si>
    <t>DIFENCIA</t>
  </si>
  <si>
    <t xml:space="preserve">BIENES Y CONSUMO DIVERSOS </t>
  </si>
  <si>
    <t>112</t>
  </si>
  <si>
    <t>PRODUCTOS ALIMENTICIOS</t>
  </si>
  <si>
    <t>COMBUSTIBLE Y LUBRICANTES</t>
  </si>
  <si>
    <t>BIENES Y USO CONSUMO DIVERSOS</t>
  </si>
  <si>
    <t>CONSULTORIAS, ESTUDIOS E INVESTIGACIONES DIVERSAS</t>
  </si>
  <si>
    <t>SUPERVISION DE INFRAESTRUCTUTA</t>
  </si>
  <si>
    <t>IMPRECIONES Y PUBLICACIONES Y REPRODUCCIONES</t>
  </si>
  <si>
    <t xml:space="preserve">PRODUCTOS Y TEXTILES Y VESTUARIOS </t>
  </si>
  <si>
    <t xml:space="preserve"> ESTRUCTURA PRESUPUESTARIA</t>
  </si>
  <si>
    <t>1- 01-  02-  1-      110                         25 % FODES</t>
  </si>
  <si>
    <t>CHAPEO DE CEMENTERIO Y DE LAS FINCAS</t>
  </si>
  <si>
    <t>materiales metalicos</t>
  </si>
  <si>
    <r>
      <rPr>
        <b/>
        <sz val="10"/>
        <rFont val="Trebuchet MS"/>
        <family val="2"/>
      </rPr>
      <t>META</t>
    </r>
    <r>
      <rPr>
        <sz val="10"/>
        <rFont val="Trebuchet MS"/>
        <family val="2"/>
      </rPr>
      <t xml:space="preserve">: PARA EVITAR UN ACCIDENTE, </t>
    </r>
  </si>
  <si>
    <t xml:space="preserve">CAJA GENERAL </t>
  </si>
  <si>
    <t>NOTA: LAS CIFRAS PRESUPUESTARIAS Y MONTOS PUEDEN VARIAR AL ELAVORAR LA CARPETA TECNICA, POR QUE NO TIENEN ELAVORADA CARPETA</t>
  </si>
  <si>
    <t>META: MEJORAR EL ALUMBRADO EN LOS PUNTOS ESTRATEJICOS PARA CONTRA RESTAR A LA DELINCUENCIA</t>
  </si>
  <si>
    <t>PROGRAMA: PERFORACION DE POZO</t>
  </si>
  <si>
    <r>
      <rPr>
        <b/>
        <sz val="10"/>
        <rFont val="Trebuchet MS"/>
        <family val="2"/>
      </rPr>
      <t>META</t>
    </r>
    <r>
      <rPr>
        <sz val="10"/>
        <rFont val="Trebuchet MS"/>
        <family val="2"/>
      </rPr>
      <t>: MEJORAR LA CALIDAD DE VIDA DE LOS AVITANTES DE LOS AVITANTES QUE NO TIENEN AGUA POTABLE  EN CANTÓN  TAQUILLO</t>
    </r>
  </si>
  <si>
    <t>PROGRAMA: MEJORAMIENTO DE CANCHA  CANTON JULUPE</t>
  </si>
  <si>
    <r>
      <rPr>
        <b/>
        <sz val="10"/>
        <rFont val="Trebuchet MS"/>
        <family val="2"/>
      </rPr>
      <t>META</t>
    </r>
    <r>
      <rPr>
        <sz val="10"/>
        <rFont val="Trebuchet MS"/>
        <family val="2"/>
      </rPr>
      <t>: ES MEJORAR LA CAMCHA PARA QUE LOS JOVENES TENGAN ENTRETENIMIENTO Y NO METERSE A LA DELINCUENCIA Y OCUPAR LA MENTE EN COSAS RECREATIVAS</t>
    </r>
  </si>
  <si>
    <r>
      <rPr>
        <b/>
        <sz val="10"/>
        <rFont val="Trebuchet MS"/>
        <family val="2"/>
      </rPr>
      <t>META</t>
    </r>
    <r>
      <rPr>
        <sz val="10"/>
        <rFont val="Trebuchet MS"/>
        <family val="2"/>
      </rPr>
      <t>: FOMENTAR MAS EL DEPORTE EN EL MUNICIPIO, PARA  DESARROLLAR  MAS JOBENES CON AVILIDADES BUENAS Y COMPETITIVAS</t>
    </r>
  </si>
  <si>
    <r>
      <rPr>
        <b/>
        <sz val="10"/>
        <rFont val="Trebuchet MS"/>
        <family val="2"/>
      </rPr>
      <t>META</t>
    </r>
    <r>
      <rPr>
        <sz val="10"/>
        <rFont val="Trebuchet MS"/>
        <family val="2"/>
      </rPr>
      <t xml:space="preserve">: MEJORAR LOS ESPACIOS PUBLICOS PARA MAS DESARROLLO DEL MUNICIPIO  </t>
    </r>
  </si>
  <si>
    <t>PROGRAMA: CREACION DE ESCUELA JUVENIL</t>
  </si>
  <si>
    <t>PROGRAMA: PERFORACION DE POZO EL ZONTE</t>
  </si>
  <si>
    <r>
      <rPr>
        <b/>
        <sz val="10"/>
        <rFont val="Trebuchet MS"/>
        <family val="2"/>
      </rPr>
      <t>META</t>
    </r>
    <r>
      <rPr>
        <sz val="10"/>
        <rFont val="Trebuchet MS"/>
        <family val="2"/>
      </rPr>
      <t>: MEJORAR LA CALIDAD DE VIDA DE LOS AVITANTES DE LOS AVITANTES QUE NO TIENEN AGUA POTABLE  EN CANTÓN  EL ZONTE</t>
    </r>
  </si>
  <si>
    <t>PROGRAMA: INTRODUCCION DE AGUA POTABLE SAN ISIDRO</t>
  </si>
  <si>
    <r>
      <rPr>
        <b/>
        <sz val="10"/>
        <rFont val="Trebuchet MS"/>
        <family val="2"/>
      </rPr>
      <t>META</t>
    </r>
    <r>
      <rPr>
        <sz val="10"/>
        <rFont val="Trebuchet MS"/>
        <family val="2"/>
      </rPr>
      <t xml:space="preserve">: MEJORAR LA CALIDAD DE VIDA DE LOS AVITANTES DE LOS AVITANTES QUE NO TIENEN AGUA POTABLE  EN SAN ISIDRO </t>
    </r>
  </si>
  <si>
    <r>
      <rPr>
        <b/>
        <sz val="10"/>
        <rFont val="Trebuchet MS"/>
        <family val="2"/>
      </rPr>
      <t>META</t>
    </r>
    <r>
      <rPr>
        <sz val="10"/>
        <rFont val="Trebuchet MS"/>
        <family val="2"/>
      </rPr>
      <t>: MEJORAR EL PASO DE LOS AVITANTES YA QUE ES UN LUGAR ESCABROZO Y PELIGROSO DE UN ACCIDENTE DE UNA CAIDA</t>
    </r>
  </si>
  <si>
    <r>
      <rPr>
        <b/>
        <sz val="10"/>
        <rFont val="Trebuchet MS"/>
        <family val="2"/>
      </rPr>
      <t>META</t>
    </r>
    <r>
      <rPr>
        <sz val="10"/>
        <rFont val="Trebuchet MS"/>
        <family val="2"/>
      </rPr>
      <t xml:space="preserve">: MEJORAR LAS CALLES DE LOS AVITANTES PARA PODER TENER MEJOR VENEFICIO Y QUE LOS VEHICULOS SE PUEDAN ARUINAR MENOS </t>
    </r>
  </si>
  <si>
    <t>PROGRAMA: MEJORAMIENTO PASAJE BELEN</t>
  </si>
  <si>
    <r>
      <rPr>
        <b/>
        <sz val="10"/>
        <rFont val="Trebuchet MS"/>
        <family val="2"/>
      </rPr>
      <t>META</t>
    </r>
    <r>
      <rPr>
        <sz val="10"/>
        <rFont val="Trebuchet MS"/>
        <family val="2"/>
      </rPr>
      <t xml:space="preserve">: MEJORAR EL PASO DE LA COMUNIDAD Y DE PERSONAS DE LA TERCERA EDAD </t>
    </r>
  </si>
  <si>
    <t>PROGRAMA: REPARACION DE CAMINOS VECINALES</t>
  </si>
  <si>
    <r>
      <rPr>
        <b/>
        <sz val="10"/>
        <rFont val="Trebuchet MS"/>
        <family val="2"/>
      </rPr>
      <t>META</t>
    </r>
    <r>
      <rPr>
        <sz val="10"/>
        <rFont val="Trebuchet MS"/>
        <family val="2"/>
      </rPr>
      <t xml:space="preserve">: MANTENER EN BUEN ESTADO LOS CAMINOS VECINALES DEL MUNICIPIO PARA QUE LOS AVITANTES PUEDAN SACAR SUS CULTIVOS Y OTRAS </t>
    </r>
  </si>
  <si>
    <r>
      <rPr>
        <b/>
        <sz val="10"/>
        <rFont val="Trebuchet MS"/>
        <family val="2"/>
      </rPr>
      <t>META</t>
    </r>
    <r>
      <rPr>
        <sz val="10"/>
        <rFont val="Trebuchet MS"/>
        <family val="2"/>
      </rPr>
      <t xml:space="preserve">: MEJORAR LA CALLE PARA PODER TRANSITAR PERSONAS DE LA TERCERA EDAD, YA QUE LA CALLE ESTA EN MALAS CONDICIONES </t>
    </r>
  </si>
  <si>
    <t>PROGRAMA: MEJORAMIENTO DE CALLE ESPIRITU SANTO EL ZONTE</t>
  </si>
  <si>
    <t>1- 01-  01-  1-      110                         25 % FODES</t>
  </si>
  <si>
    <t>1- 02-  01-  1-      110                         25 % FODES</t>
  </si>
  <si>
    <t>1- 02-  02-  1-      110                         25 % FODES</t>
  </si>
  <si>
    <t>4 - 04 - 01 - 1 - 111         Desarrollo economico, Fondos FODES</t>
  </si>
  <si>
    <t>5-05-01-1-111                                 servicio a la Deuda Publica</t>
  </si>
  <si>
    <t>PROCEDIMIENTO PARA FIRMAR Y  COBRAR, DOCUMENTOS CONTRA LA MUNICIPALIDAD</t>
  </si>
  <si>
    <t>FALCULTAD DE HACER DESCUENTOS</t>
  </si>
  <si>
    <t xml:space="preserve">DE LAS DEVOLUCIONES DE RENTA Y OTROS DEPOSITOS </t>
  </si>
  <si>
    <t xml:space="preserve">Art.21- Lo corresponde al Consejo Municipal autorizar la devolución de rentas recaudadas indebidamente, depositos y además fondos ajenos en custodia </t>
  </si>
  <si>
    <t xml:space="preserve">PAGO A FAVORES DE PERSONAS FALLECIDAS </t>
  </si>
  <si>
    <t>Art. 22- Cuando se trate de pagos a favor de personas fallecidas, los documentos de egresos deberan ser firmados por el beneficiario en el caso de haberlo designado con anterioridad por el heredero o herederos que comprueben tal calidad.</t>
  </si>
  <si>
    <t>Igual procedimiento se observará cuando la persona deba firmar el documento de pago estuviere incapasitada mentalmente para hacerlo.</t>
  </si>
  <si>
    <t>DE LOS ASUETOS, VACACIONES, LICENCIAS,ANTICIPOS, DESCUENTOS VIATICOS Y SUBSIDIOS</t>
  </si>
  <si>
    <t xml:space="preserve">los funcionarios o empleados que por circunstancias de trabajo no puedan gozar de vacación en los periodos mencionados, gozaran de quince dias de vacación anual remunerada, por cada año de servicio. Esta vacación no podrá compensarse en dinero y la obligación de la municipalidad de darla corresponde la del trabajador de tomarla. </t>
  </si>
  <si>
    <t>SUBSIDIO PARA FUNERALES</t>
  </si>
  <si>
    <t>DE LOS CONTRATOS Y SUMINISTROS</t>
  </si>
  <si>
    <t>DE LAS DIETAS DE LOS MIEMBROS DEL CONSEJO MUNICIPAL.</t>
  </si>
  <si>
    <t>VIATICOS.</t>
  </si>
  <si>
    <t>RESPONSABILIDADES DE FUNCIONARIOS Y EMPLEADOS.</t>
  </si>
  <si>
    <t xml:space="preserve">DE LOS SERVICIOS EVENTUALES </t>
  </si>
  <si>
    <t>DE LAS REMUNERACIONES PERMANENTE.</t>
  </si>
  <si>
    <t>RESPONSABILIDADES DE LOS REFRENDARIOS DE CHEQUE</t>
  </si>
  <si>
    <t>PROHIBIDO RECIBIR VALORES SIN OTORGAR RECIBO O HACER COBROS ILEGALES.</t>
  </si>
  <si>
    <t>NO ES NECESARIO ACUERDO O RESOLUCION.</t>
  </si>
  <si>
    <t>DEL FONDO CIRCULANTE</t>
  </si>
  <si>
    <t>Art. 25- Con el objeto de atender gastos de menor cuantía o de carácter urgente se crea el Fondo Circulante hasta por la cantidad de: QUINIENTOS 00/100 DOLARES ($ 500.00), que servirá para la compra de materiales de oficina, informáticos, libros, útiles de enseñanza, publicaciones, herramientas, repuestos, accesorios, materiales eléctricos, bienes de uso y consumo diversos, servicios de correo, pasajes al interior, viáticos por comisiones interna, mantenimientos y reparaciones de bienes muebles e inmuebles, mantenimientos y reparaciones de vehículos, impresiones, publicaciones y reproducciones, atenciones sociales, etc.  Cuyo monto no exceda de  veinticinco  dolares  $25.00.</t>
  </si>
  <si>
    <t>Art. 27- Se prohíbe a todo funcionario o empleado, recibir valor alguno sin que se extienda el recibo correspondiente en la forma legal o cuyo pago no esté contemplado en la Ley u Ordenanza.  La infracción de este precepto hará incurrir al culpable en una multa que será impuesta por el Concejo Municipal de acuerdo con la gravedad de la falta.  Pudiendo el culpable ser sujeto de suspensión de labores. Multa que será impuesta por el Concejo Municipal de acuerdo con la gravedad de la falta.  Pudiendo el culpable ser sujeto de suspensión de labores.</t>
  </si>
  <si>
    <t>Art. 28- Los refrendarios de cheques incurrirán en responsabilidad solidaria con el Tesorero o Encargado del Fondo Circulante, por el valor de los cheques que refrenden, en el caso de no existir crédito presupuestario, o no estén respaldados por los comprobantes de egreso respectivo, debidamente legalizado.</t>
  </si>
  <si>
    <t>Art. 29- Queda obligado el Concejo Municipal, a emitir acuerdos relacionados con el nombramiento, licencia o cancelación de funcionarios y empleados o cualquier otro movimiento de personal, que afecte los créditos presupuestarios.</t>
  </si>
  <si>
    <t>Art. 30- Los Empleados que en el Presupuesto son considerados en la nómina de Remuneraciones Permanente se regirán por estas normas:</t>
  </si>
  <si>
    <t>Art. 31- Para el presente presupuesto , son  Servicios    de  Carácter Eventual  y  sus honorarios estarán considerados  en la cifra  presupuestaria  especifica correspondiente , toda persona natural  o jurídica , contratada  para realizar actividades  o funciones  relacionadas  con su formación profesional o técnica, sin subordinación ,   más que solamente  presentar a satisfacción  del  contratante  el producto  o servicio para el que fue   contratado, de acuerdo a las siguientes condiciones:</t>
  </si>
  <si>
    <t>Art. 32.- Todo funcionario o empleado encargado de recibir, custodiar o pagar bienes o valores municipales o cuyas atribuciones permitan o exijan su tenencia, será responsable de dolo o culpa, por la pérdida, daño, abuso, empleo o pago ilegal de ellos.  En consecuencia, será obligatoria la formulacion de  inventarios parciales.</t>
  </si>
  <si>
    <t>Art. 33.- Tendrán derecho al reconocimiento y pago de viáticos todos los funcionarios, empleados o trabajadores municipales que viajen en comisión oficial, dentro o fuera del territorio nacional, debiendo fijárseles la cuota necesaria para sufragar sus gastos de alojamiento y alimentación.  También tendrán derecho a que se les paguen los gastos de transporte.</t>
  </si>
  <si>
    <t>Art. 35.-. Cuando se disponga realizar Adquisiciones y Contrataciones de Bienes y Servicios para la Municipalidad o la construcción de obras, se estará sujeto a lo dispuesto en la Ley de Adquisiciones y Contrataciones de la Administración Pública (LACAP), siendo responsabilidad de dar cumplimiento a dicha normativa el Jefe de la Unidad de Adquisiciones y Contrataciones Institucional (UACI).</t>
  </si>
  <si>
    <t xml:space="preserve">DE LA EJECUCIÓN DEL PRESUPUESTO </t>
  </si>
  <si>
    <t>DE LOS CREDITOS PRESUPUESTOS.</t>
  </si>
  <si>
    <t>DE LA ADMINISTRACIÓN DE LOS CREDITOS PRESUPUESTOS</t>
  </si>
  <si>
    <t>UTILIZACIÓN DE LAS ASIGNACIONES</t>
  </si>
  <si>
    <t>DE LOS SOBRANTES DE AUTORIZACIONES DE GASTOS</t>
  </si>
  <si>
    <t xml:space="preserve">SALDOS PENDIENTES DE PAGO DEBEN CONSIGNARSE EN EL EJERCICIO SIGUIENTES </t>
  </si>
  <si>
    <t>VENCIMIENTOS DE ASIGNACIONES Y CUOTAS</t>
  </si>
  <si>
    <t xml:space="preserve">DE LOS GASTOS FIJOS </t>
  </si>
  <si>
    <t>RESPONSABILIDAD EN LOS GASTOS ILEGALES</t>
  </si>
  <si>
    <t>RESPONSABILIDAD DEL ORDENADOR DE PAGOS</t>
  </si>
  <si>
    <t>DE LA LIQUIDACIÓN DEL PRESUPUESTO</t>
  </si>
  <si>
    <t>DE LA EVALUACIÓN DEL PRESUPUESTO</t>
  </si>
  <si>
    <t>Chiltiupan - Puerto de la Libertad, ( Motorista de camion recolector de desechos solidos)</t>
  </si>
  <si>
    <t xml:space="preserve"> T O T A L   </t>
  </si>
  <si>
    <t>Servicios Generales y Arrendamientos Diversos (puerto de la libertad)</t>
  </si>
  <si>
    <t>Productos Alimenticios        (a pagar de fondos propios).</t>
  </si>
  <si>
    <t>Art. 26- No será necesario Acuerdo o Resolución para erogaciones en el pago de dietas de los miembros del Concejo Municipal, salarios permanentes  por Ley de salario  o por contrato, Bonificaciones, horas extraordinarias, aguinaldos, alquileres de inmuebles, servicios básicos, subvenciones mensuales a instituciones culturales  o de beneficencia y demás gastos fijos debidamente consignados en el Presupuesto, para los cuales bastará que haya crédito presupuestario y fondos disponibles para efectuar los pagos.</t>
  </si>
  <si>
    <t>CON SALDOS PENDIENTES DE REINTEGRAR A LA CUENTA DE AHORROS DE PROYECTOS DE LIQUIDAR DEL 75% FODES</t>
  </si>
  <si>
    <t>ALCALDÍA  MUNICIPAL DE CHILTIUPAN</t>
  </si>
  <si>
    <t>SIN FECHA  DEFINIDA  PARA  EJECUCIÓN</t>
  </si>
  <si>
    <t>Art. 8.- Las asignaciones deberán ser utilizadas en la forma  que las haya aprobado  el Concejo Municipal.  Cada asignación deberá estar disponible solo durante el ejercicio fiscal a que corresponda, y se utilizará únicamente para los propósitos y hasta por la cantidad indicada,excepto cuando la aginacion haya sido modificada por decretos legalmente aprobados.</t>
  </si>
  <si>
    <t>LAS FUNCIONES, COBROS, ESPECIES, RESPONSAVILIDADES Y PROHIBICIONES EN TESORERIA MUNICIPAL</t>
  </si>
  <si>
    <t>Art.18- Se prohibe al tesorero prestar o anticipar cualquier cantidad de los fondos municiopales u otros valores, asi como darles un destino diferente al servicio municipal, salvo los casos previsto por la ley.</t>
  </si>
  <si>
    <t>La contravención a lo dispuesto en el inciso anterior constituye delito de malversación de caudales publicos y será juzgado el infractor con arreglo al código penal, suspendiendose por el mismo hecho del ejercicio de su mismo cargo o empleo. La suspención sera ordenada por el consejo municipal.</t>
  </si>
  <si>
    <t xml:space="preserve">Art. 19- Todos los recibos o documentos deberán estar firmados por los recipientes, Las personas que no puedan firmar, deberan dejar  estampada la huella digital, y deberá firmar otra persona  a ruego de este. </t>
  </si>
  <si>
    <t>Sin embargo cuando las cantidades que deban pagarse no exedieran de un salario minimo si no hubiere beneficiario designado o herederos declarados, el alcalde comprobara por otros medios legales de prueba. Y mediante resolución determinará la o las personas beneficiarias, para los efectos de legalización y pago, en el orden que sea necesario.</t>
  </si>
  <si>
    <t>Art.23- Los funcionarios y empleados municipales gozaran de asuetos, vacaciones y licencias en forma que establece la ley de asuetos, vacaciones y licencia de los empleados publicos; asi como tambien, el dia del empleado Municipal, y de los dias de asuetos, vacaciones y licencia que en el curso del año acuerde la municipalidad por circustancias especiales.</t>
  </si>
  <si>
    <t xml:space="preserve">Art.24- Se podra autorizar subsidio para funerales de los empleados  que fallezcan, cuando se encuentren prestando sus servicios a la municipalidad, siendo extensiva esta disposición a los familiares de los mismos empleados hasta el cuarto grado de consanguinidad y segundo de afinidad, cuando ellos sean dependiente de éste. </t>
  </si>
  <si>
    <t>i )       Las personas contratadas de forma temporal, por días, semanas, catorcenas u otro periodo que no implique una plaza fija; para efectuar labores de  índole operativa, bajo relación de subordinación o dependencia laboral,  se considerarán de carácter permanente de acuerdo a la definición en  El Art. 64 de La Ley de Impuesto Sobre la Renta. Y la retención de la Renta estará sujeta a las tablas de retención, según Art.155 del código Tributario.</t>
  </si>
  <si>
    <t>Servicios de Energia Electrica</t>
  </si>
  <si>
    <t xml:space="preserve">Servicios de Agua </t>
  </si>
  <si>
    <t xml:space="preserve">ARENDAMIENTO DE BIENES INMUEBLES </t>
  </si>
  <si>
    <t xml:space="preserve"> Apoyo a  Los Centros Escolares  del Municipio de Chiltiupan  en las diversas Actividades que realizan, tales como  pago  a   actividades  Culturales, deportivas,  cívicas , materiales de construcción para pequeñas obras de mantenimiento , instrumentos para mejorar Bandas de paz, Plantas ornamentales, pintura y otros de menor cuantía que  no  pueden cubrir con  sus  fondos propios.</t>
  </si>
  <si>
    <t xml:space="preserve">Cañerias de agua Cantón las Flores </t>
  </si>
  <si>
    <t>Cañerias de agua Caserio Corinto</t>
  </si>
  <si>
    <t>Mantenimiento   y / o  reparación  de    la  infraestructura   de proyectos  de uso publico, para prolongar su vida útil o mantener la funcionalidad para lo que fue construido.</t>
  </si>
  <si>
    <t xml:space="preserve">MANTENIMIENTO   Y REPARACION DE INFRAESTRUCTURAS DE PROYECTOS </t>
  </si>
  <si>
    <t>Pago de Bibliotecarios, Centro Escolar, Colonia EL Coco Y Complejo Educativo Jose Simeon Cañas, Cantón Julupe</t>
  </si>
  <si>
    <t>54103</t>
  </si>
  <si>
    <t xml:space="preserve">PRODUCTOS AGROPECUARIOS Y FORESTALES </t>
  </si>
  <si>
    <t>MAQUINAS Y EQUIPOS</t>
  </si>
  <si>
    <t>Motorista Municipal</t>
  </si>
  <si>
    <t>JACKELINE ESTEFANIA QUIJANO DE MORALES</t>
  </si>
  <si>
    <t>JOSE RICARDO GUERRA DIAZ</t>
  </si>
  <si>
    <t>CARLOS DE JESUS GARCIA SOTO</t>
  </si>
  <si>
    <t>JOSE GONZALO DOMINGUEZ DURAN</t>
  </si>
  <si>
    <t xml:space="preserve">ELIANA MARCELA VIDES OLAIZOLA </t>
  </si>
  <si>
    <t>BALTAZAR AGUIRRE ECHEVERRIA</t>
  </si>
  <si>
    <t>FATIMA DEL CARMEN SOLIS HUEZO</t>
  </si>
  <si>
    <t>FECHA DE INICIO/FINALIZACION : 01/01/2019 - 31/12/2019</t>
  </si>
  <si>
    <t>Jackeline Estefania Quijano de Morales</t>
  </si>
  <si>
    <t>Tomas Hector Salinas</t>
  </si>
  <si>
    <t>Jose Ricardo Guerra Diaz</t>
  </si>
  <si>
    <t>Carlos de Jeus Garcia Soto</t>
  </si>
  <si>
    <t xml:space="preserve">Baltazar Aguirre Echeverria </t>
  </si>
  <si>
    <t xml:space="preserve">Fatima del Carmen Solis Huezo </t>
  </si>
  <si>
    <t>4- Para el encargado de los servicios sanitarios, se asignara a una persona, pagandole a $8.00 cada dia, durante todo el año.</t>
  </si>
  <si>
    <t>211-09-046</t>
  </si>
  <si>
    <t>.</t>
  </si>
  <si>
    <t>verificado correcto</t>
  </si>
  <si>
    <t xml:space="preserve">Compra de Materiales Electicos </t>
  </si>
  <si>
    <t>Mantenimiento y Reparación de bienes inmuebles</t>
  </si>
  <si>
    <t>verificado y corregido</t>
  </si>
  <si>
    <t xml:space="preserve">verificada y corregida </t>
  </si>
  <si>
    <t>verificado corregido</t>
  </si>
  <si>
    <t>Viaticos por comisión interna</t>
  </si>
  <si>
    <t>corregido y aprovado</t>
  </si>
  <si>
    <t xml:space="preserve">MANTENIMIENTO Y REPARACION DE CALLES </t>
  </si>
  <si>
    <t xml:space="preserve">  reparación de  vaches, cordones, cunetas y otras, en calles empedradas fraguado o concreteado elavoradas con proyectos viales en los años anteriores </t>
  </si>
  <si>
    <t xml:space="preserve">PROYECTO: MEJORAMIENTO DEL PARQUE MUNICIPAL </t>
  </si>
  <si>
    <t>PROGRAMA:  MEJORAMIENTO DEL PARQUE MUNICIPAL</t>
  </si>
  <si>
    <r>
      <rPr>
        <b/>
        <sz val="10"/>
        <rFont val="Trebuchet MS"/>
        <family val="2"/>
      </rPr>
      <t>META</t>
    </r>
    <r>
      <rPr>
        <sz val="10"/>
        <rFont val="Trebuchet MS"/>
        <family val="2"/>
      </rPr>
      <t>:  PARA MEJORAR, LA VISTA A LA ALCALDIA Y AL MUNCIPIO DE CHILTIUPÁN</t>
    </r>
  </si>
  <si>
    <t>Sueldos ($460.00 x 12)</t>
  </si>
  <si>
    <t>SUELDO DE ENE- A DIC - 2019</t>
  </si>
  <si>
    <t>54403</t>
  </si>
  <si>
    <t xml:space="preserve">Productos de Papel y cartón </t>
  </si>
  <si>
    <t>Impreciones publicaciones y Reproducciones</t>
  </si>
  <si>
    <t>54313</t>
  </si>
  <si>
    <t>META: MEJORAR LAS CALLES PARA PODER TRANSITAR, Y LAS PERSONAS PODERSE MOVER CON MAS FACILIDAD</t>
  </si>
  <si>
    <r>
      <rPr>
        <b/>
        <sz val="10"/>
        <rFont val="Trebuchet MS"/>
        <family val="2"/>
      </rPr>
      <t>META</t>
    </r>
    <r>
      <rPr>
        <sz val="10"/>
        <rFont val="Trebuchet MS"/>
        <family val="2"/>
      </rPr>
      <t xml:space="preserve">: PARA  MEJORAR EL ACCESO  DE PASO DE VEHICULOS Y PEATONES </t>
    </r>
  </si>
  <si>
    <r>
      <rPr>
        <b/>
        <sz val="10"/>
        <rFont val="Trebuchet MS"/>
        <family val="2"/>
      </rPr>
      <t>META</t>
    </r>
    <r>
      <rPr>
        <sz val="10"/>
        <rFont val="Trebuchet MS"/>
        <family val="2"/>
      </rPr>
      <t xml:space="preserve">:  MEJORAR  EL ACCESO DE LAS CALLES PARA QUE LOS VEHICULOS PUEDAN DENTRAR SIN NINGUN PROBLEMA </t>
    </r>
  </si>
  <si>
    <t>RRODUCTOS TEXTILES Y VESTUARIO</t>
  </si>
  <si>
    <t>IMPUESTOS, TASAS Y DERECHOS DIVERSOS</t>
  </si>
  <si>
    <t>Fortalecimiento a la productividad  Agricola de Chiltiupán</t>
  </si>
  <si>
    <t>Mantenimiento de centro escolar caserio shutia  $3.000.00</t>
  </si>
  <si>
    <t>Auxiliar de Catastro</t>
  </si>
  <si>
    <t xml:space="preserve">Empleados Eventuales </t>
  </si>
  <si>
    <t>CONCEJALES</t>
  </si>
  <si>
    <t>GRAN TOTAL REMUNEACIONES</t>
  </si>
  <si>
    <t>EMPLEADOS A PAGAR CON 75% FODES</t>
  </si>
  <si>
    <t>PAGADOS CON FONDOS PROPIOS</t>
  </si>
  <si>
    <t xml:space="preserve">SUB TOTAL EMPLEADOS EVENTUALES </t>
  </si>
  <si>
    <t xml:space="preserve">SUB TOTAL A PAGAR CON FONDOS PROPIOS AL CONCEJO </t>
  </si>
  <si>
    <t xml:space="preserve">TOTAL A PAGAR CON FONDOS PROPIOS </t>
  </si>
  <si>
    <t>PAGAR 12 MESES DEL FONDOS PROPIOS</t>
  </si>
  <si>
    <t>BONO</t>
  </si>
  <si>
    <t>AGUINALDO</t>
  </si>
  <si>
    <t xml:space="preserve">PAGAR CON FONDOS PROPIOS </t>
  </si>
  <si>
    <t>Fondos Propios    Donaciones      Prestamos Internos     (Bco- Hipotecario)</t>
  </si>
  <si>
    <t>FONDOS PROPIOS, DONACIONES,  PRESTAMOS (BANCO HIPOTECARIO)</t>
  </si>
  <si>
    <t>Ramo de Justicia y Seguridad Publica</t>
  </si>
  <si>
    <t>Ministerio de Justicia y Seguridad Publica</t>
  </si>
  <si>
    <t>3 - 03 -  01  - 121               Ministerio de Justicia y Seguridad Publica</t>
  </si>
  <si>
    <t xml:space="preserve">TOTAL INVERSION </t>
  </si>
  <si>
    <t>121</t>
  </si>
  <si>
    <t>PROYECTO:  CONSTRUCCIÓN DE TUBERIAS EN PLAYA EL ZONTE</t>
  </si>
  <si>
    <t>DE EDUCACIÓN Y RECREACIÓN</t>
  </si>
  <si>
    <t>Transporte y Fletes</t>
  </si>
  <si>
    <t>DE VIVIENDA Y OFICINA</t>
  </si>
  <si>
    <r>
      <rPr>
        <b/>
        <sz val="10"/>
        <rFont val="Trebuchet MS"/>
        <family val="2"/>
      </rPr>
      <t>META</t>
    </r>
    <r>
      <rPr>
        <sz val="10"/>
        <rFont val="Trebuchet MS"/>
        <family val="2"/>
      </rPr>
      <t>: ES PARA MEJORAR LAS CALLES Y NO SE SIGAN LAVANDO MAS</t>
    </r>
  </si>
  <si>
    <t>61603</t>
  </si>
  <si>
    <t xml:space="preserve">De Educación y Recreación </t>
  </si>
  <si>
    <t>MODALIDAD:CONTRATO</t>
  </si>
  <si>
    <t>Bienes de uso y consumo Diversos</t>
  </si>
  <si>
    <t>Imprecion, Publicacion y Reproduccion</t>
  </si>
  <si>
    <t>Transporte, Flete y Almacenamiento</t>
  </si>
  <si>
    <t>Mantenimiento de la cancha de la plaza publica  $3.000.00</t>
  </si>
  <si>
    <t xml:space="preserve">ordenanza   </t>
  </si>
  <si>
    <t>Auxiliar de Contabilidad</t>
  </si>
  <si>
    <t>Cuentas corrientes y aux, Reg, Est, Familiar</t>
  </si>
  <si>
    <t xml:space="preserve"> Encargado de Activo fijo atencion al cliente, con Vehiculo y Combust.</t>
  </si>
  <si>
    <t>Encargado del personal de Limpieza</t>
  </si>
  <si>
    <t xml:space="preserve"> Encargada de cajas y  Proyectos</t>
  </si>
  <si>
    <t>Santos Antonio Hernandez</t>
  </si>
  <si>
    <t>Auxiliar de Tesoreria</t>
  </si>
  <si>
    <t>SUMINISTRO DE AGUA EN CORINTO</t>
  </si>
  <si>
    <t>Motorista de Recolector</t>
  </si>
  <si>
    <t>Sueldos ($370.00 x 12)</t>
  </si>
  <si>
    <t xml:space="preserve">6- Barrenderos 4- en la zona urbana y 2-en la zona del cantón el Zonte a $8.00 el dia </t>
  </si>
  <si>
    <t>4- Recolectores de basura, $8.00 al dia x cinco  dias a la semana.</t>
  </si>
  <si>
    <t>AÑO 2020</t>
  </si>
  <si>
    <t xml:space="preserve">ASIGNACION 2% FODES, PARA INVERSIÓN </t>
  </si>
  <si>
    <t>ASIGNACION  75 % FODES, 2020</t>
  </si>
  <si>
    <t>3-03-02-1-112 Desarrollo     social         FISDL</t>
  </si>
  <si>
    <t>3- 03 - 01  111  Infraestructura socila  incremento del  2%  FODES</t>
  </si>
  <si>
    <t>Dispn. FISDL</t>
  </si>
  <si>
    <t>DESARROLLO SOCIAL, PROYECTOS DE INVERSIÓN        FISDL.</t>
  </si>
  <si>
    <t xml:space="preserve"> PRESUPUESTO MUNICIPAL DE EGRESOS AÑO 2020</t>
  </si>
  <si>
    <t>DETALLE DE PROYECTOS EJECUTANDOSE  EN     2020</t>
  </si>
  <si>
    <r>
      <t xml:space="preserve">FUENTE O SUBFUENTE DE FINANCIAMIENTO:    </t>
    </r>
    <r>
      <rPr>
        <b/>
        <i/>
        <sz val="14"/>
        <color rgb="FFFF0000"/>
        <rFont val="Trebuchet MS"/>
        <family val="2"/>
      </rPr>
      <t xml:space="preserve"> RECURSOS PROPIOS</t>
    </r>
  </si>
  <si>
    <r>
      <t xml:space="preserve">FUENTE O SUBFUENTE DE FINANCIAMIENTO:  </t>
    </r>
    <r>
      <rPr>
        <b/>
        <sz val="12"/>
        <color rgb="FFFF0000"/>
        <rFont val="Trebuchet MS"/>
        <family val="2"/>
      </rPr>
      <t xml:space="preserve">  </t>
    </r>
    <r>
      <rPr>
        <b/>
        <i/>
        <sz val="14"/>
        <color rgb="FFFF0000"/>
        <rFont val="Trebuchet MS"/>
        <family val="2"/>
      </rPr>
      <t>F.O.D.E.S.  25 %</t>
    </r>
  </si>
  <si>
    <r>
      <t xml:space="preserve">FUENTE O SUBFUENTE DE FINANCIAMIENTO:   </t>
    </r>
    <r>
      <rPr>
        <b/>
        <sz val="11"/>
        <color indexed="12"/>
        <rFont val="Trebuchet MS"/>
        <family val="2"/>
      </rPr>
      <t xml:space="preserve"> </t>
    </r>
    <r>
      <rPr>
        <b/>
        <i/>
        <sz val="12"/>
        <color rgb="FFFF0000"/>
        <rFont val="Trebuchet MS"/>
        <family val="2"/>
      </rPr>
      <t xml:space="preserve">DEL INCREMENTO DEL 2% F.O.D.E.S </t>
    </r>
  </si>
  <si>
    <r>
      <t xml:space="preserve">FUENTE O SUBFUENTE DE FINANCIAMIENTO:   </t>
    </r>
    <r>
      <rPr>
        <b/>
        <i/>
        <sz val="12"/>
        <color indexed="12"/>
        <rFont val="Trebuchet MS"/>
        <family val="2"/>
      </rPr>
      <t xml:space="preserve"> </t>
    </r>
    <r>
      <rPr>
        <b/>
        <i/>
        <sz val="12"/>
        <color rgb="FFFF0000"/>
        <rFont val="Trebuchet MS"/>
        <family val="2"/>
      </rPr>
      <t>F.O.D.E.S.  75 %</t>
    </r>
  </si>
  <si>
    <r>
      <t xml:space="preserve">FUENTE  DE FINANCIAMIENTO:   </t>
    </r>
    <r>
      <rPr>
        <b/>
        <i/>
        <sz val="12"/>
        <color rgb="FFFF0000"/>
        <rFont val="Trebuchet MS"/>
        <family val="2"/>
      </rPr>
      <t xml:space="preserve"> F.O.D.E.S.  75 %</t>
    </r>
  </si>
  <si>
    <t>PRESUPUESTO DEL 1 DE ENERO AL 31 DE DICIEMBRE DE 2020</t>
  </si>
  <si>
    <t>FECHA DE INICIO/FINALIZACION : 01/01/2020 - 31/12/2020</t>
  </si>
  <si>
    <r>
      <rPr>
        <b/>
        <sz val="10"/>
        <rFont val="Trebuchet MS"/>
        <family val="2"/>
      </rPr>
      <t>META</t>
    </r>
    <r>
      <rPr>
        <sz val="10"/>
        <rFont val="Trebuchet MS"/>
        <family val="2"/>
      </rPr>
      <t>: MEJORAR EL MEDIO AMBIENTE Y PONERLOS UNA META A NO HACER TALAS DE ARBOLES Y PODER SENBRAR ARBOLES EN LOS ESPACIOS LIBRES</t>
    </r>
  </si>
  <si>
    <t>Art. 13- Para los efectos de la ejecución y control de este presupuesto, se entenderán por gastos fijos, aquellos que se pagan por duodécima parte, correspondiendo una parte a cada mes, tales como los sueldos de empleados permanentes, dietas, aportaciones patronales a Instituciones de seguridad publicas y privadas, alquileres de inmuebles, servicios de  energia electrica, agua potable, comunicaciones y otras  contribuciones fijas, Etc.</t>
  </si>
  <si>
    <t>Art.20- Se faculta al Alcalde Municipal para que ordene descuentos a funcionario o empleados o trabajadores municipales, por la pérdida de herramientas, materiales y demás bienes del municipio, así como, por daños ocasionados a bienes de propiedad municipal, cuando dicha perdida o deterior se deba a negligencia de los funcionarios, empleados o trabajadores responsable de su manejo. El descuento se hará en proporción de remuneración respectiva, sin exceder del 15% sobre dicha remuneración y de acuerdo al precio de la cosa perdida o deteriorada, hasta el completo pago o reparación del daño causado.</t>
  </si>
  <si>
    <t>Productos de papel y cartón</t>
  </si>
  <si>
    <t xml:space="preserve">Bienes de uso y consumo Diversos </t>
  </si>
  <si>
    <t xml:space="preserve">Concreteado de calle principal a caserio el progreso </t>
  </si>
  <si>
    <t>administracion</t>
  </si>
  <si>
    <t>Introducción de agua potable en caserio San Isidro, Cantón Cuervo Abajo</t>
  </si>
  <si>
    <t>Introducción de Energia Electrica Caserio Taquillo</t>
  </si>
  <si>
    <t>Construcción de casa comunal Cantón Taquillo</t>
  </si>
  <si>
    <t xml:space="preserve">Construcción de Gradas, pasaje familia Polanco Caserio San Juan </t>
  </si>
  <si>
    <t>Mejoramiento de pasaje Vecinal Caserio la fincona</t>
  </si>
  <si>
    <t xml:space="preserve">Mejoramiento de tramos de Calle principal Cantón Cuervo Abajo </t>
  </si>
  <si>
    <t>Mejoramiento de Calle Principal Siberia Norte</t>
  </si>
  <si>
    <t xml:space="preserve">Mejoramiento de Calle Principal Siberia la Raizuda </t>
  </si>
  <si>
    <t>Mejoramiento de Pasaje #1 Caserio el Espiritu Santo, Cantón el Zonte</t>
  </si>
  <si>
    <t>Mejoramiento de Calle a Caserio Rio Mar Cantón Taquilo</t>
  </si>
  <si>
    <t xml:space="preserve">Mejoramiento de Pasaje Belen Caserio Shutia </t>
  </si>
  <si>
    <t>Mejoramiento de Calle Principal Caserio la Ceiba</t>
  </si>
  <si>
    <t xml:space="preserve">Mejoramiento de calle principal Caserio el Puente </t>
  </si>
  <si>
    <t>Mejoramiento de Calle Principal Cantón Santa Marta</t>
  </si>
  <si>
    <t xml:space="preserve">Mejoramiento de Calle Principal Caserio Valle Nuevo </t>
  </si>
  <si>
    <t>Mejoramiento de Calle a la Esperanza Caserio el Campo</t>
  </si>
  <si>
    <t>Conacreteado de Calle Principal Caserio el Nance</t>
  </si>
  <si>
    <t xml:space="preserve">Construcción de Gradas en Calle Principal, Caserio San Lazaro </t>
  </si>
  <si>
    <t>Salario por Jornal</t>
  </si>
  <si>
    <t>PROYECTO: CONSTRUCCIÓN DE CASA COMUNAL CANTÓN TAQUILLO</t>
  </si>
  <si>
    <r>
      <rPr>
        <b/>
        <sz val="10"/>
        <rFont val="Trebuchet MS"/>
        <family val="2"/>
      </rPr>
      <t>META</t>
    </r>
    <r>
      <rPr>
        <sz val="10"/>
        <rFont val="Trebuchet MS"/>
        <family val="2"/>
      </rPr>
      <t xml:space="preserve">:  CONSTRUIR UNA CASA CPMUNAL PARA PODER HACER REUNION CON LAS COMUNIDADES </t>
    </r>
  </si>
  <si>
    <t>PROYECTO: CONSTRUCCIÓN DE SERCA PERIMETRAL EN CANCHA CASERIO SHUTIA</t>
  </si>
  <si>
    <t xml:space="preserve">META: MEJORAR LA CANCHA PARA QUE LA PELOTA NO SE PUEDA IR Y NO PODERSE METER LOS ANIMALES </t>
  </si>
  <si>
    <t xml:space="preserve">MODALIDAD: ADMINISTRACION </t>
  </si>
  <si>
    <t>PROGRAMA: MEJORAMIENTO DE CANCHA 2 ETAPA  CANTON JULUPE</t>
  </si>
  <si>
    <t xml:space="preserve">FODES 2% </t>
  </si>
  <si>
    <t xml:space="preserve">PROYECTO: CONCRETEADO DE CALLE PRINCIPAL A CASERIO EL PROGRESO </t>
  </si>
  <si>
    <r>
      <rPr>
        <b/>
        <sz val="10"/>
        <rFont val="Trebuchet MS"/>
        <family val="2"/>
      </rPr>
      <t>META</t>
    </r>
    <r>
      <rPr>
        <sz val="10"/>
        <rFont val="Trebuchet MS"/>
        <family val="2"/>
      </rPr>
      <t>:  MEJORAR LAS CALLES DONDE AVITA LAS COMUNIDADES Y PODER PASAR BIEN LOS TRANSPORTES</t>
    </r>
  </si>
  <si>
    <t>De Salud y Sanamiento Ambiental</t>
  </si>
  <si>
    <t xml:space="preserve">Mejoramiento de Calles Cantón Santa Lucia </t>
  </si>
  <si>
    <t xml:space="preserve">PROYECTO: INTRODUCCIÓN DE AGUA POTABLE EN CASERIO SAN ISIDRO, CANTÓN CUERVO ABAJO </t>
  </si>
  <si>
    <r>
      <rPr>
        <b/>
        <sz val="10"/>
        <rFont val="Trebuchet MS"/>
        <family val="2"/>
      </rPr>
      <t>META</t>
    </r>
    <r>
      <rPr>
        <sz val="10"/>
        <rFont val="Trebuchet MS"/>
        <family val="2"/>
      </rPr>
      <t xml:space="preserve">:  PARA MEJORAR, LA CALIDAD DE VIDA DE LOS HABITANTES DEL CASERIO SAN ISIDRO </t>
    </r>
  </si>
  <si>
    <t xml:space="preserve">Viales </t>
  </si>
  <si>
    <t xml:space="preserve">PROYECTO: MEJORAMIENTO DE CALLES INTERNAS CANTÓN EL ZONTE </t>
  </si>
  <si>
    <r>
      <rPr>
        <b/>
        <sz val="10"/>
        <rFont val="Trebuchet MS"/>
        <family val="2"/>
      </rPr>
      <t>META</t>
    </r>
    <r>
      <rPr>
        <sz val="10"/>
        <rFont val="Trebuchet MS"/>
        <family val="2"/>
      </rPr>
      <t xml:space="preserve">: MEJORAR LAS CALLES DEL MUNICIPIO PARA QUE EL TURISTA SE SIENTA SATISFECHO CUANDO LLEGA AL ZONTE </t>
    </r>
  </si>
  <si>
    <t xml:space="preserve">PROYECTO: INTRODUCCIÓN DE ENERGIA ELECTRICA CASERIO TAQUILLO </t>
  </si>
  <si>
    <t>61606</t>
  </si>
  <si>
    <t>Electrica y  Comunicaciones</t>
  </si>
  <si>
    <t>NATURALEZA: PROYECTO DE INVERCION ECONOMICA</t>
  </si>
  <si>
    <r>
      <rPr>
        <b/>
        <sz val="10"/>
        <rFont val="Trebuchet MS"/>
        <family val="2"/>
      </rPr>
      <t>META</t>
    </r>
    <r>
      <rPr>
        <sz val="10"/>
        <rFont val="Trebuchet MS"/>
        <family val="2"/>
      </rPr>
      <t xml:space="preserve">: MEJORAR LA CALIDAD DE VIDA DE LAS PERSONAS  CON ENERGIA ELECTRICA </t>
    </r>
  </si>
  <si>
    <t xml:space="preserve">NATURALEZA: PROYECTO DE INFRAESTRUCTURA  SOCIAL </t>
  </si>
  <si>
    <t xml:space="preserve">NATURALEZA: PROYECTO DE INFRAESTRUCTURA SOCIAL </t>
  </si>
  <si>
    <t>NATURALEZA: PROYECTO DE INFRAESTRUCTURA  SOCIAL</t>
  </si>
  <si>
    <t>MODALIDAD: ADMINSTRACIÓN</t>
  </si>
  <si>
    <r>
      <rPr>
        <b/>
        <sz val="10"/>
        <rFont val="Trebuchet MS"/>
        <family val="2"/>
      </rPr>
      <t>META</t>
    </r>
    <r>
      <rPr>
        <sz val="10"/>
        <rFont val="Trebuchet MS"/>
        <family val="2"/>
      </rPr>
      <t xml:space="preserve">: FOMENTAR A LOS JOVENES A PODER HACER Y CONSTRUIR UN  MAÑANA EN LOS TALLERES DE APRENDISAJE </t>
    </r>
  </si>
  <si>
    <t xml:space="preserve">Personas Naturales </t>
  </si>
  <si>
    <t xml:space="preserve">PROYECTO: CONSTRUCCION DE GRADAS, PASAJE FAMILIAR POLANCO CASERIO SAN JUAN </t>
  </si>
  <si>
    <t xml:space="preserve">NATURALEZA: PROYECTO DE INVERCION ECONOMICA </t>
  </si>
  <si>
    <t xml:space="preserve">PROYECTO: MEJORAMIENTO DE PASAJE VECINAL CASERIO LA FINCONA </t>
  </si>
  <si>
    <r>
      <rPr>
        <b/>
        <sz val="10"/>
        <rFont val="Trebuchet MS"/>
        <family val="2"/>
      </rPr>
      <t>META</t>
    </r>
    <r>
      <rPr>
        <sz val="10"/>
        <rFont val="Trebuchet MS"/>
        <family val="2"/>
      </rPr>
      <t xml:space="preserve">: MEJORAR LAS CALLES Y PASAJES  DE LOS AVITANTES PARA PODER MOVILISAS LOS PRODUCTOS  </t>
    </r>
  </si>
  <si>
    <t>NATURALEZA: PROYECTO DE INVERCION  ECONOMICA</t>
  </si>
  <si>
    <t>SECTOR: ECONOMICO</t>
  </si>
  <si>
    <t xml:space="preserve">NATURALEZA: PROYECTO DE INVERCION ECONOMICO  </t>
  </si>
  <si>
    <t xml:space="preserve">PROYECTO: MEJORAMIENTO DE TRAMOS DE CALLES PRINCIPAL CANTÓN CUERVO ABAJO  </t>
  </si>
  <si>
    <t>supervisión</t>
  </si>
  <si>
    <t xml:space="preserve">PROYECTO: MEJORAMIENTO DE CALLE PRINCIPAL SIBERIA NORTE </t>
  </si>
  <si>
    <r>
      <rPr>
        <b/>
        <sz val="10"/>
        <rFont val="Trebuchet MS"/>
        <family val="2"/>
      </rPr>
      <t>META</t>
    </r>
    <r>
      <rPr>
        <sz val="10"/>
        <rFont val="Trebuchet MS"/>
        <family val="2"/>
      </rPr>
      <t xml:space="preserve">: MEJORAR LAS CALLES DE LOS AVITANTES PARA PODER TENER MEJOR VENEFICIO Y QUE LOS VEHICULOS SE PUEDAN ARUINAR MENOS Y LOS AGRICULTORES PODER SACAR MAS RAPIDO SUS CULTIVOS </t>
    </r>
  </si>
  <si>
    <t>PROYECTO: MEJORAMIENTO DE CALLE PRINCIPAL SIBERIA LA RAIZUDA</t>
  </si>
  <si>
    <t>PROYECTO: INTRODUCCIÓN DE ENERGIA ELECTRICA CASERIO SAN LUIS EL BERRAL CANTÓN SIBERIA SEGUNDA ETAPA</t>
  </si>
  <si>
    <r>
      <rPr>
        <b/>
        <sz val="10"/>
        <rFont val="Trebuchet MS"/>
        <family val="2"/>
      </rPr>
      <t>META</t>
    </r>
    <r>
      <rPr>
        <sz val="10"/>
        <rFont val="Trebuchet MS"/>
        <family val="2"/>
      </rPr>
      <t xml:space="preserve">: MEJORANDO CON ENERGIA ELECTRICA LOS CASERIOS Y CANTONES PARA EL DESARRO DEL MUNICIPIO </t>
    </r>
  </si>
  <si>
    <t xml:space="preserve">Materiales Electicos </t>
  </si>
  <si>
    <t xml:space="preserve">PROYECTO: MEJORAMIENTO DE CALLE PRINCIPAL CANTÓN EL REGADILLO </t>
  </si>
  <si>
    <t>PROYECTO: MEJORAMIENTO DE PASAJE #1 CASERIO EL ESPIRITU SANTO CANTÓN EL ZONTE</t>
  </si>
  <si>
    <t>NATURALEZA: PROYECTO DE INVERCION ECONOMICO</t>
  </si>
  <si>
    <t>PROYECTO: MEJORAMIENTO DE CALLE LOS PASAJES CANTÓN JULUPE</t>
  </si>
  <si>
    <t xml:space="preserve">PROYECTO: MEJORAMIENTO DE CALLE A CASERIO RIO MAR CANTÓN TAQUILLO </t>
  </si>
  <si>
    <t xml:space="preserve">NATURALEZA: PROYECTO DE INVERCION ECONOMICO </t>
  </si>
  <si>
    <t>NATURALEZA: INFRAESTRUCTURA ECONOMICO</t>
  </si>
  <si>
    <t>SECTOR: VIAL</t>
  </si>
  <si>
    <t>PROYECTO: MEJORAMIENTO DE CALLE PRINCIPAL CASERIO LA CEIBA</t>
  </si>
  <si>
    <r>
      <rPr>
        <b/>
        <sz val="10"/>
        <rFont val="Trebuchet MS"/>
        <family val="2"/>
      </rPr>
      <t>META</t>
    </r>
    <r>
      <rPr>
        <sz val="10"/>
        <rFont val="Trebuchet MS"/>
        <family val="2"/>
      </rPr>
      <t>:  MEJORAR LA CALLE PARA PODER TRANSITAR LAS  PERSONAS Y VEHICULO S</t>
    </r>
  </si>
  <si>
    <t xml:space="preserve">PROYECTO: MEJORAMIENTO DE CALLE PRINCIPAL CASERIO EL PUENTE  </t>
  </si>
  <si>
    <r>
      <rPr>
        <b/>
        <sz val="10"/>
        <rFont val="Trebuchet MS"/>
        <family val="2"/>
      </rPr>
      <t>META</t>
    </r>
    <r>
      <rPr>
        <sz val="10"/>
        <rFont val="Trebuchet MS"/>
        <family val="2"/>
      </rPr>
      <t xml:space="preserve">: MEJORAR LA CALLE QUE CONDUCE A EL CASERIO EL PUENTE Y QUE LOS VEHICULOS PUEDAN LLEGAR BIEN </t>
    </r>
  </si>
  <si>
    <t>PROYECTO: MEJORAMIENTO DE CALLE PRINCIPAL CANTÓN SANTA MARTA</t>
  </si>
  <si>
    <t xml:space="preserve">PROYECTO: MEJORAMIENTO DE CALLES EN CANTÓN SANTA LUCIA </t>
  </si>
  <si>
    <r>
      <rPr>
        <b/>
        <sz val="10"/>
        <rFont val="Trebuchet MS"/>
        <family val="2"/>
      </rPr>
      <t>META</t>
    </r>
    <r>
      <rPr>
        <sz val="10"/>
        <rFont val="Trebuchet MS"/>
        <family val="2"/>
      </rPr>
      <t xml:space="preserve">:  MEJORAR LAS CALLLES PARA QUE LOS HABITANTES DEL CANTÓN SANTA LUCIA PUEDAN SACAR SUS COSECHAS AGRICOLAS </t>
    </r>
  </si>
  <si>
    <t xml:space="preserve">PROYECTO: MEJORAMIENTO DE CALLE PRINCIPAL CASERIO VALLE NUEVO </t>
  </si>
  <si>
    <r>
      <rPr>
        <b/>
        <sz val="10"/>
        <rFont val="Trebuchet MS"/>
        <family val="2"/>
      </rPr>
      <t>META</t>
    </r>
    <r>
      <rPr>
        <sz val="10"/>
        <rFont val="Trebuchet MS"/>
        <family val="2"/>
      </rPr>
      <t xml:space="preserve">: MEJORAR LOS MUROS PARA PODER RETENER LAS CALLES Y NO SE SIGAN LAVANDO CON LAS LLUVIAS  </t>
    </r>
  </si>
  <si>
    <t xml:space="preserve">PROYECTO: CONSTRUCCIÓN DE MURO DE RETENCIÓN LA RONDA ORIENTE BARRIO SAN MACOS </t>
  </si>
  <si>
    <t xml:space="preserve">NATURALEZA: INFRAESTRUCTURA ECONOMICO </t>
  </si>
  <si>
    <t>PROYECTO: CONSTRUCCIÓN DE MURO DE RETENCIÓN CALLE HACIA LA CANCHA EL BAMBÚ</t>
  </si>
  <si>
    <t>PROYECTO: MEJORAMIENTO DE CALLE A LA ESPERANZA CASERIO EL CAMPO</t>
  </si>
  <si>
    <r>
      <rPr>
        <b/>
        <sz val="10"/>
        <rFont val="Trebuchet MS"/>
        <family val="2"/>
      </rPr>
      <t>META</t>
    </r>
    <r>
      <rPr>
        <sz val="10"/>
        <rFont val="Trebuchet MS"/>
        <family val="2"/>
      </rPr>
      <t xml:space="preserve">: ES PARA MEJORAR LAS CALLES Y NO SE SIGAN LAVANDO Y QUE LOS CARROS PUEDAN LLEGAR BIEN Y NO ARUINARSE </t>
    </r>
  </si>
  <si>
    <t xml:space="preserve">PROYECTO: CONCRETEADO DE CALLE PRINCIPAL CASERIO EL NANCE </t>
  </si>
  <si>
    <r>
      <rPr>
        <b/>
        <sz val="10"/>
        <rFont val="Trebuchet MS"/>
        <family val="2"/>
      </rPr>
      <t>META</t>
    </r>
    <r>
      <rPr>
        <sz val="10"/>
        <rFont val="Trebuchet MS"/>
        <family val="2"/>
      </rPr>
      <t xml:space="preserve">: ES PARA MEJORAR LAS CALLES Y QUE LAS PERSONAS DEL CASERIO PUEDAN TRASLADARSE EN SUS VEHICULOS </t>
    </r>
  </si>
  <si>
    <t xml:space="preserve">PROYECTO: CONSTRUCCIÓN DE GRADAS EN CALLE PRINCIPAL, CASERIO SAN LAZARO </t>
  </si>
  <si>
    <r>
      <rPr>
        <b/>
        <sz val="10"/>
        <rFont val="Trebuchet MS"/>
        <family val="2"/>
      </rPr>
      <t>META</t>
    </r>
    <r>
      <rPr>
        <sz val="10"/>
        <rFont val="Trebuchet MS"/>
        <family val="2"/>
      </rPr>
      <t xml:space="preserve">: ES PARA MEJORAR EL PASO DE LOS AVITANTES PARA QUE PUEDAN CAMINAR CON MAS SEGURIDAD EN LAS GRADAS </t>
    </r>
  </si>
  <si>
    <t xml:space="preserve">SECTOR: INFRAESTRUCTURA </t>
  </si>
  <si>
    <t>PROYECTO: FOMENTO A LA SEGURIDAD Y PREVENCIÓN DE LA VIOLENCIA EN LAS INSTALACIONES MUNICIPAL, INVERSIONES DE PROYECTOS Y PARTICIPACIÓN CIUDADANA CON EL APOYO DE LA PNC</t>
  </si>
  <si>
    <t xml:space="preserve">SALARIO POR JORNAL </t>
  </si>
  <si>
    <t xml:space="preserve">ELECTRICA Y COMUNICACIONES </t>
  </si>
  <si>
    <t xml:space="preserve">PROYECTO: INTRODUCCIÓN DE ENERGIA ELECTRICA CASERIO TAQUILLITO </t>
  </si>
  <si>
    <t xml:space="preserve">PROYECTO: COMPRA DE LAMINA PARA PERSONAS DE ESCASOS RECURSOS DEL MUNICIPIO DE CHILTIUPÁN </t>
  </si>
  <si>
    <t>SECTOR: SOCIAL</t>
  </si>
  <si>
    <r>
      <rPr>
        <b/>
        <sz val="10"/>
        <rFont val="Trebuchet MS"/>
        <family val="2"/>
      </rPr>
      <t>META</t>
    </r>
    <r>
      <rPr>
        <sz val="10"/>
        <rFont val="Trebuchet MS"/>
        <family val="2"/>
      </rPr>
      <t xml:space="preserve">: MEJORAR LA CALIDAD DE VIDA DE LAS FAMILIAS DE ESCASOS RECURSOS   </t>
    </r>
  </si>
  <si>
    <t>PROYECTO:  CONVENIO CON MINSAL PARA USO DE LA AMBULACIA   2020</t>
  </si>
  <si>
    <t>combustible y lubricantes ( $ 200.00 X 12 meses)</t>
  </si>
  <si>
    <t xml:space="preserve">Perforación de pozo en Caserio la Ceiba </t>
  </si>
  <si>
    <t>PROYECTO: PERFORACIÓN DE POZO EN CASERIO LA CEIBA</t>
  </si>
  <si>
    <t xml:space="preserve">De salud y Sanamiento Ambiental </t>
  </si>
  <si>
    <r>
      <rPr>
        <b/>
        <sz val="10"/>
        <rFont val="Trebuchet MS"/>
        <family val="2"/>
      </rPr>
      <t>META</t>
    </r>
    <r>
      <rPr>
        <sz val="10"/>
        <rFont val="Trebuchet MS"/>
        <family val="2"/>
      </rPr>
      <t xml:space="preserve">: MEJORAR LA CALIDAD DE VIDA DE LAS FAMILIAS CON MEJORAR EL AGUA A SUS VIVIENDAS  </t>
    </r>
  </si>
  <si>
    <t xml:space="preserve">PROYECTO: DOTACIÓN DE LAMINAS PARA PARA FAMILIAS DE ESCASOS RECURSOS EN CASERIO SAN JUAN </t>
  </si>
  <si>
    <t>PROYECTO: DOTACIÓN DE LAMINAS PARA MEJORAMIENTO DE VIVIENDAS EN CANTÓN LAS FLORES</t>
  </si>
  <si>
    <t>Mejoramiento del Parque Municipal</t>
  </si>
  <si>
    <t>Construcción de tuberias de evacuación de aguas Lluvias en Caserio el Carmen Cantón las Flores</t>
  </si>
  <si>
    <t>54316</t>
  </si>
  <si>
    <t xml:space="preserve">Arrendamiento de Bienes Muebles </t>
  </si>
  <si>
    <t xml:space="preserve">PROYECTO: CONSTRUCCIÓN DE TUBERIAS DE EVACUACIÓN DE AGUAS LLUVIAS EN CASERIO EL CARME CANTÓN LAS FLORES </t>
  </si>
  <si>
    <r>
      <rPr>
        <b/>
        <sz val="10"/>
        <rFont val="Trebuchet MS"/>
        <family val="2"/>
      </rPr>
      <t>META</t>
    </r>
    <r>
      <rPr>
        <sz val="10"/>
        <rFont val="Trebuchet MS"/>
        <family val="2"/>
      </rPr>
      <t xml:space="preserve">: ES PARA MEJORAR LAS CALLES Y LOS TERRENOS DE LAS FAMILIAS PARA QUE NO SE LAVEN EN TIEMPO DE INVIERNO </t>
    </r>
  </si>
  <si>
    <t xml:space="preserve">PROYECTO: CONSTRUCCION DE CANALETA FINAL PASAJE LAS PACAYAS </t>
  </si>
  <si>
    <t>PROGRAMA: CONSTRUCCION DE CANALETA FINAL PASAJE LAS PACAYAS</t>
  </si>
  <si>
    <r>
      <rPr>
        <b/>
        <sz val="10"/>
        <rFont val="Trebuchet MS"/>
        <family val="2"/>
      </rPr>
      <t>META</t>
    </r>
    <r>
      <rPr>
        <sz val="10"/>
        <rFont val="Trebuchet MS"/>
        <family val="2"/>
      </rPr>
      <t>: MEJORAR LA ERUCCIÓN DE TIERRA DE LOS TERRENOS DE LAS PERSONAS DE LA DE LA COMUNIDAD LAS PACAYAS</t>
    </r>
  </si>
  <si>
    <t xml:space="preserve">PROYECTO: MEJORAMIENTO DE CALLES EN CANTÓN EL ZONTE </t>
  </si>
  <si>
    <t>Vial</t>
  </si>
  <si>
    <t>PROGRAMA: AMPLIACION DE PUENTE SANTA MARTA</t>
  </si>
  <si>
    <t>PROYECTO: PUENTE AMACA EN EL ESPIRITU SANTO CANTÓN EL ZONTE</t>
  </si>
  <si>
    <t xml:space="preserve">PROGRAMA: PUENTE AMACA EL ESPIRITU SANTO EL ZONTE </t>
  </si>
  <si>
    <r>
      <rPr>
        <b/>
        <sz val="10"/>
        <rFont val="Trebuchet MS"/>
        <family val="2"/>
      </rPr>
      <t>META</t>
    </r>
    <r>
      <rPr>
        <sz val="10"/>
        <rFont val="Trebuchet MS"/>
        <family val="2"/>
      </rPr>
      <t>: MEJORAR EL PASO ESCABROZO QUE HAY Y HACIENDO PUENTE DE AMACA LES MEJORARA EL PASO PEATONAL, EVITANDO UN ACCIDENTE DE PERSONAS</t>
    </r>
  </si>
  <si>
    <t xml:space="preserve">PROYECTO: INTRODUCCION DE ENERGIA ELECTRICA EN DIFERENTES SONAS DEL MUNICIPIO (CONVENIO DE CONVERSIÓN CON EL SUR) </t>
  </si>
  <si>
    <t xml:space="preserve">Electricas y Comunicaciones </t>
  </si>
  <si>
    <r>
      <rPr>
        <b/>
        <sz val="10"/>
        <rFont val="Trebuchet MS"/>
        <family val="2"/>
      </rPr>
      <t>META</t>
    </r>
    <r>
      <rPr>
        <sz val="10"/>
        <rFont val="Trebuchet MS"/>
        <family val="2"/>
      </rPr>
      <t xml:space="preserve">: ES PODER BRINDARLES UN SERVICIO MEJOR Y CALIDAD DE VIDA A LOS AVITANTES DE DIFERENTES CASERIOS DE CHILTIUPAN </t>
    </r>
  </si>
  <si>
    <t>LOS PROYECTOS QUE PASAN DEL AÑO 2019 AL AÑO 2020</t>
  </si>
  <si>
    <t>Mejoramiento de Calle los Pajales Cantón Julupe</t>
  </si>
  <si>
    <t>Concreteado de Calle Hacia la Cooperativa las Termopilas</t>
  </si>
  <si>
    <t>Mejoramiento de cancha Cantón Julupe 2 etapa</t>
  </si>
  <si>
    <t xml:space="preserve">Talleres de prevención de la violencia para Jovenes del Municipio de Chiltiupán </t>
  </si>
  <si>
    <t xml:space="preserve">Mejoramiento de Calles internas en Cantón el Zonte </t>
  </si>
  <si>
    <t>PROYECTO: MEJORAMIENTO DE CANCHA   CANTÓN EL JULUPE 2 ETAPA</t>
  </si>
  <si>
    <t xml:space="preserve">PROYECTO: MEJORAMIENTO DE CEMENTERIO </t>
  </si>
  <si>
    <t xml:space="preserve">META: MEJORAR  EL CEMENTERIO PARA PODERLE DAR OTRA VISTOSIDAD A LOS AVITANTES DEL  MUNICIPIO </t>
  </si>
  <si>
    <t>Mejoramiento de calles en Cantón el Zonte</t>
  </si>
  <si>
    <t xml:space="preserve">PROYECTO: TALLERES DE PREVENCIÓN A LA VIOLENCIA PARA JOVENES DEL MUNICIPIO DE CHILTIUPAN </t>
  </si>
  <si>
    <t>PROYECTO: MEJORAMIENTO DE CALLE LOS PAJALES CANTÓN JULUPE</t>
  </si>
  <si>
    <t>PROYECTO: CONCRETEADO DE CALLE HACIA LA COOPERATIVA LAS TERMOPILAS</t>
  </si>
  <si>
    <t xml:space="preserve">PROYECTO: MEJORAMIENTO DE CALLES INTERNAS EN CANTÓN EL ZONTE </t>
  </si>
  <si>
    <t xml:space="preserve">PERSONAS NATURALES </t>
  </si>
  <si>
    <t>0202  Adm. Financiera y Tribut.</t>
  </si>
  <si>
    <t>SUELDO DE ENE- DIC, 2020</t>
  </si>
  <si>
    <t>SERVICIO DE ENERGIA ELECTRICA</t>
  </si>
  <si>
    <t>Este  es el monto que se espera  recauadar en el año 2020</t>
  </si>
  <si>
    <t xml:space="preserve">PROYECTO: CONSTRUCCIÓN DE 2 MUROS DE RETENCIÓN EN CALLE PRINCIPAL EL NANCE POR DEPRECIÓN 16E </t>
  </si>
  <si>
    <t>Construcción  de serca perimetral en cancha Shutia</t>
  </si>
  <si>
    <t>Mejoramiento de Calle principal Cantón el Regadillo</t>
  </si>
  <si>
    <t>EN EL MES DE DICIEMBRE DOS REUNIONES MAS DE LAS DOS QUE TIENEN EN LOS MESES ATRÁS</t>
  </si>
  <si>
    <t>Concreteado de calle la Ceiba Caserio Shutia</t>
  </si>
  <si>
    <t>Plan Anual de la Unidad de la Mujer</t>
  </si>
  <si>
    <t xml:space="preserve">CONSULTORIA ESTUDIOS E INVESTIGACIONES DIVERSAS </t>
  </si>
  <si>
    <t>1-Para el barrido de calles y avenidas en el Municipio de Chiltiupan, se pagara a $8.00 dolares por cada dia de trabajo. Los barrenderos se distribuiran de la siguiente manera: 4 en la zona urbana, 2 en Cantón el Zonte, (proyecto)</t>
  </si>
  <si>
    <t>EN EL MES DE JUNIO DOS REUNION MAS DE LAS DOS DE LOS MESES ANTERIORES</t>
  </si>
  <si>
    <t>PROYECTO: CONCRETEADO DE CALLE  LA RONDA PONIENTE BARRIO SAN MARCOS</t>
  </si>
  <si>
    <r>
      <rPr>
        <b/>
        <sz val="10"/>
        <rFont val="Trebuchet MS"/>
        <family val="2"/>
      </rPr>
      <t>META</t>
    </r>
    <r>
      <rPr>
        <sz val="10"/>
        <rFont val="Trebuchet MS"/>
        <family val="2"/>
      </rPr>
      <t xml:space="preserve">: ES PARA MEJORAR LAS CALLES DE PASO DE VEHICULOS Y PEATONES EN LA COMUNIDAD DEL BARRIO SAN MARCOS  </t>
    </r>
  </si>
  <si>
    <t xml:space="preserve">PROYECTO: CONCRETEADO DE CALLE  LA RONDA PONIENTE BARRIO SANTO DOMINGO </t>
  </si>
  <si>
    <r>
      <rPr>
        <b/>
        <sz val="10"/>
        <rFont val="Trebuchet MS"/>
        <family val="2"/>
      </rPr>
      <t>META</t>
    </r>
    <r>
      <rPr>
        <sz val="10"/>
        <rFont val="Trebuchet MS"/>
        <family val="2"/>
      </rPr>
      <t>: ES PARA MEJORAR LAS CALLES DE PASO DE VEHICULOS Y PEATONES EN LA COMUNIDAD DEL BARRIO SANTO DOMINGO</t>
    </r>
  </si>
  <si>
    <t>Mejoramiento de Cementerios  Municipales.                (Zona urbana 5, Julupe 3  y Siberia 2</t>
  </si>
  <si>
    <t xml:space="preserve">PROYECTO: CONSTRUCCIÓN DE MURO DE RETENCIÓN EN CALLE LA RONDA ORIENTE BARRIO SANTO DOMINGO </t>
  </si>
  <si>
    <t>VALOR DOS REUNIONES</t>
  </si>
  <si>
    <t xml:space="preserve">AFP </t>
  </si>
  <si>
    <t>PROYECTO: CONSTRUCCIÓN DE MURO DE RETENCIÓN CALLE HACIA LA CANCHA, LOS AVALOS</t>
  </si>
  <si>
    <t xml:space="preserve">Concreteado de calle la ronda poniente Barrio Santo Domingo </t>
  </si>
  <si>
    <t xml:space="preserve">PROYECTO: CONCRETEADO DE CALLE LA RONDA PONIENTE BARRIO SANTO DOMINGO </t>
  </si>
  <si>
    <r>
      <rPr>
        <b/>
        <sz val="10"/>
        <rFont val="Trebuchet MS"/>
        <family val="2"/>
      </rPr>
      <t>META</t>
    </r>
    <r>
      <rPr>
        <sz val="10"/>
        <rFont val="Trebuchet MS"/>
        <family val="2"/>
      </rPr>
      <t xml:space="preserve">: MEJORAR LAS CALLES PARA EL ACCESO DE LOS VEHICULOS </t>
    </r>
  </si>
  <si>
    <t>PROYECTO: CONCRETEADO DE PASAJE VALDEZ  BARRIO SAN MARCOS</t>
  </si>
  <si>
    <t>Concreteado en Pasaje los Manzanares Barrio San Marcos.</t>
  </si>
  <si>
    <t xml:space="preserve">PROYECTO: CONSTRUCCIÓN DE MURO DE RETENCIÓN EN CALLE LA RONDA PONIENTE, BARRIO SAN MARCOS </t>
  </si>
  <si>
    <t xml:space="preserve">PROYECTO: CONCRETEADO DE PASAJE LOS MANZANARES, BARRIO SAN MARCOS </t>
  </si>
  <si>
    <t>Chiltiupán/358-luxemb/-Financiera y prod-2019/AT PES/EEP</t>
  </si>
  <si>
    <t>Chiltiupán/358-luxemb/-Inclusion Financiera y prod-2019 Especie PES/EEP</t>
  </si>
  <si>
    <t xml:space="preserve"> Y  DETERMINAR  EL PROMEDIO ESTIMADO DE INGRESOS DEL AÑO  2020</t>
  </si>
  <si>
    <t>Introducción de agua potable en cantón Cuervo Abajo</t>
  </si>
  <si>
    <t xml:space="preserve">PROYECTO: INTRODUCCIÓN DE AGUA POTABLE,  EN  CANTÓN CUERVO ABAJO </t>
  </si>
  <si>
    <r>
      <rPr>
        <b/>
        <sz val="10"/>
        <rFont val="Trebuchet MS"/>
        <family val="2"/>
      </rPr>
      <t>META</t>
    </r>
    <r>
      <rPr>
        <sz val="10"/>
        <rFont val="Trebuchet MS"/>
        <family val="2"/>
      </rPr>
      <t xml:space="preserve">:  PARA MEJORAR, LA CALIDAD DE VIDA DE LOS HABITANTES DEL CATON CUERVO ABAJO </t>
    </r>
  </si>
  <si>
    <t>PROYECTO: MEJORAMIENTO DE CEMENTERIOS  MUNICIPALES. (ZONA URBANA 5, JULUPE  3 Y SIBERIA 2)</t>
  </si>
  <si>
    <r>
      <rPr>
        <b/>
        <i/>
        <sz val="11"/>
        <rFont val="Cambria"/>
        <family val="1"/>
        <scheme val="major"/>
      </rPr>
      <t>Mantenimiento de  Canchas de Futbol</t>
    </r>
    <r>
      <rPr>
        <sz val="11"/>
        <rFont val="Cambria"/>
        <family val="1"/>
        <scheme val="major"/>
      </rPr>
      <t xml:space="preserve">,  Y  de Cancha de futbol rapido del Municipio,  Cantones y Caserios </t>
    </r>
  </si>
  <si>
    <t xml:space="preserve">APOYO A PERSONAS NATURALES DE ESCASOS RECURSOS </t>
  </si>
  <si>
    <t>Apoyo a Protección Civil Municipal, Mitigación de daños, y apoyo  a Personas afectadas por Eventos Naturales</t>
  </si>
  <si>
    <t>unidad de Medio Ambiente</t>
  </si>
  <si>
    <t xml:space="preserve"> Pagar  10  Meses con                 25 % fodes</t>
  </si>
  <si>
    <t xml:space="preserve"> Pagar 2  Mes con Fdo.Mpal</t>
  </si>
  <si>
    <t xml:space="preserve"> Pagar  10  Meses con                     25 % fodes</t>
  </si>
  <si>
    <t xml:space="preserve"> Pagar 2 Meses con Fdo.Mpal</t>
  </si>
  <si>
    <t xml:space="preserve">EN DOLARES DE LOS ESTADOS UNIDOS DE AMERICA </t>
  </si>
  <si>
    <t>PROYECCIÓN DE RECURSOS HUMANO PARA EL AÑO 2021</t>
  </si>
  <si>
    <t xml:space="preserve"> PRESUPUESTO MUNICIPAL DEL AÑO  2021</t>
  </si>
  <si>
    <t>AÑO 2021</t>
  </si>
  <si>
    <t xml:space="preserve"> PRESUPUESTO MUNICIPAL DE EGRESOS  AÑO   2021</t>
  </si>
  <si>
    <t xml:space="preserve"> PRESUPUESTO MUNICIPAL DE EGRESOS  AÑO 2021</t>
  </si>
  <si>
    <t>LISTADO  DE  CUENTAS  BANCARIAS  Y  SUS  SALDOS AL  31  DE  DICIEMBRE  DE  2020</t>
  </si>
  <si>
    <t>PARA  LA  PROYECCION  DE INGRESOS DEL   AÑO    2021</t>
  </si>
  <si>
    <t>Será el incremento a cada  objeto especifico de los ingresos del año 2021</t>
  </si>
  <si>
    <t>Concentracion de  la   proyección de Recursos Humanos para el Año 2021</t>
  </si>
  <si>
    <t>DETALLE DE PROYECTOS A EJECUTAR  EN EL AÑO 2021</t>
  </si>
  <si>
    <r>
      <rPr>
        <b/>
        <i/>
        <u/>
        <sz val="16"/>
        <color rgb="FF0000FF"/>
        <rFont val="Cambria"/>
        <family val="1"/>
        <scheme val="major"/>
      </rPr>
      <t xml:space="preserve"> DETALLE DE PROYECTOS:</t>
    </r>
    <r>
      <rPr>
        <b/>
        <i/>
        <u/>
        <sz val="16"/>
        <color rgb="FFFF0000"/>
        <rFont val="Cambria"/>
        <family val="1"/>
        <scheme val="major"/>
      </rPr>
      <t xml:space="preserve"> DE AÑOS ANTERIORES CORRESPONDIENTES AL 2020 FINALIZADOS EN 2021</t>
    </r>
  </si>
  <si>
    <t>NOMBRES DE PROYECTOS  2020</t>
  </si>
  <si>
    <r>
      <rPr>
        <b/>
        <i/>
        <u/>
        <sz val="18"/>
        <color rgb="FF0000FF"/>
        <rFont val="Cambria"/>
        <family val="1"/>
        <scheme val="major"/>
      </rPr>
      <t>INFRAESTRUCTURA SOCIAL:</t>
    </r>
    <r>
      <rPr>
        <b/>
        <u/>
        <sz val="18"/>
        <color theme="1"/>
        <rFont val="Cambria"/>
        <family val="1"/>
        <scheme val="major"/>
      </rPr>
      <t xml:space="preserve"> DETALLE DE PROYECTOS A EJECUTAR CORRESPONDIENTES AL 2021</t>
    </r>
  </si>
  <si>
    <t>PROYECTOS A EJECUTAR EN 2021</t>
  </si>
  <si>
    <r>
      <rPr>
        <b/>
        <i/>
        <u/>
        <sz val="18"/>
        <color rgb="FF0000FF"/>
        <rFont val="Cambria"/>
        <family val="1"/>
        <scheme val="major"/>
      </rPr>
      <t xml:space="preserve"> SOCIAL:</t>
    </r>
    <r>
      <rPr>
        <b/>
        <u/>
        <sz val="18"/>
        <color theme="1"/>
        <rFont val="Cambria"/>
        <family val="1"/>
        <scheme val="major"/>
      </rPr>
      <t xml:space="preserve"> DETALLE DE PROYECTOS A EJECUTAR CORRESPONDIENTES AL 2021</t>
    </r>
  </si>
  <si>
    <r>
      <rPr>
        <b/>
        <u/>
        <sz val="18"/>
        <color rgb="FF0000FF"/>
        <rFont val="Cambria"/>
        <family val="1"/>
        <scheme val="major"/>
      </rPr>
      <t>DESARROLLO ECONOMICO:</t>
    </r>
    <r>
      <rPr>
        <b/>
        <u/>
        <sz val="18"/>
        <color theme="1"/>
        <rFont val="Cambria"/>
        <family val="1"/>
        <scheme val="major"/>
      </rPr>
      <t xml:space="preserve"> DETALLE DE PROYECTOS A EJECUTAR CORRESPONDIENTES AL 2021</t>
    </r>
  </si>
  <si>
    <t>SERVICIO A LA DEUDA PUBLICA  2021</t>
  </si>
  <si>
    <t>SUMARIO DE INGRESOS PARA EL AÑO 2021</t>
  </si>
  <si>
    <t>SUMARIO DE EGRESOS PARA EL AÑO 2021</t>
  </si>
  <si>
    <t xml:space="preserve">Motorista del carro blanco PFGL PLACA N 9-857  </t>
  </si>
  <si>
    <t>LOS SUELDOS DEL 25% FODES ESTA PRESUPUESTADO PARA PAGAR 10 MESES Y EL AGUINALDO DE DICIEMBRE 2021</t>
  </si>
  <si>
    <t>Motorista del carro blanco PFGL PLACA N 9-858</t>
  </si>
  <si>
    <t>Manuela de Jesús Martinez Guerra</t>
  </si>
  <si>
    <t>Unidad de Proyecc, Social Nutricional</t>
  </si>
  <si>
    <t xml:space="preserve">pagar aguinaldo con Fondos Propios </t>
  </si>
  <si>
    <t>Bono en Junio  2021</t>
  </si>
  <si>
    <t>Mantenimiento de bombeo de agua en caserio la Ceiba, y la camaronera</t>
  </si>
  <si>
    <t>ASIGNACION  25 % FODES, 2021</t>
  </si>
  <si>
    <t>ASIGNACION  25% FODES, DIC/2020, mas la asignacion que esta pendiente de trasferir</t>
  </si>
  <si>
    <t>FONDO GENERAL 109</t>
  </si>
  <si>
    <t>2% FODES PARA INVERSION.</t>
  </si>
  <si>
    <t>SALDO EN BANCOS AL 31/12/2020  DISPONIBLE</t>
  </si>
  <si>
    <t>SALDO EN BANCOS AL 31/12/2020  DISPONIBLE DEL  (2% FODES)</t>
  </si>
  <si>
    <t>FODES 2%</t>
  </si>
  <si>
    <t>FONDO GENERAL109 (DECRETO 608)</t>
  </si>
  <si>
    <t>SALDO EN BANCOS AL 31/12/2020  DISPONIBLE, (FONDO GENERAL 109) COVID-19 TORMENTA TROPICAL AMANDA</t>
  </si>
  <si>
    <t>PROYECCION DE DISPONIBILIDAD  DE FONDOS PARA EL EJERCICIO 2021</t>
  </si>
  <si>
    <t>SALDO DEL BANCOS AL 31/12/2020</t>
  </si>
  <si>
    <t>TOTAL FODES 2%</t>
  </si>
  <si>
    <t>TOTAL DE FONDO GENERAL 109</t>
  </si>
  <si>
    <t xml:space="preserve">OBJETO ESPECIFICO </t>
  </si>
  <si>
    <t xml:space="preserve">(2) DENOMINACION </t>
  </si>
  <si>
    <t xml:space="preserve">3 FONDO GENERAL </t>
  </si>
  <si>
    <t>(7) Y OTROS</t>
  </si>
  <si>
    <t>(5) FUNCIONAMIENTO</t>
  </si>
  <si>
    <t>(6) INVERSION</t>
  </si>
  <si>
    <t xml:space="preserve">EJ: INVERSION 2% </t>
  </si>
  <si>
    <t>EJ: FISDL</t>
  </si>
  <si>
    <t>(9) FONDOS PROPIOS</t>
  </si>
  <si>
    <t>(13) TOTAL</t>
  </si>
  <si>
    <t xml:space="preserve"> PRESUPUESTO MUNICIPAL DE INGRESOS AÑO  2021</t>
  </si>
  <si>
    <t>ESTIMADO DE INGRESOS PROPIOS,  UTILIZANDO, COMO REFERENCIA EL AÑO 2020</t>
  </si>
  <si>
    <r>
      <rPr>
        <b/>
        <i/>
        <u/>
        <sz val="18"/>
        <color rgb="FF0000FF"/>
        <rFont val="Cambria"/>
        <family val="1"/>
        <scheme val="major"/>
      </rPr>
      <t>INFRAESTRUCTURA :</t>
    </r>
    <r>
      <rPr>
        <b/>
        <u/>
        <sz val="18"/>
        <color theme="1"/>
        <rFont val="Cambria"/>
        <family val="1"/>
        <scheme val="major"/>
      </rPr>
      <t xml:space="preserve"> DETALLE DE PROYECTOS A EJECUTAR, CON FONDOS GENERAL EMERGENCIA POR PANDEMIA COVID-19, TORMENTA TROPICAL AMANDA,   CORRESPONDIENTES AL 2021</t>
    </r>
  </si>
  <si>
    <r>
      <rPr>
        <b/>
        <i/>
        <u/>
        <sz val="18"/>
        <color rgb="FF0000FF"/>
        <rFont val="Cambria"/>
        <family val="1"/>
        <scheme val="major"/>
      </rPr>
      <t>INFRAESTRUCTURA :</t>
    </r>
    <r>
      <rPr>
        <b/>
        <u/>
        <sz val="18"/>
        <color theme="1"/>
        <rFont val="Cambria"/>
        <family val="1"/>
        <scheme val="major"/>
      </rPr>
      <t xml:space="preserve"> DETALLE DE PROYECTOS A EJECUTAR CORRESPONDIENTES AL 2021  CON EL 2% FODES DE INCREMENTO</t>
    </r>
  </si>
  <si>
    <t>Atencion a Emergencia por Pandemia COVID-19</t>
  </si>
  <si>
    <t>35</t>
  </si>
  <si>
    <t>109</t>
  </si>
  <si>
    <t xml:space="preserve">Administracion </t>
  </si>
  <si>
    <t xml:space="preserve">contrato </t>
  </si>
  <si>
    <t>Construccion de Puente Pasarela en Pasaje los Pineda</t>
  </si>
  <si>
    <t xml:space="preserve">Mantenimiento y chapeo en dos veces al año, de la Finca la Veranera, y la Finca el Rosario pagandoles $8.00, dolares cada dia </t>
  </si>
  <si>
    <t>Mantenimiento de Limpieza y chapeo  a los cementerios de Municipal de Chiltiupán y cementerio de Siberia, el cementerio de Julupe, pagandole $8.00 dolares cada dia</t>
  </si>
  <si>
    <t>6- Para el mantenimiento de jardines y plantas del parque municipal y de las instalaciones Municipales, se asiganará a una persona, pagandole a $8.00 dolares cada dia.</t>
  </si>
  <si>
    <t>1-Los servicios de vigilancia del sementerio Municipal se contratara a una persona pagandole $8.00. dolares cada dia durante todo el año.</t>
  </si>
  <si>
    <t>3- Para el pago del suministro de agua, se asiganará a una persona para el Cantón Taquillo y otro en la camaronera y para el Cantón las Flores y otro en caserio Corinto pagandole a $8.00. dolares cada dia.</t>
  </si>
  <si>
    <t>FONDO GENERAL 109, COVID-19, Y TORM TROP, AMANDA</t>
  </si>
  <si>
    <r>
      <t xml:space="preserve">FUENTE  DE FINANCIAMIENTO:   </t>
    </r>
    <r>
      <rPr>
        <b/>
        <i/>
        <sz val="12"/>
        <color rgb="FFFF0000"/>
        <rFont val="Trebuchet MS"/>
        <family val="2"/>
      </rPr>
      <t xml:space="preserve"> F O N D O     G E N E R A L    1 0 9</t>
    </r>
  </si>
  <si>
    <t xml:space="preserve">  </t>
  </si>
  <si>
    <t>Proyectos  Diversos 2021</t>
  </si>
  <si>
    <t>Casa de encuentro Juvenil de Chiltiupán 2021</t>
  </si>
  <si>
    <t>Plan Anual comité local de derechos de la Niñez y Adolecencia  2021</t>
  </si>
  <si>
    <t>Fomento a la seguridad y prevención de la violencia en las Instalaciónes Municipal, Inversiones de Proyectos y Participación Ciudadana con el Apoyo de la P.N.C. 2021</t>
  </si>
  <si>
    <t>Fomento a la Educacion  2021</t>
  </si>
  <si>
    <t>Recolección y disposición final de desechos sólidos 2021</t>
  </si>
  <si>
    <t>Celebración de Fiestas Patronales 2021</t>
  </si>
  <si>
    <t>Alumbrado Publico  2021</t>
  </si>
  <si>
    <t xml:space="preserve"> Mantenimiento a la cancha de Futbol el Bambú  2021</t>
  </si>
  <si>
    <t>Fomento al Turismo 2021</t>
  </si>
  <si>
    <t>Productos de cuero y caucho</t>
  </si>
  <si>
    <t>PROYECTO: CELEBRACIÓN DE FIESTA PATRONALES 2021</t>
  </si>
  <si>
    <t>PROYECTO: ALUMBRADO PUBLICO 2021</t>
  </si>
  <si>
    <t>PROYECTO: RECOLECCION Y DISPOSICION FINAL DE DESECHOS SOLIDOS 2021</t>
  </si>
  <si>
    <t>PROYECTO: PLAN ANUAL COMITÉ LOCAL DE DERECHOS DE LA NIÑEZ Y LA ADOLECENCIA 2021</t>
  </si>
  <si>
    <t>PROYECTO: MANTENIMIENTO A LA  CANCHA DE FUTBOL EL BAMBÚ 2021</t>
  </si>
  <si>
    <t>PROYECTO: FOMENTO A LA SEGURIDAD Y PREVENCIÓN DE LA VIOLENCIA EN LAS INSTALACIONES MUNICIPAL, INVERSIONES DE PROYECTOS Y PARTICIPACIÓN CIUDADANA CON EL APOYO DE LA PNC 2021</t>
  </si>
  <si>
    <t>PROYECTO: CASA DE ENCUENTRO JUVENIL DE CHILTIUPAN 2021</t>
  </si>
  <si>
    <t>XXXXXXXXXXXXXXXXXXX</t>
  </si>
  <si>
    <t>Unidad de Planeamiento</t>
  </si>
  <si>
    <t>0401</t>
  </si>
  <si>
    <t>0401 inversion</t>
  </si>
  <si>
    <t xml:space="preserve">0401  inversion  </t>
  </si>
  <si>
    <t>SUELDO</t>
  </si>
  <si>
    <t>Mejoramiento de Calle Bieja y Construccion de Pasarela Cantón Julupe</t>
  </si>
  <si>
    <t>Mejoramiento de Calles Internas Caserio Shutia</t>
  </si>
  <si>
    <t>Mejoramiento de Calle Cantón Termopilas</t>
  </si>
  <si>
    <t>Mejoramiento de Calle Caserio Taquillito Cantón Santa Marta</t>
  </si>
  <si>
    <t>Mejoramiento de Calles Internas Cantón Taquillo</t>
  </si>
  <si>
    <t>Mejoramiento de Calle Caserio San Luis, el Copinol</t>
  </si>
  <si>
    <t>Mejoramiento de Calles Internas Zona Urbana</t>
  </si>
  <si>
    <t xml:space="preserve">Mejoramiento de Calle e Introducción de Energia Electrica Caserio Corinto </t>
  </si>
  <si>
    <t xml:space="preserve">Mejoramiento del Sistema de Agua Potable en Caserio la Fincona </t>
  </si>
  <si>
    <t>Adminstracion</t>
  </si>
  <si>
    <t>Mejoramiento de Calle y Cancha de Futbol Cantón Santa Marta</t>
  </si>
  <si>
    <t xml:space="preserve">Mejoramiento de Calle Caserio el Progreso </t>
  </si>
  <si>
    <t>Mejoramiento de Calles Internas Caserio las Pacayas</t>
  </si>
  <si>
    <t xml:space="preserve">Mejoramiento de Calles Internas Caserio el Balsamo </t>
  </si>
  <si>
    <t>Mejoramiento de Calle Principal Cantón Santa Lucia</t>
  </si>
  <si>
    <t xml:space="preserve">Mejoramiento de Calle y Puente Pasarela en el Rio Pajaro León Cuervo Abajo </t>
  </si>
  <si>
    <t>Mejoramiento de Calle Cantón Siberia</t>
  </si>
  <si>
    <t xml:space="preserve">Mejoramiento de Calle Cantón el Regadillo </t>
  </si>
  <si>
    <t xml:space="preserve">Mejoramiento de Calle y Puente Pasarela Caserio San Luis, Cantón Siberia </t>
  </si>
  <si>
    <r>
      <t xml:space="preserve">FUENTE  DE FINANCIAMIENTO:   </t>
    </r>
    <r>
      <rPr>
        <b/>
        <i/>
        <sz val="12"/>
        <color rgb="FFFF0000"/>
        <rFont val="Trebuchet MS"/>
        <family val="2"/>
      </rPr>
      <t xml:space="preserve">     2% F O D E S </t>
    </r>
  </si>
  <si>
    <t xml:space="preserve">PROYECTO: MEJORAMIENTO DE CALLE SAN LUIS, EL COPINOL </t>
  </si>
  <si>
    <t>FECHA DE INICIO/FINALIZACION : 01/01/2021 - 31/12/2021</t>
  </si>
  <si>
    <t>PROYECTO: MEJORAMIENTO DE CALLE BIEJA Y CONSTRUCCION DE PASARELA CANTÓN JULUPE</t>
  </si>
  <si>
    <t>PROYECTO:  MEJORAMIENTO DE CALLE BIEJA Y CONSTRUCCION DE PASARELA CANTÓN JULUPE</t>
  </si>
  <si>
    <r>
      <rPr>
        <b/>
        <sz val="10"/>
        <rFont val="Trebuchet MS"/>
        <family val="2"/>
      </rPr>
      <t>META</t>
    </r>
    <r>
      <rPr>
        <sz val="10"/>
        <rFont val="Trebuchet MS"/>
        <family val="2"/>
      </rPr>
      <t>: MEJORAR LAS CALLES DEL MUNICIPIO Y CONSTRUIR EL PUENTE PARA PODER IMPLEMENTAR MAS EL DESARROLLO</t>
    </r>
  </si>
  <si>
    <t>PROYECTO:  MEJORAMIENTO DE CALLES INTERNAS CASERIO SHUTIA</t>
  </si>
  <si>
    <t xml:space="preserve">PROYECTO: MEJORAMIENTO DE CALLES INTERNAS CASERIO SHUTIA </t>
  </si>
  <si>
    <r>
      <rPr>
        <b/>
        <sz val="10"/>
        <rFont val="Trebuchet MS"/>
        <family val="2"/>
      </rPr>
      <t>META</t>
    </r>
    <r>
      <rPr>
        <sz val="10"/>
        <rFont val="Trebuchet MS"/>
        <family val="2"/>
      </rPr>
      <t>: MEJORAR LAS CALLES DEL MUNICIPIO Y PARA PODER IMPLEMENTAR MAS EL DESARROLLO</t>
    </r>
  </si>
  <si>
    <t xml:space="preserve">PROYECTO:  MEJORAMIENTO DE CALLE CANTÓN LAS TERMOPILAS </t>
  </si>
  <si>
    <t xml:space="preserve">PROYECTO: MEJORAMIENTO DE CALLE CANTON TERMOPILAS </t>
  </si>
  <si>
    <t>PROYECTO:  MEJORAMIENTO DE CALLE CASERIO TAQUILLITO CANTON SANTA MARTA</t>
  </si>
  <si>
    <t xml:space="preserve">PROYECTO:  MEJORAMIENTO DE CALLES INTERNAS CANTON  TAQUILLO </t>
  </si>
  <si>
    <t xml:space="preserve">PROYECTO:  MEJORAMIENTO DE CALLES INTERNAS ZONA URBANA  </t>
  </si>
  <si>
    <t xml:space="preserve">PROYECTO:  MEJORAMIENTO DE CALLE E INTRODUCCION DE ENERGIA ELECTRICA CASERIO CORINTO   </t>
  </si>
  <si>
    <t xml:space="preserve">PROYECTO: MEJORAMIENTO DE CALLE E INTRODUCCION DE ENERGIA ELECTRICA CASERIO CORINTO  </t>
  </si>
  <si>
    <t xml:space="preserve">PROYECTO: MEJORAMIENTO DE CALLES INTERNAS ZONA URBANA </t>
  </si>
  <si>
    <t>PROYECTO: MEJORAMIENTO DE CALLES INTERNAS CANTON TAQUILLO</t>
  </si>
  <si>
    <t xml:space="preserve">PROYECTO: MEJORAMIENTO DE CALLE CASERIO TAQUILLITO CANTON SANTA MARTA  </t>
  </si>
  <si>
    <t>Mejoramiento de calles internas Cantón el Zonte       (2 Etapa)</t>
  </si>
  <si>
    <t xml:space="preserve">Mejoramiento de Viviendas Caserio San Juan </t>
  </si>
  <si>
    <t>Proyectos Diversos 2020</t>
  </si>
  <si>
    <t>Recoleccion de Desechos solidos 2020</t>
  </si>
  <si>
    <t>Reparación de Caminos Vecinales 2020</t>
  </si>
  <si>
    <t>Unidad de Medio Ambiente 2020</t>
  </si>
  <si>
    <t>Fomento al Turismo 2020</t>
  </si>
  <si>
    <t>Alumbrado publico 2020</t>
  </si>
  <si>
    <t>Atencion a Emergencia por Pandemia COVID-19 (75% FODES)</t>
  </si>
  <si>
    <t xml:space="preserve">Talleres de Prevencion a la Violencia para Jovenes del Municipio de Chiltiupan </t>
  </si>
  <si>
    <t>Plan Anual Comité Local de Derechos de la Niñez 2020</t>
  </si>
  <si>
    <t xml:space="preserve">Construccion de Tuberias en Playa el Zonte </t>
  </si>
  <si>
    <t xml:space="preserve">Concreteado de calle caserio shutia, canton Taquillo </t>
  </si>
  <si>
    <t>A G4</t>
  </si>
  <si>
    <t>Pente caja en Colonia el Espiritu Santo</t>
  </si>
  <si>
    <t>Casa de Encuentro Juvenil 2020</t>
  </si>
  <si>
    <t>Gasto de Preinversion 5%  Fodes 2020</t>
  </si>
  <si>
    <t>Mantenimiento de cancha de Futbol el Bambú 2020</t>
  </si>
  <si>
    <t>Chiltiupan7358-Luxenmb/-Inclusion Financiera y prod-2019/Pes/Eep</t>
  </si>
  <si>
    <t>Rehabilitacion y Mantenimiento de Caminos Vecinales del Municipio.</t>
  </si>
  <si>
    <t>Rahabilitacion de calle en Final de Pasaje las Pacayas</t>
  </si>
  <si>
    <t xml:space="preserve">Construccion de puente el Espiritu Santo Canton el Zonte </t>
  </si>
  <si>
    <t>Rehabilitacion de calles de Canton Cuervo Abajo, Santa Lucia, Santa Marta y Taquillo</t>
  </si>
  <si>
    <t xml:space="preserve">Mejoramiento de Calle Principal de caserio el Progreso Municipio de Chiltiupan </t>
  </si>
  <si>
    <t xml:space="preserve">Rehabilitacion de calle principal Canton Siberia </t>
  </si>
  <si>
    <t>Mejoramiento de Calle Principal de caserio Rio Mar</t>
  </si>
  <si>
    <t>36</t>
  </si>
  <si>
    <t xml:space="preserve">esta parte ya esta ingresada </t>
  </si>
  <si>
    <t xml:space="preserve">PROYECTO:  MEJORAMIENTO DE CALLE CASERIO SAN LUIS, EL COPINOL </t>
  </si>
  <si>
    <t>PROYECTO: INTRODUCCIÓN DE AGUA POTABLE, CANTÓN CUERVO ABAJO</t>
  </si>
  <si>
    <t>5-05-01-1-   111                                 servicio a la Deuda Publica</t>
  </si>
  <si>
    <t>4-04-02-1-    111 Dearrollo economico.  2%  FODES</t>
  </si>
  <si>
    <t>Disp. 2% FODES</t>
  </si>
  <si>
    <t>Asistencia a los hogares del Municipio de Chiltiupan con dotacion de lamina a Familias afectadas por la Tormenta Tropical Amanda</t>
  </si>
  <si>
    <t>Construccion de Puente en Colonia el Espiritu Santo Canton el Zonte</t>
  </si>
  <si>
    <t>Rehabilitacion de Calle Principal Canton Siberia</t>
  </si>
  <si>
    <t xml:space="preserve">PROYECTO: MEJORAMIENTO DEL SISTEMA DE AGUA POTABLE EN CASERIO LA FINCONA </t>
  </si>
  <si>
    <r>
      <rPr>
        <b/>
        <sz val="10"/>
        <rFont val="Trebuchet MS"/>
        <family val="2"/>
      </rPr>
      <t>META</t>
    </r>
    <r>
      <rPr>
        <sz val="10"/>
        <rFont val="Trebuchet MS"/>
        <family val="2"/>
      </rPr>
      <t>:  PARA MEJORAR, LA CALIDAD DE VIDA DE LOS HABITANTES DE CASERIO LA FINCONA</t>
    </r>
  </si>
  <si>
    <t xml:space="preserve">Minerales Metalicos </t>
  </si>
  <si>
    <t xml:space="preserve">PROYECTO: MEJORAMIENTO DE CALLE Y CANCHA DE FUTBOL CANTON SANTA MARTA </t>
  </si>
  <si>
    <t xml:space="preserve">De Educacion y Recreacion </t>
  </si>
  <si>
    <t>MODALIDAD:  CONTRATO</t>
  </si>
  <si>
    <t>META: MEJORAR  LA CALLE Y LA CANCHA PARA QUE PUEDA AVER MUCHO MAS DESARROLLO EN LAS COMUNIDADES</t>
  </si>
  <si>
    <t>FON GENE 109</t>
  </si>
  <si>
    <t xml:space="preserve">Introduccion de Agua Potable, Canton el Regadillo </t>
  </si>
  <si>
    <t xml:space="preserve">Introduccion de agua potable, Canton el Regadillo </t>
  </si>
  <si>
    <t xml:space="preserve">Asistencia a los Hogares del Municipiode Chiltiupan con obras de mitigacion afectados por la Tormenta Tropical Amanda </t>
  </si>
  <si>
    <t>Asitencia a los hogares del Municipioi de Chiltiupan Mitigacion de Riesgo en Viviendas Afectadas por la Tormenta Tropical Amanda y cristobal</t>
  </si>
  <si>
    <t>Asistencia a los hogares del Municipio de Chiltiupan obras de mitigacion afectados por la Tormenta Tropical Amanda</t>
  </si>
  <si>
    <t xml:space="preserve">Rehabilitacion de Calle en final Pasaje las Pacayas </t>
  </si>
  <si>
    <t xml:space="preserve">Rehabilitacion y Remocion de escombros de Caminos Vecinales por afectaciones de la Tormenta Tropical Amanda y cristobal </t>
  </si>
  <si>
    <t>Atencion A Emergencia por Pandemia COVID-19 (2% FODES)</t>
  </si>
  <si>
    <t xml:space="preserve">Mejoramiento de Calle Principal de Caserio Rio Mar </t>
  </si>
  <si>
    <t>Mejoramiento de Calle Principal de Caserio el Progreso Municipio de Chiltiupan</t>
  </si>
  <si>
    <t xml:space="preserve">Construccion de Puente Pasarela en Pasaje los Pinedas </t>
  </si>
  <si>
    <t xml:space="preserve">esto ya esta areglado </t>
  </si>
  <si>
    <t xml:space="preserve">YA ESTA AREGLADO ESTO TAMBIEN </t>
  </si>
  <si>
    <t xml:space="preserve">Introduccion de Energia Electrica en Caserio San Lazaro </t>
  </si>
  <si>
    <t xml:space="preserve">Introduccion de Energia Electrica en Canton las Flores </t>
  </si>
  <si>
    <t>PROGRAMA: UNIDAD  DE MEDIO AMBIENTE  2021</t>
  </si>
  <si>
    <t>PROGRAMA: CASA DE ENCUENTRO JUVENIL 2021</t>
  </si>
  <si>
    <t>PROYECTO: FOMENTO   AL TURISMO   2021</t>
  </si>
  <si>
    <t>PROGRAMA: FOMENTO AL TURISMO 2021</t>
  </si>
  <si>
    <t>PROYECTO: FOMENTO A LA EDUCACIÓN 2021</t>
  </si>
  <si>
    <t>PROYECTO: PLAN ANUAL UNIDAD DE LA MUJER 2021</t>
  </si>
  <si>
    <t>Unidad de  Medio Ambiente 2021</t>
  </si>
  <si>
    <t xml:space="preserve">Alumbrado Publico </t>
  </si>
  <si>
    <t xml:space="preserve">ALUMBRADO PUBLICO </t>
  </si>
  <si>
    <t xml:space="preserve">Introduccion de Energia Electrica Caserio San Juan </t>
  </si>
  <si>
    <t>Mejoramiento de Calle los Leonardos, Pasaje Via del Mar Canton El Zonte.</t>
  </si>
  <si>
    <t xml:space="preserve">PROYECTO: FOMENTO A LA PRODUCTIVIDAD AGRICOLA EN CHILTIUPAN </t>
  </si>
  <si>
    <r>
      <rPr>
        <b/>
        <sz val="10"/>
        <rFont val="Trebuchet MS"/>
        <family val="2"/>
      </rPr>
      <t>META</t>
    </r>
    <r>
      <rPr>
        <sz val="10"/>
        <rFont val="Trebuchet MS"/>
        <family val="2"/>
      </rPr>
      <t>: AYUDAR A LOS AGRICULTORES PARA QUE HAYGA MAS DESARROLLO</t>
    </r>
  </si>
  <si>
    <t>PROYECTO: MEJORAMIENTO DE CALLE CASERIO EL PROGRESO</t>
  </si>
  <si>
    <t>PROYECTO: MEJORAMIENTO DE CALLES INTERNAS CASERIO LAS PACAYAS</t>
  </si>
  <si>
    <t>Reparacion de Caminos Vecinales 2021</t>
  </si>
  <si>
    <t>PROYECTO: MEJORAMIENTO DE CALLES INTERNAS CASERIO EL BALSAMO</t>
  </si>
  <si>
    <t>PROYECTO: MEJORAMIENTO DE CALLE PRINCIPAL CANTON SANTA LUCIA</t>
  </si>
  <si>
    <t xml:space="preserve">PROYECTO:  MEJORAMIENTO DE CALLE Y PUENTE PASARELA EN EL RIO PAJARO LEON CUERVO ABAJO  </t>
  </si>
  <si>
    <t>PROYECTO:  MEJORAMIENTO DE CALLE CANTON SIBERIA</t>
  </si>
  <si>
    <t>PROYECTO:  MEJORAMIENTO DE CALLE CANTON EL REGADILLO</t>
  </si>
  <si>
    <t>PROYECTO:  MEJORAMIENTO DE CALLE Y PUENTE PASARELA CASERIO SAN LUIS, CANTON SIBERIA</t>
  </si>
  <si>
    <t xml:space="preserve">PROYECTO:  MEJORAMIENTO DE CALLES INTERNAS CANTON EL ZONTE 2 ETAPA </t>
  </si>
  <si>
    <t xml:space="preserve">PROYECTO:  INTRODUCCION DE ENERGIA ELECTRICA EN CASERIO SAN LAZARO  </t>
  </si>
  <si>
    <t xml:space="preserve">PROYECTO:  INTRODUCCION DE ENERGIA ELECTRICA EN CANTON LAS FLORES   </t>
  </si>
  <si>
    <r>
      <rPr>
        <b/>
        <sz val="10"/>
        <rFont val="Trebuchet MS"/>
        <family val="2"/>
      </rPr>
      <t>META</t>
    </r>
    <r>
      <rPr>
        <sz val="10"/>
        <rFont val="Trebuchet MS"/>
        <family val="2"/>
      </rPr>
      <t xml:space="preserve">: ES PODER BRINDARLES UN SERVICIO MEJOR Y CALIDAD DE VIDA A LOS AVITANTES DE DIFERENTES CASERIOS Y CANTONES  DE CHILTIUPAN </t>
    </r>
  </si>
  <si>
    <t xml:space="preserve">PROYECTO:  INTRODUCCION DE ENERGIA ELECTRICA EN CASERIO SAN JUAN    </t>
  </si>
  <si>
    <t>PROYECTO: MEJORAMIENTO DE CALLE LOS LEONARDOS, PASAJE VIA DEL MAR CANTON EL ZONTE.</t>
  </si>
  <si>
    <t xml:space="preserve">PROYECTO:  INTRODUCCION DE ENERGIA ELECTRICA EN LA HACIENDA CASERIO SAN LUIS CANTON SIBERIA.    </t>
  </si>
  <si>
    <t xml:space="preserve">Introduccion de Energia Electrica en  la Hacienda Caserio San Luis Canton Siberia. </t>
  </si>
  <si>
    <t xml:space="preserve">                                                                   </t>
  </si>
  <si>
    <t>FECHA DE INICIO/FINALIZACION : 01/01/2021  - 31/12/2021</t>
  </si>
  <si>
    <t>Mantenimiento de las Instalaciones Municipales</t>
  </si>
  <si>
    <t xml:space="preserve">Oficial de Acceso a la Informacion publica y Unidad Juridica </t>
  </si>
  <si>
    <t xml:space="preserve">TELECOMUNICACIONES </t>
  </si>
  <si>
    <t>Art. 4.- El registro y control de la ejecución del presente Presupuesto se realizará a través del Sistema de Administración Financiera Municipal. (SAFIM) implementado por la Dirección General de Contabilidad Gubernamental del Ministerio de Hacienda, a partir del 1° enero 2021,  atendiendo la normativa y las dispocisiones  legales aplicables, para satisfacer las necesidades de informacion y documentacion  de las operaciones y facilitar el  control que ejerceran tanto la auditoria Interna, asi  como de la Corte de Cuentas de la Republica.</t>
  </si>
  <si>
    <t>Art. 36 .- El presente decreto entrará en vigencia a partir del dia  uno  de    Enero del año dos mil veintiuno</t>
  </si>
  <si>
    <t>TOTAL INVERSION  FONDO GENERAL   109</t>
  </si>
  <si>
    <t xml:space="preserve">Nota: para efectos de  preparacion del  presupuesto, se  utilizó el Ingreso del año 2019, devido a los ingresos del año 2020 que fue mala la recaudacion, devido a la pandemia del COVID-19                                   </t>
  </si>
  <si>
    <t xml:space="preserve">Mejoramiento de Calle en Caserio el Mollejo Canton Taquillo </t>
  </si>
  <si>
    <t xml:space="preserve">Construccion de Cancha en Colonia Espiritu Santo Canton el Zonte </t>
  </si>
  <si>
    <t>PROYECTO:  MEJORAMIENTO DE CALLE CASERIO EL MOLLEJO   CANTON TAQUILLO</t>
  </si>
  <si>
    <t>PROYECTOS NUEVOS 2021   2% FODES</t>
  </si>
  <si>
    <t xml:space="preserve">PROYECTO: CONSTRUCCION DE CANCHA EN COLONIA ESPIRITU SANTO CANTON EL ZONTE </t>
  </si>
  <si>
    <t xml:space="preserve">PROYECTO: MEJORAMIENTO DE VIVIENDAS CASERIO SAN JUAN </t>
  </si>
  <si>
    <r>
      <rPr>
        <b/>
        <sz val="10"/>
        <rFont val="Trebuchet MS"/>
        <family val="2"/>
      </rPr>
      <t>META</t>
    </r>
    <r>
      <rPr>
        <sz val="10"/>
        <rFont val="Trebuchet MS"/>
        <family val="2"/>
      </rPr>
      <t xml:space="preserve">: MEJORAR LAS VIVIENDAS DE LAS FAMILIAS PARA QUE PUEDA VER MAS UN DESARROLLO </t>
    </r>
  </si>
  <si>
    <t xml:space="preserve">Introducción de energia electrica en diferentes Zonas del Municipio (Convenio de Conversión con DEL SUR) </t>
  </si>
  <si>
    <t>09</t>
  </si>
  <si>
    <t>10</t>
  </si>
  <si>
    <t>11</t>
  </si>
  <si>
    <t>12</t>
  </si>
  <si>
    <t>13</t>
  </si>
  <si>
    <t>14</t>
  </si>
  <si>
    <t>SALDO EN BANCOS AL 31/12/2020</t>
  </si>
  <si>
    <t>DISPONIBLIDAD AL 31/12/20 segun estados de cta..</t>
  </si>
  <si>
    <t>pagina</t>
  </si>
  <si>
    <t xml:space="preserve">PROYECTO: MEJORAMIENTO  DE CALLE Y CONSTRUCCION DE MUROS EN CASERIO EL COCO   </t>
  </si>
  <si>
    <t xml:space="preserve">PROYECTOS NUEVOS </t>
  </si>
  <si>
    <t xml:space="preserve">PROYECTO: CONSTRUCCIÓN DE MURO DE MUROS DE RETENCION EN ZONA URBANA </t>
  </si>
  <si>
    <t xml:space="preserve">PROYECTO: CONSTRUCCIÓN DE MURO DE MUROS DE RETENCION Y MEJORAMIENTO DE VIVIENDAS EN CASERIO EL CAMPO </t>
  </si>
  <si>
    <r>
      <rPr>
        <b/>
        <sz val="10"/>
        <rFont val="Trebuchet MS"/>
        <family val="2"/>
      </rPr>
      <t>META</t>
    </r>
    <r>
      <rPr>
        <sz val="10"/>
        <rFont val="Trebuchet MS"/>
        <family val="2"/>
      </rPr>
      <t xml:space="preserve">: MEJORAR LOS MUROS PARA PODER RETENER LAS CALLES Y NO SE SIGAN LAVANDO CON LAS LLUVIAS  Y MEJORAR LAS VIVIENDAS DE FAMILIAS </t>
    </r>
  </si>
  <si>
    <t xml:space="preserve">PROYECTO: MEJORAMIENTO DE CALLE PRINCIPAL CASERIO LA LOTERIA, CANTON SANTA LUCIA </t>
  </si>
  <si>
    <t xml:space="preserve">PROYECTO: MEJORAMIENTO DEL SISTEMA DE AGUA POTABLE EN CASERIO LA RAIZUDA (SAN LUIS) </t>
  </si>
  <si>
    <r>
      <rPr>
        <b/>
        <sz val="10"/>
        <rFont val="Trebuchet MS"/>
        <family val="2"/>
      </rPr>
      <t>META</t>
    </r>
    <r>
      <rPr>
        <sz val="10"/>
        <rFont val="Trebuchet MS"/>
        <family val="2"/>
      </rPr>
      <t>:  PARA MEJORAR, LA CALIDAD DE VIDA DE LOS HABITANTES DE CASERIO LA RAIZUDA SAN LUIS PARA QUE PUEDAN TENER EL VITAL LIQUIDO EN SUS CASAS</t>
    </r>
  </si>
  <si>
    <t>PROY NUEVO</t>
  </si>
  <si>
    <t xml:space="preserve">PROYECTO: MEJORAMIENTO DE CALLE CANTON CUERVO ABAJO HACIA CASERIO SAN ISIDRO  </t>
  </si>
  <si>
    <t xml:space="preserve">PROYECTO: MEJORAMIENTO DE CALLES INTERNAS CASERIO SAN ISIDRO </t>
  </si>
  <si>
    <r>
      <rPr>
        <b/>
        <sz val="10"/>
        <rFont val="Trebuchet MS"/>
        <family val="2"/>
      </rPr>
      <t>META</t>
    </r>
    <r>
      <rPr>
        <sz val="10"/>
        <rFont val="Trebuchet MS"/>
        <family val="2"/>
      </rPr>
      <t xml:space="preserve">: MEJORAR  LAS CALLES Y NO SE SIGAN LAVANDO CON LAS LLUVIAS </t>
    </r>
  </si>
  <si>
    <t xml:space="preserve">PROYECTO: MEJORAMIENTO DE VIVIENDAS CASERIO CAHUASPAN </t>
  </si>
  <si>
    <t xml:space="preserve">PROYECTO:  MEJORAMIENTO DE CALLE Y CONSTRUCCION DE PUENTE PEATONAL HACIA LA CANCHA EL REGADILLO    </t>
  </si>
  <si>
    <t>PROYECTO: MEJORAMIENTO DE CALLE HACIA EL PILAR DE PIEDRA CANTON SANTA LUCIA</t>
  </si>
  <si>
    <t xml:space="preserve">PROYECTO: CONSTRUCCION MURO DE RETENCION EN  CANCHA  CANTON SANTA LUCIA   </t>
  </si>
  <si>
    <t xml:space="preserve">SECTOR: INFRAESTRUCTURA  SOCIAL </t>
  </si>
  <si>
    <t xml:space="preserve">PROYECTO: MEJORAMIENTO DE PASAJE PRINCIPAL CASERIO LA FINCONA </t>
  </si>
  <si>
    <r>
      <rPr>
        <b/>
        <sz val="10"/>
        <rFont val="Trebuchet MS"/>
        <family val="2"/>
      </rPr>
      <t>META</t>
    </r>
    <r>
      <rPr>
        <sz val="10"/>
        <rFont val="Trebuchet MS"/>
        <family val="2"/>
      </rPr>
      <t xml:space="preserve">: MEJORAR LAS CALLES Y PASAJES  DE LOS AVITANTES PARA PODER MOVILISARCE  </t>
    </r>
  </si>
  <si>
    <t>Mejoramiento de Pasaje Principal Caserio la Fincona</t>
  </si>
  <si>
    <t xml:space="preserve">Mejoramiento de Viviendas Canton las Flores </t>
  </si>
  <si>
    <t>Mejoramiento de Calle y Construcción de Muro en Caserio el Coco</t>
  </si>
  <si>
    <t>Introducción de Agua Potable Caserio la Raizuda (San Luis)</t>
  </si>
  <si>
    <t>Construcción de Muro en Cancha Cantón Santa Lucia</t>
  </si>
  <si>
    <t>Construcción de Muros de Retención Zona Urbana</t>
  </si>
  <si>
    <t>Construcción de Muros de Retención y Mejoramiento de Vivienda en Caserio el Campo</t>
  </si>
  <si>
    <t>Mejoramiento de Calle Principal Caserio la Loteria Cantón Santa Lucia</t>
  </si>
  <si>
    <t xml:space="preserve">Mejoramiento de Calle Cantón Cuevo Abajo Hacia Caserio San Isidro </t>
  </si>
  <si>
    <t xml:space="preserve">Mejoramiento de Calle y Construcción de Puente Peatonal Hacia la Cancha el Regadillo </t>
  </si>
  <si>
    <t xml:space="preserve">Mejoramiento de Calle Hacia el Pilar de Piedra Cantón Santa Lucia </t>
  </si>
  <si>
    <t xml:space="preserve">Construccion de Cancha de futbolito Rapido en Cuervo Arriba el Progreso </t>
  </si>
  <si>
    <t xml:space="preserve">PROYECTO: CONSTRUCCION DE CANCHA DE FUTBOLITO RAPIDO CUERVO ARRIBA EL PROGRESO  </t>
  </si>
  <si>
    <t>Art. 34.-En el ejercicio 2021 Los miembros del Concejo Municipal,  que asistan a las reuniónes mensuales a las que previamente sean convocados, tendrán derecho al cobro de una Dieta por cada reunión    así:  Sindico Municipal ,  $700.00 Dolares.    Regidor   Propietario  $330.00 Dolares    y   Regidor  Suplente     $ 230.00  dolares.  Y  serán remuneradas  solo  dos ( 2) sesiones  por mes,  de  Enero a Mayo, en el mes de  Junio, abran Tres reuniones remuneradas. de Julio a Noviembre abran dos reuniones remuneradas y en  Diciembre Tres reuniones remuneradas.</t>
  </si>
  <si>
    <t xml:space="preserve">DADO EN LA ALCALDIA MUNICIPAL DE CHILTIUPÁN, DEPARTAMENTO DE LA LIBERTAD, EL DIA QUINCE DE DICIEMBRE DEL DOS MIL VEINTE </t>
  </si>
  <si>
    <r>
      <rPr>
        <b/>
        <sz val="10"/>
        <rFont val="Trebuchet MS"/>
        <family val="2"/>
      </rPr>
      <t>META</t>
    </r>
    <r>
      <rPr>
        <sz val="10"/>
        <rFont val="Trebuchet MS"/>
        <family val="2"/>
      </rPr>
      <t xml:space="preserve">:  PARA MEJORAR, LA CALIDAD DE VIDA DE LOS HABITANTES DEL CASERIO CUERVO ABAJO </t>
    </r>
  </si>
  <si>
    <t>NUEVO PROY</t>
  </si>
  <si>
    <t>PROYECTO: UNIDAD DE  MEDIO AMBIENTE 2021</t>
  </si>
  <si>
    <r>
      <t xml:space="preserve">EL PRESUPUESTO MUNICIPAL, </t>
    </r>
    <r>
      <rPr>
        <sz val="10"/>
        <rFont val="Trebuchet MS"/>
        <family val="2"/>
      </rPr>
      <t>para el ejercicio</t>
    </r>
    <r>
      <rPr>
        <b/>
        <sz val="10"/>
        <rFont val="Trebuchet MS"/>
        <family val="2"/>
      </rPr>
      <t xml:space="preserve"> </t>
    </r>
    <r>
      <rPr>
        <sz val="10"/>
        <rFont val="Trebuchet MS"/>
        <family val="2"/>
      </rPr>
      <t>que inicia el uno de enero y finaliza el treinta y uno de diciembre del año dos mil Veintiuno, así:</t>
    </r>
    <r>
      <rPr>
        <u/>
        <sz val="10"/>
        <rFont val="Trebuchet MS"/>
        <family val="2"/>
      </rPr>
      <t xml:space="preserve">            </t>
    </r>
  </si>
  <si>
    <t xml:space="preserve">PROYECTO: CONSTRUCCION DE TANQUE DE DISTRIBUCION DE AGUA POTABLE EN SIBERIA SUR Y CANTON REGADILLO </t>
  </si>
  <si>
    <t xml:space="preserve">Supervisión de Infraestructura </t>
  </si>
  <si>
    <r>
      <rPr>
        <b/>
        <sz val="10"/>
        <rFont val="Trebuchet MS"/>
        <family val="2"/>
      </rPr>
      <t>META</t>
    </r>
    <r>
      <rPr>
        <sz val="10"/>
        <rFont val="Trebuchet MS"/>
        <family val="2"/>
      </rPr>
      <t xml:space="preserve">: MEJORAR LA CALIDAD DE VIDA  DE LAS FAMILIAS PARA QUE PUEDA VER MAS UN DESARROLLO CON VITAL LIQUIDO </t>
    </r>
  </si>
  <si>
    <t xml:space="preserve">SECTOR: INVERSION SOCIAL </t>
  </si>
  <si>
    <t xml:space="preserve">Construcción de Tanque de Distribución de agua potable en Siberia Sur y Cantón Regadillo </t>
  </si>
  <si>
    <t>PROYECTO: MANTENIMIENTO DEL CEMENTERIO GENERAL DE CHILTIUPAN</t>
  </si>
  <si>
    <r>
      <rPr>
        <b/>
        <sz val="10"/>
        <rFont val="Trebuchet MS"/>
        <family val="2"/>
      </rPr>
      <t>META</t>
    </r>
    <r>
      <rPr>
        <sz val="10"/>
        <rFont val="Trebuchet MS"/>
        <family val="2"/>
      </rPr>
      <t xml:space="preserve">: MEJORAR EL CEMENTERIO GENERAL PARA QUE LA GENTE PUEDA IR A VISITAR SUS DIFUNTOS </t>
    </r>
  </si>
  <si>
    <t xml:space="preserve">Materiales Electricos </t>
  </si>
  <si>
    <t>54119</t>
  </si>
  <si>
    <t>Productos Agropecuacios Forestales</t>
  </si>
  <si>
    <t>Mantenimiento del Cementerio General de Chiltiupán</t>
  </si>
  <si>
    <t>Infraestrucctura Electric</t>
  </si>
  <si>
    <t>Infraestructura Electric</t>
  </si>
  <si>
    <t>Plan Anual  Unidad de la Mujer 2021</t>
  </si>
  <si>
    <t>Fortalecimiento a la Producctividad Agricola en Chiltiupan 2021</t>
  </si>
  <si>
    <t>PROYECTO: REPARACION DE CAMINOS VECINAL 2021</t>
  </si>
  <si>
    <t>ALCALDIA MUNICIPAL DE CHILTIUPAN, DEPARTAMENTO DE LA LIBERTAD, DETALLE DE PROYECTOS DIVERSOS 2021</t>
  </si>
  <si>
    <t>ASIGNACION  2%   FODES, DIC/ 2020, mas la asignacion que esta pendiente de trasferir</t>
  </si>
  <si>
    <t>ASIGNACION  75% FODES, DIC/2020, mas la asignacion que esta pendiente de trasferir</t>
  </si>
  <si>
    <t>SALDO ORIGINAL</t>
  </si>
  <si>
    <t>REFORMAR</t>
  </si>
  <si>
    <t>ORIGINAL</t>
  </si>
  <si>
    <t>saldo</t>
  </si>
  <si>
    <t>Reforma enero abril</t>
  </si>
  <si>
    <t>REFORMA ENERO ABRIL</t>
  </si>
  <si>
    <t>SALDO</t>
  </si>
  <si>
    <t>REFORMA DE ENERO ABRIL</t>
  </si>
  <si>
    <t>REFORMA DE MAYO</t>
  </si>
  <si>
    <t>REFORMAR JUNIO A DICIEMBRE</t>
  </si>
  <si>
    <t>GRAN TOTAL DEL 75% FODES</t>
  </si>
  <si>
    <t>TOTAL DE DISMINUCION</t>
  </si>
  <si>
    <t>PRESTAMO  Nº -------,  BANCO HOPETECARIO DE EL SALVADOR</t>
  </si>
  <si>
    <t>PRESTAMO  Nº  --------------,  BANCO HOPETECARIO DE EL SALVADOR</t>
  </si>
  <si>
    <t>Cta. Cte. Nº---------------------  25%  FODES, Tesoreria Municipal de Chiltiupan</t>
  </si>
  <si>
    <t>Cta. N° ----------------------------------- Tesoreria Municipal de Chiltiupan 2% Fodes</t>
  </si>
  <si>
    <t>Emergencia por COVID-19,  y alerta roja por tormenta tropical Amanda   (DECRETO 608)  Cta. N° -------------------</t>
  </si>
  <si>
    <t>Fondo para Atender Emergencia COVID-19 Y Recuperacion Economica (DECRETO 728) Cta. N° ---------------------------</t>
  </si>
  <si>
    <t xml:space="preserve">Cta. Cte. Nº -------------------, Tesoreria Municipal de Chiltiupan,  Fondo Municipal. </t>
  </si>
  <si>
    <t xml:space="preserve">Cta. Ahorros Nº ----------------------Tes. Mpal. 75 %  FODES  </t>
  </si>
  <si>
    <t xml:space="preserve">Cta. Nº -------------------------------  Tes. MppaL. De Chiltiupán 75% FODES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</si>
</sst>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8" formatCode="&quot;$&quot;#,##0.00;[Red]\-&quot;$&quot;#,##0.00"/>
    <numFmt numFmtId="44" formatCode="_-&quot;$&quot;* #,##0.00_-;\-&quot;$&quot;* #,##0.00_-;_-&quot;$&quot;* &quot;-&quot;??_-;_-@_-"/>
    <numFmt numFmtId="43" formatCode="_-* #,##0.00_-;\-* #,##0.00_-;_-* &quot;-&quot;??_-;_-@_-"/>
    <numFmt numFmtId="164" formatCode="_(&quot;$&quot;* #,##0.00_);_(&quot;$&quot;* \(#,##0.00\);_(&quot;$&quot;* &quot;-&quot;??_);_(@_)"/>
    <numFmt numFmtId="165" formatCode="_(* #,##0.00_);_(* \(#,##0.00\);_(* &quot;-&quot;??_);_(@_)"/>
    <numFmt numFmtId="166" formatCode="_(&quot;$&quot;\ * #,##0.00_);_(&quot;$&quot;\ * \(#,##0.00\);_(&quot;$&quot;\ * &quot;-&quot;??_);_(@_)"/>
    <numFmt numFmtId="167" formatCode="#,##0.00_ ;[Red]\-#,##0.00\ "/>
    <numFmt numFmtId="168" formatCode="_-[$€-2]* #,##0.00_-;\-[$€-2]* #,##0.00_-;_-[$€-2]* &quot;-&quot;??_-"/>
    <numFmt numFmtId="169" formatCode="_([$$-440A]* #,##0.00_);_([$$-440A]* \(#,##0.00\);_([$$-440A]* &quot;-&quot;??_);_(@_)"/>
    <numFmt numFmtId="170" formatCode="_-[$$-409]* #,##0.00_ ;_-[$$-409]* \-#,##0.00\ ;_-[$$-409]* &quot;-&quot;??_ ;_-@_ "/>
    <numFmt numFmtId="171" formatCode="_([$$-409]* #,##0.00_);_([$$-409]* \(#,##0.00\);_([$$-409]* &quot;-&quot;??_);_(@_)"/>
    <numFmt numFmtId="172" formatCode="_(&quot;$&quot;* #,##0.000000_);_(&quot;$&quot;* \(#,##0.000000\);_(&quot;$&quot;* &quot;-&quot;??????_);_(@_)"/>
    <numFmt numFmtId="173" formatCode="0.000000%"/>
    <numFmt numFmtId="174" formatCode="_-[$$-440A]* #,##0.00_-;\-[$$-440A]* #,##0.00_-;_-[$$-440A]* &quot;-&quot;??_-;_-@_-"/>
    <numFmt numFmtId="175" formatCode="_-[$$-440A]* #,##0.00_ ;_-[$$-440A]* \-#,##0.00\ ;_-[$$-440A]* &quot;-&quot;??_ ;_-@_ "/>
  </numFmts>
  <fonts count="218">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Trebuchet MS"/>
      <family val="2"/>
    </font>
    <font>
      <b/>
      <sz val="10"/>
      <name val="Trebuchet MS"/>
      <family val="2"/>
    </font>
    <font>
      <b/>
      <sz val="12"/>
      <name val="Trebuchet MS"/>
      <family val="2"/>
    </font>
    <font>
      <b/>
      <sz val="10"/>
      <color indexed="12"/>
      <name val="Trebuchet MS"/>
      <family val="2"/>
    </font>
    <font>
      <sz val="10"/>
      <color indexed="10"/>
      <name val="Trebuchet MS"/>
      <family val="2"/>
    </font>
    <font>
      <sz val="10"/>
      <color indexed="57"/>
      <name val="Trebuchet MS"/>
      <family val="2"/>
    </font>
    <font>
      <sz val="8"/>
      <name val="Arial"/>
      <family val="2"/>
    </font>
    <font>
      <sz val="12"/>
      <name val="Trebuchet MS"/>
      <family val="2"/>
    </font>
    <font>
      <sz val="9"/>
      <name val="Trebuchet MS"/>
      <family val="2"/>
    </font>
    <font>
      <i/>
      <sz val="12"/>
      <name val="Arial"/>
      <family val="2"/>
    </font>
    <font>
      <sz val="12"/>
      <name val="Arial"/>
      <family val="2"/>
    </font>
    <font>
      <sz val="10"/>
      <name val="Arial"/>
      <family val="2"/>
    </font>
    <font>
      <b/>
      <sz val="12"/>
      <name val="Arial"/>
      <family val="2"/>
    </font>
    <font>
      <sz val="14"/>
      <name val="Trebuchet MS"/>
      <family val="2"/>
    </font>
    <font>
      <sz val="14"/>
      <name val="Arial"/>
      <family val="2"/>
    </font>
    <font>
      <b/>
      <sz val="14"/>
      <name val="Trebuchet MS"/>
      <family val="2"/>
    </font>
    <font>
      <b/>
      <sz val="12"/>
      <name val="Arial"/>
      <family val="2"/>
    </font>
    <font>
      <b/>
      <sz val="10"/>
      <name val="Arial"/>
      <family val="2"/>
    </font>
    <font>
      <sz val="8"/>
      <name val="Trebuchet MS"/>
      <family val="2"/>
    </font>
    <font>
      <b/>
      <sz val="8"/>
      <name val="Trebuchet MS"/>
      <family val="2"/>
    </font>
    <font>
      <sz val="8"/>
      <name val="Arial"/>
      <family val="2"/>
    </font>
    <font>
      <b/>
      <sz val="8"/>
      <name val="Arial"/>
      <family val="2"/>
    </font>
    <font>
      <b/>
      <sz val="11"/>
      <name val="Arial"/>
      <family val="2"/>
    </font>
    <font>
      <sz val="9"/>
      <name val="Arial"/>
      <family val="2"/>
    </font>
    <font>
      <sz val="11"/>
      <name val="Arial"/>
      <family val="2"/>
    </font>
    <font>
      <sz val="11"/>
      <name val="Trebuchet MS"/>
      <family val="2"/>
    </font>
    <font>
      <sz val="12"/>
      <name val="Arial"/>
      <family val="2"/>
    </font>
    <font>
      <b/>
      <sz val="7"/>
      <name val="Trebuchet MS"/>
      <family val="2"/>
    </font>
    <font>
      <sz val="7"/>
      <name val="Arial"/>
      <family val="2"/>
    </font>
    <font>
      <sz val="10"/>
      <name val="Arial"/>
      <family val="2"/>
    </font>
    <font>
      <b/>
      <i/>
      <sz val="14"/>
      <name val="Trebuchet MS"/>
      <family val="2"/>
    </font>
    <font>
      <b/>
      <i/>
      <sz val="16"/>
      <name val="Trebuchet MS"/>
      <family val="2"/>
    </font>
    <font>
      <b/>
      <sz val="9"/>
      <name val="Trebuchet MS"/>
      <family val="2"/>
    </font>
    <font>
      <u/>
      <sz val="10"/>
      <name val="Trebuchet MS"/>
      <family val="2"/>
    </font>
    <font>
      <b/>
      <i/>
      <sz val="10"/>
      <name val="Trebuchet MS"/>
      <family val="2"/>
    </font>
    <font>
      <b/>
      <i/>
      <sz val="10"/>
      <color indexed="8"/>
      <name val="Trebuchet MS"/>
      <family val="2"/>
    </font>
    <font>
      <sz val="10"/>
      <color indexed="8"/>
      <name val="Trebuchet MS"/>
      <family val="2"/>
    </font>
    <font>
      <b/>
      <sz val="7.5"/>
      <name val="Trebuchet MS"/>
      <family val="2"/>
    </font>
    <font>
      <sz val="7.5"/>
      <name val="Trebuchet MS"/>
      <family val="2"/>
    </font>
    <font>
      <b/>
      <sz val="10"/>
      <color indexed="10"/>
      <name val="Arial"/>
      <family val="2"/>
    </font>
    <font>
      <b/>
      <sz val="10"/>
      <color indexed="12"/>
      <name val="Arial"/>
      <family val="2"/>
    </font>
    <font>
      <sz val="10"/>
      <color indexed="8"/>
      <name val="Arial"/>
      <family val="2"/>
    </font>
    <font>
      <sz val="11"/>
      <color indexed="8"/>
      <name val="Arial"/>
      <family val="2"/>
    </font>
    <font>
      <b/>
      <sz val="11"/>
      <color indexed="12"/>
      <name val="Arial"/>
      <family val="2"/>
    </font>
    <font>
      <b/>
      <sz val="11"/>
      <name val="Trebuchet MS"/>
      <family val="2"/>
    </font>
    <font>
      <b/>
      <sz val="11"/>
      <color indexed="8"/>
      <name val="Arial"/>
      <family val="2"/>
    </font>
    <font>
      <b/>
      <sz val="11"/>
      <color indexed="10"/>
      <name val="Arial"/>
      <family val="2"/>
    </font>
    <font>
      <sz val="11"/>
      <name val="Arial"/>
      <family val="2"/>
    </font>
    <font>
      <b/>
      <sz val="9"/>
      <name val="Arial"/>
      <family val="2"/>
    </font>
    <font>
      <i/>
      <sz val="8"/>
      <name val="Arial"/>
      <family val="2"/>
    </font>
    <font>
      <b/>
      <sz val="8"/>
      <color indexed="81"/>
      <name val="Tahoma"/>
      <family val="2"/>
    </font>
    <font>
      <sz val="8"/>
      <color indexed="81"/>
      <name val="Tahoma"/>
      <family val="2"/>
    </font>
    <font>
      <sz val="10"/>
      <color rgb="FFFF0000"/>
      <name val="Arial"/>
      <family val="2"/>
    </font>
    <font>
      <sz val="9"/>
      <color rgb="FF0000FF"/>
      <name val="Arial"/>
      <family val="2"/>
    </font>
    <font>
      <sz val="9.5"/>
      <name val="Trebuchet MS"/>
      <family val="2"/>
    </font>
    <font>
      <sz val="8"/>
      <name val="Calibri"/>
      <family val="2"/>
      <scheme val="minor"/>
    </font>
    <font>
      <sz val="10"/>
      <color rgb="FFFF3300"/>
      <name val="Arial"/>
      <family val="2"/>
    </font>
    <font>
      <sz val="9"/>
      <color rgb="FFFF3300"/>
      <name val="Arial"/>
      <family val="2"/>
    </font>
    <font>
      <sz val="14"/>
      <name val="Arial"/>
      <family val="2"/>
    </font>
    <font>
      <sz val="9"/>
      <name val="Calibri"/>
      <family val="2"/>
      <scheme val="minor"/>
    </font>
    <font>
      <b/>
      <sz val="9"/>
      <name val="Calibri"/>
      <family val="2"/>
      <scheme val="minor"/>
    </font>
    <font>
      <sz val="10"/>
      <name val="Calibri"/>
      <family val="2"/>
      <scheme val="minor"/>
    </font>
    <font>
      <sz val="14"/>
      <name val="Calibri"/>
      <family val="2"/>
      <scheme val="minor"/>
    </font>
    <font>
      <b/>
      <sz val="14"/>
      <name val="Calibri"/>
      <family val="2"/>
      <scheme val="minor"/>
    </font>
    <font>
      <b/>
      <sz val="11"/>
      <color indexed="12"/>
      <name val="Trebuchet MS"/>
      <family val="2"/>
    </font>
    <font>
      <sz val="12"/>
      <color rgb="FFFF0000"/>
      <name val="Arial"/>
      <family val="2"/>
    </font>
    <font>
      <sz val="7.5"/>
      <name val="Arial"/>
      <family val="2"/>
    </font>
    <font>
      <sz val="7.5"/>
      <name val="Calibri"/>
      <family val="2"/>
      <scheme val="minor"/>
    </font>
    <font>
      <b/>
      <i/>
      <sz val="9"/>
      <name val="Trebuchet MS"/>
      <family val="2"/>
    </font>
    <font>
      <b/>
      <u/>
      <sz val="10"/>
      <name val="Trebuchet MS"/>
      <family val="2"/>
    </font>
    <font>
      <b/>
      <i/>
      <sz val="11"/>
      <name val="Trebuchet MS"/>
      <family val="2"/>
    </font>
    <font>
      <sz val="9"/>
      <name val="Arimo"/>
      <family val="2"/>
    </font>
    <font>
      <b/>
      <sz val="10"/>
      <name val="Calibri"/>
      <family val="2"/>
      <scheme val="minor"/>
    </font>
    <font>
      <b/>
      <sz val="8"/>
      <name val="Calibri"/>
      <family val="2"/>
      <scheme val="minor"/>
    </font>
    <font>
      <sz val="9"/>
      <color indexed="57"/>
      <name val="Calibri"/>
      <family val="2"/>
      <scheme val="minor"/>
    </font>
    <font>
      <sz val="10"/>
      <color indexed="12"/>
      <name val="Calibri"/>
      <family val="2"/>
      <scheme val="minor"/>
    </font>
    <font>
      <b/>
      <sz val="10"/>
      <color indexed="12"/>
      <name val="Calibri"/>
      <family val="2"/>
      <scheme val="minor"/>
    </font>
    <font>
      <sz val="10"/>
      <name val="Rockwell"/>
      <family val="1"/>
    </font>
    <font>
      <b/>
      <sz val="9"/>
      <color indexed="12"/>
      <name val="Trebuchet MS"/>
      <family val="2"/>
    </font>
    <font>
      <sz val="9"/>
      <name val="Courier New"/>
      <family val="3"/>
    </font>
    <font>
      <sz val="8"/>
      <name val="Arial Unicode MS"/>
      <family val="2"/>
    </font>
    <font>
      <sz val="9"/>
      <color rgb="FF6600FF"/>
      <name val="Calibri"/>
      <family val="2"/>
      <scheme val="minor"/>
    </font>
    <font>
      <sz val="9"/>
      <color rgb="FF00B050"/>
      <name val="Calibri"/>
      <family val="2"/>
      <scheme val="minor"/>
    </font>
    <font>
      <sz val="9"/>
      <color rgb="FFFF00FF"/>
      <name val="Calibri"/>
      <family val="2"/>
      <scheme val="minor"/>
    </font>
    <font>
      <sz val="9"/>
      <name val="Calibri"/>
      <family val="2"/>
    </font>
    <font>
      <sz val="7.5"/>
      <name val="Algerian"/>
      <family val="5"/>
    </font>
    <font>
      <b/>
      <sz val="8"/>
      <name val="Arial Unicode MS"/>
      <family val="2"/>
    </font>
    <font>
      <sz val="6"/>
      <name val="Calibri"/>
      <family val="2"/>
      <scheme val="minor"/>
    </font>
    <font>
      <sz val="9"/>
      <color indexed="81"/>
      <name val="Tahoma"/>
      <family val="2"/>
    </font>
    <font>
      <b/>
      <sz val="9"/>
      <color indexed="81"/>
      <name val="Tahoma"/>
      <family val="2"/>
    </font>
    <font>
      <b/>
      <sz val="11"/>
      <name val="Calibri"/>
      <family val="2"/>
      <scheme val="minor"/>
    </font>
    <font>
      <sz val="10"/>
      <color theme="1"/>
      <name val="Calibri"/>
      <family val="2"/>
      <scheme val="minor"/>
    </font>
    <font>
      <sz val="10"/>
      <color rgb="FF000000"/>
      <name val="Arial"/>
      <family val="2"/>
    </font>
    <font>
      <b/>
      <u/>
      <sz val="10"/>
      <name val="Arial"/>
      <family val="2"/>
    </font>
    <font>
      <b/>
      <sz val="12"/>
      <color theme="3" tint="0.39997558519241921"/>
      <name val="Arial"/>
      <family val="2"/>
    </font>
    <font>
      <sz val="11"/>
      <name val="Cambria"/>
      <family val="1"/>
      <scheme val="major"/>
    </font>
    <font>
      <b/>
      <i/>
      <sz val="14"/>
      <name val="Cambria"/>
      <family val="1"/>
      <scheme val="major"/>
    </font>
    <font>
      <b/>
      <sz val="16"/>
      <name val="Cambria"/>
      <family val="1"/>
      <scheme val="major"/>
    </font>
    <font>
      <b/>
      <sz val="11"/>
      <name val="Cambria"/>
      <family val="1"/>
      <scheme val="major"/>
    </font>
    <font>
      <b/>
      <sz val="9"/>
      <name val="Cambria"/>
      <family val="1"/>
      <scheme val="major"/>
    </font>
    <font>
      <b/>
      <sz val="7"/>
      <name val="Cambria"/>
      <family val="1"/>
      <scheme val="major"/>
    </font>
    <font>
      <b/>
      <sz val="8"/>
      <name val="Cambria"/>
      <family val="1"/>
      <scheme val="major"/>
    </font>
    <font>
      <b/>
      <sz val="10"/>
      <name val="Cambria"/>
      <family val="1"/>
      <scheme val="major"/>
    </font>
    <font>
      <sz val="9"/>
      <name val="Cambria"/>
      <family val="1"/>
      <scheme val="major"/>
    </font>
    <font>
      <sz val="7.5"/>
      <name val="Cambria"/>
      <family val="1"/>
      <scheme val="major"/>
    </font>
    <font>
      <sz val="7"/>
      <name val="Cambria"/>
      <family val="1"/>
      <scheme val="major"/>
    </font>
    <font>
      <sz val="8"/>
      <name val="Cambria"/>
      <family val="1"/>
      <scheme val="major"/>
    </font>
    <font>
      <sz val="6"/>
      <name val="Cambria"/>
      <family val="1"/>
      <scheme val="major"/>
    </font>
    <font>
      <sz val="10"/>
      <name val="Cambria"/>
      <family val="1"/>
      <scheme val="major"/>
    </font>
    <font>
      <b/>
      <sz val="14"/>
      <name val="Cambria"/>
      <family val="1"/>
      <scheme val="major"/>
    </font>
    <font>
      <sz val="11"/>
      <color theme="1"/>
      <name val="Arial"/>
      <family val="2"/>
    </font>
    <font>
      <u/>
      <sz val="11"/>
      <name val="Arial"/>
      <family val="2"/>
    </font>
    <font>
      <b/>
      <u/>
      <sz val="16"/>
      <name val="Cambria"/>
      <family val="1"/>
      <scheme val="major"/>
    </font>
    <font>
      <u/>
      <sz val="11"/>
      <name val="Cambria"/>
      <family val="1"/>
      <scheme val="major"/>
    </font>
    <font>
      <u/>
      <sz val="10"/>
      <name val="Cambria"/>
      <family val="1"/>
      <scheme val="major"/>
    </font>
    <font>
      <sz val="10"/>
      <color indexed="10"/>
      <name val="Cambria"/>
      <family val="1"/>
      <scheme val="major"/>
    </font>
    <font>
      <sz val="10"/>
      <color indexed="57"/>
      <name val="Cambria"/>
      <family val="1"/>
      <scheme val="major"/>
    </font>
    <font>
      <u/>
      <sz val="9"/>
      <name val="Cambria"/>
      <family val="1"/>
      <scheme val="major"/>
    </font>
    <font>
      <sz val="12"/>
      <name val="Cambria"/>
      <family val="1"/>
      <scheme val="major"/>
    </font>
    <font>
      <b/>
      <u/>
      <sz val="12"/>
      <name val="Cambria"/>
      <family val="1"/>
      <scheme val="major"/>
    </font>
    <font>
      <b/>
      <sz val="12"/>
      <name val="Cambria"/>
      <family val="1"/>
      <scheme val="major"/>
    </font>
    <font>
      <sz val="9"/>
      <color indexed="8"/>
      <name val="Arial"/>
      <family val="2"/>
    </font>
    <font>
      <sz val="9"/>
      <color rgb="FFFF0000"/>
      <name val="Arial"/>
      <family val="2"/>
    </font>
    <font>
      <b/>
      <sz val="9"/>
      <color rgb="FFFF0000"/>
      <name val="Arial"/>
      <family val="2"/>
    </font>
    <font>
      <b/>
      <sz val="9"/>
      <color indexed="8"/>
      <name val="Arial"/>
      <family val="2"/>
    </font>
    <font>
      <sz val="11"/>
      <color rgb="FFFF0000"/>
      <name val="Arial"/>
      <family val="2"/>
    </font>
    <font>
      <sz val="10"/>
      <name val="Arial"/>
      <family val="2"/>
    </font>
    <font>
      <b/>
      <sz val="9"/>
      <color rgb="FFFF0000"/>
      <name val="Cambria"/>
      <family val="1"/>
      <scheme val="major"/>
    </font>
    <font>
      <b/>
      <sz val="18"/>
      <name val="Cambria"/>
      <family val="1"/>
      <scheme val="major"/>
    </font>
    <font>
      <b/>
      <sz val="20"/>
      <name val="Cambria"/>
      <family val="1"/>
      <scheme val="major"/>
    </font>
    <font>
      <b/>
      <sz val="12"/>
      <color rgb="FF0B11F9"/>
      <name val="Cambria"/>
      <family val="1"/>
      <scheme val="major"/>
    </font>
    <font>
      <b/>
      <sz val="9"/>
      <color rgb="FF0B11F9"/>
      <name val="Cambria"/>
      <family val="1"/>
      <scheme val="major"/>
    </font>
    <font>
      <b/>
      <sz val="11"/>
      <color rgb="FF0B11F9"/>
      <name val="Cambria"/>
      <family val="1"/>
      <scheme val="major"/>
    </font>
    <font>
      <b/>
      <sz val="8"/>
      <color rgb="FF0B11F9"/>
      <name val="Cambria"/>
      <family val="1"/>
      <scheme val="major"/>
    </font>
    <font>
      <b/>
      <sz val="10"/>
      <color rgb="FF0B11F9"/>
      <name val="Cambria"/>
      <family val="1"/>
      <scheme val="major"/>
    </font>
    <font>
      <b/>
      <sz val="16"/>
      <name val="Calibri"/>
      <family val="2"/>
      <scheme val="minor"/>
    </font>
    <font>
      <sz val="10"/>
      <name val="Arial Unicode MS"/>
      <family val="2"/>
    </font>
    <font>
      <sz val="9"/>
      <color theme="1"/>
      <name val="Calibri"/>
      <family val="2"/>
      <scheme val="minor"/>
    </font>
    <font>
      <b/>
      <sz val="20"/>
      <name val="Arial"/>
      <family val="2"/>
    </font>
    <font>
      <sz val="12"/>
      <color rgb="FFFF0000"/>
      <name val="Calibri"/>
      <family val="2"/>
      <scheme val="minor"/>
    </font>
    <font>
      <b/>
      <sz val="12"/>
      <color indexed="8"/>
      <name val="Arial"/>
      <family val="2"/>
    </font>
    <font>
      <sz val="12"/>
      <name val="Calibri"/>
      <family val="2"/>
      <scheme val="minor"/>
    </font>
    <font>
      <b/>
      <i/>
      <sz val="12"/>
      <name val="Trebuchet MS"/>
      <family val="2"/>
    </font>
    <font>
      <b/>
      <i/>
      <sz val="11"/>
      <name val="Arial"/>
      <family val="2"/>
    </font>
    <font>
      <b/>
      <i/>
      <sz val="12"/>
      <name val="Cambria"/>
      <family val="1"/>
      <scheme val="major"/>
    </font>
    <font>
      <b/>
      <i/>
      <sz val="11"/>
      <name val="Cambria"/>
      <family val="1"/>
      <scheme val="major"/>
    </font>
    <font>
      <b/>
      <i/>
      <sz val="12"/>
      <name val="Arial"/>
      <family val="2"/>
    </font>
    <font>
      <sz val="8"/>
      <color indexed="8"/>
      <name val="Arial"/>
      <family val="2"/>
    </font>
    <font>
      <b/>
      <sz val="8"/>
      <color indexed="12"/>
      <name val="Arial"/>
      <family val="2"/>
    </font>
    <font>
      <b/>
      <sz val="8"/>
      <color indexed="10"/>
      <name val="Arial"/>
      <family val="2"/>
    </font>
    <font>
      <b/>
      <i/>
      <sz val="20"/>
      <name val="Trebuchet MS"/>
      <family val="2"/>
    </font>
    <font>
      <b/>
      <i/>
      <sz val="10"/>
      <name val="Calibri"/>
      <family val="2"/>
      <scheme val="minor"/>
    </font>
    <font>
      <b/>
      <i/>
      <sz val="20"/>
      <name val="Calibri"/>
      <family val="2"/>
      <scheme val="minor"/>
    </font>
    <font>
      <b/>
      <i/>
      <sz val="13"/>
      <name val="Trebuchet MS"/>
      <family val="2"/>
    </font>
    <font>
      <b/>
      <i/>
      <sz val="13"/>
      <name val="Arial"/>
      <family val="2"/>
    </font>
    <font>
      <sz val="7"/>
      <name val="Trebuchet MS"/>
      <family val="2"/>
    </font>
    <font>
      <b/>
      <i/>
      <sz val="8"/>
      <name val="Arial"/>
      <family val="2"/>
    </font>
    <font>
      <sz val="11"/>
      <color rgb="FF0B11F9"/>
      <name val="Cambria"/>
      <family val="1"/>
      <scheme val="major"/>
    </font>
    <font>
      <sz val="11"/>
      <color rgb="FFFF0000"/>
      <name val="Cambria"/>
      <family val="1"/>
      <scheme val="major"/>
    </font>
    <font>
      <b/>
      <i/>
      <sz val="18"/>
      <name val="Calibri"/>
      <family val="2"/>
      <scheme val="minor"/>
    </font>
    <font>
      <b/>
      <i/>
      <sz val="11"/>
      <name val="Calibri"/>
      <family val="2"/>
      <scheme val="minor"/>
    </font>
    <font>
      <i/>
      <sz val="11"/>
      <name val="Calibri"/>
      <family val="2"/>
      <scheme val="minor"/>
    </font>
    <font>
      <b/>
      <sz val="16"/>
      <name val="Trebuchet MS"/>
      <family val="2"/>
    </font>
    <font>
      <b/>
      <sz val="18"/>
      <name val="Trebuchet MS"/>
      <family val="2"/>
    </font>
    <font>
      <b/>
      <sz val="20"/>
      <name val="Trebuchet MS"/>
      <family val="2"/>
    </font>
    <font>
      <b/>
      <i/>
      <sz val="12"/>
      <name val="Calibri"/>
      <family val="2"/>
      <scheme val="minor"/>
    </font>
    <font>
      <b/>
      <sz val="11"/>
      <color indexed="10"/>
      <name val="Cambria"/>
      <family val="1"/>
      <scheme val="major"/>
    </font>
    <font>
      <sz val="11"/>
      <color rgb="FF0000FF"/>
      <name val="Cambria"/>
      <family val="1"/>
      <scheme val="major"/>
    </font>
    <font>
      <sz val="11"/>
      <name val="Calibri"/>
      <family val="2"/>
      <scheme val="minor"/>
    </font>
    <font>
      <sz val="11"/>
      <name val="Calibri"/>
      <family val="2"/>
    </font>
    <font>
      <sz val="11"/>
      <name val="Arimo"/>
      <family val="2"/>
    </font>
    <font>
      <sz val="18"/>
      <name val="Arial"/>
      <family val="2"/>
    </font>
    <font>
      <b/>
      <sz val="12"/>
      <color rgb="FFFF0000"/>
      <name val="Trebuchet MS"/>
      <family val="2"/>
    </font>
    <font>
      <b/>
      <i/>
      <sz val="14"/>
      <color rgb="FFFF0000"/>
      <name val="Trebuchet MS"/>
      <family val="2"/>
    </font>
    <font>
      <b/>
      <i/>
      <sz val="12"/>
      <color rgb="FFFF0000"/>
      <name val="Trebuchet MS"/>
      <family val="2"/>
    </font>
    <font>
      <b/>
      <i/>
      <sz val="12"/>
      <color indexed="12"/>
      <name val="Trebuchet MS"/>
      <family val="2"/>
    </font>
    <font>
      <b/>
      <i/>
      <sz val="10"/>
      <name val="Arial"/>
      <family val="2"/>
    </font>
    <font>
      <b/>
      <i/>
      <sz val="20"/>
      <color rgb="FF9900CC"/>
      <name val="Calibri"/>
      <family val="2"/>
      <scheme val="minor"/>
    </font>
    <font>
      <b/>
      <i/>
      <sz val="20"/>
      <color theme="5" tint="-0.249977111117893"/>
      <name val="Calibri"/>
      <family val="2"/>
      <scheme val="minor"/>
    </font>
    <font>
      <b/>
      <i/>
      <sz val="18"/>
      <name val="Trebuchet MS"/>
      <family val="2"/>
    </font>
    <font>
      <b/>
      <i/>
      <sz val="20"/>
      <name val="Arial"/>
      <family val="2"/>
    </font>
    <font>
      <b/>
      <i/>
      <sz val="22"/>
      <name val="Trebuchet MS"/>
      <family val="2"/>
    </font>
    <font>
      <b/>
      <i/>
      <sz val="36"/>
      <name val="Arial"/>
      <family val="2"/>
    </font>
    <font>
      <b/>
      <sz val="22"/>
      <name val="Trebuchet MS"/>
      <family val="2"/>
    </font>
    <font>
      <b/>
      <sz val="24"/>
      <name val="Trebuchet MS"/>
      <family val="2"/>
    </font>
    <font>
      <b/>
      <sz val="28"/>
      <name val="Trebuchet MS"/>
      <family val="2"/>
    </font>
    <font>
      <b/>
      <i/>
      <sz val="16"/>
      <name val="Cambria"/>
      <family val="1"/>
      <scheme val="major"/>
    </font>
    <font>
      <b/>
      <i/>
      <sz val="18"/>
      <name val="Cambria"/>
      <family val="1"/>
      <scheme val="major"/>
    </font>
    <font>
      <b/>
      <i/>
      <sz val="14"/>
      <color rgb="FFFF0000"/>
      <name val="Cambria"/>
      <family val="1"/>
      <scheme val="major"/>
    </font>
    <font>
      <b/>
      <sz val="7"/>
      <name val="Arial"/>
      <family val="2"/>
    </font>
    <font>
      <b/>
      <sz val="12"/>
      <name val="Calibri"/>
      <family val="2"/>
      <scheme val="minor"/>
    </font>
    <font>
      <b/>
      <i/>
      <u/>
      <sz val="16"/>
      <color rgb="FFFF0000"/>
      <name val="Cambria"/>
      <family val="1"/>
      <scheme val="major"/>
    </font>
    <font>
      <b/>
      <i/>
      <u/>
      <sz val="16"/>
      <color rgb="FF0000FF"/>
      <name val="Cambria"/>
      <family val="1"/>
      <scheme val="major"/>
    </font>
    <font>
      <b/>
      <sz val="14"/>
      <name val="Tw Cen MT Condensed Extra Bold"/>
      <family val="2"/>
    </font>
    <font>
      <b/>
      <u/>
      <sz val="18"/>
      <color theme="8" tint="-0.249977111117893"/>
      <name val="Cambria"/>
      <family val="1"/>
      <scheme val="major"/>
    </font>
    <font>
      <b/>
      <i/>
      <u/>
      <sz val="18"/>
      <color rgb="FF0000FF"/>
      <name val="Cambria"/>
      <family val="1"/>
      <scheme val="major"/>
    </font>
    <font>
      <b/>
      <u/>
      <sz val="18"/>
      <color theme="1"/>
      <name val="Cambria"/>
      <family val="1"/>
      <scheme val="major"/>
    </font>
    <font>
      <b/>
      <u/>
      <sz val="18"/>
      <color rgb="FF0000FF"/>
      <name val="Cambria"/>
      <family val="1"/>
      <scheme val="major"/>
    </font>
    <font>
      <b/>
      <i/>
      <sz val="18"/>
      <color theme="1"/>
      <name val="Cambria"/>
      <family val="1"/>
      <scheme val="major"/>
    </font>
    <font>
      <b/>
      <i/>
      <sz val="10"/>
      <name val="Cambria"/>
      <family val="1"/>
      <scheme val="major"/>
    </font>
    <font>
      <sz val="11"/>
      <color rgb="FFFF00FF"/>
      <name val="Cambria"/>
      <family val="1"/>
      <scheme val="major"/>
    </font>
    <font>
      <b/>
      <i/>
      <sz val="9"/>
      <color indexed="81"/>
      <name val="Tahoma"/>
      <family val="2"/>
    </font>
    <font>
      <sz val="9"/>
      <name val="Arial Unicode MS"/>
      <family val="2"/>
    </font>
    <font>
      <b/>
      <sz val="10"/>
      <color theme="1" tint="0.499984740745262"/>
      <name val="Cambria"/>
      <family val="1"/>
      <scheme val="major"/>
    </font>
    <font>
      <b/>
      <sz val="12"/>
      <color theme="0" tint="-4.9989318521683403E-2"/>
      <name val="Arial"/>
      <family val="2"/>
    </font>
    <font>
      <sz val="9"/>
      <color theme="0" tint="-4.9989318521683403E-2"/>
      <name val="Arial"/>
      <family val="2"/>
    </font>
    <font>
      <sz val="9"/>
      <color indexed="81"/>
      <name val="Tahoma"/>
      <charset val="1"/>
    </font>
    <font>
      <b/>
      <sz val="9"/>
      <color indexed="81"/>
      <name val="Tahoma"/>
      <charset val="1"/>
    </font>
    <font>
      <b/>
      <i/>
      <sz val="10"/>
      <color rgb="FFFF0000"/>
      <name val="Arial"/>
      <family val="2"/>
    </font>
    <font>
      <sz val="10"/>
      <color rgb="FFFF00FF"/>
      <name val="Cambria"/>
      <family val="1"/>
      <scheme val="major"/>
    </font>
    <font>
      <sz val="10"/>
      <color theme="1"/>
      <name val="Cambria"/>
      <family val="1"/>
      <scheme val="major"/>
    </font>
    <font>
      <sz val="11"/>
      <color rgb="FFFF0000"/>
      <name val="Calibri"/>
      <family val="2"/>
      <scheme val="minor"/>
    </font>
    <font>
      <b/>
      <sz val="10"/>
      <color rgb="FFFF0000"/>
      <name val="Arial"/>
      <family val="2"/>
    </font>
  </fonts>
  <fills count="37">
    <fill>
      <patternFill patternType="none"/>
    </fill>
    <fill>
      <patternFill patternType="gray125"/>
    </fill>
    <fill>
      <patternFill patternType="solid">
        <fgColor indexed="9"/>
        <bgColor indexed="64"/>
      </patternFill>
    </fill>
    <fill>
      <patternFill patternType="solid">
        <fgColor theme="8"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0" tint="-0.14999847407452621"/>
        <bgColor indexed="64"/>
      </patternFill>
    </fill>
    <fill>
      <patternFill patternType="gray125">
        <bgColor rgb="FF66FF99"/>
      </patternFill>
    </fill>
    <fill>
      <patternFill patternType="solid">
        <fgColor rgb="FF99FF66"/>
        <bgColor indexed="64"/>
      </patternFill>
    </fill>
    <fill>
      <patternFill patternType="solid">
        <fgColor rgb="FFFFC000"/>
        <bgColor indexed="64"/>
      </patternFill>
    </fill>
    <fill>
      <patternFill patternType="solid">
        <fgColor rgb="FFFFFF00"/>
        <bgColor indexed="64"/>
      </patternFill>
    </fill>
    <fill>
      <patternFill patternType="solid">
        <fgColor rgb="FFFFFF66"/>
        <bgColor indexed="64"/>
      </patternFill>
    </fill>
    <fill>
      <patternFill patternType="gray125">
        <bgColor rgb="FFCC99FF"/>
      </patternFill>
    </fill>
    <fill>
      <patternFill patternType="solid">
        <fgColor rgb="FFFFCC99"/>
        <bgColor indexed="64"/>
      </patternFill>
    </fill>
    <fill>
      <patternFill patternType="gray125">
        <bgColor rgb="FFFFFF00"/>
      </patternFill>
    </fill>
    <fill>
      <patternFill patternType="solid">
        <fgColor rgb="FF00FFFF"/>
        <bgColor indexed="64"/>
      </patternFill>
    </fill>
    <fill>
      <patternFill patternType="solid">
        <fgColor rgb="FFFF0000"/>
        <bgColor indexed="64"/>
      </patternFill>
    </fill>
    <fill>
      <patternFill patternType="solid">
        <fgColor rgb="FFFF99CC"/>
        <bgColor indexed="64"/>
      </patternFill>
    </fill>
    <fill>
      <patternFill patternType="solid">
        <fgColor rgb="FFCC99FF"/>
        <bgColor indexed="64"/>
      </patternFill>
    </fill>
    <fill>
      <patternFill patternType="solid">
        <fgColor rgb="FFCCFF66"/>
        <bgColor indexed="64"/>
      </patternFill>
    </fill>
    <fill>
      <patternFill patternType="gray125">
        <bgColor rgb="FFFFFF66"/>
      </patternFill>
    </fill>
    <fill>
      <patternFill patternType="solid">
        <fgColor rgb="FF99CCFF"/>
        <bgColor indexed="64"/>
      </patternFill>
    </fill>
    <fill>
      <patternFill patternType="solid">
        <fgColor theme="4" tint="0.39997558519241921"/>
        <bgColor indexed="64"/>
      </patternFill>
    </fill>
    <fill>
      <patternFill patternType="gray125">
        <bgColor theme="4" tint="0.39997558519241921"/>
      </patternFill>
    </fill>
    <fill>
      <patternFill patternType="gray125">
        <bgColor rgb="FFCCFF66"/>
      </patternFill>
    </fill>
    <fill>
      <patternFill patternType="solid">
        <fgColor theme="9" tint="-0.249977111117893"/>
        <bgColor indexed="64"/>
      </patternFill>
    </fill>
    <fill>
      <patternFill patternType="gray125">
        <bgColor rgb="FF99FF66"/>
      </patternFill>
    </fill>
    <fill>
      <patternFill patternType="gray125">
        <bgColor rgb="FFFFCC99"/>
      </patternFill>
    </fill>
    <fill>
      <patternFill patternType="solid">
        <fgColor rgb="FFFFCCFF"/>
        <bgColor indexed="64"/>
      </patternFill>
    </fill>
    <fill>
      <patternFill patternType="solid">
        <fgColor rgb="FFCCFF99"/>
        <bgColor indexed="64"/>
      </patternFill>
    </fill>
    <fill>
      <patternFill patternType="solid">
        <fgColor rgb="FFFFFF99"/>
        <bgColor indexed="64"/>
      </patternFill>
    </fill>
    <fill>
      <patternFill patternType="solid">
        <fgColor theme="4" tint="0.79998168889431442"/>
        <bgColor indexed="65"/>
      </patternFill>
    </fill>
    <fill>
      <patternFill patternType="solid">
        <fgColor rgb="FFF9C06B"/>
        <bgColor indexed="64"/>
      </patternFill>
    </fill>
    <fill>
      <patternFill patternType="solid">
        <fgColor rgb="FF92D050"/>
        <bgColor indexed="64"/>
      </patternFill>
    </fill>
    <fill>
      <patternFill patternType="gray125">
        <bgColor rgb="FFFF99CC"/>
      </patternFill>
    </fill>
    <fill>
      <patternFill patternType="solid">
        <fgColor theme="5" tint="0.79998168889431442"/>
        <bgColor indexed="64"/>
      </patternFill>
    </fill>
    <fill>
      <patternFill patternType="solid">
        <fgColor theme="9" tint="0.79998168889431442"/>
        <bgColor indexed="64"/>
      </patternFill>
    </fill>
  </fills>
  <borders count="209">
    <border>
      <left/>
      <right/>
      <top/>
      <bottom/>
      <diagonal/>
    </border>
    <border>
      <left/>
      <right/>
      <top/>
      <bottom style="medium">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thin">
        <color indexed="64"/>
      </right>
      <top style="medium">
        <color indexed="64"/>
      </top>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medium">
        <color indexed="64"/>
      </right>
      <top style="thin">
        <color indexed="64"/>
      </top>
      <bottom/>
      <diagonal/>
    </border>
    <border>
      <left/>
      <right/>
      <top style="thin">
        <color indexed="64"/>
      </top>
      <bottom style="thin">
        <color indexed="64"/>
      </bottom>
      <diagonal/>
    </border>
    <border>
      <left/>
      <right/>
      <top style="thin">
        <color indexed="64"/>
      </top>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top/>
      <bottom style="medium">
        <color indexed="64"/>
      </bottom>
      <diagonal/>
    </border>
    <border>
      <left/>
      <right/>
      <top/>
      <bottom style="thin">
        <color indexed="64"/>
      </bottom>
      <diagonal/>
    </border>
    <border>
      <left style="medium">
        <color indexed="64"/>
      </left>
      <right style="medium">
        <color indexed="64"/>
      </right>
      <top style="medium">
        <color indexed="64"/>
      </top>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16"/>
      </left>
      <right style="medium">
        <color indexed="16"/>
      </right>
      <top style="medium">
        <color indexed="16"/>
      </top>
      <bottom style="medium">
        <color indexed="16"/>
      </bottom>
      <diagonal/>
    </border>
    <border>
      <left/>
      <right style="thin">
        <color indexed="64"/>
      </right>
      <top style="thin">
        <color indexed="64"/>
      </top>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bottom style="thin">
        <color indexed="64"/>
      </bottom>
      <diagonal/>
    </border>
    <border>
      <left style="medium">
        <color indexed="64"/>
      </left>
      <right style="medium">
        <color indexed="64"/>
      </right>
      <top/>
      <bottom style="dotted">
        <color indexed="64"/>
      </bottom>
      <diagonal/>
    </border>
    <border>
      <left/>
      <right style="medium">
        <color indexed="64"/>
      </right>
      <top style="medium">
        <color indexed="64"/>
      </top>
      <bottom style="dotted">
        <color indexed="64"/>
      </bottom>
      <diagonal/>
    </border>
    <border>
      <left style="medium">
        <color indexed="64"/>
      </left>
      <right style="medium">
        <color indexed="64"/>
      </right>
      <top style="dotted">
        <color indexed="64"/>
      </top>
      <bottom style="dotted">
        <color indexed="64"/>
      </bottom>
      <diagonal/>
    </border>
    <border>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thin">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double">
        <color indexed="64"/>
      </bottom>
      <diagonal/>
    </border>
    <border>
      <left/>
      <right style="thin">
        <color indexed="64"/>
      </right>
      <top style="double">
        <color indexed="64"/>
      </top>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right/>
      <top style="thin">
        <color indexed="64"/>
      </top>
      <bottom style="double">
        <color indexed="64"/>
      </bottom>
      <diagonal/>
    </border>
    <border>
      <left/>
      <right/>
      <top style="medium">
        <color indexed="64"/>
      </top>
      <bottom style="thin">
        <color indexed="64"/>
      </bottom>
      <diagonal/>
    </border>
    <border>
      <left style="thin">
        <color indexed="64"/>
      </left>
      <right/>
      <top style="thin">
        <color indexed="64"/>
      </top>
      <bottom style="double">
        <color indexed="64"/>
      </bottom>
      <diagonal/>
    </border>
    <border>
      <left style="medium">
        <color indexed="16"/>
      </left>
      <right style="medium">
        <color indexed="16"/>
      </right>
      <top style="thin">
        <color indexed="64"/>
      </top>
      <bottom style="thin">
        <color indexed="64"/>
      </bottom>
      <diagonal/>
    </border>
    <border>
      <left style="medium">
        <color indexed="16"/>
      </left>
      <right style="medium">
        <color indexed="16"/>
      </right>
      <top style="thin">
        <color indexed="64"/>
      </top>
      <bottom/>
      <diagonal/>
    </border>
    <border>
      <left/>
      <right/>
      <top style="medium">
        <color indexed="16"/>
      </top>
      <bottom/>
      <diagonal/>
    </border>
    <border>
      <left style="medium">
        <color indexed="64"/>
      </left>
      <right style="thin">
        <color indexed="64"/>
      </right>
      <top/>
      <bottom/>
      <diagonal/>
    </border>
    <border>
      <left/>
      <right style="medium">
        <color indexed="64"/>
      </right>
      <top style="thin">
        <color indexed="64"/>
      </top>
      <bottom style="double">
        <color indexed="64"/>
      </bottom>
      <diagonal/>
    </border>
    <border>
      <left/>
      <right style="thin">
        <color indexed="64"/>
      </right>
      <top style="thin">
        <color indexed="64"/>
      </top>
      <bottom style="double">
        <color indexed="64"/>
      </bottom>
      <diagonal/>
    </border>
    <border>
      <left/>
      <right style="medium">
        <color indexed="64"/>
      </right>
      <top style="double">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thin">
        <color indexed="64"/>
      </left>
      <right/>
      <top style="dotted">
        <color indexed="64"/>
      </top>
      <bottom style="double">
        <color indexed="64"/>
      </bottom>
      <diagonal/>
    </border>
    <border>
      <left/>
      <right style="thin">
        <color indexed="64"/>
      </right>
      <top style="dotted">
        <color indexed="64"/>
      </top>
      <bottom style="double">
        <color indexed="64"/>
      </bottom>
      <diagonal/>
    </border>
    <border>
      <left/>
      <right/>
      <top style="dotted">
        <color indexed="64"/>
      </top>
      <bottom style="double">
        <color indexed="64"/>
      </bottom>
      <diagonal/>
    </border>
    <border>
      <left/>
      <right style="thin">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bottom style="double">
        <color indexed="64"/>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
      <left/>
      <right style="thin">
        <color theme="9" tint="-0.249977111117893"/>
      </right>
      <top/>
      <bottom/>
      <diagonal/>
    </border>
    <border>
      <left/>
      <right style="thin">
        <color theme="9" tint="-0.249977111117893"/>
      </right>
      <top/>
      <bottom style="thin">
        <color rgb="FF6600FF"/>
      </bottom>
      <diagonal/>
    </border>
    <border>
      <left style="thin">
        <color theme="9" tint="-0.249977111117893"/>
      </left>
      <right/>
      <top/>
      <bottom/>
      <diagonal/>
    </border>
    <border>
      <left style="thin">
        <color rgb="FF6600FF"/>
      </left>
      <right style="thin">
        <color theme="9" tint="-0.249977111117893"/>
      </right>
      <top/>
      <bottom style="thin">
        <color rgb="FF6600FF"/>
      </bottom>
      <diagonal/>
    </border>
    <border>
      <left/>
      <right/>
      <top/>
      <bottom style="thin">
        <color rgb="FF6600FF"/>
      </bottom>
      <diagonal/>
    </border>
    <border>
      <left/>
      <right style="thin">
        <color rgb="FF6600FF"/>
      </right>
      <top style="thin">
        <color rgb="FF6600FF"/>
      </top>
      <bottom style="thin">
        <color rgb="FF6600FF"/>
      </bottom>
      <diagonal/>
    </border>
    <border>
      <left/>
      <right/>
      <top style="thin">
        <color rgb="FF6600FF"/>
      </top>
      <bottom style="thin">
        <color rgb="FF6600FF"/>
      </bottom>
      <diagonal/>
    </border>
    <border>
      <left/>
      <right style="thin">
        <color rgb="FF6600FF"/>
      </right>
      <top/>
      <bottom style="thin">
        <color rgb="FF6600FF"/>
      </bottom>
      <diagonal/>
    </border>
    <border>
      <left style="thin">
        <color rgb="FF6600FF"/>
      </left>
      <right style="medium">
        <color rgb="FF6600FF"/>
      </right>
      <top style="thin">
        <color rgb="FF6600FF"/>
      </top>
      <bottom style="thin">
        <color rgb="FF6600FF"/>
      </bottom>
      <diagonal/>
    </border>
    <border>
      <left style="medium">
        <color rgb="FF6600FF"/>
      </left>
      <right style="medium">
        <color rgb="FF6600FF"/>
      </right>
      <top style="thin">
        <color rgb="FF6600FF"/>
      </top>
      <bottom style="thin">
        <color rgb="FF6600FF"/>
      </bottom>
      <diagonal/>
    </border>
    <border>
      <left style="medium">
        <color rgb="FF6600FF"/>
      </left>
      <right style="medium">
        <color rgb="FF6600FF"/>
      </right>
      <top/>
      <bottom style="thin">
        <color rgb="FF6600FF"/>
      </bottom>
      <diagonal/>
    </border>
    <border>
      <left/>
      <right style="medium">
        <color rgb="FF6600FF"/>
      </right>
      <top style="thin">
        <color rgb="FF6600FF"/>
      </top>
      <bottom style="thin">
        <color rgb="FF6600FF"/>
      </bottom>
      <diagonal/>
    </border>
    <border>
      <left style="thin">
        <color theme="9" tint="-0.249977111117893"/>
      </left>
      <right style="medium">
        <color rgb="FF6600FF"/>
      </right>
      <top/>
      <bottom style="thin">
        <color rgb="FF6600FF"/>
      </bottom>
      <diagonal/>
    </border>
    <border>
      <left/>
      <right style="medium">
        <color rgb="FF6600FF"/>
      </right>
      <top/>
      <bottom style="thin">
        <color rgb="FF6600FF"/>
      </bottom>
      <diagonal/>
    </border>
    <border>
      <left style="medium">
        <color rgb="FF6600FF"/>
      </left>
      <right style="medium">
        <color rgb="FF6600FF"/>
      </right>
      <top style="thin">
        <color rgb="FF6600FF"/>
      </top>
      <bottom style="medium">
        <color rgb="FF6600FF"/>
      </bottom>
      <diagonal/>
    </border>
    <border>
      <left style="medium">
        <color rgb="FF6600FF"/>
      </left>
      <right style="thin">
        <color rgb="FF6600FF"/>
      </right>
      <top style="thin">
        <color rgb="FF6600FF"/>
      </top>
      <bottom style="medium">
        <color rgb="FF6600FF"/>
      </bottom>
      <diagonal/>
    </border>
    <border>
      <left style="thin">
        <color rgb="FF6600FF"/>
      </left>
      <right style="medium">
        <color rgb="FF6600FF"/>
      </right>
      <top style="thin">
        <color rgb="FF6600FF"/>
      </top>
      <bottom style="medium">
        <color rgb="FF6600FF"/>
      </bottom>
      <diagonal/>
    </border>
    <border>
      <left/>
      <right style="medium">
        <color rgb="FF6600FF"/>
      </right>
      <top style="thin">
        <color rgb="FF6600FF"/>
      </top>
      <bottom style="medium">
        <color rgb="FF6600FF"/>
      </bottom>
      <diagonal/>
    </border>
    <border>
      <left/>
      <right style="thin">
        <color theme="9" tint="-0.249977111117893"/>
      </right>
      <top style="thin">
        <color rgb="FF6600FF"/>
      </top>
      <bottom style="medium">
        <color rgb="FF6600FF"/>
      </bottom>
      <diagonal/>
    </border>
    <border>
      <left style="thin">
        <color theme="9" tint="-0.249977111117893"/>
      </left>
      <right style="medium">
        <color rgb="FF6600FF"/>
      </right>
      <top style="thin">
        <color rgb="FF6600FF"/>
      </top>
      <bottom style="medium">
        <color rgb="FF6600FF"/>
      </bottom>
      <diagonal/>
    </border>
    <border>
      <left style="thin">
        <color rgb="FF6600FF"/>
      </left>
      <right style="thin">
        <color theme="9" tint="-0.249977111117893"/>
      </right>
      <top style="thin">
        <color rgb="FF6600FF"/>
      </top>
      <bottom style="medium">
        <color rgb="FF6600FF"/>
      </bottom>
      <diagonal/>
    </border>
    <border>
      <left style="medium">
        <color rgb="FF6600FF"/>
      </left>
      <right/>
      <top style="thin">
        <color rgb="FF6600FF"/>
      </top>
      <bottom style="medium">
        <color rgb="FF6600FF"/>
      </bottom>
      <diagonal/>
    </border>
    <border>
      <left/>
      <right/>
      <top style="thin">
        <color rgb="FF6600FF"/>
      </top>
      <bottom style="medium">
        <color rgb="FF6600FF"/>
      </bottom>
      <diagonal/>
    </border>
    <border>
      <left/>
      <right style="medium">
        <color rgb="FF6600FF"/>
      </right>
      <top/>
      <bottom/>
      <diagonal/>
    </border>
    <border>
      <left/>
      <right style="thin">
        <color rgb="FF6600FF"/>
      </right>
      <top style="thin">
        <color rgb="FF6600FF"/>
      </top>
      <bottom style="medium">
        <color rgb="FF6600FF"/>
      </bottom>
      <diagonal/>
    </border>
    <border>
      <left/>
      <right style="thin">
        <color theme="9" tint="-0.249977111117893"/>
      </right>
      <top/>
      <bottom style="medium">
        <color rgb="FF6600FF"/>
      </bottom>
      <diagonal/>
    </border>
    <border>
      <left style="medium">
        <color rgb="FF6600FF"/>
      </left>
      <right style="thin">
        <color rgb="FF6600FF"/>
      </right>
      <top/>
      <bottom style="medium">
        <color rgb="FF6600FF"/>
      </bottom>
      <diagonal/>
    </border>
    <border>
      <left style="medium">
        <color rgb="FF6600FF"/>
      </left>
      <right style="thin">
        <color rgb="FF6600FF"/>
      </right>
      <top/>
      <bottom style="thin">
        <color rgb="FF6600FF"/>
      </bottom>
      <diagonal/>
    </border>
    <border>
      <left style="medium">
        <color rgb="FF6600FF"/>
      </left>
      <right/>
      <top style="thin">
        <color rgb="FF6600FF"/>
      </top>
      <bottom style="thin">
        <color rgb="FF6600FF"/>
      </bottom>
      <diagonal/>
    </border>
    <border>
      <left/>
      <right style="thin">
        <color rgb="FF6600FF"/>
      </right>
      <top/>
      <bottom/>
      <diagonal/>
    </border>
    <border>
      <left style="medium">
        <color rgb="FF6600FF"/>
      </left>
      <right/>
      <top/>
      <bottom/>
      <diagonal/>
    </border>
    <border>
      <left/>
      <right/>
      <top style="hair">
        <color indexed="64"/>
      </top>
      <bottom/>
      <diagonal/>
    </border>
    <border>
      <left style="medium">
        <color indexed="64"/>
      </left>
      <right/>
      <top style="thin">
        <color indexed="64"/>
      </top>
      <bottom/>
      <diagonal/>
    </border>
    <border>
      <left/>
      <right style="thin">
        <color indexed="64"/>
      </right>
      <top/>
      <bottom style="medium">
        <color indexed="64"/>
      </bottom>
      <diagonal/>
    </border>
    <border>
      <left/>
      <right/>
      <top style="medium">
        <color rgb="FFFF0000"/>
      </top>
      <bottom style="medium">
        <color rgb="FFFF0000"/>
      </bottom>
      <diagonal/>
    </border>
    <border>
      <left/>
      <right style="medium">
        <color indexed="16"/>
      </right>
      <top style="medium">
        <color rgb="FFFF0000"/>
      </top>
      <bottom style="medium">
        <color rgb="FFFF0000"/>
      </bottom>
      <diagonal/>
    </border>
    <border>
      <left style="thin">
        <color indexed="64"/>
      </left>
      <right style="medium">
        <color rgb="FFFF0000"/>
      </right>
      <top style="medium">
        <color rgb="FFFF0000"/>
      </top>
      <bottom/>
      <diagonal/>
    </border>
    <border>
      <left/>
      <right style="medium">
        <color rgb="FFFF0000"/>
      </right>
      <top/>
      <bottom/>
      <diagonal/>
    </border>
    <border>
      <left style="thin">
        <color indexed="64"/>
      </left>
      <right style="medium">
        <color rgb="FFFF0000"/>
      </right>
      <top style="thin">
        <color indexed="64"/>
      </top>
      <bottom style="thin">
        <color indexed="64"/>
      </bottom>
      <diagonal/>
    </border>
    <border>
      <left style="thin">
        <color indexed="64"/>
      </left>
      <right style="medium">
        <color rgb="FFFF0000"/>
      </right>
      <top style="thin">
        <color indexed="64"/>
      </top>
      <bottom/>
      <diagonal/>
    </border>
    <border>
      <left style="medium">
        <color rgb="FFFF0000"/>
      </left>
      <right style="medium">
        <color rgb="FFFF0000"/>
      </right>
      <top style="medium">
        <color rgb="FFFF0000"/>
      </top>
      <bottom style="medium">
        <color rgb="FFFF0000"/>
      </bottom>
      <diagonal/>
    </border>
    <border>
      <left style="thick">
        <color theme="9" tint="-0.499984740745262"/>
      </left>
      <right style="thick">
        <color theme="9" tint="-0.499984740745262"/>
      </right>
      <top/>
      <bottom style="thick">
        <color theme="9" tint="-0.499984740745262"/>
      </bottom>
      <diagonal/>
    </border>
    <border>
      <left style="medium">
        <color rgb="FFFF0000"/>
      </left>
      <right style="medium">
        <color indexed="16"/>
      </right>
      <top style="medium">
        <color rgb="FFFF0000"/>
      </top>
      <bottom style="medium">
        <color rgb="FFFF0000"/>
      </bottom>
      <diagonal/>
    </border>
    <border>
      <left style="thin">
        <color indexed="64"/>
      </left>
      <right style="thin">
        <color indexed="64"/>
      </right>
      <top style="medium">
        <color rgb="FFFF0000"/>
      </top>
      <bottom style="medium">
        <color rgb="FFFF0000"/>
      </bottom>
      <diagonal/>
    </border>
    <border>
      <left style="thin">
        <color indexed="64"/>
      </left>
      <right style="medium">
        <color rgb="FFFF0000"/>
      </right>
      <top style="medium">
        <color rgb="FFFF0000"/>
      </top>
      <bottom style="medium">
        <color rgb="FFFF0000"/>
      </bottom>
      <diagonal/>
    </border>
    <border>
      <left/>
      <right style="thin">
        <color indexed="64"/>
      </right>
      <top style="medium">
        <color rgb="FFFF0000"/>
      </top>
      <bottom style="medium">
        <color rgb="FFFF0000"/>
      </bottom>
      <diagonal/>
    </border>
    <border>
      <left style="thin">
        <color indexed="64"/>
      </left>
      <right/>
      <top style="medium">
        <color rgb="FFFF0000"/>
      </top>
      <bottom style="medium">
        <color rgb="FFFF0000"/>
      </bottom>
      <diagonal/>
    </border>
    <border>
      <left style="medium">
        <color indexed="16"/>
      </left>
      <right style="medium">
        <color rgb="FFFF0000"/>
      </right>
      <top style="medium">
        <color rgb="FFFF0000"/>
      </top>
      <bottom style="medium">
        <color rgb="FFFF0000"/>
      </bottom>
      <diagonal/>
    </border>
    <border>
      <left style="medium">
        <color indexed="16"/>
      </left>
      <right style="medium">
        <color rgb="FFFF0000"/>
      </right>
      <top style="thin">
        <color indexed="64"/>
      </top>
      <bottom style="thin">
        <color indexed="64"/>
      </bottom>
      <diagonal/>
    </border>
    <border>
      <left style="medium">
        <color indexed="16"/>
      </left>
      <right style="medium">
        <color rgb="FFFF0000"/>
      </right>
      <top style="thin">
        <color indexed="64"/>
      </top>
      <bottom style="medium">
        <color rgb="FFFF0000"/>
      </bottom>
      <diagonal/>
    </border>
    <border>
      <left/>
      <right style="medium">
        <color rgb="FFFF0000"/>
      </right>
      <top style="medium">
        <color rgb="FFFF0000"/>
      </top>
      <bottom style="medium">
        <color rgb="FFFF0000"/>
      </bottom>
      <diagonal/>
    </border>
    <border>
      <left style="thin">
        <color indexed="64"/>
      </left>
      <right style="medium">
        <color rgb="FFFF0000"/>
      </right>
      <top/>
      <bottom style="thin">
        <color indexed="64"/>
      </bottom>
      <diagonal/>
    </border>
    <border>
      <left style="thin">
        <color indexed="64"/>
      </left>
      <right style="medium">
        <color rgb="FFFF0000"/>
      </right>
      <top style="thin">
        <color indexed="64"/>
      </top>
      <bottom style="medium">
        <color rgb="FFFF0000"/>
      </bottom>
      <diagonal/>
    </border>
    <border>
      <left style="medium">
        <color rgb="FFFF0000"/>
      </left>
      <right style="medium">
        <color rgb="FFFF0000"/>
      </right>
      <top style="medium">
        <color rgb="FFFF0000"/>
      </top>
      <bottom style="thin">
        <color indexed="64"/>
      </bottom>
      <diagonal/>
    </border>
    <border>
      <left style="medium">
        <color rgb="FFFF0000"/>
      </left>
      <right style="medium">
        <color rgb="FFFF0000"/>
      </right>
      <top style="thin">
        <color indexed="64"/>
      </top>
      <bottom style="thin">
        <color indexed="64"/>
      </bottom>
      <diagonal/>
    </border>
    <border>
      <left style="medium">
        <color rgb="FFFF0000"/>
      </left>
      <right style="medium">
        <color rgb="FFFF0000"/>
      </right>
      <top style="thin">
        <color indexed="64"/>
      </top>
      <bottom/>
      <diagonal/>
    </border>
    <border>
      <left/>
      <right style="medium">
        <color rgb="FFFF0000"/>
      </right>
      <top style="thin">
        <color indexed="64"/>
      </top>
      <bottom style="thin">
        <color indexed="64"/>
      </bottom>
      <diagonal/>
    </border>
    <border>
      <left style="thin">
        <color indexed="64"/>
      </left>
      <right style="medium">
        <color rgb="FFFF0000"/>
      </right>
      <top/>
      <bottom/>
      <diagonal/>
    </border>
    <border>
      <left style="medium">
        <color rgb="FFFF0000"/>
      </left>
      <right style="thin">
        <color indexed="64"/>
      </right>
      <top style="medium">
        <color rgb="FFFF0000"/>
      </top>
      <bottom style="medium">
        <color rgb="FFFF0000"/>
      </bottom>
      <diagonal/>
    </border>
    <border>
      <left style="medium">
        <color indexed="16"/>
      </left>
      <right style="medium">
        <color rgb="FFFF0000"/>
      </right>
      <top style="medium">
        <color rgb="FFFF0000"/>
      </top>
      <bottom/>
      <diagonal/>
    </border>
    <border>
      <left style="medium">
        <color indexed="16"/>
      </left>
      <right style="medium">
        <color indexed="16"/>
      </right>
      <top style="medium">
        <color rgb="FFFF0000"/>
      </top>
      <bottom style="thin">
        <color indexed="64"/>
      </bottom>
      <diagonal/>
    </border>
    <border>
      <left style="medium">
        <color rgb="FFFF0000"/>
      </left>
      <right style="medium">
        <color rgb="FFFF0000"/>
      </right>
      <top style="medium">
        <color rgb="FFFF0000"/>
      </top>
      <bottom/>
      <diagonal/>
    </border>
    <border>
      <left style="medium">
        <color indexed="16"/>
      </left>
      <right/>
      <top style="medium">
        <color rgb="FFFF0000"/>
      </top>
      <bottom/>
      <diagonal/>
    </border>
    <border>
      <left style="medium">
        <color rgb="FFFF0000"/>
      </left>
      <right style="thin">
        <color indexed="64"/>
      </right>
      <top style="medium">
        <color rgb="FFFF0000"/>
      </top>
      <bottom style="medium">
        <color theme="1"/>
      </bottom>
      <diagonal/>
    </border>
    <border>
      <left style="thin">
        <color indexed="64"/>
      </left>
      <right style="medium">
        <color rgb="FFFF0000"/>
      </right>
      <top style="medium">
        <color rgb="FFFF0000"/>
      </top>
      <bottom style="medium">
        <color theme="1"/>
      </bottom>
      <diagonal/>
    </border>
    <border>
      <left style="thin">
        <color indexed="64"/>
      </left>
      <right style="thin">
        <color indexed="64"/>
      </right>
      <top style="medium">
        <color rgb="FFFF0000"/>
      </top>
      <bottom style="medium">
        <color theme="1"/>
      </bottom>
      <diagonal/>
    </border>
    <border>
      <left style="medium">
        <color rgb="FFFF0000"/>
      </left>
      <right style="thin">
        <color indexed="64"/>
      </right>
      <top style="medium">
        <color theme="1"/>
      </top>
      <bottom style="thin">
        <color indexed="64"/>
      </bottom>
      <diagonal/>
    </border>
    <border>
      <left style="medium">
        <color rgb="FFFF0000"/>
      </left>
      <right style="medium">
        <color rgb="FFFF0000"/>
      </right>
      <top style="medium">
        <color theme="1"/>
      </top>
      <bottom style="thin">
        <color indexed="64"/>
      </bottom>
      <diagonal/>
    </border>
    <border>
      <left style="medium">
        <color rgb="FFFF0000"/>
      </left>
      <right/>
      <top style="medium">
        <color rgb="FFFF0000"/>
      </top>
      <bottom/>
      <diagonal/>
    </border>
    <border>
      <left/>
      <right style="medium">
        <color rgb="FFFF0000"/>
      </right>
      <top/>
      <bottom style="thin">
        <color indexed="64"/>
      </bottom>
      <diagonal/>
    </border>
    <border>
      <left style="medium">
        <color rgb="FFFF0000"/>
      </left>
      <right style="medium">
        <color rgb="FFFF0000"/>
      </right>
      <top style="thin">
        <color indexed="64"/>
      </top>
      <bottom style="medium">
        <color theme="1"/>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style="medium">
        <color rgb="FFFF0000"/>
      </left>
      <right style="thin">
        <color theme="1"/>
      </right>
      <top style="thin">
        <color theme="1"/>
      </top>
      <bottom style="thin">
        <color theme="1"/>
      </bottom>
      <diagonal/>
    </border>
    <border>
      <left style="medium">
        <color rgb="FFFF0000"/>
      </left>
      <right style="thin">
        <color indexed="64"/>
      </right>
      <top style="thin">
        <color indexed="64"/>
      </top>
      <bottom style="thin">
        <color indexed="64"/>
      </bottom>
      <diagonal/>
    </border>
    <border>
      <left style="thin">
        <color theme="1"/>
      </left>
      <right style="thin">
        <color theme="1"/>
      </right>
      <top/>
      <bottom style="thin">
        <color theme="1"/>
      </bottom>
      <diagonal/>
    </border>
    <border>
      <left style="thin">
        <color theme="1"/>
      </left>
      <right style="medium">
        <color rgb="FFFF0000"/>
      </right>
      <top style="medium">
        <color theme="1"/>
      </top>
      <bottom style="thin">
        <color theme="1"/>
      </bottom>
      <diagonal/>
    </border>
    <border>
      <left style="medium">
        <color rgb="FFFF0000"/>
      </left>
      <right style="thin">
        <color theme="1"/>
      </right>
      <top style="medium">
        <color theme="1"/>
      </top>
      <bottom style="thin">
        <color theme="1"/>
      </bottom>
      <diagonal/>
    </border>
    <border>
      <left style="medium">
        <color indexed="16"/>
      </left>
      <right style="thin">
        <color theme="1"/>
      </right>
      <top style="medium">
        <color theme="1"/>
      </top>
      <bottom style="thin">
        <color indexed="64"/>
      </bottom>
      <diagonal/>
    </border>
    <border>
      <left style="medium">
        <color rgb="FFFF0000"/>
      </left>
      <right style="thin">
        <color indexed="64"/>
      </right>
      <top/>
      <bottom style="thin">
        <color indexed="64"/>
      </bottom>
      <diagonal/>
    </border>
    <border>
      <left/>
      <right style="medium">
        <color indexed="16"/>
      </right>
      <top/>
      <bottom/>
      <diagonal/>
    </border>
    <border>
      <left style="thin">
        <color indexed="64"/>
      </left>
      <right style="thin">
        <color indexed="64"/>
      </right>
      <top style="double">
        <color indexed="64"/>
      </top>
      <bottom style="double">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double">
        <color indexed="64"/>
      </bottom>
      <diagonal/>
    </border>
    <border>
      <left style="thin">
        <color indexed="64"/>
      </left>
      <right/>
      <top style="medium">
        <color rgb="FFFF0000"/>
      </top>
      <bottom style="thin">
        <color indexed="64"/>
      </bottom>
      <diagonal/>
    </border>
    <border>
      <left/>
      <right/>
      <top style="medium">
        <color rgb="FFFF0000"/>
      </top>
      <bottom/>
      <diagonal/>
    </border>
    <border>
      <left style="thin">
        <color indexed="64"/>
      </left>
      <right/>
      <top style="thin">
        <color indexed="64"/>
      </top>
      <bottom style="medium">
        <color rgb="FFFF0000"/>
      </bottom>
      <diagonal/>
    </border>
    <border>
      <left/>
      <right style="thin">
        <color indexed="64"/>
      </right>
      <top style="medium">
        <color theme="1"/>
      </top>
      <bottom style="thin">
        <color indexed="64"/>
      </bottom>
      <diagonal/>
    </border>
    <border>
      <left/>
      <right style="thin">
        <color indexed="64"/>
      </right>
      <top/>
      <bottom style="medium">
        <color rgb="FFFF0000"/>
      </bottom>
      <diagonal/>
    </border>
    <border>
      <left/>
      <right/>
      <top style="medium">
        <color rgb="FF6600FF"/>
      </top>
      <bottom/>
      <diagonal/>
    </border>
    <border>
      <left style="thin">
        <color rgb="FF6600FF"/>
      </left>
      <right/>
      <top style="thin">
        <color rgb="FF6600FF"/>
      </top>
      <bottom style="medium">
        <color rgb="FF6600FF"/>
      </bottom>
      <diagonal/>
    </border>
    <border>
      <left style="thin">
        <color rgb="FF6600FF"/>
      </left>
      <right/>
      <top style="thin">
        <color rgb="FF6600FF"/>
      </top>
      <bottom style="thin">
        <color rgb="FF6600FF"/>
      </bottom>
      <diagonal/>
    </border>
    <border>
      <left style="thin">
        <color rgb="FF6600FF"/>
      </left>
      <right/>
      <top style="medium">
        <color rgb="FFFF0000"/>
      </top>
      <bottom style="thin">
        <color rgb="FF6600FF"/>
      </bottom>
      <diagonal/>
    </border>
    <border>
      <left/>
      <right style="medium">
        <color rgb="FF6600FF"/>
      </right>
      <top style="medium">
        <color rgb="FFFF0000"/>
      </top>
      <bottom style="thin">
        <color rgb="FF6600FF"/>
      </bottom>
      <diagonal/>
    </border>
    <border>
      <left style="medium">
        <color rgb="FF6600FF"/>
      </left>
      <right/>
      <top style="medium">
        <color rgb="FFFF0000"/>
      </top>
      <bottom style="thin">
        <color rgb="FF6600FF"/>
      </bottom>
      <diagonal/>
    </border>
    <border>
      <left/>
      <right/>
      <top style="medium">
        <color rgb="FFFF0000"/>
      </top>
      <bottom style="thin">
        <color rgb="FF6600FF"/>
      </bottom>
      <diagonal/>
    </border>
    <border>
      <left/>
      <right style="thin">
        <color rgb="FF6600FF"/>
      </right>
      <top style="medium">
        <color rgb="FFFF0000"/>
      </top>
      <bottom style="thin">
        <color rgb="FF6600FF"/>
      </bottom>
      <diagonal/>
    </border>
    <border>
      <left style="medium">
        <color rgb="FFFF0000"/>
      </left>
      <right style="medium">
        <color rgb="FFFF0000"/>
      </right>
      <top/>
      <bottom style="medium">
        <color theme="1"/>
      </bottom>
      <diagonal/>
    </border>
    <border>
      <left/>
      <right style="medium">
        <color rgb="FFFF0000"/>
      </right>
      <top style="medium">
        <color rgb="FFFF0000"/>
      </top>
      <bottom/>
      <diagonal/>
    </border>
    <border>
      <left/>
      <right/>
      <top/>
      <bottom style="medium">
        <color rgb="FFFF0000"/>
      </bottom>
      <diagonal/>
    </border>
    <border>
      <left style="thin">
        <color indexed="64"/>
      </left>
      <right style="medium">
        <color indexed="64"/>
      </right>
      <top style="medium">
        <color indexed="64"/>
      </top>
      <bottom/>
      <diagonal/>
    </border>
    <border>
      <left/>
      <right style="thin">
        <color indexed="64"/>
      </right>
      <top style="medium">
        <color indexed="64"/>
      </top>
      <bottom style="thin">
        <color indexed="64"/>
      </bottom>
      <diagonal/>
    </border>
    <border>
      <left style="thin">
        <color indexed="64"/>
      </left>
      <right style="medium">
        <color indexed="64"/>
      </right>
      <top/>
      <bottom style="medium">
        <color indexed="64"/>
      </bottom>
      <diagonal/>
    </border>
    <border>
      <left style="medium">
        <color rgb="FFFF0000"/>
      </left>
      <right/>
      <top/>
      <bottom/>
      <diagonal/>
    </border>
    <border>
      <left style="thin">
        <color indexed="64"/>
      </left>
      <right style="thin">
        <color indexed="64"/>
      </right>
      <top style="medium">
        <color theme="1"/>
      </top>
      <bottom style="thin">
        <color indexed="64"/>
      </bottom>
      <diagonal/>
    </border>
    <border>
      <left style="thin">
        <color indexed="64"/>
      </left>
      <right style="thin">
        <color indexed="64"/>
      </right>
      <top style="thin">
        <color indexed="64"/>
      </top>
      <bottom style="medium">
        <color rgb="FFFF0000"/>
      </bottom>
      <diagonal/>
    </border>
    <border>
      <left style="medium">
        <color indexed="64"/>
      </left>
      <right/>
      <top style="dotted">
        <color indexed="64"/>
      </top>
      <bottom style="dotted">
        <color indexed="64"/>
      </bottom>
      <diagonal/>
    </border>
    <border>
      <left style="medium">
        <color indexed="64"/>
      </left>
      <right/>
      <top/>
      <bottom style="dotted">
        <color indexed="64"/>
      </bottom>
      <diagonal/>
    </border>
    <border>
      <left/>
      <right style="hair">
        <color indexed="64"/>
      </right>
      <top/>
      <bottom/>
      <diagonal/>
    </border>
    <border>
      <left style="medium">
        <color indexed="64"/>
      </left>
      <right/>
      <top style="medium">
        <color indexed="64"/>
      </top>
      <bottom style="dotted">
        <color indexed="64"/>
      </bottom>
      <diagonal/>
    </border>
  </borders>
  <cellStyleXfs count="7">
    <xf numFmtId="0" fontId="0" fillId="0" borderId="0"/>
    <xf numFmtId="168" fontId="4" fillId="0" borderId="0" applyFont="0" applyFill="0" applyBorder="0" applyAlignment="0" applyProtection="0"/>
    <xf numFmtId="165" fontId="4" fillId="0" borderId="0" applyFont="0" applyFill="0" applyBorder="0" applyAlignment="0" applyProtection="0"/>
    <xf numFmtId="166" fontId="4" fillId="0" borderId="0" applyFont="0" applyFill="0" applyBorder="0" applyAlignment="0" applyProtection="0"/>
    <xf numFmtId="0" fontId="16" fillId="0" borderId="0"/>
    <xf numFmtId="9" fontId="131" fillId="0" borderId="0" applyFont="0" applyFill="0" applyBorder="0" applyAlignment="0" applyProtection="0"/>
    <xf numFmtId="0" fontId="1" fillId="31" borderId="0" applyNumberFormat="0" applyBorder="0" applyAlignment="0" applyProtection="0"/>
  </cellStyleXfs>
  <cellXfs count="2861">
    <xf numFmtId="0" fontId="0" fillId="0" borderId="0" xfId="0"/>
    <xf numFmtId="0" fontId="5" fillId="2" borderId="0" xfId="0" applyFont="1" applyFill="1" applyAlignment="1">
      <alignment horizontal="center"/>
    </xf>
    <xf numFmtId="0" fontId="5" fillId="2" borderId="0" xfId="0" applyFont="1" applyFill="1"/>
    <xf numFmtId="49" fontId="5" fillId="2" borderId="0" xfId="0" applyNumberFormat="1" applyFont="1" applyFill="1" applyAlignment="1">
      <alignment horizontal="center"/>
    </xf>
    <xf numFmtId="0" fontId="10" fillId="2" borderId="0" xfId="0" applyFont="1" applyFill="1" applyAlignment="1">
      <alignment horizontal="center"/>
    </xf>
    <xf numFmtId="0" fontId="9" fillId="2" borderId="0" xfId="0" applyFont="1" applyFill="1" applyAlignment="1">
      <alignment horizontal="center"/>
    </xf>
    <xf numFmtId="0" fontId="0" fillId="2" borderId="0" xfId="0" applyFill="1"/>
    <xf numFmtId="0" fontId="12" fillId="2" borderId="0" xfId="0" applyFont="1" applyFill="1" applyAlignment="1">
      <alignment horizontal="center"/>
    </xf>
    <xf numFmtId="0" fontId="8" fillId="2" borderId="0" xfId="0" applyFont="1" applyFill="1"/>
    <xf numFmtId="49" fontId="9" fillId="2" borderId="0" xfId="0" applyNumberFormat="1" applyFont="1" applyFill="1" applyAlignment="1">
      <alignment horizontal="center"/>
    </xf>
    <xf numFmtId="49" fontId="10" fillId="2" borderId="0" xfId="0" applyNumberFormat="1" applyFont="1" applyFill="1" applyAlignment="1">
      <alignment horizontal="center"/>
    </xf>
    <xf numFmtId="49" fontId="15" fillId="2" borderId="12" xfId="0" applyNumberFormat="1" applyFont="1" applyFill="1" applyBorder="1" applyAlignment="1">
      <alignment horizontal="center"/>
    </xf>
    <xf numFmtId="49" fontId="15" fillId="2" borderId="13" xfId="0" applyNumberFormat="1" applyFont="1" applyFill="1" applyBorder="1" applyAlignment="1">
      <alignment horizontal="center"/>
    </xf>
    <xf numFmtId="0" fontId="15" fillId="0" borderId="3" xfId="0" applyFont="1" applyBorder="1" applyAlignment="1">
      <alignment horizontal="center" vertical="center" wrapText="1"/>
    </xf>
    <xf numFmtId="49" fontId="15" fillId="2" borderId="16" xfId="0" applyNumberFormat="1" applyFont="1" applyFill="1" applyBorder="1" applyAlignment="1">
      <alignment horizontal="center"/>
    </xf>
    <xf numFmtId="49" fontId="14" fillId="2" borderId="20" xfId="0" applyNumberFormat="1" applyFont="1" applyFill="1" applyBorder="1" applyAlignment="1">
      <alignment horizontal="center"/>
    </xf>
    <xf numFmtId="49" fontId="14" fillId="2" borderId="21" xfId="0" applyNumberFormat="1" applyFont="1" applyFill="1" applyBorder="1" applyAlignment="1">
      <alignment horizontal="center"/>
    </xf>
    <xf numFmtId="49" fontId="14" fillId="2" borderId="22" xfId="0" applyNumberFormat="1" applyFont="1" applyFill="1" applyBorder="1" applyAlignment="1">
      <alignment horizontal="center"/>
    </xf>
    <xf numFmtId="166" fontId="14" fillId="2" borderId="24" xfId="3" applyFont="1" applyFill="1" applyBorder="1"/>
    <xf numFmtId="0" fontId="5" fillId="2" borderId="0" xfId="0" applyFont="1" applyFill="1" applyAlignment="1">
      <alignment horizontal="left"/>
    </xf>
    <xf numFmtId="0" fontId="7" fillId="2" borderId="0" xfId="0" applyFont="1" applyFill="1" applyAlignment="1">
      <alignment horizontal="right"/>
    </xf>
    <xf numFmtId="0" fontId="5" fillId="0" borderId="0" xfId="0" applyFont="1"/>
    <xf numFmtId="0" fontId="15" fillId="2" borderId="26" xfId="0" applyFont="1" applyFill="1" applyBorder="1" applyAlignment="1">
      <alignment horizontal="left"/>
    </xf>
    <xf numFmtId="49" fontId="15" fillId="2" borderId="34" xfId="0" applyNumberFormat="1" applyFont="1" applyFill="1" applyBorder="1" applyAlignment="1">
      <alignment horizontal="center"/>
    </xf>
    <xf numFmtId="164" fontId="15" fillId="2" borderId="6" xfId="3" applyNumberFormat="1" applyFont="1" applyFill="1" applyBorder="1" applyAlignment="1">
      <alignment horizontal="right"/>
    </xf>
    <xf numFmtId="164" fontId="15" fillId="2" borderId="3" xfId="3" applyNumberFormat="1" applyFont="1" applyFill="1" applyBorder="1" applyAlignment="1">
      <alignment horizontal="right"/>
    </xf>
    <xf numFmtId="49" fontId="14" fillId="2" borderId="35" xfId="0" applyNumberFormat="1" applyFont="1" applyFill="1" applyBorder="1" applyAlignment="1">
      <alignment horizontal="center"/>
    </xf>
    <xf numFmtId="49" fontId="14" fillId="2" borderId="36" xfId="0" applyNumberFormat="1" applyFont="1" applyFill="1" applyBorder="1" applyAlignment="1">
      <alignment horizontal="center"/>
    </xf>
    <xf numFmtId="0" fontId="15" fillId="2" borderId="38" xfId="0" quotePrefix="1" applyFont="1" applyFill="1" applyBorder="1" applyAlignment="1">
      <alignment horizontal="left"/>
    </xf>
    <xf numFmtId="0" fontId="0" fillId="0" borderId="0" xfId="0" applyAlignment="1">
      <alignment horizontal="center"/>
    </xf>
    <xf numFmtId="49" fontId="0" fillId="0" borderId="0" xfId="0" applyNumberFormat="1"/>
    <xf numFmtId="0" fontId="19" fillId="0" borderId="0" xfId="0" applyFont="1"/>
    <xf numFmtId="0" fontId="11" fillId="0" borderId="0" xfId="0" applyFont="1"/>
    <xf numFmtId="49" fontId="5" fillId="2" borderId="0" xfId="0" applyNumberFormat="1" applyFont="1" applyFill="1"/>
    <xf numFmtId="49" fontId="15" fillId="2" borderId="51" xfId="0" applyNumberFormat="1" applyFont="1" applyFill="1" applyBorder="1" applyAlignment="1">
      <alignment horizontal="center"/>
    </xf>
    <xf numFmtId="0" fontId="0" fillId="0" borderId="0" xfId="0" applyAlignment="1">
      <alignment horizontal="left" vertical="center"/>
    </xf>
    <xf numFmtId="0" fontId="34" fillId="0" borderId="0" xfId="0" applyFont="1"/>
    <xf numFmtId="0" fontId="6" fillId="0" borderId="0" xfId="0" applyFont="1"/>
    <xf numFmtId="0" fontId="22" fillId="0" borderId="0" xfId="0" applyFont="1"/>
    <xf numFmtId="0" fontId="23" fillId="0" borderId="0" xfId="0" applyFont="1"/>
    <xf numFmtId="170" fontId="23" fillId="0" borderId="0" xfId="0" applyNumberFormat="1" applyFont="1"/>
    <xf numFmtId="0" fontId="5" fillId="0" borderId="0" xfId="0" applyFont="1" applyAlignment="1">
      <alignment horizontal="center"/>
    </xf>
    <xf numFmtId="0" fontId="5" fillId="0" borderId="0" xfId="0" quotePrefix="1" applyFont="1" applyAlignment="1">
      <alignment horizontal="left"/>
    </xf>
    <xf numFmtId="0" fontId="5" fillId="0" borderId="44" xfId="0" applyFont="1" applyBorder="1" applyAlignment="1">
      <alignment horizontal="center"/>
    </xf>
    <xf numFmtId="164" fontId="5" fillId="0" borderId="0" xfId="0" applyNumberFormat="1" applyFont="1"/>
    <xf numFmtId="0" fontId="5" fillId="0" borderId="0" xfId="0" quotePrefix="1" applyFont="1" applyAlignment="1">
      <alignment horizontal="center"/>
    </xf>
    <xf numFmtId="164" fontId="5" fillId="0" borderId="0" xfId="0" applyNumberFormat="1" applyFont="1" applyAlignment="1">
      <alignment horizontal="center"/>
    </xf>
    <xf numFmtId="49" fontId="5" fillId="0" borderId="0" xfId="0" applyNumberFormat="1" applyFont="1" applyAlignment="1">
      <alignment horizontal="left"/>
    </xf>
    <xf numFmtId="164" fontId="6" fillId="0" borderId="0" xfId="0" applyNumberFormat="1" applyFont="1" applyAlignment="1">
      <alignment horizontal="center"/>
    </xf>
    <xf numFmtId="0" fontId="6" fillId="0" borderId="0" xfId="0" quotePrefix="1" applyFont="1" applyAlignment="1">
      <alignment horizontal="center"/>
    </xf>
    <xf numFmtId="164" fontId="6" fillId="0" borderId="44" xfId="0" applyNumberFormat="1" applyFont="1" applyBorder="1" applyAlignment="1">
      <alignment horizontal="center"/>
    </xf>
    <xf numFmtId="164" fontId="5" fillId="0" borderId="44" xfId="0" applyNumberFormat="1" applyFont="1" applyBorder="1"/>
    <xf numFmtId="172" fontId="5" fillId="0" borderId="0" xfId="0" applyNumberFormat="1" applyFont="1" applyAlignment="1">
      <alignment horizontal="center"/>
    </xf>
    <xf numFmtId="0" fontId="6" fillId="0" borderId="0" xfId="0" quotePrefix="1" applyFont="1" applyAlignment="1">
      <alignment horizontal="center" vertical="center"/>
    </xf>
    <xf numFmtId="173" fontId="6" fillId="0" borderId="0" xfId="0" quotePrefix="1" applyNumberFormat="1" applyFont="1" applyAlignment="1">
      <alignment horizontal="center" vertical="center"/>
    </xf>
    <xf numFmtId="0" fontId="23" fillId="0" borderId="57" xfId="0" applyFont="1" applyBorder="1" applyAlignment="1">
      <alignment horizontal="left"/>
    </xf>
    <xf numFmtId="0" fontId="23" fillId="0" borderId="59" xfId="0" applyFont="1" applyBorder="1"/>
    <xf numFmtId="0" fontId="23" fillId="0" borderId="57" xfId="0" applyFont="1" applyBorder="1"/>
    <xf numFmtId="0" fontId="23" fillId="0" borderId="57" xfId="0" applyFont="1" applyBorder="1" applyAlignment="1">
      <alignment horizontal="center"/>
    </xf>
    <xf numFmtId="0" fontId="23" fillId="0" borderId="57" xfId="0" quotePrefix="1" applyFont="1" applyBorder="1" applyAlignment="1">
      <alignment horizontal="left"/>
    </xf>
    <xf numFmtId="0" fontId="23" fillId="0" borderId="29" xfId="0" applyFont="1" applyBorder="1"/>
    <xf numFmtId="0" fontId="23" fillId="0" borderId="59" xfId="0" quotePrefix="1" applyFont="1" applyBorder="1" applyAlignment="1">
      <alignment horizontal="left"/>
    </xf>
    <xf numFmtId="0" fontId="23" fillId="0" borderId="0" xfId="0" applyFont="1" applyAlignment="1">
      <alignment horizontal="center"/>
    </xf>
    <xf numFmtId="0" fontId="41" fillId="0" borderId="0" xfId="0" applyFont="1" applyAlignment="1">
      <alignment horizontal="justify" vertical="distributed" wrapText="1"/>
    </xf>
    <xf numFmtId="49" fontId="13" fillId="0" borderId="0" xfId="1" applyNumberFormat="1" applyFont="1" applyFill="1" applyBorder="1" applyAlignment="1">
      <alignment horizontal="left"/>
    </xf>
    <xf numFmtId="4" fontId="13" fillId="0" borderId="0" xfId="1" applyNumberFormat="1" applyFont="1" applyFill="1" applyBorder="1"/>
    <xf numFmtId="0" fontId="5" fillId="0" borderId="1" xfId="0" applyFont="1" applyBorder="1"/>
    <xf numFmtId="0" fontId="33" fillId="0" borderId="0" xfId="0" applyFont="1"/>
    <xf numFmtId="0" fontId="5" fillId="0" borderId="0" xfId="0" applyFont="1" applyAlignment="1">
      <alignment horizontal="justify" vertical="distributed"/>
    </xf>
    <xf numFmtId="0" fontId="5" fillId="0" borderId="0" xfId="0" applyFont="1" applyAlignment="1">
      <alignment horizontal="justify" vertical="distributed" wrapText="1"/>
    </xf>
    <xf numFmtId="0" fontId="5" fillId="0" borderId="44" xfId="0" applyFont="1" applyBorder="1" applyAlignment="1">
      <alignment horizontal="justify" vertical="distributed"/>
    </xf>
    <xf numFmtId="0" fontId="40" fillId="0" borderId="0" xfId="0" applyFont="1" applyAlignment="1">
      <alignment horizontal="justify" vertical="distributed" wrapText="1"/>
    </xf>
    <xf numFmtId="0" fontId="5" fillId="0" borderId="1" xfId="0" quotePrefix="1" applyFont="1" applyBorder="1" applyAlignment="1">
      <alignment horizontal="left"/>
    </xf>
    <xf numFmtId="0" fontId="6" fillId="0" borderId="1" xfId="0" quotePrefix="1" applyFont="1" applyBorder="1" applyAlignment="1">
      <alignment horizontal="left"/>
    </xf>
    <xf numFmtId="0" fontId="6" fillId="0" borderId="1" xfId="0" applyFont="1" applyBorder="1"/>
    <xf numFmtId="0" fontId="6" fillId="0" borderId="1" xfId="0" applyFont="1" applyBorder="1" applyAlignment="1">
      <alignment horizontal="left"/>
    </xf>
    <xf numFmtId="0" fontId="6" fillId="0" borderId="1" xfId="0" quotePrefix="1" applyFont="1" applyBorder="1"/>
    <xf numFmtId="0" fontId="6" fillId="0" borderId="0" xfId="0" quotePrefix="1" applyFont="1"/>
    <xf numFmtId="0" fontId="23" fillId="0" borderId="0" xfId="2" applyNumberFormat="1" applyFont="1" applyFill="1" applyBorder="1" applyAlignment="1">
      <alignment horizontal="center"/>
    </xf>
    <xf numFmtId="0" fontId="16" fillId="0" borderId="0" xfId="0" applyFont="1"/>
    <xf numFmtId="170" fontId="16" fillId="0" borderId="0" xfId="0" applyNumberFormat="1" applyFont="1"/>
    <xf numFmtId="0" fontId="23" fillId="2" borderId="0" xfId="0" applyFont="1" applyFill="1"/>
    <xf numFmtId="0" fontId="23" fillId="2" borderId="0" xfId="0" applyFont="1" applyFill="1" applyAlignment="1">
      <alignment horizontal="left"/>
    </xf>
    <xf numFmtId="0" fontId="23" fillId="2" borderId="0" xfId="0" applyFont="1" applyFill="1" applyAlignment="1" applyProtection="1">
      <alignment horizontal="left"/>
      <protection locked="0"/>
    </xf>
    <xf numFmtId="49" fontId="52" fillId="0" borderId="12" xfId="0" applyNumberFormat="1" applyFont="1" applyBorder="1" applyAlignment="1">
      <alignment horizontal="center"/>
    </xf>
    <xf numFmtId="49" fontId="0" fillId="0" borderId="0" xfId="0" applyNumberFormat="1" applyAlignment="1">
      <alignment horizontal="center"/>
    </xf>
    <xf numFmtId="0" fontId="45" fillId="0" borderId="0" xfId="0" applyFont="1" applyAlignment="1">
      <alignment horizontal="left"/>
    </xf>
    <xf numFmtId="169" fontId="48" fillId="0" borderId="0" xfId="1" applyNumberFormat="1" applyFont="1" applyFill="1" applyBorder="1"/>
    <xf numFmtId="164" fontId="28" fillId="0" borderId="12" xfId="3" applyNumberFormat="1" applyFont="1" applyFill="1" applyBorder="1" applyAlignment="1">
      <alignment horizontal="right"/>
    </xf>
    <xf numFmtId="49" fontId="52" fillId="0" borderId="61" xfId="0" applyNumberFormat="1" applyFont="1" applyBorder="1" applyAlignment="1">
      <alignment horizontal="center"/>
    </xf>
    <xf numFmtId="164" fontId="27" fillId="0" borderId="0" xfId="3" applyNumberFormat="1" applyFont="1" applyFill="1" applyBorder="1" applyAlignment="1">
      <alignment horizontal="right"/>
    </xf>
    <xf numFmtId="169" fontId="0" fillId="0" borderId="0" xfId="0" applyNumberFormat="1"/>
    <xf numFmtId="169" fontId="5" fillId="0" borderId="0" xfId="0" applyNumberFormat="1" applyFont="1"/>
    <xf numFmtId="0" fontId="30" fillId="2" borderId="0" xfId="0" applyFont="1" applyFill="1" applyAlignment="1">
      <alignment horizontal="left"/>
    </xf>
    <xf numFmtId="49" fontId="49" fillId="2" borderId="0" xfId="0" applyNumberFormat="1" applyFont="1" applyFill="1" applyAlignment="1">
      <alignment horizontal="left"/>
    </xf>
    <xf numFmtId="0" fontId="49" fillId="2" borderId="0" xfId="0" applyFont="1" applyFill="1" applyAlignment="1">
      <alignment horizontal="left"/>
    </xf>
    <xf numFmtId="169" fontId="5" fillId="0" borderId="2" xfId="0" applyNumberFormat="1" applyFont="1" applyBorder="1"/>
    <xf numFmtId="169" fontId="5" fillId="0" borderId="24" xfId="0" applyNumberFormat="1" applyFont="1" applyBorder="1"/>
    <xf numFmtId="164" fontId="5" fillId="0" borderId="2" xfId="0" applyNumberFormat="1" applyFont="1" applyBorder="1"/>
    <xf numFmtId="169" fontId="5" fillId="0" borderId="4" xfId="0" applyNumberFormat="1" applyFont="1" applyBorder="1"/>
    <xf numFmtId="169" fontId="5" fillId="0" borderId="6" xfId="0" applyNumberFormat="1" applyFont="1" applyBorder="1"/>
    <xf numFmtId="169" fontId="6" fillId="0" borderId="16" xfId="0" applyNumberFormat="1" applyFont="1" applyBorder="1"/>
    <xf numFmtId="164" fontId="5" fillId="0" borderId="29" xfId="0" applyNumberFormat="1" applyFont="1" applyBorder="1"/>
    <xf numFmtId="0" fontId="5" fillId="0" borderId="2" xfId="0" applyFont="1" applyBorder="1"/>
    <xf numFmtId="164" fontId="5" fillId="0" borderId="65" xfId="0" applyNumberFormat="1" applyFont="1" applyBorder="1"/>
    <xf numFmtId="164" fontId="5" fillId="0" borderId="4" xfId="0" applyNumberFormat="1" applyFont="1" applyBorder="1"/>
    <xf numFmtId="164" fontId="6" fillId="0" borderId="2" xfId="0" applyNumberFormat="1" applyFont="1" applyBorder="1"/>
    <xf numFmtId="169" fontId="6" fillId="0" borderId="2" xfId="0" applyNumberFormat="1" applyFont="1" applyBorder="1"/>
    <xf numFmtId="164" fontId="5" fillId="0" borderId="6" xfId="0" applyNumberFormat="1" applyFont="1" applyBorder="1"/>
    <xf numFmtId="164" fontId="5" fillId="0" borderId="47" xfId="0" applyNumberFormat="1" applyFont="1" applyBorder="1"/>
    <xf numFmtId="0" fontId="5" fillId="0" borderId="47" xfId="0" applyFont="1" applyBorder="1"/>
    <xf numFmtId="169" fontId="5" fillId="0" borderId="47" xfId="0" applyNumberFormat="1" applyFont="1" applyBorder="1"/>
    <xf numFmtId="0" fontId="5" fillId="0" borderId="6" xfId="0" applyFont="1" applyBorder="1"/>
    <xf numFmtId="164" fontId="6" fillId="0" borderId="45" xfId="0" applyNumberFormat="1" applyFont="1" applyBorder="1"/>
    <xf numFmtId="164" fontId="6" fillId="0" borderId="1" xfId="0" applyNumberFormat="1" applyFont="1" applyBorder="1"/>
    <xf numFmtId="0" fontId="5" fillId="0" borderId="24" xfId="0" applyFont="1" applyBorder="1"/>
    <xf numFmtId="164" fontId="6" fillId="0" borderId="44" xfId="0" applyNumberFormat="1" applyFont="1" applyBorder="1"/>
    <xf numFmtId="169" fontId="6" fillId="0" borderId="47" xfId="0" applyNumberFormat="1" applyFont="1" applyBorder="1"/>
    <xf numFmtId="0" fontId="5" fillId="0" borderId="46" xfId="0" applyFont="1" applyBorder="1"/>
    <xf numFmtId="0" fontId="28" fillId="0" borderId="0" xfId="0" applyFont="1"/>
    <xf numFmtId="0" fontId="58" fillId="0" borderId="0" xfId="0" applyFont="1"/>
    <xf numFmtId="0" fontId="13" fillId="0" borderId="57" xfId="0" applyFont="1" applyBorder="1" applyAlignment="1">
      <alignment horizontal="center"/>
    </xf>
    <xf numFmtId="0" fontId="13" fillId="0" borderId="59" xfId="0" applyFont="1" applyBorder="1"/>
    <xf numFmtId="170" fontId="30" fillId="0" borderId="52" xfId="0" applyNumberFormat="1" applyFont="1" applyBorder="1"/>
    <xf numFmtId="0" fontId="5" fillId="0" borderId="45" xfId="0" applyFont="1" applyBorder="1"/>
    <xf numFmtId="0" fontId="5" fillId="0" borderId="2" xfId="0" quotePrefix="1" applyFont="1" applyBorder="1" applyAlignment="1">
      <alignment horizontal="left"/>
    </xf>
    <xf numFmtId="0" fontId="30" fillId="0" borderId="3" xfId="2" applyNumberFormat="1" applyFont="1" applyBorder="1" applyAlignment="1">
      <alignment horizontal="left" vertical="center"/>
    </xf>
    <xf numFmtId="0" fontId="30" fillId="0" borderId="3" xfId="2" applyNumberFormat="1" applyFont="1" applyFill="1" applyBorder="1" applyAlignment="1">
      <alignment horizontal="left" vertical="center"/>
    </xf>
    <xf numFmtId="0" fontId="30" fillId="0" borderId="24" xfId="2" applyNumberFormat="1" applyFont="1" applyBorder="1" applyAlignment="1">
      <alignment horizontal="left" vertical="center"/>
    </xf>
    <xf numFmtId="0" fontId="30" fillId="0" borderId="13" xfId="2" applyNumberFormat="1" applyFont="1" applyBorder="1" applyAlignment="1">
      <alignment horizontal="left" vertical="center"/>
    </xf>
    <xf numFmtId="0" fontId="30" fillId="0" borderId="6" xfId="2" applyNumberFormat="1" applyFont="1" applyBorder="1" applyAlignment="1">
      <alignment horizontal="left" vertical="center"/>
    </xf>
    <xf numFmtId="49" fontId="30" fillId="2" borderId="0" xfId="0" applyNumberFormat="1" applyFont="1" applyFill="1" applyAlignment="1">
      <alignment horizontal="left"/>
    </xf>
    <xf numFmtId="4" fontId="22" fillId="0" borderId="0" xfId="0" applyNumberFormat="1" applyFont="1" applyAlignment="1">
      <alignment horizontal="right" vertical="center"/>
    </xf>
    <xf numFmtId="0" fontId="5" fillId="0" borderId="0" xfId="0" applyFont="1" applyAlignment="1">
      <alignment horizontal="left" wrapText="1"/>
    </xf>
    <xf numFmtId="0" fontId="5" fillId="0" borderId="0" xfId="0" applyFont="1" applyAlignment="1">
      <alignment horizontal="left" wrapText="1" shrinkToFit="1"/>
    </xf>
    <xf numFmtId="0" fontId="6" fillId="0" borderId="0" xfId="0" applyFont="1" applyAlignment="1">
      <alignment horizontal="center"/>
    </xf>
    <xf numFmtId="164" fontId="6" fillId="0" borderId="0" xfId="0" applyNumberFormat="1" applyFont="1"/>
    <xf numFmtId="0" fontId="59" fillId="0" borderId="54" xfId="0" applyFont="1" applyBorder="1" applyAlignment="1">
      <alignment wrapText="1"/>
    </xf>
    <xf numFmtId="0" fontId="60" fillId="0" borderId="0" xfId="0" applyFont="1"/>
    <xf numFmtId="49" fontId="29" fillId="0" borderId="12" xfId="0" applyNumberFormat="1" applyFont="1" applyBorder="1" applyAlignment="1">
      <alignment horizontal="center"/>
    </xf>
    <xf numFmtId="0" fontId="29" fillId="0" borderId="0" xfId="0" applyFont="1"/>
    <xf numFmtId="0" fontId="23" fillId="0" borderId="66" xfId="0" applyFont="1" applyBorder="1" applyAlignment="1">
      <alignment horizontal="center"/>
    </xf>
    <xf numFmtId="0" fontId="62" fillId="0" borderId="0" xfId="0" applyFont="1"/>
    <xf numFmtId="0" fontId="64" fillId="0" borderId="0" xfId="0" applyFont="1"/>
    <xf numFmtId="0" fontId="66" fillId="0" borderId="0" xfId="0" applyFont="1"/>
    <xf numFmtId="0" fontId="67" fillId="0" borderId="0" xfId="0" applyFont="1"/>
    <xf numFmtId="0" fontId="5" fillId="0" borderId="0" xfId="0" applyFont="1" applyAlignment="1">
      <alignment horizontal="center" vertical="center"/>
    </xf>
    <xf numFmtId="0" fontId="0" fillId="0" borderId="0" xfId="0" applyAlignment="1">
      <alignment vertical="center"/>
    </xf>
    <xf numFmtId="49" fontId="16" fillId="0" borderId="12" xfId="1" applyNumberFormat="1" applyFont="1" applyFill="1" applyBorder="1" applyAlignment="1">
      <alignment horizontal="center"/>
    </xf>
    <xf numFmtId="49" fontId="16" fillId="0" borderId="26" xfId="1" applyNumberFormat="1" applyFont="1" applyFill="1" applyBorder="1" applyAlignment="1">
      <alignment horizontal="center"/>
    </xf>
    <xf numFmtId="0" fontId="16" fillId="0" borderId="26" xfId="0" applyFont="1" applyBorder="1" applyAlignment="1">
      <alignment horizontal="center"/>
    </xf>
    <xf numFmtId="49" fontId="16" fillId="0" borderId="12" xfId="1" quotePrefix="1" applyNumberFormat="1" applyFont="1" applyFill="1" applyBorder="1" applyAlignment="1">
      <alignment horizontal="center"/>
    </xf>
    <xf numFmtId="0" fontId="16" fillId="0" borderId="0" xfId="0" applyFont="1" applyAlignment="1">
      <alignment horizontal="center"/>
    </xf>
    <xf numFmtId="49" fontId="16" fillId="0" borderId="0" xfId="1" applyNumberFormat="1" applyFont="1" applyFill="1" applyBorder="1" applyAlignment="1">
      <alignment horizontal="center"/>
    </xf>
    <xf numFmtId="165" fontId="63" fillId="0" borderId="0" xfId="2" applyFont="1" applyFill="1" applyAlignment="1"/>
    <xf numFmtId="165" fontId="18" fillId="0" borderId="0" xfId="2" applyFont="1" applyFill="1" applyAlignment="1" applyProtection="1">
      <protection locked="0"/>
    </xf>
    <xf numFmtId="165" fontId="31" fillId="0" borderId="0" xfId="2" applyFont="1" applyFill="1" applyAlignment="1"/>
    <xf numFmtId="0" fontId="16" fillId="0" borderId="0" xfId="2" applyNumberFormat="1" applyFont="1" applyFill="1" applyBorder="1" applyAlignment="1">
      <alignment horizontal="center"/>
    </xf>
    <xf numFmtId="0" fontId="43" fillId="0" borderId="0" xfId="0" applyFont="1" applyAlignment="1">
      <alignment horizontal="center"/>
    </xf>
    <xf numFmtId="0" fontId="71" fillId="0" borderId="0" xfId="0" applyFont="1"/>
    <xf numFmtId="0" fontId="5" fillId="0" borderId="0" xfId="0" applyFont="1" applyAlignment="1">
      <alignment horizontal="left"/>
    </xf>
    <xf numFmtId="0" fontId="12" fillId="0" borderId="0" xfId="0" applyFont="1" applyAlignment="1">
      <alignment horizontal="center"/>
    </xf>
    <xf numFmtId="0" fontId="72" fillId="0" borderId="0" xfId="0" applyFont="1"/>
    <xf numFmtId="49" fontId="15" fillId="0" borderId="12" xfId="0" applyNumberFormat="1" applyFont="1" applyBorder="1" applyAlignment="1">
      <alignment horizontal="center"/>
    </xf>
    <xf numFmtId="49" fontId="15" fillId="0" borderId="13" xfId="0" applyNumberFormat="1" applyFont="1" applyBorder="1" applyAlignment="1">
      <alignment horizontal="center"/>
    </xf>
    <xf numFmtId="49" fontId="15" fillId="0" borderId="12" xfId="0" quotePrefix="1" applyNumberFormat="1" applyFont="1" applyBorder="1" applyAlignment="1">
      <alignment horizontal="center"/>
    </xf>
    <xf numFmtId="164" fontId="16" fillId="0" borderId="3" xfId="3" applyNumberFormat="1" applyFont="1" applyFill="1" applyBorder="1" applyAlignment="1">
      <alignment horizontal="right"/>
    </xf>
    <xf numFmtId="0" fontId="0" fillId="0" borderId="12" xfId="0" applyBorder="1" applyAlignment="1">
      <alignment horizontal="center"/>
    </xf>
    <xf numFmtId="0" fontId="15" fillId="0" borderId="12" xfId="0" applyFont="1" applyBorder="1" applyAlignment="1">
      <alignment horizontal="center"/>
    </xf>
    <xf numFmtId="0" fontId="16" fillId="0" borderId="12" xfId="0" applyFont="1" applyBorder="1" applyAlignment="1">
      <alignment horizontal="center"/>
    </xf>
    <xf numFmtId="0" fontId="25" fillId="0" borderId="12" xfId="0" applyFont="1" applyBorder="1"/>
    <xf numFmtId="0" fontId="16" fillId="0" borderId="12" xfId="0" applyFont="1" applyBorder="1"/>
    <xf numFmtId="49" fontId="0" fillId="0" borderId="12" xfId="0" applyNumberFormat="1" applyBorder="1" applyAlignment="1">
      <alignment horizontal="center"/>
    </xf>
    <xf numFmtId="0" fontId="16" fillId="0" borderId="49" xfId="0" applyFont="1" applyBorder="1"/>
    <xf numFmtId="164" fontId="29" fillId="0" borderId="0" xfId="3" applyNumberFormat="1" applyFont="1" applyFill="1" applyBorder="1" applyAlignment="1">
      <alignment horizontal="right"/>
    </xf>
    <xf numFmtId="0" fontId="11" fillId="0" borderId="0" xfId="0" quotePrefix="1" applyFont="1" applyAlignment="1">
      <alignment horizontal="left"/>
    </xf>
    <xf numFmtId="164" fontId="29" fillId="0" borderId="0" xfId="0" applyNumberFormat="1" applyFont="1"/>
    <xf numFmtId="164" fontId="0" fillId="0" borderId="0" xfId="0" applyNumberFormat="1"/>
    <xf numFmtId="0" fontId="22" fillId="0" borderId="12" xfId="0" applyFont="1" applyBorder="1" applyAlignment="1">
      <alignment horizontal="center"/>
    </xf>
    <xf numFmtId="0" fontId="15" fillId="0" borderId="61" xfId="0" applyFont="1" applyBorder="1" applyAlignment="1">
      <alignment horizontal="center"/>
    </xf>
    <xf numFmtId="0" fontId="46" fillId="0" borderId="12" xfId="0" applyFont="1" applyBorder="1" applyAlignment="1">
      <alignment horizontal="left"/>
    </xf>
    <xf numFmtId="0" fontId="16" fillId="0" borderId="12" xfId="0" applyFont="1" applyBorder="1" applyAlignment="1">
      <alignment horizontal="left"/>
    </xf>
    <xf numFmtId="49" fontId="70" fillId="0" borderId="12" xfId="0" applyNumberFormat="1" applyFont="1" applyBorder="1" applyAlignment="1">
      <alignment horizontal="center"/>
    </xf>
    <xf numFmtId="49" fontId="15" fillId="0" borderId="61" xfId="0" applyNumberFormat="1" applyFont="1" applyBorder="1" applyAlignment="1">
      <alignment horizontal="center"/>
    </xf>
    <xf numFmtId="49" fontId="15" fillId="0" borderId="0" xfId="0" quotePrefix="1" applyNumberFormat="1" applyFont="1" applyAlignment="1">
      <alignment horizontal="center"/>
    </xf>
    <xf numFmtId="49" fontId="15" fillId="0" borderId="0" xfId="0" applyNumberFormat="1" applyFont="1" applyAlignment="1">
      <alignment horizontal="center"/>
    </xf>
    <xf numFmtId="0" fontId="46" fillId="0" borderId="0" xfId="0" applyFont="1" applyAlignment="1">
      <alignment horizontal="left"/>
    </xf>
    <xf numFmtId="169" fontId="47" fillId="0" borderId="0" xfId="1" applyNumberFormat="1" applyFont="1" applyFill="1" applyBorder="1" applyAlignment="1">
      <alignment horizontal="left"/>
    </xf>
    <xf numFmtId="169" fontId="47" fillId="0" borderId="0" xfId="1" applyNumberFormat="1" applyFont="1" applyFill="1" applyBorder="1"/>
    <xf numFmtId="0" fontId="44" fillId="0" borderId="0" xfId="0" applyFont="1" applyAlignment="1">
      <alignment horizontal="left"/>
    </xf>
    <xf numFmtId="169" fontId="51" fillId="0" borderId="0" xfId="1" applyNumberFormat="1" applyFont="1" applyFill="1" applyBorder="1"/>
    <xf numFmtId="169" fontId="52" fillId="0" borderId="0" xfId="1" applyNumberFormat="1" applyFont="1" applyFill="1" applyBorder="1"/>
    <xf numFmtId="169" fontId="29" fillId="0" borderId="0" xfId="1" applyNumberFormat="1" applyFont="1" applyFill="1" applyBorder="1"/>
    <xf numFmtId="169" fontId="29" fillId="0" borderId="0" xfId="0" applyNumberFormat="1" applyFont="1"/>
    <xf numFmtId="169" fontId="52" fillId="0" borderId="0" xfId="0" quotePrefix="1" applyNumberFormat="1" applyFont="1" applyAlignment="1">
      <alignment horizontal="left"/>
    </xf>
    <xf numFmtId="169" fontId="52" fillId="0" borderId="0" xfId="0" applyNumberFormat="1" applyFont="1"/>
    <xf numFmtId="0" fontId="16" fillId="0" borderId="2" xfId="0" applyFont="1" applyBorder="1" applyAlignment="1">
      <alignment horizontal="center"/>
    </xf>
    <xf numFmtId="0" fontId="15" fillId="0" borderId="0" xfId="0" applyFont="1" applyAlignment="1">
      <alignment horizontal="center"/>
    </xf>
    <xf numFmtId="0" fontId="9" fillId="0" borderId="0" xfId="0" applyFont="1" applyAlignment="1">
      <alignment horizontal="center"/>
    </xf>
    <xf numFmtId="0" fontId="7" fillId="0" borderId="0" xfId="0" applyFont="1" applyAlignment="1">
      <alignment horizontal="right"/>
    </xf>
    <xf numFmtId="49" fontId="9" fillId="0" borderId="0" xfId="0" applyNumberFormat="1" applyFont="1" applyAlignment="1">
      <alignment horizontal="center"/>
    </xf>
    <xf numFmtId="49" fontId="10" fillId="0" borderId="0" xfId="0" applyNumberFormat="1" applyFont="1" applyAlignment="1">
      <alignment horizontal="center"/>
    </xf>
    <xf numFmtId="49" fontId="5" fillId="0" borderId="0" xfId="0" applyNumberFormat="1" applyFont="1" applyAlignment="1">
      <alignment horizontal="center"/>
    </xf>
    <xf numFmtId="0" fontId="8" fillId="0" borderId="0" xfId="0" applyFont="1"/>
    <xf numFmtId="0" fontId="7" fillId="0" borderId="0" xfId="0" applyFont="1" applyAlignment="1">
      <alignment horizontal="left"/>
    </xf>
    <xf numFmtId="0" fontId="21" fillId="0" borderId="0" xfId="0" applyFont="1" applyAlignment="1">
      <alignment horizontal="center"/>
    </xf>
    <xf numFmtId="49" fontId="6" fillId="0" borderId="0" xfId="0" applyNumberFormat="1" applyFont="1" applyAlignment="1">
      <alignment horizontal="left"/>
    </xf>
    <xf numFmtId="0" fontId="6" fillId="0" borderId="0" xfId="0" applyFont="1" applyAlignment="1">
      <alignment horizontal="left"/>
    </xf>
    <xf numFmtId="164" fontId="37" fillId="0" borderId="47" xfId="0" applyNumberFormat="1" applyFont="1" applyBorder="1"/>
    <xf numFmtId="0" fontId="24" fillId="0" borderId="57" xfId="0" applyFont="1" applyBorder="1"/>
    <xf numFmtId="164" fontId="5" fillId="0" borderId="45" xfId="0" applyNumberFormat="1" applyFont="1" applyBorder="1"/>
    <xf numFmtId="164" fontId="6" fillId="0" borderId="31" xfId="0" applyNumberFormat="1" applyFont="1" applyBorder="1"/>
    <xf numFmtId="169" fontId="6" fillId="0" borderId="45" xfId="0" applyNumberFormat="1" applyFont="1" applyBorder="1"/>
    <xf numFmtId="0" fontId="71" fillId="0" borderId="0" xfId="0" applyFont="1" applyAlignment="1">
      <alignment horizontal="center"/>
    </xf>
    <xf numFmtId="169" fontId="5" fillId="0" borderId="35" xfId="0" applyNumberFormat="1" applyFont="1" applyBorder="1"/>
    <xf numFmtId="169" fontId="5" fillId="0" borderId="29" xfId="0" applyNumberFormat="1" applyFont="1" applyBorder="1"/>
    <xf numFmtId="165" fontId="23" fillId="0" borderId="0" xfId="2" applyFont="1" applyFill="1" applyBorder="1" applyAlignment="1">
      <alignment horizontal="center"/>
    </xf>
    <xf numFmtId="166" fontId="0" fillId="0" borderId="0" xfId="3" applyFont="1" applyFill="1"/>
    <xf numFmtId="4" fontId="6" fillId="0" borderId="0" xfId="0" applyNumberFormat="1" applyFont="1"/>
    <xf numFmtId="4" fontId="5" fillId="0" borderId="0" xfId="0" applyNumberFormat="1" applyFont="1"/>
    <xf numFmtId="164" fontId="16" fillId="2" borderId="3" xfId="3" applyNumberFormat="1" applyFont="1" applyFill="1" applyBorder="1" applyAlignment="1">
      <alignment horizontal="right"/>
    </xf>
    <xf numFmtId="164" fontId="16" fillId="0" borderId="83" xfId="3" applyNumberFormat="1" applyFont="1" applyFill="1" applyBorder="1" applyAlignment="1">
      <alignment horizontal="right"/>
    </xf>
    <xf numFmtId="164" fontId="16" fillId="2" borderId="0" xfId="3" applyNumberFormat="1" applyFont="1" applyFill="1" applyBorder="1" applyAlignment="1">
      <alignment horizontal="right"/>
    </xf>
    <xf numFmtId="169" fontId="64" fillId="0" borderId="34" xfId="3" applyNumberFormat="1" applyFont="1" applyFill="1" applyBorder="1" applyAlignment="1">
      <alignment horizontal="right"/>
    </xf>
    <xf numFmtId="169" fontId="64" fillId="0" borderId="62" xfId="3" applyNumberFormat="1" applyFont="1" applyFill="1" applyBorder="1" applyAlignment="1">
      <alignment horizontal="right"/>
    </xf>
    <xf numFmtId="169" fontId="64" fillId="0" borderId="63" xfId="3" applyNumberFormat="1" applyFont="1" applyFill="1" applyBorder="1" applyAlignment="1">
      <alignment horizontal="right"/>
    </xf>
    <xf numFmtId="169" fontId="64" fillId="0" borderId="12" xfId="3" applyNumberFormat="1" applyFont="1" applyFill="1" applyBorder="1" applyAlignment="1">
      <alignment horizontal="right"/>
    </xf>
    <xf numFmtId="169" fontId="64" fillId="0" borderId="61" xfId="3" applyNumberFormat="1" applyFont="1" applyFill="1" applyBorder="1" applyAlignment="1">
      <alignment horizontal="right"/>
    </xf>
    <xf numFmtId="169" fontId="64" fillId="0" borderId="12" xfId="0" applyNumberFormat="1" applyFont="1" applyBorder="1"/>
    <xf numFmtId="169" fontId="64" fillId="0" borderId="63" xfId="0" applyNumberFormat="1" applyFont="1" applyBorder="1"/>
    <xf numFmtId="169" fontId="64" fillId="0" borderId="61" xfId="0" applyNumberFormat="1" applyFont="1" applyBorder="1"/>
    <xf numFmtId="169" fontId="76" fillId="0" borderId="63" xfId="0" applyNumberFormat="1" applyFont="1" applyBorder="1"/>
    <xf numFmtId="169" fontId="76" fillId="0" borderId="12" xfId="0" applyNumberFormat="1" applyFont="1" applyBorder="1"/>
    <xf numFmtId="169" fontId="76" fillId="0" borderId="61" xfId="0" applyNumberFormat="1" applyFont="1" applyBorder="1"/>
    <xf numFmtId="169" fontId="76" fillId="0" borderId="49" xfId="0" applyNumberFormat="1" applyFont="1" applyBorder="1"/>
    <xf numFmtId="169" fontId="76" fillId="0" borderId="21" xfId="0" applyNumberFormat="1" applyFont="1" applyBorder="1"/>
    <xf numFmtId="169" fontId="76" fillId="0" borderId="77" xfId="0" applyNumberFormat="1" applyFont="1" applyBorder="1"/>
    <xf numFmtId="0" fontId="59" fillId="0" borderId="0" xfId="0" applyFont="1" applyAlignment="1">
      <alignment wrapText="1"/>
    </xf>
    <xf numFmtId="0" fontId="64" fillId="0" borderId="0" xfId="0" applyFont="1" applyAlignment="1">
      <alignment horizontal="center"/>
    </xf>
    <xf numFmtId="49" fontId="64" fillId="0" borderId="0" xfId="0" applyNumberFormat="1" applyFont="1" applyAlignment="1">
      <alignment horizontal="center"/>
    </xf>
    <xf numFmtId="165" fontId="64" fillId="0" borderId="0" xfId="2" applyFont="1" applyFill="1" applyBorder="1" applyAlignment="1">
      <alignment horizontal="center"/>
    </xf>
    <xf numFmtId="4" fontId="79" fillId="0" borderId="0" xfId="0" applyNumberFormat="1" applyFont="1"/>
    <xf numFmtId="4" fontId="65" fillId="0" borderId="36" xfId="0" applyNumberFormat="1" applyFont="1" applyBorder="1"/>
    <xf numFmtId="4" fontId="64" fillId="0" borderId="63" xfId="0" applyNumberFormat="1" applyFont="1" applyBorder="1"/>
    <xf numFmtId="0" fontId="65" fillId="0" borderId="0" xfId="0" applyFont="1"/>
    <xf numFmtId="0" fontId="65" fillId="0" borderId="62" xfId="0" applyFont="1" applyBorder="1"/>
    <xf numFmtId="4" fontId="65" fillId="0" borderId="58" xfId="0" applyNumberFormat="1" applyFont="1" applyBorder="1"/>
    <xf numFmtId="4" fontId="65" fillId="0" borderId="0" xfId="0" applyNumberFormat="1" applyFont="1"/>
    <xf numFmtId="4" fontId="65" fillId="0" borderId="60" xfId="0" applyNumberFormat="1" applyFont="1" applyBorder="1"/>
    <xf numFmtId="0" fontId="60" fillId="0" borderId="0" xfId="0" applyFont="1" applyAlignment="1">
      <alignment horizontal="center"/>
    </xf>
    <xf numFmtId="4" fontId="60" fillId="0" borderId="0" xfId="0" applyNumberFormat="1" applyFont="1"/>
    <xf numFmtId="4" fontId="78" fillId="0" borderId="0" xfId="0" applyNumberFormat="1" applyFont="1"/>
    <xf numFmtId="164" fontId="77" fillId="0" borderId="0" xfId="0" applyNumberFormat="1" applyFont="1" applyAlignment="1">
      <alignment horizontal="right"/>
    </xf>
    <xf numFmtId="164" fontId="77" fillId="0" borderId="60" xfId="0" applyNumberFormat="1" applyFont="1" applyBorder="1" applyAlignment="1">
      <alignment horizontal="right"/>
    </xf>
    <xf numFmtId="164" fontId="77" fillId="0" borderId="0" xfId="0" applyNumberFormat="1" applyFont="1"/>
    <xf numFmtId="171" fontId="77" fillId="0" borderId="10" xfId="0" applyNumberFormat="1" applyFont="1" applyBorder="1"/>
    <xf numFmtId="0" fontId="66" fillId="0" borderId="0" xfId="0" quotePrefix="1" applyFont="1" applyAlignment="1">
      <alignment horizontal="left"/>
    </xf>
    <xf numFmtId="0" fontId="66" fillId="0" borderId="45" xfId="0" applyFont="1" applyBorder="1" applyAlignment="1">
      <alignment horizontal="center"/>
    </xf>
    <xf numFmtId="0" fontId="66" fillId="0" borderId="55" xfId="0" quotePrefix="1" applyFont="1" applyBorder="1" applyAlignment="1">
      <alignment horizontal="left"/>
    </xf>
    <xf numFmtId="49" fontId="66" fillId="0" borderId="55" xfId="0" applyNumberFormat="1" applyFont="1" applyBorder="1" applyAlignment="1">
      <alignment horizontal="center"/>
    </xf>
    <xf numFmtId="49" fontId="66" fillId="0" borderId="45" xfId="0" applyNumberFormat="1" applyFont="1" applyBorder="1" applyAlignment="1">
      <alignment horizontal="left"/>
    </xf>
    <xf numFmtId="171" fontId="66" fillId="0" borderId="55" xfId="2" applyNumberFormat="1" applyFont="1" applyFill="1" applyBorder="1" applyAlignment="1">
      <alignment horizontal="center"/>
    </xf>
    <xf numFmtId="171" fontId="66" fillId="0" borderId="45" xfId="0" applyNumberFormat="1" applyFont="1" applyBorder="1"/>
    <xf numFmtId="171" fontId="66" fillId="0" borderId="98" xfId="0" applyNumberFormat="1" applyFont="1" applyBorder="1"/>
    <xf numFmtId="171" fontId="66" fillId="0" borderId="55" xfId="0" applyNumberFormat="1" applyFont="1" applyBorder="1"/>
    <xf numFmtId="171" fontId="66" fillId="0" borderId="29" xfId="0" applyNumberFormat="1" applyFont="1" applyBorder="1"/>
    <xf numFmtId="171" fontId="66" fillId="0" borderId="0" xfId="0" applyNumberFormat="1" applyFont="1"/>
    <xf numFmtId="0" fontId="66" fillId="0" borderId="6" xfId="0" applyFont="1" applyBorder="1" applyAlignment="1">
      <alignment horizontal="center"/>
    </xf>
    <xf numFmtId="0" fontId="66" fillId="0" borderId="29" xfId="0" applyFont="1" applyBorder="1"/>
    <xf numFmtId="0" fontId="66" fillId="0" borderId="29" xfId="0" quotePrefix="1" applyFont="1" applyBorder="1" applyAlignment="1">
      <alignment horizontal="left"/>
    </xf>
    <xf numFmtId="0" fontId="66" fillId="0" borderId="2" xfId="0" quotePrefix="1" applyFont="1" applyBorder="1" applyAlignment="1">
      <alignment horizontal="left"/>
    </xf>
    <xf numFmtId="49" fontId="66" fillId="0" borderId="2" xfId="0" quotePrefix="1" applyNumberFormat="1" applyFont="1" applyBorder="1" applyAlignment="1">
      <alignment horizontal="center"/>
    </xf>
    <xf numFmtId="49" fontId="66" fillId="0" borderId="2" xfId="0" applyNumberFormat="1" applyFont="1" applyBorder="1" applyAlignment="1">
      <alignment horizontal="left"/>
    </xf>
    <xf numFmtId="171" fontId="66" fillId="0" borderId="2" xfId="2" applyNumberFormat="1" applyFont="1" applyFill="1" applyBorder="1" applyAlignment="1">
      <alignment horizontal="center"/>
    </xf>
    <xf numFmtId="171" fontId="66" fillId="0" borderId="2" xfId="0" applyNumberFormat="1" applyFont="1" applyBorder="1"/>
    <xf numFmtId="0" fontId="66" fillId="0" borderId="41" xfId="0" applyFont="1" applyBorder="1"/>
    <xf numFmtId="0" fontId="66" fillId="0" borderId="29" xfId="0" applyFont="1" applyBorder="1" applyAlignment="1">
      <alignment horizontal="left"/>
    </xf>
    <xf numFmtId="0" fontId="66" fillId="0" borderId="6" xfId="0" applyFont="1" applyBorder="1" applyAlignment="1">
      <alignment horizontal="left"/>
    </xf>
    <xf numFmtId="49" fontId="66" fillId="0" borderId="6" xfId="0" quotePrefix="1" applyNumberFormat="1" applyFont="1" applyBorder="1" applyAlignment="1">
      <alignment horizontal="center"/>
    </xf>
    <xf numFmtId="49" fontId="66" fillId="0" borderId="6" xfId="0" applyNumberFormat="1" applyFont="1" applyBorder="1" applyAlignment="1">
      <alignment horizontal="left"/>
    </xf>
    <xf numFmtId="171" fontId="66" fillId="0" borderId="6" xfId="0" applyNumberFormat="1" applyFont="1" applyBorder="1"/>
    <xf numFmtId="0" fontId="66" fillId="0" borderId="2" xfId="0" applyFont="1" applyBorder="1" applyAlignment="1">
      <alignment horizontal="center"/>
    </xf>
    <xf numFmtId="0" fontId="66" fillId="0" borderId="35" xfId="0" applyFont="1" applyBorder="1"/>
    <xf numFmtId="49" fontId="66" fillId="0" borderId="29" xfId="0" applyNumberFormat="1" applyFont="1" applyBorder="1" applyAlignment="1">
      <alignment horizontal="center"/>
    </xf>
    <xf numFmtId="49" fontId="66" fillId="0" borderId="29" xfId="0" applyNumberFormat="1" applyFont="1" applyBorder="1" applyAlignment="1">
      <alignment horizontal="left"/>
    </xf>
    <xf numFmtId="171" fontId="66" fillId="0" borderId="29" xfId="2" applyNumberFormat="1" applyFont="1" applyFill="1" applyBorder="1" applyAlignment="1">
      <alignment horizontal="center"/>
    </xf>
    <xf numFmtId="171" fontId="77" fillId="0" borderId="29" xfId="0" applyNumberFormat="1" applyFont="1" applyBorder="1"/>
    <xf numFmtId="49" fontId="66" fillId="0" borderId="29" xfId="0" applyNumberFormat="1" applyFont="1" applyBorder="1"/>
    <xf numFmtId="49" fontId="66" fillId="0" borderId="29" xfId="0" quotePrefix="1" applyNumberFormat="1" applyFont="1" applyBorder="1" applyAlignment="1">
      <alignment horizontal="center"/>
    </xf>
    <xf numFmtId="49" fontId="66" fillId="0" borderId="35" xfId="0" applyNumberFormat="1" applyFont="1" applyBorder="1" applyAlignment="1">
      <alignment horizontal="center"/>
    </xf>
    <xf numFmtId="0" fontId="66" fillId="0" borderId="29" xfId="0" applyFont="1" applyBorder="1" applyAlignment="1">
      <alignment horizontal="left" wrapText="1"/>
    </xf>
    <xf numFmtId="171" fontId="66" fillId="0" borderId="41" xfId="0" applyNumberFormat="1" applyFont="1" applyBorder="1"/>
    <xf numFmtId="49" fontId="66" fillId="0" borderId="0" xfId="0" applyNumberFormat="1" applyFont="1" applyAlignment="1">
      <alignment horizontal="center"/>
    </xf>
    <xf numFmtId="165" fontId="66" fillId="0" borderId="0" xfId="2" applyFont="1" applyFill="1" applyBorder="1" applyAlignment="1">
      <alignment horizontal="center"/>
    </xf>
    <xf numFmtId="4" fontId="66" fillId="0" borderId="0" xfId="0" applyNumberFormat="1" applyFont="1"/>
    <xf numFmtId="0" fontId="66" fillId="0" borderId="28" xfId="0" applyFont="1" applyBorder="1"/>
    <xf numFmtId="171" fontId="77" fillId="0" borderId="45" xfId="0" applyNumberFormat="1" applyFont="1" applyBorder="1"/>
    <xf numFmtId="171" fontId="77" fillId="0" borderId="2" xfId="0" applyNumberFormat="1" applyFont="1" applyBorder="1"/>
    <xf numFmtId="171" fontId="77" fillId="0" borderId="6" xfId="0" applyNumberFormat="1" applyFont="1" applyBorder="1"/>
    <xf numFmtId="164" fontId="82" fillId="0" borderId="0" xfId="0" applyNumberFormat="1" applyFont="1"/>
    <xf numFmtId="0" fontId="24" fillId="0" borderId="0" xfId="0" applyFont="1" applyAlignment="1">
      <alignment horizontal="center"/>
    </xf>
    <xf numFmtId="166" fontId="13" fillId="2" borderId="6" xfId="3" applyFont="1" applyFill="1" applyBorder="1" applyAlignment="1">
      <alignment horizontal="left" vertical="center"/>
    </xf>
    <xf numFmtId="166" fontId="13" fillId="0" borderId="26" xfId="3" applyFont="1" applyBorder="1" applyAlignment="1">
      <alignment horizontal="left" vertical="center"/>
    </xf>
    <xf numFmtId="166" fontId="13" fillId="2" borderId="0" xfId="3" applyFont="1" applyFill="1"/>
    <xf numFmtId="166" fontId="13" fillId="0" borderId="0" xfId="3" applyFont="1" applyFill="1"/>
    <xf numFmtId="166" fontId="83" fillId="2" borderId="0" xfId="3" applyFont="1" applyFill="1"/>
    <xf numFmtId="166" fontId="37" fillId="0" borderId="0" xfId="3" applyFont="1" applyAlignment="1">
      <alignment horizontal="center"/>
    </xf>
    <xf numFmtId="166" fontId="37" fillId="0" borderId="0" xfId="3" applyFont="1" applyFill="1" applyAlignment="1">
      <alignment horizontal="center"/>
    </xf>
    <xf numFmtId="166" fontId="13" fillId="2" borderId="0" xfId="3" applyFont="1" applyFill="1" applyAlignment="1">
      <alignment horizontal="left"/>
    </xf>
    <xf numFmtId="166" fontId="13" fillId="0" borderId="0" xfId="3" applyFont="1" applyFill="1" applyAlignment="1">
      <alignment horizontal="left"/>
    </xf>
    <xf numFmtId="169" fontId="84" fillId="0" borderId="12" xfId="3" applyNumberFormat="1" applyFont="1" applyFill="1" applyBorder="1" applyAlignment="1">
      <alignment horizontal="right"/>
    </xf>
    <xf numFmtId="0" fontId="86" fillId="0" borderId="0" xfId="0" applyFont="1"/>
    <xf numFmtId="0" fontId="87" fillId="0" borderId="0" xfId="0" applyFont="1"/>
    <xf numFmtId="0" fontId="88" fillId="0" borderId="0" xfId="0" applyFont="1"/>
    <xf numFmtId="0" fontId="16" fillId="0" borderId="0" xfId="0" applyFont="1" applyAlignment="1">
      <alignment horizontal="left"/>
    </xf>
    <xf numFmtId="169" fontId="64" fillId="0" borderId="67" xfId="3" applyNumberFormat="1" applyFont="1" applyFill="1" applyBorder="1" applyAlignment="1">
      <alignment horizontal="right"/>
    </xf>
    <xf numFmtId="0" fontId="90" fillId="0" borderId="0" xfId="0" applyFont="1"/>
    <xf numFmtId="0" fontId="64" fillId="2" borderId="0" xfId="0" applyFont="1" applyFill="1"/>
    <xf numFmtId="49" fontId="64" fillId="0" borderId="81" xfId="1" applyNumberFormat="1" applyFont="1" applyFill="1" applyBorder="1" applyAlignment="1">
      <alignment horizontal="left" vertical="center"/>
    </xf>
    <xf numFmtId="0" fontId="76" fillId="0" borderId="0" xfId="0" applyFont="1"/>
    <xf numFmtId="0" fontId="76" fillId="0" borderId="81" xfId="0" applyFont="1" applyBorder="1" applyAlignment="1">
      <alignment horizontal="left" vertical="center"/>
    </xf>
    <xf numFmtId="0" fontId="76" fillId="0" borderId="82" xfId="0" applyFont="1" applyBorder="1" applyAlignment="1">
      <alignment horizontal="left" vertical="center"/>
    </xf>
    <xf numFmtId="0" fontId="85" fillId="0" borderId="0" xfId="0" applyFont="1" applyAlignment="1">
      <alignment wrapText="1"/>
    </xf>
    <xf numFmtId="169" fontId="60" fillId="0" borderId="12" xfId="0" applyNumberFormat="1" applyFont="1" applyBorder="1"/>
    <xf numFmtId="0" fontId="64" fillId="3" borderId="0" xfId="0" applyFont="1" applyFill="1"/>
    <xf numFmtId="0" fontId="64" fillId="0" borderId="81" xfId="0" applyFont="1" applyBorder="1" applyAlignment="1">
      <alignment horizontal="left" vertical="center"/>
    </xf>
    <xf numFmtId="49" fontId="16" fillId="0" borderId="12" xfId="1" applyNumberFormat="1" applyFont="1" applyFill="1" applyBorder="1" applyAlignment="1">
      <alignment horizontal="left"/>
    </xf>
    <xf numFmtId="0" fontId="64" fillId="0" borderId="105" xfId="0" applyFont="1" applyBorder="1" applyAlignment="1">
      <alignment horizontal="right"/>
    </xf>
    <xf numFmtId="169" fontId="64" fillId="0" borderId="108" xfId="0" applyNumberFormat="1" applyFont="1" applyBorder="1"/>
    <xf numFmtId="0" fontId="60" fillId="0" borderId="106" xfId="0" applyFont="1" applyBorder="1"/>
    <xf numFmtId="169" fontId="64" fillId="0" borderId="110" xfId="0" applyNumberFormat="1" applyFont="1" applyBorder="1"/>
    <xf numFmtId="0" fontId="64" fillId="0" borderId="110" xfId="0" applyFont="1" applyBorder="1" applyAlignment="1">
      <alignment horizontal="left"/>
    </xf>
    <xf numFmtId="0" fontId="64" fillId="0" borderId="112" xfId="0" applyFont="1" applyBorder="1"/>
    <xf numFmtId="169" fontId="64" fillId="0" borderId="107" xfId="0" applyNumberFormat="1" applyFont="1" applyBorder="1"/>
    <xf numFmtId="0" fontId="60" fillId="0" borderId="114" xfId="0" applyFont="1" applyBorder="1"/>
    <xf numFmtId="164" fontId="64" fillId="0" borderId="115" xfId="0" applyNumberFormat="1" applyFont="1" applyBorder="1"/>
    <xf numFmtId="0" fontId="64" fillId="0" borderId="116" xfId="0" applyFont="1" applyBorder="1"/>
    <xf numFmtId="169" fontId="64" fillId="0" borderId="113" xfId="0" applyNumberFormat="1" applyFont="1" applyBorder="1"/>
    <xf numFmtId="0" fontId="64" fillId="0" borderId="117" xfId="0" applyFont="1" applyBorder="1"/>
    <xf numFmtId="0" fontId="64" fillId="0" borderId="118" xfId="0" applyFont="1" applyBorder="1"/>
    <xf numFmtId="0" fontId="64" fillId="0" borderId="122" xfId="0" applyFont="1" applyBorder="1"/>
    <xf numFmtId="0" fontId="85" fillId="0" borderId="122" xfId="0" applyFont="1" applyBorder="1" applyAlignment="1">
      <alignment wrapText="1"/>
    </xf>
    <xf numFmtId="0" fontId="60" fillId="0" borderId="128" xfId="0" applyFont="1" applyBorder="1"/>
    <xf numFmtId="166" fontId="64" fillId="0" borderId="109" xfId="3" applyFont="1" applyFill="1" applyBorder="1"/>
    <xf numFmtId="0" fontId="92" fillId="0" borderId="103" xfId="0" applyFont="1" applyBorder="1"/>
    <xf numFmtId="169" fontId="64" fillId="0" borderId="112" xfId="0" applyNumberFormat="1" applyFont="1" applyBorder="1"/>
    <xf numFmtId="0" fontId="60" fillId="0" borderId="126" xfId="0" applyFont="1" applyBorder="1"/>
    <xf numFmtId="0" fontId="60" fillId="0" borderId="125" xfId="0" applyFont="1" applyBorder="1"/>
    <xf numFmtId="0" fontId="60" fillId="0" borderId="104" xfId="0" applyFont="1" applyBorder="1"/>
    <xf numFmtId="0" fontId="71" fillId="0" borderId="126" xfId="0" applyFont="1" applyBorder="1"/>
    <xf numFmtId="0" fontId="0" fillId="0" borderId="0" xfId="0" applyAlignment="1">
      <alignment wrapText="1"/>
    </xf>
    <xf numFmtId="166" fontId="5" fillId="2" borderId="6" xfId="3" applyFont="1" applyFill="1" applyBorder="1" applyAlignment="1">
      <alignment horizontal="left" vertical="center"/>
    </xf>
    <xf numFmtId="166" fontId="5" fillId="2" borderId="3" xfId="3" applyFont="1" applyFill="1" applyBorder="1" applyAlignment="1">
      <alignment horizontal="left" vertical="center"/>
    </xf>
    <xf numFmtId="166" fontId="5" fillId="2" borderId="0" xfId="3" applyFont="1" applyFill="1"/>
    <xf numFmtId="166" fontId="6" fillId="0" borderId="0" xfId="3" applyFont="1" applyAlignment="1">
      <alignment horizontal="center"/>
    </xf>
    <xf numFmtId="166" fontId="6" fillId="2" borderId="0" xfId="3" applyFont="1" applyFill="1" applyAlignment="1">
      <alignment horizontal="left"/>
    </xf>
    <xf numFmtId="166" fontId="5" fillId="2" borderId="0" xfId="3" applyFont="1" applyFill="1" applyAlignment="1">
      <alignment horizontal="left"/>
    </xf>
    <xf numFmtId="174" fontId="66" fillId="0" borderId="0" xfId="0" applyNumberFormat="1" applyFont="1"/>
    <xf numFmtId="166" fontId="66" fillId="0" borderId="0" xfId="3" applyFont="1"/>
    <xf numFmtId="169" fontId="64" fillId="6" borderId="63" xfId="0" applyNumberFormat="1" applyFont="1" applyFill="1" applyBorder="1"/>
    <xf numFmtId="166" fontId="13" fillId="0" borderId="0" xfId="3" applyFont="1" applyFill="1" applyBorder="1"/>
    <xf numFmtId="166" fontId="83" fillId="0" borderId="0" xfId="3" applyFont="1" applyFill="1" applyBorder="1"/>
    <xf numFmtId="166" fontId="64" fillId="0" borderId="12" xfId="3" applyFont="1" applyFill="1" applyBorder="1"/>
    <xf numFmtId="0" fontId="16" fillId="0" borderId="12" xfId="0" applyFont="1" applyBorder="1" applyAlignment="1">
      <alignment horizontal="justify" vertical="center" wrapText="1"/>
    </xf>
    <xf numFmtId="49" fontId="16" fillId="0" borderId="12" xfId="0" applyNumberFormat="1" applyFont="1" applyBorder="1" applyAlignment="1">
      <alignment horizontal="left"/>
    </xf>
    <xf numFmtId="171" fontId="16" fillId="0" borderId="12" xfId="0" applyNumberFormat="1" applyFont="1" applyBorder="1"/>
    <xf numFmtId="171" fontId="22" fillId="0" borderId="12" xfId="0" applyNumberFormat="1" applyFont="1" applyBorder="1"/>
    <xf numFmtId="0" fontId="97" fillId="0" borderId="12" xfId="0" applyFont="1" applyBorder="1" applyAlignment="1">
      <alignment horizontal="justify" vertical="center" wrapText="1"/>
    </xf>
    <xf numFmtId="0" fontId="16" fillId="0" borderId="63" xfId="0" applyFont="1" applyBorder="1" applyAlignment="1">
      <alignment horizontal="justify" vertical="center" wrapText="1"/>
    </xf>
    <xf numFmtId="0" fontId="16" fillId="0" borderId="63" xfId="0" applyFont="1" applyBorder="1"/>
    <xf numFmtId="166" fontId="16" fillId="0" borderId="12" xfId="3" applyFont="1" applyFill="1" applyBorder="1"/>
    <xf numFmtId="174" fontId="22" fillId="0" borderId="63" xfId="0" applyNumberFormat="1" applyFont="1" applyBorder="1"/>
    <xf numFmtId="0" fontId="16" fillId="0" borderId="21" xfId="0" applyFont="1" applyBorder="1"/>
    <xf numFmtId="3" fontId="22" fillId="0" borderId="12" xfId="0" applyNumberFormat="1" applyFont="1" applyBorder="1" applyAlignment="1">
      <alignment horizontal="center"/>
    </xf>
    <xf numFmtId="3" fontId="22" fillId="0" borderId="12" xfId="0" applyNumberFormat="1" applyFont="1" applyBorder="1"/>
    <xf numFmtId="0" fontId="16" fillId="0" borderId="58" xfId="0" applyFont="1" applyBorder="1"/>
    <xf numFmtId="0" fontId="16" fillId="0" borderId="60" xfId="0" applyFont="1" applyBorder="1"/>
    <xf numFmtId="0" fontId="99" fillId="0" borderId="77" xfId="0" applyFont="1" applyBorder="1"/>
    <xf numFmtId="0" fontId="16" fillId="0" borderId="37" xfId="0" applyFont="1" applyBorder="1"/>
    <xf numFmtId="0" fontId="16" fillId="0" borderId="77" xfId="0" applyFont="1" applyBorder="1"/>
    <xf numFmtId="0" fontId="99" fillId="0" borderId="58" xfId="0" applyFont="1" applyBorder="1"/>
    <xf numFmtId="0" fontId="16" fillId="0" borderId="44" xfId="0" applyFont="1" applyBorder="1"/>
    <xf numFmtId="0" fontId="16" fillId="0" borderId="62" xfId="0" applyFont="1" applyBorder="1"/>
    <xf numFmtId="0" fontId="16" fillId="0" borderId="67" xfId="0" applyFont="1" applyBorder="1"/>
    <xf numFmtId="166" fontId="16" fillId="0" borderId="12" xfId="3" applyFont="1" applyFill="1" applyBorder="1" applyAlignment="1"/>
    <xf numFmtId="0" fontId="109" fillId="0" borderId="12" xfId="0" quotePrefix="1" applyFont="1" applyBorder="1" applyAlignment="1">
      <alignment vertical="center" wrapText="1"/>
    </xf>
    <xf numFmtId="169" fontId="106" fillId="0" borderId="12" xfId="0" applyNumberFormat="1" applyFont="1" applyBorder="1"/>
    <xf numFmtId="0" fontId="109" fillId="0" borderId="0" xfId="0" applyFont="1" applyAlignment="1">
      <alignment wrapText="1"/>
    </xf>
    <xf numFmtId="166" fontId="111" fillId="0" borderId="0" xfId="3" applyFont="1" applyFill="1"/>
    <xf numFmtId="0" fontId="111" fillId="0" borderId="0" xfId="0" applyFont="1"/>
    <xf numFmtId="0" fontId="112" fillId="0" borderId="0" xfId="0" applyFont="1"/>
    <xf numFmtId="0" fontId="109" fillId="0" borderId="0" xfId="0" applyFont="1"/>
    <xf numFmtId="169" fontId="100" fillId="0" borderId="36" xfId="0" applyNumberFormat="1" applyFont="1" applyBorder="1" applyAlignment="1">
      <alignment horizontal="left"/>
    </xf>
    <xf numFmtId="49" fontId="109" fillId="0" borderId="12" xfId="0" quotePrefix="1" applyNumberFormat="1" applyFont="1" applyBorder="1" applyAlignment="1">
      <alignment horizontal="left" vertical="center" wrapText="1"/>
    </xf>
    <xf numFmtId="49" fontId="109" fillId="0" borderId="0" xfId="0" applyNumberFormat="1" applyFont="1" applyAlignment="1">
      <alignment wrapText="1"/>
    </xf>
    <xf numFmtId="0" fontId="100" fillId="0" borderId="44" xfId="0" applyFont="1" applyBorder="1" applyAlignment="1">
      <alignment horizontal="left" vertical="center" wrapText="1"/>
    </xf>
    <xf numFmtId="0" fontId="113" fillId="0" borderId="44" xfId="0" applyFont="1" applyBorder="1" applyAlignment="1">
      <alignment horizontal="left" vertical="center" wrapText="1"/>
    </xf>
    <xf numFmtId="49" fontId="109" fillId="0" borderId="61" xfId="0" quotePrefix="1" applyNumberFormat="1" applyFont="1" applyBorder="1" applyAlignment="1">
      <alignment horizontal="left" vertical="center" wrapText="1"/>
    </xf>
    <xf numFmtId="0" fontId="110" fillId="0" borderId="36" xfId="0" quotePrefix="1" applyFont="1" applyBorder="1" applyAlignment="1">
      <alignment horizontal="center" vertical="center" wrapText="1"/>
    </xf>
    <xf numFmtId="0" fontId="109" fillId="0" borderId="36" xfId="0" applyFont="1" applyBorder="1" applyAlignment="1">
      <alignment vertical="center"/>
    </xf>
    <xf numFmtId="166" fontId="111" fillId="0" borderId="36" xfId="3" applyFont="1" applyFill="1" applyBorder="1"/>
    <xf numFmtId="166" fontId="111" fillId="0" borderId="36" xfId="3" applyFont="1" applyFill="1" applyBorder="1" applyAlignment="1">
      <alignment horizontal="center" vertical="center"/>
    </xf>
    <xf numFmtId="167" fontId="111" fillId="0" borderId="36" xfId="0" applyNumberFormat="1" applyFont="1" applyBorder="1" applyAlignment="1">
      <alignment horizontal="center" vertical="center"/>
    </xf>
    <xf numFmtId="49" fontId="13" fillId="0" borderId="7" xfId="0" applyNumberFormat="1" applyFont="1" applyBorder="1" applyAlignment="1">
      <alignment horizontal="center" vertical="center" wrapText="1"/>
    </xf>
    <xf numFmtId="0" fontId="13" fillId="0" borderId="8" xfId="0" applyFont="1" applyBorder="1" applyAlignment="1">
      <alignment horizontal="center" vertical="center" wrapText="1"/>
    </xf>
    <xf numFmtId="0" fontId="13" fillId="0" borderId="8" xfId="0" applyFont="1" applyBorder="1" applyAlignment="1">
      <alignment horizontal="center" vertical="center"/>
    </xf>
    <xf numFmtId="0" fontId="13" fillId="0" borderId="9" xfId="0" applyFont="1" applyBorder="1" applyAlignment="1">
      <alignment horizontal="center" vertical="center" wrapText="1"/>
    </xf>
    <xf numFmtId="0" fontId="13" fillId="0" borderId="10" xfId="0" applyFont="1" applyBorder="1" applyAlignment="1">
      <alignment horizontal="center" vertical="center" wrapText="1"/>
    </xf>
    <xf numFmtId="0" fontId="6" fillId="2" borderId="0" xfId="0" applyFont="1" applyFill="1" applyAlignment="1">
      <alignment horizontal="left"/>
    </xf>
    <xf numFmtId="49" fontId="15" fillId="2" borderId="6" xfId="0" applyNumberFormat="1" applyFont="1" applyFill="1" applyBorder="1" applyAlignment="1">
      <alignment horizontal="center"/>
    </xf>
    <xf numFmtId="0" fontId="15" fillId="2" borderId="41" xfId="0" quotePrefix="1" applyFont="1" applyFill="1" applyBorder="1" applyAlignment="1">
      <alignment horizontal="left"/>
    </xf>
    <xf numFmtId="49" fontId="13" fillId="0" borderId="7" xfId="0" applyNumberFormat="1" applyFont="1" applyBorder="1" applyAlignment="1">
      <alignment horizontal="center" vertical="top" wrapText="1"/>
    </xf>
    <xf numFmtId="0" fontId="13" fillId="0" borderId="8" xfId="0" applyFont="1" applyBorder="1" applyAlignment="1">
      <alignment horizontal="center" vertical="top" wrapText="1"/>
    </xf>
    <xf numFmtId="0" fontId="13" fillId="0" borderId="9" xfId="0" applyFont="1" applyBorder="1" applyAlignment="1">
      <alignment horizontal="center" vertical="top" wrapText="1"/>
    </xf>
    <xf numFmtId="1" fontId="29" fillId="0" borderId="12" xfId="4" applyNumberFormat="1" applyFont="1" applyBorder="1" applyAlignment="1">
      <alignment horizontal="left" vertical="center"/>
    </xf>
    <xf numFmtId="49" fontId="29" fillId="0" borderId="12" xfId="4" applyNumberFormat="1" applyFont="1" applyBorder="1" applyAlignment="1">
      <alignment horizontal="left" vertical="center"/>
    </xf>
    <xf numFmtId="4" fontId="29" fillId="0" borderId="12" xfId="1" applyNumberFormat="1" applyFont="1" applyFill="1" applyBorder="1" applyAlignment="1">
      <alignment horizontal="left" vertical="center" wrapText="1"/>
    </xf>
    <xf numFmtId="49" fontId="29" fillId="0" borderId="12" xfId="1" applyNumberFormat="1" applyFont="1" applyFill="1" applyBorder="1" applyAlignment="1">
      <alignment horizontal="left" vertical="center"/>
    </xf>
    <xf numFmtId="1" fontId="29" fillId="0" borderId="12" xfId="4" applyNumberFormat="1" applyFont="1" applyBorder="1" applyAlignment="1">
      <alignment vertical="center"/>
    </xf>
    <xf numFmtId="49" fontId="29" fillId="0" borderId="12" xfId="4" applyNumberFormat="1" applyFont="1" applyBorder="1" applyAlignment="1">
      <alignment horizontal="justify" vertical="center" wrapText="1"/>
    </xf>
    <xf numFmtId="166" fontId="29" fillId="0" borderId="12" xfId="3" applyFont="1" applyFill="1" applyBorder="1" applyAlignment="1">
      <alignment vertical="center"/>
    </xf>
    <xf numFmtId="0" fontId="29" fillId="0" borderId="12" xfId="0" applyFont="1" applyBorder="1" applyAlignment="1">
      <alignment horizontal="left" vertical="center"/>
    </xf>
    <xf numFmtId="0" fontId="29" fillId="0" borderId="12" xfId="0" applyFont="1" applyBorder="1" applyAlignment="1">
      <alignment horizontal="left" vertical="center" wrapText="1"/>
    </xf>
    <xf numFmtId="49" fontId="15" fillId="2" borderId="16" xfId="0" applyNumberFormat="1" applyFont="1" applyFill="1" applyBorder="1" applyAlignment="1">
      <alignment horizontal="left"/>
    </xf>
    <xf numFmtId="49" fontId="15" fillId="2" borderId="6" xfId="0" applyNumberFormat="1" applyFont="1" applyFill="1" applyBorder="1" applyAlignment="1">
      <alignment horizontal="left"/>
    </xf>
    <xf numFmtId="0" fontId="15" fillId="0" borderId="3" xfId="0" applyFont="1" applyBorder="1" applyAlignment="1">
      <alignment horizontal="left" vertical="center" wrapText="1"/>
    </xf>
    <xf numFmtId="0" fontId="15" fillId="0" borderId="35" xfId="0" applyFont="1" applyBorder="1" applyAlignment="1">
      <alignment horizontal="left" vertical="center" wrapText="1"/>
    </xf>
    <xf numFmtId="1" fontId="29" fillId="0" borderId="34" xfId="4" applyNumberFormat="1" applyFont="1" applyBorder="1" applyAlignment="1">
      <alignment horizontal="left" vertical="center"/>
    </xf>
    <xf numFmtId="49" fontId="29" fillId="0" borderId="34" xfId="4" applyNumberFormat="1" applyFont="1" applyBorder="1" applyAlignment="1">
      <alignment horizontal="justify" vertical="center" wrapText="1"/>
    </xf>
    <xf numFmtId="0" fontId="116" fillId="0" borderId="0" xfId="0" applyFont="1" applyAlignment="1">
      <alignment horizontal="left" vertical="center"/>
    </xf>
    <xf numFmtId="0" fontId="116" fillId="0" borderId="60" xfId="0" applyFont="1" applyBorder="1" applyAlignment="1">
      <alignment horizontal="left" vertical="center"/>
    </xf>
    <xf numFmtId="0" fontId="29" fillId="0" borderId="0" xfId="0" applyFont="1" applyAlignment="1">
      <alignment vertical="center"/>
    </xf>
    <xf numFmtId="0" fontId="116" fillId="0" borderId="0" xfId="0" applyFont="1" applyAlignment="1">
      <alignment horizontal="center" vertical="center"/>
    </xf>
    <xf numFmtId="44" fontId="27" fillId="0" borderId="0" xfId="0" applyNumberFormat="1" applyFont="1" applyAlignment="1">
      <alignment horizontal="left" vertical="center"/>
    </xf>
    <xf numFmtId="166" fontId="27" fillId="0" borderId="0" xfId="0" applyNumberFormat="1" applyFont="1" applyAlignment="1">
      <alignment vertical="center"/>
    </xf>
    <xf numFmtId="166" fontId="27" fillId="0" borderId="0" xfId="0" applyNumberFormat="1" applyFont="1" applyAlignment="1">
      <alignment horizontal="center" vertical="center"/>
    </xf>
    <xf numFmtId="174" fontId="27" fillId="0" borderId="0" xfId="0" applyNumberFormat="1" applyFont="1" applyAlignment="1">
      <alignment horizontal="left" vertical="center"/>
    </xf>
    <xf numFmtId="0" fontId="118" fillId="0" borderId="0" xfId="0" applyFont="1" applyAlignment="1">
      <alignment horizontal="left" vertical="center"/>
    </xf>
    <xf numFmtId="0" fontId="118" fillId="0" borderId="0" xfId="0" applyFont="1" applyAlignment="1">
      <alignment horizontal="center" vertical="center" wrapText="1"/>
    </xf>
    <xf numFmtId="174" fontId="100" fillId="0" borderId="0" xfId="0" applyNumberFormat="1" applyFont="1" applyAlignment="1">
      <alignment horizontal="left" vertical="center"/>
    </xf>
    <xf numFmtId="166" fontId="100" fillId="0" borderId="0" xfId="3" applyFont="1" applyFill="1" applyBorder="1" applyAlignment="1">
      <alignment horizontal="left" vertical="center"/>
    </xf>
    <xf numFmtId="166" fontId="100" fillId="0" borderId="0" xfId="3" applyFont="1" applyFill="1" applyBorder="1" applyAlignment="1">
      <alignment horizontal="center" vertical="center"/>
    </xf>
    <xf numFmtId="0" fontId="100" fillId="0" borderId="0" xfId="0" applyFont="1" applyAlignment="1">
      <alignment vertical="center"/>
    </xf>
    <xf numFmtId="166" fontId="103" fillId="0" borderId="0" xfId="0" applyNumberFormat="1" applyFont="1" applyAlignment="1">
      <alignment vertical="center"/>
    </xf>
    <xf numFmtId="0" fontId="119" fillId="0" borderId="0" xfId="0" applyFont="1" applyAlignment="1">
      <alignment horizontal="center" vertical="center" wrapText="1"/>
    </xf>
    <xf numFmtId="174" fontId="100" fillId="0" borderId="0" xfId="0" applyNumberFormat="1" applyFont="1" applyAlignment="1">
      <alignment vertical="center"/>
    </xf>
    <xf numFmtId="166" fontId="100" fillId="0" borderId="0" xfId="3" applyFont="1" applyFill="1" applyBorder="1" applyAlignment="1">
      <alignment vertical="center"/>
    </xf>
    <xf numFmtId="49" fontId="107" fillId="2" borderId="0" xfId="0" applyNumberFormat="1" applyFont="1" applyFill="1" applyAlignment="1">
      <alignment horizontal="left"/>
    </xf>
    <xf numFmtId="49" fontId="120" fillId="2" borderId="0" xfId="0" applyNumberFormat="1" applyFont="1" applyFill="1" applyAlignment="1">
      <alignment horizontal="center"/>
    </xf>
    <xf numFmtId="49" fontId="121" fillId="2" borderId="0" xfId="0" applyNumberFormat="1" applyFont="1" applyFill="1" applyAlignment="1">
      <alignment horizontal="center"/>
    </xf>
    <xf numFmtId="49" fontId="113" fillId="2" borderId="0" xfId="0" applyNumberFormat="1" applyFont="1" applyFill="1" applyAlignment="1">
      <alignment horizontal="center"/>
    </xf>
    <xf numFmtId="0" fontId="113" fillId="2" borderId="0" xfId="0" applyFont="1" applyFill="1"/>
    <xf numFmtId="0" fontId="118" fillId="0" borderId="0" xfId="0" applyFont="1" applyAlignment="1">
      <alignment vertical="center"/>
    </xf>
    <xf numFmtId="0" fontId="122" fillId="0" borderId="0" xfId="0" applyFont="1" applyAlignment="1">
      <alignment horizontal="center" vertical="center" wrapText="1"/>
    </xf>
    <xf numFmtId="0" fontId="118" fillId="0" borderId="0" xfId="0" applyFont="1" applyAlignment="1">
      <alignment horizontal="center" vertical="center"/>
    </xf>
    <xf numFmtId="166" fontId="103" fillId="0" borderId="0" xfId="0" applyNumberFormat="1" applyFont="1" applyAlignment="1">
      <alignment horizontal="center" vertical="center"/>
    </xf>
    <xf numFmtId="49" fontId="123" fillId="2" borderId="51" xfId="0" applyNumberFormat="1" applyFont="1" applyFill="1" applyBorder="1" applyAlignment="1">
      <alignment horizontal="center"/>
    </xf>
    <xf numFmtId="49" fontId="123" fillId="2" borderId="34" xfId="0" applyNumberFormat="1" applyFont="1" applyFill="1" applyBorder="1" applyAlignment="1">
      <alignment horizontal="center"/>
    </xf>
    <xf numFmtId="49" fontId="123" fillId="2" borderId="16" xfId="0" applyNumberFormat="1" applyFont="1" applyFill="1" applyBorder="1" applyAlignment="1">
      <alignment horizontal="left"/>
    </xf>
    <xf numFmtId="49" fontId="100" fillId="0" borderId="12" xfId="4" applyNumberFormat="1" applyFont="1" applyBorder="1" applyAlignment="1">
      <alignment horizontal="left" vertical="center"/>
    </xf>
    <xf numFmtId="164" fontId="123" fillId="2" borderId="6" xfId="3" applyNumberFormat="1" applyFont="1" applyFill="1" applyBorder="1" applyAlignment="1">
      <alignment horizontal="right"/>
    </xf>
    <xf numFmtId="49" fontId="123" fillId="2" borderId="6" xfId="0" applyNumberFormat="1" applyFont="1" applyFill="1" applyBorder="1" applyAlignment="1">
      <alignment horizontal="left"/>
    </xf>
    <xf numFmtId="4" fontId="100" fillId="0" borderId="12" xfId="1" applyNumberFormat="1" applyFont="1" applyFill="1" applyBorder="1" applyAlignment="1">
      <alignment horizontal="left" vertical="center" wrapText="1"/>
    </xf>
    <xf numFmtId="0" fontId="123" fillId="0" borderId="3" xfId="0" applyFont="1" applyBorder="1" applyAlignment="1">
      <alignment horizontal="left" vertical="center" wrapText="1"/>
    </xf>
    <xf numFmtId="164" fontId="123" fillId="2" borderId="3" xfId="3" applyNumberFormat="1" applyFont="1" applyFill="1" applyBorder="1" applyAlignment="1">
      <alignment horizontal="right"/>
    </xf>
    <xf numFmtId="49" fontId="100" fillId="0" borderId="12" xfId="4" applyNumberFormat="1" applyFont="1" applyBorder="1" applyAlignment="1">
      <alignment horizontal="justify" vertical="center" wrapText="1"/>
    </xf>
    <xf numFmtId="1" fontId="100" fillId="0" borderId="12" xfId="4" applyNumberFormat="1" applyFont="1" applyBorder="1" applyAlignment="1">
      <alignment horizontal="left" vertical="center"/>
    </xf>
    <xf numFmtId="0" fontId="100" fillId="0" borderId="12" xfId="0" applyFont="1" applyBorder="1" applyAlignment="1">
      <alignment horizontal="left" vertical="center"/>
    </xf>
    <xf numFmtId="0" fontId="100" fillId="0" borderId="12" xfId="0" applyFont="1" applyBorder="1" applyAlignment="1">
      <alignment horizontal="left" vertical="center" wrapText="1"/>
    </xf>
    <xf numFmtId="1" fontId="100" fillId="0" borderId="12" xfId="4" applyNumberFormat="1" applyFont="1" applyBorder="1" applyAlignment="1">
      <alignment vertical="center"/>
    </xf>
    <xf numFmtId="1" fontId="29" fillId="0" borderId="0" xfId="4" applyNumberFormat="1" applyFont="1" applyAlignment="1">
      <alignment horizontal="left" vertical="center"/>
    </xf>
    <xf numFmtId="49" fontId="29" fillId="0" borderId="0" xfId="4" applyNumberFormat="1" applyFont="1" applyAlignment="1">
      <alignment horizontal="justify" vertical="center" wrapText="1"/>
    </xf>
    <xf numFmtId="1" fontId="29" fillId="0" borderId="0" xfId="4" applyNumberFormat="1" applyFont="1" applyAlignment="1">
      <alignment vertical="center"/>
    </xf>
    <xf numFmtId="0" fontId="29" fillId="0" borderId="0" xfId="0" applyFont="1" applyAlignment="1">
      <alignment horizontal="left" vertical="center"/>
    </xf>
    <xf numFmtId="0" fontId="29" fillId="0" borderId="0" xfId="0" applyFont="1" applyAlignment="1">
      <alignment horizontal="left" vertical="center" wrapText="1"/>
    </xf>
    <xf numFmtId="0" fontId="113" fillId="0" borderId="0" xfId="0" applyFont="1" applyAlignment="1">
      <alignment horizontal="center" vertical="center"/>
    </xf>
    <xf numFmtId="164" fontId="113" fillId="0" borderId="0" xfId="0" applyNumberFormat="1" applyFont="1"/>
    <xf numFmtId="164" fontId="107" fillId="0" borderId="0" xfId="0" applyNumberFormat="1" applyFont="1"/>
    <xf numFmtId="0" fontId="113" fillId="0" borderId="0" xfId="0" applyFont="1"/>
    <xf numFmtId="0" fontId="113" fillId="0" borderId="0" xfId="0" applyFont="1" applyAlignment="1">
      <alignment vertical="center"/>
    </xf>
    <xf numFmtId="0" fontId="113" fillId="0" borderId="0" xfId="0" applyFont="1" applyAlignment="1">
      <alignment horizontal="left"/>
    </xf>
    <xf numFmtId="1" fontId="100" fillId="0" borderId="36" xfId="4" applyNumberFormat="1" applyFont="1" applyBorder="1" applyAlignment="1">
      <alignment horizontal="left" vertical="center"/>
    </xf>
    <xf numFmtId="49" fontId="5" fillId="2" borderId="28" xfId="0" applyNumberFormat="1" applyFont="1" applyFill="1" applyBorder="1" applyAlignment="1">
      <alignment horizontal="center"/>
    </xf>
    <xf numFmtId="0" fontId="5" fillId="2" borderId="28" xfId="0" applyFont="1" applyFill="1" applyBorder="1" applyAlignment="1">
      <alignment horizontal="left"/>
    </xf>
    <xf numFmtId="0" fontId="6" fillId="2" borderId="29" xfId="0" applyFont="1" applyFill="1" applyBorder="1" applyAlignment="1">
      <alignment horizontal="left"/>
    </xf>
    <xf numFmtId="49" fontId="5" fillId="2" borderId="28" xfId="0" applyNumberFormat="1" applyFont="1" applyFill="1" applyBorder="1" applyAlignment="1">
      <alignment horizontal="left"/>
    </xf>
    <xf numFmtId="1" fontId="29" fillId="0" borderId="36" xfId="4" applyNumberFormat="1" applyFont="1" applyBorder="1" applyAlignment="1">
      <alignment horizontal="left" vertical="center"/>
    </xf>
    <xf numFmtId="0" fontId="15" fillId="0" borderId="36" xfId="0" applyFont="1" applyBorder="1" applyAlignment="1">
      <alignment horizontal="left" vertical="center" wrapText="1"/>
    </xf>
    <xf numFmtId="166" fontId="0" fillId="0" borderId="0" xfId="3" applyFont="1"/>
    <xf numFmtId="0" fontId="0" fillId="0" borderId="0" xfId="0" applyAlignment="1">
      <alignment horizontal="center" vertical="center" wrapText="1"/>
    </xf>
    <xf numFmtId="166" fontId="0" fillId="0" borderId="12" xfId="3" applyFont="1" applyBorder="1"/>
    <xf numFmtId="164" fontId="15" fillId="0" borderId="6" xfId="3" applyNumberFormat="1" applyFont="1" applyFill="1" applyBorder="1" applyAlignment="1">
      <alignment horizontal="right"/>
    </xf>
    <xf numFmtId="164" fontId="15" fillId="0" borderId="3" xfId="3" applyNumberFormat="1" applyFont="1" applyFill="1" applyBorder="1" applyAlignment="1">
      <alignment horizontal="right"/>
    </xf>
    <xf numFmtId="164" fontId="15" fillId="0" borderId="24" xfId="3" applyNumberFormat="1" applyFont="1" applyFill="1" applyBorder="1" applyAlignment="1">
      <alignment horizontal="right"/>
    </xf>
    <xf numFmtId="0" fontId="4" fillId="0" borderId="0" xfId="0" applyFont="1"/>
    <xf numFmtId="0" fontId="29" fillId="0" borderId="12" xfId="0" applyFont="1" applyBorder="1" applyAlignment="1">
      <alignment vertical="center"/>
    </xf>
    <xf numFmtId="1" fontId="29" fillId="0" borderId="21" xfId="4" applyNumberFormat="1" applyFont="1" applyBorder="1" applyAlignment="1">
      <alignment vertical="center"/>
    </xf>
    <xf numFmtId="49" fontId="29" fillId="0" borderId="21" xfId="4" applyNumberFormat="1" applyFont="1" applyBorder="1" applyAlignment="1">
      <alignment horizontal="justify" vertical="center" wrapText="1"/>
    </xf>
    <xf numFmtId="0" fontId="27" fillId="0" borderId="37" xfId="0" applyFont="1" applyBorder="1" applyAlignment="1">
      <alignment horizontal="left" vertical="center"/>
    </xf>
    <xf numFmtId="0" fontId="27" fillId="0" borderId="37" xfId="0" applyFont="1" applyBorder="1" applyAlignment="1">
      <alignment horizontal="center" vertical="center"/>
    </xf>
    <xf numFmtId="0" fontId="27" fillId="0" borderId="0" xfId="0" applyFont="1" applyAlignment="1">
      <alignment horizontal="left" vertical="center"/>
    </xf>
    <xf numFmtId="0" fontId="27" fillId="0" borderId="0" xfId="0" applyFont="1" applyAlignment="1">
      <alignment horizontal="center" vertical="center"/>
    </xf>
    <xf numFmtId="164" fontId="115" fillId="0" borderId="0" xfId="3" applyNumberFormat="1" applyFont="1" applyFill="1" applyBorder="1" applyAlignment="1">
      <alignment vertical="center"/>
    </xf>
    <xf numFmtId="166" fontId="29" fillId="0" borderId="0" xfId="3" applyFont="1" applyFill="1" applyBorder="1" applyAlignment="1">
      <alignment horizontal="center" vertical="center"/>
    </xf>
    <xf numFmtId="166" fontId="6" fillId="2" borderId="78" xfId="0" applyNumberFormat="1" applyFont="1" applyFill="1" applyBorder="1"/>
    <xf numFmtId="166" fontId="14" fillId="2" borderId="20" xfId="3" applyFont="1" applyFill="1" applyBorder="1"/>
    <xf numFmtId="49" fontId="4" fillId="0" borderId="12" xfId="1" applyNumberFormat="1" applyFont="1" applyFill="1" applyBorder="1" applyAlignment="1">
      <alignment horizontal="left"/>
    </xf>
    <xf numFmtId="166" fontId="29" fillId="0" borderId="0" xfId="3" applyFont="1" applyFill="1"/>
    <xf numFmtId="0" fontId="57" fillId="0" borderId="0" xfId="0" applyFont="1"/>
    <xf numFmtId="0" fontId="130" fillId="0" borderId="0" xfId="0" applyFont="1"/>
    <xf numFmtId="49" fontId="57" fillId="0" borderId="0" xfId="3" applyNumberFormat="1" applyFont="1"/>
    <xf numFmtId="49" fontId="57" fillId="0" borderId="0" xfId="3" applyNumberFormat="1" applyFont="1" applyFill="1"/>
    <xf numFmtId="49" fontId="130" fillId="0" borderId="0" xfId="3" applyNumberFormat="1" applyFont="1" applyFill="1"/>
    <xf numFmtId="9" fontId="4" fillId="0" borderId="0" xfId="0" applyNumberFormat="1" applyFont="1"/>
    <xf numFmtId="166" fontId="4" fillId="0" borderId="0" xfId="3" applyFont="1" applyFill="1" applyBorder="1"/>
    <xf numFmtId="10" fontId="4" fillId="0" borderId="0" xfId="5" applyNumberFormat="1" applyFont="1" applyFill="1" applyBorder="1"/>
    <xf numFmtId="0" fontId="65" fillId="0" borderId="0" xfId="0" applyFont="1" applyAlignment="1">
      <alignment horizontal="center"/>
    </xf>
    <xf numFmtId="0" fontId="65" fillId="0" borderId="0" xfId="0" quotePrefix="1" applyFont="1" applyAlignment="1">
      <alignment horizontal="center"/>
    </xf>
    <xf numFmtId="171" fontId="77" fillId="0" borderId="0" xfId="0" applyNumberFormat="1" applyFont="1" applyAlignment="1">
      <alignment horizontal="center"/>
    </xf>
    <xf numFmtId="166" fontId="0" fillId="0" borderId="0" xfId="3" applyFont="1" applyAlignment="1"/>
    <xf numFmtId="0" fontId="100" fillId="0" borderId="36" xfId="0" applyFont="1" applyBorder="1" applyAlignment="1">
      <alignment vertical="center" wrapText="1"/>
    </xf>
    <xf numFmtId="49" fontId="109" fillId="0" borderId="36" xfId="0" applyNumberFormat="1" applyFont="1" applyBorder="1" applyAlignment="1">
      <alignment horizontal="left" vertical="center" wrapText="1"/>
    </xf>
    <xf numFmtId="166" fontId="100" fillId="0" borderId="44" xfId="3" applyFont="1" applyFill="1" applyBorder="1"/>
    <xf numFmtId="166" fontId="111" fillId="0" borderId="44" xfId="3" applyFont="1" applyFill="1" applyBorder="1" applyAlignment="1">
      <alignment horizontal="center" vertical="center"/>
    </xf>
    <xf numFmtId="167" fontId="111" fillId="0" borderId="44" xfId="0" applyNumberFormat="1" applyFont="1" applyBorder="1" applyAlignment="1">
      <alignment horizontal="center" vertical="center"/>
    </xf>
    <xf numFmtId="169" fontId="103" fillId="0" borderId="60" xfId="0" applyNumberFormat="1" applyFont="1" applyBorder="1"/>
    <xf numFmtId="171" fontId="77" fillId="0" borderId="0" xfId="0" applyNumberFormat="1" applyFont="1"/>
    <xf numFmtId="0" fontId="28" fillId="0" borderId="0" xfId="0" applyFont="1" applyAlignment="1">
      <alignment vertical="center"/>
    </xf>
    <xf numFmtId="0" fontId="11" fillId="0" borderId="0" xfId="0" applyFont="1" applyAlignment="1">
      <alignment horizontal="center"/>
    </xf>
    <xf numFmtId="0" fontId="100" fillId="0" borderId="12" xfId="0" applyFont="1" applyBorder="1" applyAlignment="1">
      <alignment vertical="center"/>
    </xf>
    <xf numFmtId="166" fontId="100" fillId="0" borderId="12" xfId="3" applyFont="1" applyFill="1" applyBorder="1"/>
    <xf numFmtId="49" fontId="100" fillId="0" borderId="12" xfId="0" quotePrefix="1" applyNumberFormat="1" applyFont="1" applyBorder="1" applyAlignment="1">
      <alignment horizontal="left" vertical="center" wrapText="1"/>
    </xf>
    <xf numFmtId="49" fontId="100" fillId="0" borderId="12" xfId="0" applyNumberFormat="1" applyFont="1" applyBorder="1" applyAlignment="1">
      <alignment horizontal="left" vertical="center" wrapText="1"/>
    </xf>
    <xf numFmtId="166" fontId="106" fillId="0" borderId="0" xfId="3" applyFont="1" applyFill="1"/>
    <xf numFmtId="0" fontId="106" fillId="0" borderId="0" xfId="0" applyFont="1" applyAlignment="1">
      <alignment horizontal="center"/>
    </xf>
    <xf numFmtId="166" fontId="100" fillId="0" borderId="57" xfId="3" applyFont="1" applyFill="1" applyBorder="1" applyAlignment="1">
      <alignment horizontal="left"/>
    </xf>
    <xf numFmtId="166" fontId="132" fillId="0" borderId="0" xfId="3" applyFont="1" applyFill="1"/>
    <xf numFmtId="0" fontId="100" fillId="0" borderId="44" xfId="0" applyFont="1" applyBorder="1" applyAlignment="1">
      <alignment horizontal="left" wrapText="1"/>
    </xf>
    <xf numFmtId="49" fontId="15" fillId="2" borderId="29" xfId="0" applyNumberFormat="1" applyFont="1" applyFill="1" applyBorder="1" applyAlignment="1">
      <alignment horizontal="left"/>
    </xf>
    <xf numFmtId="4" fontId="29" fillId="0" borderId="36" xfId="1" applyNumberFormat="1" applyFont="1" applyFill="1" applyBorder="1" applyAlignment="1">
      <alignment horizontal="left" vertical="center" wrapText="1"/>
    </xf>
    <xf numFmtId="4" fontId="29" fillId="0" borderId="61" xfId="1" applyNumberFormat="1" applyFont="1" applyFill="1" applyBorder="1" applyAlignment="1">
      <alignment horizontal="left" vertical="center" wrapText="1"/>
    </xf>
    <xf numFmtId="164" fontId="15" fillId="2" borderId="12" xfId="3" applyNumberFormat="1" applyFont="1" applyFill="1" applyBorder="1" applyAlignment="1">
      <alignment horizontal="right"/>
    </xf>
    <xf numFmtId="166" fontId="96" fillId="0" borderId="0" xfId="3" applyFont="1" applyFill="1"/>
    <xf numFmtId="0" fontId="136" fillId="0" borderId="61" xfId="0" applyFont="1" applyBorder="1" applyAlignment="1">
      <alignment horizontal="center" vertical="center"/>
    </xf>
    <xf numFmtId="0" fontId="136" fillId="0" borderId="12" xfId="0" applyFont="1" applyBorder="1" applyAlignment="1">
      <alignment horizontal="center" vertical="center"/>
    </xf>
    <xf numFmtId="0" fontId="136" fillId="0" borderId="0" xfId="0" applyFont="1"/>
    <xf numFmtId="0" fontId="138" fillId="0" borderId="0" xfId="0" applyFont="1"/>
    <xf numFmtId="0" fontId="139" fillId="0" borderId="0" xfId="0" applyFont="1"/>
    <xf numFmtId="49" fontId="15" fillId="2" borderId="44" xfId="0" applyNumberFormat="1" applyFont="1" applyFill="1" applyBorder="1" applyAlignment="1">
      <alignment horizontal="left"/>
    </xf>
    <xf numFmtId="49" fontId="15" fillId="2" borderId="62" xfId="0" applyNumberFormat="1" applyFont="1" applyFill="1" applyBorder="1" applyAlignment="1">
      <alignment horizontal="center"/>
    </xf>
    <xf numFmtId="49" fontId="15" fillId="2" borderId="12" xfId="0" applyNumberFormat="1" applyFont="1" applyFill="1" applyBorder="1" applyAlignment="1">
      <alignment horizontal="left"/>
    </xf>
    <xf numFmtId="49" fontId="5" fillId="2" borderId="0" xfId="0" applyNumberFormat="1" applyFont="1" applyFill="1" applyAlignment="1">
      <alignment horizontal="left"/>
    </xf>
    <xf numFmtId="49" fontId="5" fillId="2" borderId="0" xfId="0" applyNumberFormat="1" applyFont="1" applyFill="1" applyAlignment="1">
      <alignment horizontal="justify"/>
    </xf>
    <xf numFmtId="49" fontId="5" fillId="2" borderId="0" xfId="0" applyNumberFormat="1" applyFont="1" applyFill="1" applyAlignment="1">
      <alignment horizontal="left" wrapText="1"/>
    </xf>
    <xf numFmtId="0" fontId="0" fillId="0" borderId="0" xfId="0" applyAlignment="1">
      <alignment horizontal="left" wrapText="1"/>
    </xf>
    <xf numFmtId="49" fontId="5" fillId="2" borderId="0" xfId="0" quotePrefix="1" applyNumberFormat="1" applyFont="1" applyFill="1" applyAlignment="1">
      <alignment horizontal="left" wrapText="1"/>
    </xf>
    <xf numFmtId="0" fontId="100" fillId="0" borderId="0" xfId="0" applyFont="1" applyAlignment="1">
      <alignment horizontal="left" vertical="center"/>
    </xf>
    <xf numFmtId="175" fontId="29" fillId="0" borderId="12" xfId="0" applyNumberFormat="1" applyFont="1" applyBorder="1" applyAlignment="1">
      <alignment vertical="center"/>
    </xf>
    <xf numFmtId="166" fontId="29" fillId="0" borderId="57" xfId="3" applyFont="1" applyFill="1" applyBorder="1" applyAlignment="1">
      <alignment horizontal="center" vertical="center" wrapText="1"/>
    </xf>
    <xf numFmtId="175" fontId="29" fillId="0" borderId="21" xfId="0" applyNumberFormat="1" applyFont="1" applyBorder="1" applyAlignment="1">
      <alignment vertical="center"/>
    </xf>
    <xf numFmtId="166" fontId="29" fillId="0" borderId="21" xfId="3" applyFont="1" applyFill="1" applyBorder="1" applyAlignment="1">
      <alignment vertical="center"/>
    </xf>
    <xf numFmtId="49" fontId="29" fillId="0" borderId="61" xfId="4" applyNumberFormat="1" applyFont="1" applyBorder="1" applyAlignment="1">
      <alignment horizontal="left" vertical="center"/>
    </xf>
    <xf numFmtId="0" fontId="15" fillId="2" borderId="36" xfId="0" applyFont="1" applyFill="1" applyBorder="1" applyAlignment="1">
      <alignment horizontal="left"/>
    </xf>
    <xf numFmtId="166" fontId="14" fillId="2" borderId="12" xfId="3" applyFont="1" applyFill="1" applyBorder="1"/>
    <xf numFmtId="49" fontId="4" fillId="0" borderId="12" xfId="1" quotePrefix="1" applyNumberFormat="1" applyFont="1" applyFill="1" applyBorder="1" applyAlignment="1">
      <alignment horizontal="center"/>
    </xf>
    <xf numFmtId="49" fontId="4" fillId="0" borderId="12" xfId="1" applyNumberFormat="1" applyFont="1" applyFill="1" applyBorder="1" applyAlignment="1">
      <alignment horizontal="center"/>
    </xf>
    <xf numFmtId="0" fontId="29" fillId="0" borderId="37" xfId="0" applyFont="1" applyBorder="1" applyAlignment="1">
      <alignment vertical="center"/>
    </xf>
    <xf numFmtId="0" fontId="11" fillId="0" borderId="12" xfId="0" applyFont="1" applyBorder="1"/>
    <xf numFmtId="166" fontId="96" fillId="0" borderId="136" xfId="3" applyFont="1" applyFill="1" applyBorder="1"/>
    <xf numFmtId="169" fontId="64" fillId="0" borderId="137" xfId="3" applyNumberFormat="1" applyFont="1" applyFill="1" applyBorder="1" applyAlignment="1">
      <alignment horizontal="right"/>
    </xf>
    <xf numFmtId="169" fontId="64" fillId="0" borderId="137" xfId="0" applyNumberFormat="1" applyFont="1" applyBorder="1"/>
    <xf numFmtId="169" fontId="76" fillId="0" borderId="137" xfId="0" applyNumberFormat="1" applyFont="1" applyBorder="1"/>
    <xf numFmtId="169" fontId="76" fillId="0" borderId="138" xfId="0" applyNumberFormat="1" applyFont="1" applyBorder="1"/>
    <xf numFmtId="0" fontId="64" fillId="0" borderId="141" xfId="0" applyFont="1" applyBorder="1" applyAlignment="1">
      <alignment horizontal="left" vertical="center"/>
    </xf>
    <xf numFmtId="0" fontId="91" fillId="0" borderId="146" xfId="0" applyFont="1" applyBorder="1" applyAlignment="1">
      <alignment vertical="center" wrapText="1"/>
    </xf>
    <xf numFmtId="4" fontId="85" fillId="0" borderId="147" xfId="1" applyNumberFormat="1" applyFont="1" applyFill="1" applyBorder="1" applyAlignment="1">
      <alignment horizontal="left" vertical="center" wrapText="1"/>
    </xf>
    <xf numFmtId="0" fontId="85" fillId="0" borderId="147" xfId="0" applyFont="1" applyBorder="1" applyAlignment="1">
      <alignment horizontal="left" vertical="center" wrapText="1"/>
    </xf>
    <xf numFmtId="0" fontId="85" fillId="0" borderId="147" xfId="0" quotePrefix="1" applyFont="1" applyBorder="1" applyAlignment="1">
      <alignment horizontal="left" vertical="center" wrapText="1"/>
    </xf>
    <xf numFmtId="4" fontId="85" fillId="0" borderId="147" xfId="1" quotePrefix="1" applyNumberFormat="1" applyFont="1" applyFill="1" applyBorder="1" applyAlignment="1">
      <alignment horizontal="left" vertical="center" wrapText="1"/>
    </xf>
    <xf numFmtId="0" fontId="85" fillId="0" borderId="148" xfId="0" applyFont="1" applyBorder="1" applyAlignment="1">
      <alignment horizontal="left" vertical="center" wrapText="1"/>
    </xf>
    <xf numFmtId="169" fontId="64" fillId="0" borderId="150" xfId="3" applyNumberFormat="1" applyFont="1" applyFill="1" applyBorder="1" applyAlignment="1">
      <alignment horizontal="right"/>
    </xf>
    <xf numFmtId="169" fontId="76" fillId="0" borderId="151" xfId="0" applyNumberFormat="1" applyFont="1" applyBorder="1"/>
    <xf numFmtId="169" fontId="64" fillId="0" borderId="153" xfId="3" applyNumberFormat="1" applyFont="1" applyFill="1" applyBorder="1" applyAlignment="1">
      <alignment horizontal="right"/>
    </xf>
    <xf numFmtId="169" fontId="64" fillId="0" borderId="153" xfId="0" applyNumberFormat="1" applyFont="1" applyBorder="1"/>
    <xf numFmtId="39" fontId="64" fillId="0" borderId="153" xfId="0" applyNumberFormat="1" applyFont="1" applyBorder="1"/>
    <xf numFmtId="169" fontId="76" fillId="0" borderId="153" xfId="0" applyNumberFormat="1" applyFont="1" applyBorder="1"/>
    <xf numFmtId="169" fontId="76" fillId="0" borderId="154" xfId="0" applyNumberFormat="1" applyFont="1" applyBorder="1"/>
    <xf numFmtId="169" fontId="28" fillId="0" borderId="150" xfId="3" applyNumberFormat="1" applyFont="1" applyFill="1" applyBorder="1" applyAlignment="1">
      <alignment horizontal="right"/>
    </xf>
    <xf numFmtId="169" fontId="28" fillId="0" borderId="137" xfId="1" applyNumberFormat="1" applyFont="1" applyFill="1" applyBorder="1"/>
    <xf numFmtId="49" fontId="64" fillId="0" borderId="159" xfId="1" applyNumberFormat="1" applyFont="1" applyFill="1" applyBorder="1" applyAlignment="1">
      <alignment horizontal="left" vertical="center"/>
    </xf>
    <xf numFmtId="169" fontId="64" fillId="0" borderId="165" xfId="3" applyNumberFormat="1" applyFont="1" applyFill="1" applyBorder="1" applyAlignment="1">
      <alignment horizontal="right"/>
    </xf>
    <xf numFmtId="169" fontId="64" fillId="0" borderId="166" xfId="3" applyNumberFormat="1" applyFont="1" applyFill="1" applyBorder="1" applyAlignment="1">
      <alignment horizontal="right"/>
    </xf>
    <xf numFmtId="169" fontId="64" fillId="0" borderId="168" xfId="3" applyNumberFormat="1" applyFont="1" applyFill="1" applyBorder="1" applyAlignment="1">
      <alignment horizontal="right"/>
    </xf>
    <xf numFmtId="166" fontId="96" fillId="0" borderId="170" xfId="3" applyFont="1" applyFill="1" applyBorder="1"/>
    <xf numFmtId="169" fontId="89" fillId="0" borderId="67" xfId="3" applyNumberFormat="1" applyFont="1" applyFill="1" applyBorder="1" applyAlignment="1">
      <alignment horizontal="right"/>
    </xf>
    <xf numFmtId="166" fontId="96" fillId="0" borderId="171" xfId="3" applyFont="1" applyFill="1" applyBorder="1"/>
    <xf numFmtId="166" fontId="96" fillId="0" borderId="172" xfId="3" applyFont="1" applyFill="1" applyBorder="1"/>
    <xf numFmtId="169" fontId="64" fillId="0" borderId="173" xfId="3" applyNumberFormat="1" applyFont="1" applyFill="1" applyBorder="1" applyAlignment="1">
      <alignment horizontal="right"/>
    </xf>
    <xf numFmtId="166" fontId="96" fillId="0" borderId="174" xfId="3" applyFont="1" applyFill="1" applyBorder="1"/>
    <xf numFmtId="166" fontId="96" fillId="0" borderId="175" xfId="3" applyFont="1" applyFill="1" applyBorder="1"/>
    <xf numFmtId="166" fontId="96" fillId="0" borderId="176" xfId="3" applyFont="1" applyFill="1" applyBorder="1"/>
    <xf numFmtId="4" fontId="85" fillId="0" borderId="177" xfId="1" applyNumberFormat="1" applyFont="1" applyFill="1" applyBorder="1" applyAlignment="1">
      <alignment horizontal="left" vertical="center" wrapText="1"/>
    </xf>
    <xf numFmtId="166" fontId="142" fillId="0" borderId="174" xfId="3" applyFont="1" applyFill="1" applyBorder="1"/>
    <xf numFmtId="166" fontId="96" fillId="0" borderId="12" xfId="3" applyFont="1" applyFill="1" applyBorder="1"/>
    <xf numFmtId="166" fontId="96" fillId="0" borderId="173" xfId="3" applyFont="1" applyFill="1" applyBorder="1"/>
    <xf numFmtId="166" fontId="96" fillId="0" borderId="155" xfId="3" applyFont="1" applyFill="1" applyBorder="1"/>
    <xf numFmtId="166" fontId="96" fillId="0" borderId="63" xfId="3" applyFont="1" applyFill="1" applyBorder="1"/>
    <xf numFmtId="166" fontId="96" fillId="0" borderId="67" xfId="3" applyFont="1" applyFill="1" applyBorder="1"/>
    <xf numFmtId="166" fontId="96" fillId="0" borderId="178" xfId="3" applyFont="1" applyFill="1" applyBorder="1"/>
    <xf numFmtId="166" fontId="96" fillId="0" borderId="34" xfId="3" applyFont="1" applyFill="1" applyBorder="1"/>
    <xf numFmtId="0" fontId="100" fillId="0" borderId="0" xfId="0" applyFont="1" applyAlignment="1">
      <alignment horizontal="justify" vertical="center" wrapText="1"/>
    </xf>
    <xf numFmtId="49" fontId="0" fillId="0" borderId="21" xfId="0" applyNumberFormat="1" applyBorder="1"/>
    <xf numFmtId="49" fontId="61" fillId="0" borderId="21" xfId="0" applyNumberFormat="1" applyFont="1" applyBorder="1" applyAlignment="1">
      <alignment horizontal="center"/>
    </xf>
    <xf numFmtId="49" fontId="18" fillId="2" borderId="0" xfId="0" applyNumberFormat="1" applyFont="1" applyFill="1" applyAlignment="1">
      <alignment horizontal="left" wrapText="1"/>
    </xf>
    <xf numFmtId="174" fontId="103" fillId="0" borderId="0" xfId="0" applyNumberFormat="1" applyFont="1" applyAlignment="1">
      <alignment horizontal="left" vertical="center"/>
    </xf>
    <xf numFmtId="0" fontId="16" fillId="0" borderId="36" xfId="0" applyFont="1" applyBorder="1"/>
    <xf numFmtId="166" fontId="3" fillId="0" borderId="0" xfId="3" applyFont="1"/>
    <xf numFmtId="0" fontId="30" fillId="0" borderId="0" xfId="0" applyFont="1"/>
    <xf numFmtId="0" fontId="49" fillId="0" borderId="77" xfId="0" applyFont="1" applyBorder="1"/>
    <xf numFmtId="0" fontId="30" fillId="0" borderId="37" xfId="0" applyFont="1" applyBorder="1"/>
    <xf numFmtId="0" fontId="30" fillId="0" borderId="37" xfId="0" applyFont="1" applyBorder="1" applyAlignment="1">
      <alignment horizontal="center" vertical="center"/>
    </xf>
    <xf numFmtId="169" fontId="49" fillId="0" borderId="49" xfId="0" applyNumberFormat="1" applyFont="1" applyBorder="1"/>
    <xf numFmtId="0" fontId="29" fillId="0" borderId="0" xfId="0" applyFont="1" applyAlignment="1">
      <alignment wrapText="1"/>
    </xf>
    <xf numFmtId="166" fontId="14" fillId="7" borderId="5" xfId="3" applyFont="1" applyFill="1" applyBorder="1"/>
    <xf numFmtId="49" fontId="14" fillId="7" borderId="17" xfId="0" applyNumberFormat="1" applyFont="1" applyFill="1" applyBorder="1"/>
    <xf numFmtId="49" fontId="14" fillId="7" borderId="14" xfId="0" applyNumberFormat="1" applyFont="1" applyFill="1" applyBorder="1" applyAlignment="1">
      <alignment horizontal="center"/>
    </xf>
    <xf numFmtId="49" fontId="14" fillId="7" borderId="15" xfId="0" applyNumberFormat="1" applyFont="1" applyFill="1" applyBorder="1" applyAlignment="1">
      <alignment horizontal="center"/>
    </xf>
    <xf numFmtId="49" fontId="14" fillId="7" borderId="27" xfId="0" applyNumberFormat="1" applyFont="1" applyFill="1" applyBorder="1" applyAlignment="1">
      <alignment horizontal="center"/>
    </xf>
    <xf numFmtId="0" fontId="14" fillId="7" borderId="23" xfId="0" applyFont="1" applyFill="1" applyBorder="1" applyAlignment="1">
      <alignment horizontal="center"/>
    </xf>
    <xf numFmtId="166" fontId="113" fillId="0" borderId="0" xfId="3" applyFont="1" applyFill="1"/>
    <xf numFmtId="4" fontId="152" fillId="0" borderId="12" xfId="1" quotePrefix="1" applyNumberFormat="1" applyFont="1" applyFill="1" applyBorder="1" applyAlignment="1">
      <alignment horizontal="left"/>
    </xf>
    <xf numFmtId="4" fontId="152" fillId="0" borderId="12" xfId="1" applyNumberFormat="1" applyFont="1" applyFill="1" applyBorder="1"/>
    <xf numFmtId="4" fontId="152" fillId="0" borderId="12" xfId="1" applyNumberFormat="1" applyFont="1" applyFill="1" applyBorder="1" applyAlignment="1">
      <alignment horizontal="left"/>
    </xf>
    <xf numFmtId="4" fontId="11" fillId="0" borderId="12" xfId="1" applyNumberFormat="1" applyFont="1" applyFill="1" applyBorder="1"/>
    <xf numFmtId="4" fontId="11" fillId="0" borderId="63" xfId="1" applyNumberFormat="1" applyFont="1" applyFill="1" applyBorder="1"/>
    <xf numFmtId="4" fontId="152" fillId="0" borderId="0" xfId="1" applyNumberFormat="1" applyFont="1" applyFill="1" applyBorder="1" applyAlignment="1">
      <alignment horizontal="left"/>
    </xf>
    <xf numFmtId="4" fontId="153" fillId="0" borderId="0" xfId="1" applyNumberFormat="1" applyFont="1" applyFill="1" applyBorder="1"/>
    <xf numFmtId="4" fontId="152" fillId="0" borderId="0" xfId="1" applyNumberFormat="1" applyFont="1" applyFill="1" applyBorder="1"/>
    <xf numFmtId="4" fontId="154" fillId="0" borderId="0" xfId="1" applyNumberFormat="1" applyFont="1" applyFill="1" applyBorder="1"/>
    <xf numFmtId="4" fontId="11" fillId="0" borderId="0" xfId="1" applyNumberFormat="1" applyFont="1" applyFill="1" applyBorder="1"/>
    <xf numFmtId="0" fontId="11" fillId="0" borderId="61" xfId="0" applyFont="1" applyBorder="1"/>
    <xf numFmtId="0" fontId="11" fillId="0" borderId="61" xfId="0" quotePrefix="1" applyFont="1" applyBorder="1" applyAlignment="1">
      <alignment horizontal="left"/>
    </xf>
    <xf numFmtId="4" fontId="11" fillId="0" borderId="61" xfId="1" applyNumberFormat="1" applyFont="1" applyFill="1" applyBorder="1"/>
    <xf numFmtId="4" fontId="11" fillId="0" borderId="28" xfId="1" applyNumberFormat="1" applyFont="1" applyFill="1" applyBorder="1"/>
    <xf numFmtId="0" fontId="26" fillId="0" borderId="0" xfId="0" applyFont="1"/>
    <xf numFmtId="0" fontId="26" fillId="0" borderId="0" xfId="0" applyFont="1" applyAlignment="1">
      <alignment horizontal="center"/>
    </xf>
    <xf numFmtId="4" fontId="28" fillId="0" borderId="26" xfId="1" applyNumberFormat="1" applyFont="1" applyFill="1" applyBorder="1"/>
    <xf numFmtId="0" fontId="28" fillId="0" borderId="26" xfId="0" applyFont="1" applyBorder="1"/>
    <xf numFmtId="0" fontId="28" fillId="0" borderId="26" xfId="0" quotePrefix="1" applyFont="1" applyBorder="1" applyAlignment="1">
      <alignment horizontal="left"/>
    </xf>
    <xf numFmtId="0" fontId="28" fillId="0" borderId="26" xfId="0" applyFont="1" applyBorder="1" applyAlignment="1">
      <alignment horizontal="left"/>
    </xf>
    <xf numFmtId="166" fontId="28" fillId="0" borderId="156" xfId="3" applyFont="1" applyFill="1" applyBorder="1"/>
    <xf numFmtId="170" fontId="22" fillId="0" borderId="63" xfId="0" applyNumberFormat="1" applyFont="1" applyBorder="1"/>
    <xf numFmtId="0" fontId="17" fillId="0" borderId="12" xfId="0" applyFont="1" applyBorder="1"/>
    <xf numFmtId="169" fontId="29" fillId="0" borderId="34" xfId="3" applyNumberFormat="1" applyFont="1" applyFill="1" applyBorder="1" applyAlignment="1">
      <alignment horizontal="right"/>
    </xf>
    <xf numFmtId="169" fontId="29" fillId="0" borderId="12" xfId="3" applyNumberFormat="1" applyFont="1" applyFill="1" applyBorder="1" applyAlignment="1">
      <alignment horizontal="right"/>
    </xf>
    <xf numFmtId="169" fontId="27" fillId="0" borderId="50" xfId="3" applyNumberFormat="1" applyFont="1" applyFill="1" applyBorder="1" applyAlignment="1">
      <alignment horizontal="right"/>
    </xf>
    <xf numFmtId="169" fontId="22" fillId="0" borderId="12" xfId="1" applyNumberFormat="1" applyFont="1" applyFill="1" applyBorder="1"/>
    <xf numFmtId="49" fontId="9" fillId="0" borderId="58" xfId="0" applyNumberFormat="1" applyFont="1" applyBorder="1" applyAlignment="1">
      <alignment horizontal="center"/>
    </xf>
    <xf numFmtId="0" fontId="0" fillId="0" borderId="60" xfId="0" applyBorder="1"/>
    <xf numFmtId="164" fontId="5" fillId="0" borderId="24" xfId="0" applyNumberFormat="1" applyFont="1" applyBorder="1"/>
    <xf numFmtId="169" fontId="5" fillId="0" borderId="65" xfId="0" applyNumberFormat="1" applyFont="1" applyBorder="1"/>
    <xf numFmtId="164" fontId="37" fillId="0" borderId="2" xfId="0" applyNumberFormat="1" applyFont="1" applyBorder="1"/>
    <xf numFmtId="0" fontId="24" fillId="0" borderId="45" xfId="0" applyFont="1" applyBorder="1"/>
    <xf numFmtId="169" fontId="5" fillId="0" borderId="45" xfId="0" applyNumberFormat="1" applyFont="1" applyBorder="1"/>
    <xf numFmtId="0" fontId="23" fillId="0" borderId="60" xfId="0" applyFont="1" applyBorder="1"/>
    <xf numFmtId="0" fontId="24" fillId="0" borderId="32" xfId="0" applyFont="1" applyBorder="1"/>
    <xf numFmtId="0" fontId="24" fillId="0" borderId="41" xfId="0" applyFont="1" applyBorder="1"/>
    <xf numFmtId="0" fontId="37" fillId="0" borderId="32" xfId="0" applyFont="1" applyBorder="1"/>
    <xf numFmtId="0" fontId="37" fillId="0" borderId="29" xfId="0" applyFont="1" applyBorder="1"/>
    <xf numFmtId="0" fontId="23" fillId="0" borderId="41" xfId="0" applyFont="1" applyBorder="1"/>
    <xf numFmtId="0" fontId="24" fillId="0" borderId="2" xfId="0" applyFont="1" applyBorder="1"/>
    <xf numFmtId="0" fontId="23" fillId="0" borderId="2" xfId="0" applyFont="1" applyBorder="1"/>
    <xf numFmtId="169" fontId="5" fillId="0" borderId="55" xfId="0" applyNumberFormat="1" applyFont="1" applyBorder="1"/>
    <xf numFmtId="0" fontId="0" fillId="0" borderId="29" xfId="0" applyBorder="1"/>
    <xf numFmtId="0" fontId="66" fillId="0" borderId="97" xfId="0" quotePrefix="1" applyFont="1" applyBorder="1" applyAlignment="1">
      <alignment horizontal="left"/>
    </xf>
    <xf numFmtId="0" fontId="66" fillId="0" borderId="23" xfId="0" quotePrefix="1" applyFont="1" applyBorder="1" applyAlignment="1">
      <alignment horizontal="left"/>
    </xf>
    <xf numFmtId="0" fontId="0" fillId="0" borderId="23" xfId="0" applyBorder="1"/>
    <xf numFmtId="0" fontId="77" fillId="0" borderId="23" xfId="0" applyFont="1" applyBorder="1"/>
    <xf numFmtId="170" fontId="66" fillId="0" borderId="27" xfId="0" applyNumberFormat="1" applyFont="1" applyBorder="1"/>
    <xf numFmtId="0" fontId="66" fillId="0" borderId="7" xfId="0" quotePrefix="1" applyFont="1" applyBorder="1" applyAlignment="1">
      <alignment horizontal="left"/>
    </xf>
    <xf numFmtId="171" fontId="66" fillId="0" borderId="8" xfId="0" applyNumberFormat="1" applyFont="1" applyBorder="1"/>
    <xf numFmtId="171" fontId="66" fillId="0" borderId="31" xfId="0" applyNumberFormat="1" applyFont="1" applyBorder="1"/>
    <xf numFmtId="0" fontId="0" fillId="0" borderId="32" xfId="0" applyBorder="1"/>
    <xf numFmtId="0" fontId="4" fillId="0" borderId="1" xfId="0" applyFont="1" applyBorder="1"/>
    <xf numFmtId="164" fontId="6" fillId="0" borderId="21" xfId="0" applyNumberFormat="1" applyFont="1" applyBorder="1" applyAlignment="1">
      <alignment horizontal="center" vertical="center"/>
    </xf>
    <xf numFmtId="0" fontId="0" fillId="0" borderId="31" xfId="0" applyBorder="1"/>
    <xf numFmtId="0" fontId="66" fillId="0" borderId="47" xfId="0" quotePrefix="1" applyFont="1" applyBorder="1" applyAlignment="1">
      <alignment horizontal="left"/>
    </xf>
    <xf numFmtId="0" fontId="0" fillId="0" borderId="30" xfId="0" applyBorder="1"/>
    <xf numFmtId="0" fontId="77" fillId="0" borderId="27" xfId="0" applyFont="1" applyBorder="1"/>
    <xf numFmtId="0" fontId="66" fillId="0" borderId="17" xfId="0" quotePrefix="1" applyFont="1" applyBorder="1" applyAlignment="1">
      <alignment horizontal="left"/>
    </xf>
    <xf numFmtId="0" fontId="66" fillId="0" borderId="2" xfId="0" applyFont="1" applyBorder="1"/>
    <xf numFmtId="0" fontId="66" fillId="0" borderId="4" xfId="0" applyFont="1" applyBorder="1"/>
    <xf numFmtId="49" fontId="66" fillId="0" borderId="24" xfId="0" applyNumberFormat="1" applyFont="1" applyBorder="1" applyAlignment="1">
      <alignment horizontal="left"/>
    </xf>
    <xf numFmtId="165" fontId="77" fillId="0" borderId="2" xfId="2" applyFont="1" applyFill="1" applyBorder="1" applyAlignment="1">
      <alignment horizontal="left"/>
    </xf>
    <xf numFmtId="171" fontId="77" fillId="0" borderId="2" xfId="2" applyNumberFormat="1" applyFont="1" applyFill="1" applyBorder="1" applyAlignment="1">
      <alignment horizontal="center"/>
    </xf>
    <xf numFmtId="171" fontId="81" fillId="0" borderId="45" xfId="2" applyNumberFormat="1" applyFont="1" applyFill="1" applyBorder="1" applyAlignment="1">
      <alignment horizontal="center"/>
    </xf>
    <xf numFmtId="49" fontId="66" fillId="0" borderId="2" xfId="0" applyNumberFormat="1" applyFont="1" applyBorder="1" applyAlignment="1">
      <alignment horizontal="center"/>
    </xf>
    <xf numFmtId="171" fontId="66" fillId="0" borderId="29" xfId="0" applyNumberFormat="1" applyFont="1" applyBorder="1" applyAlignment="1">
      <alignment horizontal="center"/>
    </xf>
    <xf numFmtId="0" fontId="66" fillId="0" borderId="65" xfId="0" applyFont="1" applyBorder="1"/>
    <xf numFmtId="0" fontId="66" fillId="0" borderId="4" xfId="0" applyFont="1" applyBorder="1" applyAlignment="1">
      <alignment horizontal="center"/>
    </xf>
    <xf numFmtId="49" fontId="66" fillId="0" borderId="65" xfId="0" applyNumberFormat="1" applyFont="1" applyBorder="1"/>
    <xf numFmtId="164" fontId="5" fillId="0" borderId="43" xfId="0" applyNumberFormat="1" applyFont="1" applyBorder="1"/>
    <xf numFmtId="0" fontId="23" fillId="0" borderId="84" xfId="0" applyFont="1" applyBorder="1" applyAlignment="1">
      <alignment horizontal="center"/>
    </xf>
    <xf numFmtId="0" fontId="24" fillId="0" borderId="84" xfId="0" applyFont="1" applyBorder="1" applyAlignment="1">
      <alignment horizontal="center"/>
    </xf>
    <xf numFmtId="0" fontId="23" fillId="0" borderId="88" xfId="0" applyFont="1" applyBorder="1" applyAlignment="1">
      <alignment horizontal="center"/>
    </xf>
    <xf numFmtId="0" fontId="23" fillId="0" borderId="45" xfId="0" applyFont="1" applyBorder="1" applyAlignment="1">
      <alignment horizontal="center"/>
    </xf>
    <xf numFmtId="0" fontId="23" fillId="0" borderId="2" xfId="0" applyFont="1" applyBorder="1" applyAlignment="1">
      <alignment horizontal="center"/>
    </xf>
    <xf numFmtId="0" fontId="24" fillId="0" borderId="45" xfId="0" applyFont="1" applyBorder="1" applyAlignment="1">
      <alignment horizontal="center"/>
    </xf>
    <xf numFmtId="0" fontId="24" fillId="0" borderId="2" xfId="0" applyFont="1" applyBorder="1" applyAlignment="1">
      <alignment horizontal="center"/>
    </xf>
    <xf numFmtId="0" fontId="23" fillId="0" borderId="4" xfId="0" applyFont="1" applyBorder="1" applyAlignment="1">
      <alignment horizontal="center"/>
    </xf>
    <xf numFmtId="0" fontId="24" fillId="0" borderId="47" xfId="0" applyFont="1" applyBorder="1" applyAlignment="1">
      <alignment horizontal="center"/>
    </xf>
    <xf numFmtId="0" fontId="37" fillId="0" borderId="47" xfId="0" applyFont="1" applyBorder="1" applyAlignment="1">
      <alignment horizontal="center"/>
    </xf>
    <xf numFmtId="0" fontId="37" fillId="0" borderId="2" xfId="0" applyFont="1" applyBorder="1" applyAlignment="1">
      <alignment horizontal="center"/>
    </xf>
    <xf numFmtId="0" fontId="23" fillId="0" borderId="6" xfId="0" applyFont="1" applyBorder="1" applyAlignment="1">
      <alignment horizontal="center"/>
    </xf>
    <xf numFmtId="169" fontId="4" fillId="0" borderId="34" xfId="3" applyNumberFormat="1" applyFont="1" applyFill="1" applyBorder="1" applyAlignment="1">
      <alignment horizontal="right"/>
    </xf>
    <xf numFmtId="169" fontId="4" fillId="0" borderId="12" xfId="1" applyNumberFormat="1" applyFont="1" applyFill="1" applyBorder="1"/>
    <xf numFmtId="169" fontId="4" fillId="0" borderId="63" xfId="3" applyNumberFormat="1" applyFont="1" applyFill="1" applyBorder="1" applyAlignment="1">
      <alignment horizontal="right"/>
    </xf>
    <xf numFmtId="44" fontId="0" fillId="0" borderId="0" xfId="0" applyNumberFormat="1"/>
    <xf numFmtId="49" fontId="14" fillId="12" borderId="17" xfId="0" applyNumberFormat="1" applyFont="1" applyFill="1" applyBorder="1"/>
    <xf numFmtId="49" fontId="14" fillId="12" borderId="14" xfId="0" applyNumberFormat="1" applyFont="1" applyFill="1" applyBorder="1" applyAlignment="1">
      <alignment horizontal="center"/>
    </xf>
    <xf numFmtId="49" fontId="14" fillId="12" borderId="15" xfId="0" applyNumberFormat="1" applyFont="1" applyFill="1" applyBorder="1" applyAlignment="1">
      <alignment horizontal="center"/>
    </xf>
    <xf numFmtId="49" fontId="14" fillId="12" borderId="27" xfId="0" applyNumberFormat="1" applyFont="1" applyFill="1" applyBorder="1" applyAlignment="1">
      <alignment horizontal="center"/>
    </xf>
    <xf numFmtId="0" fontId="14" fillId="12" borderId="23" xfId="0" applyFont="1" applyFill="1" applyBorder="1" applyAlignment="1">
      <alignment horizontal="center"/>
    </xf>
    <xf numFmtId="166" fontId="14" fillId="12" borderId="5" xfId="3" applyFont="1" applyFill="1" applyBorder="1"/>
    <xf numFmtId="49" fontId="15" fillId="2" borderId="56" xfId="0" applyNumberFormat="1" applyFont="1" applyFill="1" applyBorder="1" applyAlignment="1">
      <alignment horizontal="center"/>
    </xf>
    <xf numFmtId="49" fontId="16" fillId="0" borderId="41" xfId="1" applyNumberFormat="1" applyFont="1" applyFill="1" applyBorder="1" applyAlignment="1">
      <alignment horizontal="center"/>
    </xf>
    <xf numFmtId="4" fontId="28" fillId="0" borderId="41" xfId="1" applyNumberFormat="1" applyFont="1" applyFill="1" applyBorder="1"/>
    <xf numFmtId="164" fontId="16" fillId="2" borderId="6" xfId="3" applyNumberFormat="1" applyFont="1" applyFill="1" applyBorder="1" applyAlignment="1">
      <alignment horizontal="right"/>
    </xf>
    <xf numFmtId="0" fontId="161" fillId="0" borderId="0" xfId="0" applyFont="1" applyAlignment="1">
      <alignment vertical="center" wrapText="1"/>
    </xf>
    <xf numFmtId="0" fontId="4" fillId="0" borderId="0" xfId="0" applyFont="1" applyAlignment="1">
      <alignment vertical="center" wrapText="1"/>
    </xf>
    <xf numFmtId="0" fontId="16" fillId="0" borderId="0" xfId="0" applyFont="1" applyAlignment="1">
      <alignment vertical="center" wrapText="1"/>
    </xf>
    <xf numFmtId="0" fontId="0" fillId="0" borderId="0" xfId="0" quotePrefix="1"/>
    <xf numFmtId="170" fontId="100" fillId="0" borderId="53" xfId="0" applyNumberFormat="1" applyFont="1" applyBorder="1" applyAlignment="1">
      <alignment vertical="center"/>
    </xf>
    <xf numFmtId="170" fontId="100" fillId="0" borderId="52" xfId="0" applyNumberFormat="1" applyFont="1" applyBorder="1"/>
    <xf numFmtId="170" fontId="100" fillId="0" borderId="53" xfId="0" applyNumberFormat="1" applyFont="1" applyBorder="1"/>
    <xf numFmtId="0" fontId="100" fillId="0" borderId="0" xfId="0" applyFont="1"/>
    <xf numFmtId="0" fontId="100" fillId="0" borderId="2" xfId="0" applyFont="1" applyBorder="1"/>
    <xf numFmtId="170" fontId="100" fillId="0" borderId="55" xfId="0" applyNumberFormat="1" applyFont="1" applyBorder="1"/>
    <xf numFmtId="170" fontId="100" fillId="0" borderId="29" xfId="0" quotePrefix="1" applyNumberFormat="1" applyFont="1" applyBorder="1" applyAlignment="1">
      <alignment horizontal="left"/>
    </xf>
    <xf numFmtId="170" fontId="100" fillId="0" borderId="29" xfId="0" applyNumberFormat="1" applyFont="1" applyBorder="1"/>
    <xf numFmtId="0" fontId="100" fillId="0" borderId="2" xfId="0" quotePrefix="1" applyFont="1" applyBorder="1" applyAlignment="1">
      <alignment horizontal="left" wrapText="1"/>
    </xf>
    <xf numFmtId="166" fontId="100" fillId="0" borderId="29" xfId="3" applyFont="1" applyFill="1" applyBorder="1"/>
    <xf numFmtId="170" fontId="100" fillId="0" borderId="87" xfId="0" applyNumberFormat="1" applyFont="1" applyBorder="1"/>
    <xf numFmtId="170" fontId="100" fillId="0" borderId="85" xfId="0" applyNumberFormat="1" applyFont="1" applyBorder="1"/>
    <xf numFmtId="0" fontId="100" fillId="0" borderId="54" xfId="0" applyFont="1" applyBorder="1" applyAlignment="1">
      <alignment horizontal="left"/>
    </xf>
    <xf numFmtId="0" fontId="100" fillId="0" borderId="54" xfId="0" quotePrefix="1" applyFont="1" applyBorder="1" applyAlignment="1">
      <alignment wrapText="1"/>
    </xf>
    <xf numFmtId="0" fontId="100" fillId="0" borderId="54" xfId="0" applyFont="1" applyBorder="1" applyAlignment="1">
      <alignment wrapText="1"/>
    </xf>
    <xf numFmtId="0" fontId="100" fillId="0" borderId="130" xfId="0" applyFont="1" applyBorder="1"/>
    <xf numFmtId="0" fontId="100" fillId="0" borderId="54" xfId="0" quotePrefix="1" applyFont="1" applyBorder="1" applyAlignment="1">
      <alignment horizontal="left"/>
    </xf>
    <xf numFmtId="0" fontId="100" fillId="0" borderId="47" xfId="0" applyFont="1" applyBorder="1"/>
    <xf numFmtId="170" fontId="100" fillId="0" borderId="0" xfId="0" applyNumberFormat="1" applyFont="1"/>
    <xf numFmtId="0" fontId="100" fillId="0" borderId="0" xfId="2" applyNumberFormat="1" applyFont="1" applyFill="1" applyBorder="1" applyAlignment="1">
      <alignment horizontal="center"/>
    </xf>
    <xf numFmtId="0" fontId="100" fillId="0" borderId="28" xfId="2" applyNumberFormat="1" applyFont="1" applyFill="1" applyBorder="1" applyAlignment="1">
      <alignment horizontal="center"/>
    </xf>
    <xf numFmtId="170" fontId="100" fillId="0" borderId="12" xfId="0" applyNumberFormat="1" applyFont="1" applyBorder="1"/>
    <xf numFmtId="170" fontId="100" fillId="0" borderId="63" xfId="0" applyNumberFormat="1" applyFont="1" applyBorder="1"/>
    <xf numFmtId="0" fontId="100" fillId="0" borderId="84" xfId="2" applyNumberFormat="1" applyFont="1" applyFill="1" applyBorder="1" applyAlignment="1">
      <alignment horizontal="center"/>
    </xf>
    <xf numFmtId="170" fontId="103" fillId="0" borderId="0" xfId="0" applyNumberFormat="1" applyFont="1"/>
    <xf numFmtId="0" fontId="100" fillId="0" borderId="45" xfId="0" quotePrefix="1" applyFont="1" applyBorder="1" applyAlignment="1">
      <alignment horizontal="left"/>
    </xf>
    <xf numFmtId="170" fontId="100" fillId="0" borderId="60" xfId="0" applyNumberFormat="1" applyFont="1" applyBorder="1"/>
    <xf numFmtId="0" fontId="100" fillId="0" borderId="2" xfId="0" quotePrefix="1" applyFont="1" applyBorder="1" applyAlignment="1">
      <alignment horizontal="left"/>
    </xf>
    <xf numFmtId="0" fontId="100" fillId="0" borderId="2" xfId="0" applyFont="1" applyBorder="1" applyAlignment="1">
      <alignment wrapText="1"/>
    </xf>
    <xf numFmtId="170" fontId="100" fillId="0" borderId="67" xfId="0" applyNumberFormat="1" applyFont="1" applyBorder="1"/>
    <xf numFmtId="0" fontId="163" fillId="0" borderId="0" xfId="2" applyNumberFormat="1" applyFont="1" applyFill="1" applyBorder="1" applyAlignment="1">
      <alignment horizontal="center"/>
    </xf>
    <xf numFmtId="0" fontId="100" fillId="0" borderId="0" xfId="0" applyFont="1" applyAlignment="1">
      <alignment horizontal="left" wrapText="1"/>
    </xf>
    <xf numFmtId="0" fontId="100" fillId="0" borderId="2" xfId="0" applyFont="1" applyBorder="1" applyAlignment="1">
      <alignment horizontal="left"/>
    </xf>
    <xf numFmtId="0" fontId="100" fillId="0" borderId="4" xfId="0" applyFont="1" applyBorder="1" applyAlignment="1">
      <alignment horizontal="center"/>
    </xf>
    <xf numFmtId="0" fontId="13" fillId="10" borderId="0" xfId="0" applyFont="1" applyFill="1" applyAlignment="1">
      <alignment horizontal="center" vertical="center" wrapText="1"/>
    </xf>
    <xf numFmtId="0" fontId="0" fillId="10" borderId="0" xfId="0" applyFill="1" applyAlignment="1">
      <alignment vertical="center" wrapText="1"/>
    </xf>
    <xf numFmtId="0" fontId="134" fillId="0" borderId="0" xfId="0" quotePrefix="1" applyFont="1" applyAlignment="1">
      <alignment horizontal="center" vertical="center" wrapText="1"/>
    </xf>
    <xf numFmtId="0" fontId="102" fillId="0" borderId="0" xfId="0" applyFont="1" applyAlignment="1">
      <alignment horizontal="center" vertical="center"/>
    </xf>
    <xf numFmtId="0" fontId="57" fillId="10" borderId="0" xfId="0" applyFont="1" applyFill="1" applyAlignment="1">
      <alignment vertical="center" wrapText="1"/>
    </xf>
    <xf numFmtId="49" fontId="113" fillId="4" borderId="12" xfId="0" applyNumberFormat="1" applyFont="1" applyFill="1" applyBorder="1" applyAlignment="1">
      <alignment horizontal="center" vertical="top" wrapText="1"/>
    </xf>
    <xf numFmtId="0" fontId="135" fillId="4" borderId="62" xfId="0" applyFont="1" applyFill="1" applyBorder="1" applyAlignment="1">
      <alignment horizontal="center" vertical="center"/>
    </xf>
    <xf numFmtId="169" fontId="100" fillId="4" borderId="12" xfId="0" applyNumberFormat="1" applyFont="1" applyFill="1" applyBorder="1"/>
    <xf numFmtId="49" fontId="135" fillId="4" borderId="62" xfId="0" applyNumberFormat="1" applyFont="1" applyFill="1" applyBorder="1" applyAlignment="1">
      <alignment horizontal="center" vertical="center"/>
    </xf>
    <xf numFmtId="49" fontId="113" fillId="4" borderId="12" xfId="0" applyNumberFormat="1" applyFont="1" applyFill="1" applyBorder="1" applyAlignment="1">
      <alignment horizontal="center" wrapText="1"/>
    </xf>
    <xf numFmtId="0" fontId="137" fillId="4" borderId="62" xfId="0" applyFont="1" applyFill="1" applyBorder="1" applyAlignment="1">
      <alignment vertical="center" wrapText="1"/>
    </xf>
    <xf numFmtId="0" fontId="104" fillId="4" borderId="36" xfId="0" applyFont="1" applyFill="1" applyBorder="1" applyAlignment="1">
      <alignment vertical="center"/>
    </xf>
    <xf numFmtId="49" fontId="107" fillId="4" borderId="12" xfId="0" applyNumberFormat="1" applyFont="1" applyFill="1" applyBorder="1" applyAlignment="1">
      <alignment horizontal="center" vertical="top" wrapText="1"/>
    </xf>
    <xf numFmtId="169" fontId="106" fillId="4" borderId="36" xfId="0" applyNumberFormat="1" applyFont="1" applyFill="1" applyBorder="1"/>
    <xf numFmtId="49" fontId="135" fillId="4" borderId="34" xfId="0" applyNumberFormat="1" applyFont="1" applyFill="1" applyBorder="1" applyAlignment="1">
      <alignment horizontal="center" vertical="center"/>
    </xf>
    <xf numFmtId="0" fontId="104" fillId="4" borderId="44" xfId="0" applyFont="1" applyFill="1" applyBorder="1" applyAlignment="1">
      <alignment vertical="center"/>
    </xf>
    <xf numFmtId="0" fontId="137" fillId="4" borderId="34" xfId="0" applyFont="1" applyFill="1" applyBorder="1" applyAlignment="1">
      <alignment horizontal="center" vertical="center"/>
    </xf>
    <xf numFmtId="0" fontId="113" fillId="4" borderId="44" xfId="0" applyFont="1" applyFill="1" applyBorder="1" applyAlignment="1">
      <alignment horizontal="left" wrapText="1"/>
    </xf>
    <xf numFmtId="49" fontId="30" fillId="4" borderId="33" xfId="1" applyNumberFormat="1" applyFont="1" applyFill="1" applyBorder="1" applyAlignment="1">
      <alignment horizontal="left"/>
    </xf>
    <xf numFmtId="4" fontId="30" fillId="4" borderId="18" xfId="1" applyNumberFormat="1" applyFont="1" applyFill="1" applyBorder="1"/>
    <xf numFmtId="164" fontId="30" fillId="4" borderId="18" xfId="1" applyNumberFormat="1" applyFont="1" applyFill="1" applyBorder="1"/>
    <xf numFmtId="164" fontId="49" fillId="4" borderId="19" xfId="1" applyNumberFormat="1" applyFont="1" applyFill="1" applyBorder="1"/>
    <xf numFmtId="49" fontId="30" fillId="4" borderId="11" xfId="1" applyNumberFormat="1" applyFont="1" applyFill="1" applyBorder="1" applyAlignment="1">
      <alignment horizontal="left"/>
    </xf>
    <xf numFmtId="4" fontId="30" fillId="4" borderId="12" xfId="1" applyNumberFormat="1" applyFont="1" applyFill="1" applyBorder="1"/>
    <xf numFmtId="164" fontId="30" fillId="4" borderId="12" xfId="1" applyNumberFormat="1" applyFont="1" applyFill="1" applyBorder="1"/>
    <xf numFmtId="164" fontId="30" fillId="4" borderId="61" xfId="1" applyNumberFormat="1" applyFont="1" applyFill="1" applyBorder="1"/>
    <xf numFmtId="164" fontId="30" fillId="4" borderId="12" xfId="1" quotePrefix="1" applyNumberFormat="1" applyFont="1" applyFill="1" applyBorder="1"/>
    <xf numFmtId="164" fontId="30" fillId="4" borderId="12" xfId="0" applyNumberFormat="1" applyFont="1" applyFill="1" applyBorder="1"/>
    <xf numFmtId="164" fontId="30" fillId="4" borderId="61" xfId="0" applyNumberFormat="1" applyFont="1" applyFill="1" applyBorder="1" applyAlignment="1">
      <alignment horizontal="right"/>
    </xf>
    <xf numFmtId="49" fontId="30" fillId="4" borderId="20" xfId="1" applyNumberFormat="1" applyFont="1" applyFill="1" applyBorder="1" applyAlignment="1">
      <alignment horizontal="left"/>
    </xf>
    <xf numFmtId="4" fontId="30" fillId="4" borderId="21" xfId="1" applyNumberFormat="1" applyFont="1" applyFill="1" applyBorder="1"/>
    <xf numFmtId="164" fontId="30" fillId="4" borderId="12" xfId="0" applyNumberFormat="1" applyFont="1" applyFill="1" applyBorder="1" applyAlignment="1">
      <alignment horizontal="right"/>
    </xf>
    <xf numFmtId="49" fontId="30" fillId="4" borderId="12" xfId="1" applyNumberFormat="1" applyFont="1" applyFill="1" applyBorder="1" applyAlignment="1">
      <alignment horizontal="left"/>
    </xf>
    <xf numFmtId="4" fontId="30" fillId="4" borderId="12" xfId="1" applyNumberFormat="1" applyFont="1" applyFill="1" applyBorder="1" applyAlignment="1">
      <alignment horizontal="left" wrapText="1"/>
    </xf>
    <xf numFmtId="164" fontId="30" fillId="4" borderId="58" xfId="0" applyNumberFormat="1" applyFont="1" applyFill="1" applyBorder="1"/>
    <xf numFmtId="164" fontId="30" fillId="4" borderId="58" xfId="0" applyNumberFormat="1" applyFont="1" applyFill="1" applyBorder="1" applyAlignment="1">
      <alignment horizontal="right"/>
    </xf>
    <xf numFmtId="164" fontId="30" fillId="4" borderId="18" xfId="1" applyNumberFormat="1" applyFont="1" applyFill="1" applyBorder="1" applyAlignment="1">
      <alignment horizontal="right"/>
    </xf>
    <xf numFmtId="164" fontId="30" fillId="4" borderId="76" xfId="1" applyNumberFormat="1" applyFont="1" applyFill="1" applyBorder="1" applyAlignment="1">
      <alignment horizontal="right"/>
    </xf>
    <xf numFmtId="164" fontId="30" fillId="4" borderId="12" xfId="1" applyNumberFormat="1" applyFont="1" applyFill="1" applyBorder="1" applyAlignment="1">
      <alignment horizontal="right"/>
    </xf>
    <xf numFmtId="164" fontId="30" fillId="4" borderId="61" xfId="1" applyNumberFormat="1" applyFont="1" applyFill="1" applyBorder="1" applyAlignment="1">
      <alignment horizontal="right"/>
    </xf>
    <xf numFmtId="164" fontId="30" fillId="4" borderId="36" xfId="1" applyNumberFormat="1" applyFont="1" applyFill="1" applyBorder="1" applyAlignment="1">
      <alignment horizontal="right"/>
    </xf>
    <xf numFmtId="4" fontId="30" fillId="4" borderId="61" xfId="1" applyNumberFormat="1" applyFont="1" applyFill="1" applyBorder="1"/>
    <xf numFmtId="164" fontId="30" fillId="4" borderId="57" xfId="1" applyNumberFormat="1" applyFont="1" applyFill="1" applyBorder="1" applyAlignment="1">
      <alignment horizontal="right"/>
    </xf>
    <xf numFmtId="164" fontId="30" fillId="4" borderId="0" xfId="1" applyNumberFormat="1" applyFont="1" applyFill="1" applyBorder="1" applyAlignment="1">
      <alignment horizontal="right"/>
    </xf>
    <xf numFmtId="164" fontId="30" fillId="4" borderId="66" xfId="1" applyNumberFormat="1" applyFont="1" applyFill="1" applyBorder="1" applyAlignment="1">
      <alignment horizontal="right"/>
    </xf>
    <xf numFmtId="4" fontId="30" fillId="4" borderId="37" xfId="1" applyNumberFormat="1" applyFont="1" applyFill="1" applyBorder="1"/>
    <xf numFmtId="4" fontId="30" fillId="4" borderId="12" xfId="1" applyNumberFormat="1" applyFont="1" applyFill="1" applyBorder="1" applyAlignment="1">
      <alignment wrapText="1"/>
    </xf>
    <xf numFmtId="0" fontId="113" fillId="4" borderId="12" xfId="0" applyFont="1" applyFill="1" applyBorder="1" applyAlignment="1">
      <alignment horizontal="left" vertical="center" wrapText="1"/>
    </xf>
    <xf numFmtId="49" fontId="5" fillId="10" borderId="0" xfId="0" applyNumberFormat="1" applyFont="1" applyFill="1"/>
    <xf numFmtId="0" fontId="9" fillId="10" borderId="0" xfId="0" applyFont="1" applyFill="1" applyAlignment="1">
      <alignment horizontal="center"/>
    </xf>
    <xf numFmtId="0" fontId="10" fillId="10" borderId="0" xfId="0" applyFont="1" applyFill="1" applyAlignment="1">
      <alignment horizontal="center"/>
    </xf>
    <xf numFmtId="0" fontId="5" fillId="10" borderId="0" xfId="0" applyFont="1" applyFill="1" applyAlignment="1">
      <alignment horizontal="center"/>
    </xf>
    <xf numFmtId="0" fontId="5" fillId="10" borderId="0" xfId="0" applyFont="1" applyFill="1"/>
    <xf numFmtId="0" fontId="8" fillId="10" borderId="0" xfId="0" applyFont="1" applyFill="1"/>
    <xf numFmtId="49" fontId="24" fillId="10" borderId="7" xfId="0" applyNumberFormat="1" applyFont="1" applyFill="1" applyBorder="1" applyAlignment="1">
      <alignment horizontal="center" vertical="top" wrapText="1"/>
    </xf>
    <xf numFmtId="0" fontId="24" fillId="10" borderId="8" xfId="0" applyFont="1" applyFill="1" applyBorder="1" applyAlignment="1">
      <alignment horizontal="center" vertical="top" wrapText="1"/>
    </xf>
    <xf numFmtId="0" fontId="24" fillId="10" borderId="9" xfId="0" applyFont="1" applyFill="1" applyBorder="1" applyAlignment="1">
      <alignment horizontal="center" vertical="top" wrapText="1"/>
    </xf>
    <xf numFmtId="0" fontId="13" fillId="10" borderId="10" xfId="0" applyFont="1" applyFill="1" applyBorder="1" applyAlignment="1">
      <alignment horizontal="center" vertical="center" wrapText="1"/>
    </xf>
    <xf numFmtId="49" fontId="15" fillId="10" borderId="51" xfId="0" applyNumberFormat="1" applyFont="1" applyFill="1" applyBorder="1" applyAlignment="1">
      <alignment horizontal="center"/>
    </xf>
    <xf numFmtId="49" fontId="15" fillId="10" borderId="34" xfId="0" applyNumberFormat="1" applyFont="1" applyFill="1" applyBorder="1" applyAlignment="1">
      <alignment horizontal="center"/>
    </xf>
    <xf numFmtId="1" fontId="29" fillId="10" borderId="12" xfId="4" applyNumberFormat="1" applyFont="1" applyFill="1" applyBorder="1" applyAlignment="1">
      <alignment horizontal="left" vertical="center"/>
    </xf>
    <xf numFmtId="49" fontId="29" fillId="10" borderId="12" xfId="4" applyNumberFormat="1" applyFont="1" applyFill="1" applyBorder="1" applyAlignment="1">
      <alignment horizontal="justify" vertical="center" wrapText="1"/>
    </xf>
    <xf numFmtId="164" fontId="15" fillId="10" borderId="6" xfId="3" applyNumberFormat="1" applyFont="1" applyFill="1" applyBorder="1" applyAlignment="1">
      <alignment horizontal="right"/>
    </xf>
    <xf numFmtId="1" fontId="29" fillId="10" borderId="12" xfId="4" applyNumberFormat="1" applyFont="1" applyFill="1" applyBorder="1" applyAlignment="1">
      <alignment vertical="center"/>
    </xf>
    <xf numFmtId="164" fontId="15" fillId="10" borderId="3" xfId="3" applyNumberFormat="1" applyFont="1" applyFill="1" applyBorder="1" applyAlignment="1">
      <alignment horizontal="right"/>
    </xf>
    <xf numFmtId="0" fontId="29" fillId="10" borderId="12" xfId="0" applyFont="1" applyFill="1" applyBorder="1" applyAlignment="1">
      <alignment horizontal="left" vertical="center"/>
    </xf>
    <xf numFmtId="0" fontId="29" fillId="10" borderId="12" xfId="0" applyFont="1" applyFill="1" applyBorder="1" applyAlignment="1">
      <alignment horizontal="left" vertical="center" wrapText="1"/>
    </xf>
    <xf numFmtId="49" fontId="14" fillId="14" borderId="17" xfId="0" applyNumberFormat="1" applyFont="1" applyFill="1" applyBorder="1"/>
    <xf numFmtId="49" fontId="14" fillId="14" borderId="14" xfId="0" applyNumberFormat="1" applyFont="1" applyFill="1" applyBorder="1" applyAlignment="1">
      <alignment horizontal="center"/>
    </xf>
    <xf numFmtId="49" fontId="14" fillId="14" borderId="15" xfId="0" applyNumberFormat="1" applyFont="1" applyFill="1" applyBorder="1" applyAlignment="1">
      <alignment horizontal="center"/>
    </xf>
    <xf numFmtId="49" fontId="14" fillId="14" borderId="27" xfId="0" applyNumberFormat="1" applyFont="1" applyFill="1" applyBorder="1" applyAlignment="1">
      <alignment horizontal="center"/>
    </xf>
    <xf numFmtId="0" fontId="14" fillId="14" borderId="23" xfId="0" applyFont="1" applyFill="1" applyBorder="1" applyAlignment="1">
      <alignment horizontal="center"/>
    </xf>
    <xf numFmtId="166" fontId="14" fillId="14" borderId="5" xfId="3" applyFont="1" applyFill="1" applyBorder="1"/>
    <xf numFmtId="49" fontId="9" fillId="10" borderId="0" xfId="0" applyNumberFormat="1" applyFont="1" applyFill="1" applyAlignment="1">
      <alignment horizontal="center"/>
    </xf>
    <xf numFmtId="49" fontId="10" fillId="10" borderId="0" xfId="0" applyNumberFormat="1" applyFont="1" applyFill="1" applyAlignment="1">
      <alignment horizontal="center"/>
    </xf>
    <xf numFmtId="49" fontId="5" fillId="10" borderId="0" xfId="0" applyNumberFormat="1" applyFont="1" applyFill="1" applyAlignment="1">
      <alignment horizontal="center"/>
    </xf>
    <xf numFmtId="49" fontId="5" fillId="10" borderId="28" xfId="0" applyNumberFormat="1" applyFont="1" applyFill="1" applyBorder="1" applyAlignment="1">
      <alignment horizontal="center"/>
    </xf>
    <xf numFmtId="49" fontId="5" fillId="10" borderId="0" xfId="0" applyNumberFormat="1" applyFont="1" applyFill="1" applyAlignment="1">
      <alignment horizontal="left"/>
    </xf>
    <xf numFmtId="0" fontId="5" fillId="10" borderId="0" xfId="0" applyFont="1" applyFill="1" applyAlignment="1">
      <alignment horizontal="left"/>
    </xf>
    <xf numFmtId="0" fontId="5" fillId="10" borderId="28" xfId="0" applyFont="1" applyFill="1" applyBorder="1" applyAlignment="1">
      <alignment horizontal="left"/>
    </xf>
    <xf numFmtId="0" fontId="6" fillId="10" borderId="29" xfId="0" applyFont="1" applyFill="1" applyBorder="1" applyAlignment="1">
      <alignment horizontal="left"/>
    </xf>
    <xf numFmtId="49" fontId="5" fillId="10" borderId="28" xfId="0" applyNumberFormat="1" applyFont="1" applyFill="1" applyBorder="1" applyAlignment="1">
      <alignment horizontal="left"/>
    </xf>
    <xf numFmtId="49" fontId="29" fillId="0" borderId="61" xfId="4" applyNumberFormat="1" applyFont="1" applyBorder="1" applyAlignment="1">
      <alignment horizontal="justify" vertical="center" wrapText="1"/>
    </xf>
    <xf numFmtId="49" fontId="29" fillId="0" borderId="36" xfId="4" applyNumberFormat="1" applyFont="1" applyBorder="1" applyAlignment="1">
      <alignment horizontal="justify" vertical="center" wrapText="1"/>
    </xf>
    <xf numFmtId="49" fontId="5" fillId="0" borderId="0" xfId="0" applyNumberFormat="1" applyFont="1"/>
    <xf numFmtId="0" fontId="10" fillId="0" borderId="0" xfId="0" applyFont="1" applyAlignment="1">
      <alignment horizontal="center"/>
    </xf>
    <xf numFmtId="49" fontId="15" fillId="0" borderId="51" xfId="0" applyNumberFormat="1" applyFont="1" applyBorder="1" applyAlignment="1">
      <alignment horizontal="center"/>
    </xf>
    <xf numFmtId="49" fontId="15" fillId="0" borderId="34" xfId="0" applyNumberFormat="1" applyFont="1" applyBorder="1" applyAlignment="1">
      <alignment horizontal="center"/>
    </xf>
    <xf numFmtId="49" fontId="15" fillId="0" borderId="16" xfId="0" applyNumberFormat="1" applyFont="1" applyBorder="1" applyAlignment="1">
      <alignment horizontal="left"/>
    </xf>
    <xf numFmtId="164" fontId="15" fillId="0" borderId="12" xfId="3" applyNumberFormat="1" applyFont="1" applyFill="1" applyBorder="1" applyAlignment="1">
      <alignment horizontal="right"/>
    </xf>
    <xf numFmtId="49" fontId="15" fillId="0" borderId="6" xfId="0" applyNumberFormat="1" applyFont="1" applyBorder="1" applyAlignment="1">
      <alignment horizontal="left"/>
    </xf>
    <xf numFmtId="49" fontId="5" fillId="0" borderId="28" xfId="0" applyNumberFormat="1" applyFont="1" applyBorder="1" applyAlignment="1">
      <alignment horizontal="center"/>
    </xf>
    <xf numFmtId="0" fontId="5" fillId="0" borderId="28" xfId="0" applyFont="1" applyBorder="1" applyAlignment="1">
      <alignment horizontal="left"/>
    </xf>
    <xf numFmtId="0" fontId="6" fillId="0" borderId="29" xfId="0" applyFont="1" applyBorder="1" applyAlignment="1">
      <alignment horizontal="left"/>
    </xf>
    <xf numFmtId="49" fontId="5" fillId="0" borderId="28" xfId="0" applyNumberFormat="1" applyFont="1" applyBorder="1" applyAlignment="1">
      <alignment horizontal="left"/>
    </xf>
    <xf numFmtId="166" fontId="103" fillId="4" borderId="0" xfId="3" applyFont="1" applyFill="1" applyBorder="1" applyAlignment="1">
      <alignment horizontal="center" vertical="center" wrapText="1"/>
    </xf>
    <xf numFmtId="0" fontId="103" fillId="4" borderId="12" xfId="0" applyFont="1" applyFill="1" applyBorder="1" applyAlignment="1">
      <alignment horizontal="center" vertical="center" wrapText="1"/>
    </xf>
    <xf numFmtId="164" fontId="28" fillId="4" borderId="12" xfId="3" applyNumberFormat="1" applyFont="1" applyFill="1" applyBorder="1" applyAlignment="1">
      <alignment horizontal="right"/>
    </xf>
    <xf numFmtId="169" fontId="46" fillId="4" borderId="12" xfId="1" applyNumberFormat="1" applyFont="1" applyFill="1" applyBorder="1"/>
    <xf numFmtId="169" fontId="46" fillId="0" borderId="12" xfId="1" applyNumberFormat="1" applyFont="1" applyFill="1" applyBorder="1"/>
    <xf numFmtId="169" fontId="4" fillId="4" borderId="63" xfId="3" applyNumberFormat="1" applyFont="1" applyFill="1" applyBorder="1" applyAlignment="1">
      <alignment horizontal="right"/>
    </xf>
    <xf numFmtId="49" fontId="100" fillId="0" borderId="12" xfId="0" applyNumberFormat="1" applyFont="1" applyBorder="1" applyAlignment="1">
      <alignment horizontal="center" vertical="top" wrapText="1"/>
    </xf>
    <xf numFmtId="166" fontId="100" fillId="0" borderId="12" xfId="3" applyFont="1" applyFill="1" applyBorder="1" applyAlignment="1">
      <alignment horizontal="left"/>
    </xf>
    <xf numFmtId="0" fontId="100" fillId="0" borderId="62" xfId="0" applyFont="1" applyBorder="1" applyAlignment="1">
      <alignment horizontal="left" vertical="center"/>
    </xf>
    <xf numFmtId="0" fontId="113" fillId="0" borderId="34" xfId="0" applyFont="1" applyBorder="1" applyAlignment="1">
      <alignment horizontal="left" vertical="center" wrapText="1"/>
    </xf>
    <xf numFmtId="0" fontId="66" fillId="0" borderId="28" xfId="0" applyFont="1" applyBorder="1" applyAlignment="1">
      <alignment horizontal="center"/>
    </xf>
    <xf numFmtId="49" fontId="66" fillId="0" borderId="0" xfId="0" applyNumberFormat="1" applyFont="1" applyAlignment="1">
      <alignment horizontal="left"/>
    </xf>
    <xf numFmtId="171" fontId="66" fillId="0" borderId="0" xfId="0" applyNumberFormat="1" applyFont="1" applyAlignment="1">
      <alignment horizontal="center"/>
    </xf>
    <xf numFmtId="0" fontId="66" fillId="0" borderId="0" xfId="0" applyFont="1" applyAlignment="1">
      <alignment horizontal="center"/>
    </xf>
    <xf numFmtId="0" fontId="64" fillId="0" borderId="12" xfId="0" quotePrefix="1" applyFont="1" applyBorder="1" applyAlignment="1">
      <alignment horizontal="left"/>
    </xf>
    <xf numFmtId="166" fontId="146" fillId="0" borderId="12" xfId="3" applyFont="1" applyFill="1" applyBorder="1"/>
    <xf numFmtId="0" fontId="66" fillId="0" borderId="12" xfId="0" quotePrefix="1" applyFont="1" applyBorder="1" applyAlignment="1">
      <alignment horizontal="left"/>
    </xf>
    <xf numFmtId="0" fontId="80" fillId="0" borderId="0" xfId="0" applyFont="1"/>
    <xf numFmtId="0" fontId="165" fillId="0" borderId="0" xfId="0" applyFont="1"/>
    <xf numFmtId="0" fontId="166" fillId="0" borderId="0" xfId="0" applyFont="1"/>
    <xf numFmtId="49" fontId="166" fillId="0" borderId="0" xfId="0" applyNumberFormat="1" applyFont="1" applyAlignment="1">
      <alignment horizontal="center"/>
    </xf>
    <xf numFmtId="171" fontId="165" fillId="0" borderId="0" xfId="0" applyNumberFormat="1" applyFont="1" applyAlignment="1">
      <alignment horizontal="center"/>
    </xf>
    <xf numFmtId="0" fontId="80" fillId="0" borderId="43" xfId="0" applyFont="1" applyBorder="1"/>
    <xf numFmtId="166" fontId="146" fillId="0" borderId="12" xfId="3" applyFont="1" applyFill="1" applyBorder="1" applyAlignment="1"/>
    <xf numFmtId="4" fontId="66" fillId="0" borderId="12" xfId="0" applyNumberFormat="1" applyFont="1" applyBorder="1"/>
    <xf numFmtId="169" fontId="76" fillId="0" borderId="185" xfId="0" applyNumberFormat="1" applyFont="1" applyBorder="1"/>
    <xf numFmtId="169" fontId="64" fillId="0" borderId="186" xfId="3" applyNumberFormat="1" applyFont="1" applyFill="1" applyBorder="1" applyAlignment="1">
      <alignment horizontal="right"/>
    </xf>
    <xf numFmtId="49" fontId="171" fillId="0" borderId="12" xfId="0" quotePrefix="1" applyNumberFormat="1" applyFont="1" applyBorder="1" applyAlignment="1">
      <alignment horizontal="left" vertical="center" wrapText="1"/>
    </xf>
    <xf numFmtId="49" fontId="171" fillId="0" borderId="12" xfId="0" applyNumberFormat="1" applyFont="1" applyBorder="1" applyAlignment="1">
      <alignment horizontal="left" vertical="center" wrapText="1"/>
    </xf>
    <xf numFmtId="169" fontId="113" fillId="4" borderId="12" xfId="0" applyNumberFormat="1" applyFont="1" applyFill="1" applyBorder="1" applyAlignment="1">
      <alignment horizontal="center"/>
    </xf>
    <xf numFmtId="169" fontId="64" fillId="0" borderId="0" xfId="0" applyNumberFormat="1" applyFont="1"/>
    <xf numFmtId="0" fontId="100" fillId="0" borderId="12" xfId="0" applyFont="1" applyBorder="1" applyAlignment="1">
      <alignment vertical="center" wrapText="1"/>
    </xf>
    <xf numFmtId="49" fontId="16" fillId="4" borderId="12" xfId="1" applyNumberFormat="1" applyFont="1" applyFill="1" applyBorder="1" applyAlignment="1">
      <alignment horizontal="left"/>
    </xf>
    <xf numFmtId="166" fontId="2" fillId="0" borderId="174" xfId="3" applyFont="1" applyFill="1" applyBorder="1"/>
    <xf numFmtId="166" fontId="2" fillId="0" borderId="175" xfId="3" applyFont="1" applyFill="1" applyBorder="1"/>
    <xf numFmtId="166" fontId="2" fillId="0" borderId="176" xfId="3" applyFont="1" applyFill="1" applyBorder="1"/>
    <xf numFmtId="169" fontId="173" fillId="0" borderId="165" xfId="3" applyNumberFormat="1" applyFont="1" applyFill="1" applyBorder="1" applyAlignment="1">
      <alignment horizontal="right"/>
    </xf>
    <xf numFmtId="169" fontId="173" fillId="0" borderId="34" xfId="3" applyNumberFormat="1" applyFont="1" applyFill="1" applyBorder="1" applyAlignment="1">
      <alignment horizontal="right"/>
    </xf>
    <xf numFmtId="169" fontId="173" fillId="0" borderId="150" xfId="3" applyNumberFormat="1" applyFont="1" applyFill="1" applyBorder="1" applyAlignment="1">
      <alignment horizontal="right"/>
    </xf>
    <xf numFmtId="169" fontId="173" fillId="0" borderId="67" xfId="3" applyNumberFormat="1" applyFont="1" applyFill="1" applyBorder="1" applyAlignment="1">
      <alignment horizontal="right"/>
    </xf>
    <xf numFmtId="169" fontId="173" fillId="0" borderId="62" xfId="3" applyNumberFormat="1" applyFont="1" applyFill="1" applyBorder="1" applyAlignment="1">
      <alignment horizontal="right"/>
    </xf>
    <xf numFmtId="169" fontId="173" fillId="0" borderId="12" xfId="3" applyNumberFormat="1" applyFont="1" applyFill="1" applyBorder="1" applyAlignment="1">
      <alignment horizontal="right"/>
    </xf>
    <xf numFmtId="169" fontId="173" fillId="0" borderId="186" xfId="3" applyNumberFormat="1" applyFont="1" applyFill="1" applyBorder="1" applyAlignment="1">
      <alignment horizontal="right"/>
    </xf>
    <xf numFmtId="169" fontId="173" fillId="0" borderId="166" xfId="3" applyNumberFormat="1" applyFont="1" applyFill="1" applyBorder="1" applyAlignment="1">
      <alignment horizontal="right"/>
    </xf>
    <xf numFmtId="169" fontId="173" fillId="0" borderId="168" xfId="3" applyNumberFormat="1" applyFont="1" applyFill="1" applyBorder="1" applyAlignment="1">
      <alignment horizontal="right"/>
    </xf>
    <xf numFmtId="169" fontId="174" fillId="0" borderId="67" xfId="3" applyNumberFormat="1" applyFont="1" applyFill="1" applyBorder="1" applyAlignment="1">
      <alignment horizontal="right"/>
    </xf>
    <xf numFmtId="166" fontId="2" fillId="0" borderId="172" xfId="3" applyFont="1" applyFill="1" applyBorder="1"/>
    <xf numFmtId="166" fontId="2" fillId="0" borderId="170" xfId="3" applyFont="1" applyFill="1" applyBorder="1"/>
    <xf numFmtId="166" fontId="2" fillId="0" borderId="171" xfId="3" applyFont="1" applyFill="1" applyBorder="1"/>
    <xf numFmtId="169" fontId="173" fillId="0" borderId="173" xfId="3" applyNumberFormat="1" applyFont="1" applyFill="1" applyBorder="1" applyAlignment="1">
      <alignment horizontal="right"/>
    </xf>
    <xf numFmtId="169" fontId="173" fillId="0" borderId="137" xfId="3" applyNumberFormat="1" applyFont="1" applyFill="1" applyBorder="1" applyAlignment="1">
      <alignment horizontal="right"/>
    </xf>
    <xf numFmtId="169" fontId="173" fillId="0" borderId="63" xfId="3" applyNumberFormat="1" applyFont="1" applyFill="1" applyBorder="1" applyAlignment="1">
      <alignment horizontal="right"/>
    </xf>
    <xf numFmtId="169" fontId="173" fillId="0" borderId="61" xfId="3" applyNumberFormat="1" applyFont="1" applyFill="1" applyBorder="1" applyAlignment="1">
      <alignment horizontal="right"/>
    </xf>
    <xf numFmtId="166" fontId="2" fillId="0" borderId="0" xfId="3" applyFont="1" applyFill="1"/>
    <xf numFmtId="169" fontId="173" fillId="0" borderId="63" xfId="0" applyNumberFormat="1" applyFont="1" applyBorder="1"/>
    <xf numFmtId="169" fontId="173" fillId="0" borderId="61" xfId="0" applyNumberFormat="1" applyFont="1" applyBorder="1"/>
    <xf numFmtId="169" fontId="173" fillId="0" borderId="12" xfId="0" applyNumberFormat="1" applyFont="1" applyBorder="1"/>
    <xf numFmtId="166" fontId="2" fillId="0" borderId="173" xfId="3" applyFont="1" applyFill="1" applyBorder="1"/>
    <xf numFmtId="166" fontId="2" fillId="0" borderId="12" xfId="3" applyFont="1" applyFill="1" applyBorder="1"/>
    <xf numFmtId="166" fontId="2" fillId="0" borderId="136" xfId="3" applyFont="1" applyFill="1" applyBorder="1"/>
    <xf numFmtId="0" fontId="173" fillId="0" borderId="0" xfId="0" applyFont="1"/>
    <xf numFmtId="166" fontId="2" fillId="0" borderId="63" xfId="3" applyFont="1" applyFill="1" applyBorder="1"/>
    <xf numFmtId="166" fontId="2" fillId="0" borderId="155" xfId="3" applyFont="1" applyFill="1" applyBorder="1"/>
    <xf numFmtId="166" fontId="2" fillId="0" borderId="178" xfId="3" applyFont="1" applyFill="1" applyBorder="1"/>
    <xf numFmtId="166" fontId="2" fillId="0" borderId="67" xfId="3" applyFont="1" applyFill="1" applyBorder="1"/>
    <xf numFmtId="166" fontId="2" fillId="0" borderId="34" xfId="3" applyFont="1" applyFill="1" applyBorder="1"/>
    <xf numFmtId="169" fontId="173" fillId="0" borderId="137" xfId="0" applyNumberFormat="1" applyFont="1" applyBorder="1"/>
    <xf numFmtId="169" fontId="29" fillId="0" borderId="150" xfId="3" applyNumberFormat="1" applyFont="1" applyFill="1" applyBorder="1" applyAlignment="1">
      <alignment horizontal="right"/>
    </xf>
    <xf numFmtId="169" fontId="29" fillId="0" borderId="137" xfId="1" applyNumberFormat="1" applyFont="1" applyFill="1" applyBorder="1"/>
    <xf numFmtId="166" fontId="173" fillId="0" borderId="12" xfId="3" applyFont="1" applyFill="1" applyBorder="1"/>
    <xf numFmtId="169" fontId="175" fillId="0" borderId="63" xfId="0" applyNumberFormat="1" applyFont="1" applyBorder="1"/>
    <xf numFmtId="169" fontId="175" fillId="0" borderId="12" xfId="0" applyNumberFormat="1" applyFont="1" applyBorder="1"/>
    <xf numFmtId="169" fontId="175" fillId="0" borderId="137" xfId="0" applyNumberFormat="1" applyFont="1" applyBorder="1"/>
    <xf numFmtId="169" fontId="175" fillId="0" borderId="61" xfId="0" applyNumberFormat="1" applyFont="1" applyBorder="1"/>
    <xf numFmtId="169" fontId="175" fillId="0" borderId="49" xfId="0" applyNumberFormat="1" applyFont="1" applyBorder="1"/>
    <xf numFmtId="169" fontId="175" fillId="0" borderId="21" xfId="0" applyNumberFormat="1" applyFont="1" applyBorder="1"/>
    <xf numFmtId="169" fontId="175" fillId="0" borderId="138" xfId="0" applyNumberFormat="1" applyFont="1" applyBorder="1"/>
    <xf numFmtId="169" fontId="175" fillId="0" borderId="151" xfId="0" applyNumberFormat="1" applyFont="1" applyBorder="1"/>
    <xf numFmtId="169" fontId="175" fillId="0" borderId="77" xfId="0" applyNumberFormat="1" applyFont="1" applyBorder="1"/>
    <xf numFmtId="0" fontId="29" fillId="0" borderId="126" xfId="0" applyFont="1" applyBorder="1"/>
    <xf numFmtId="0" fontId="173" fillId="0" borderId="122" xfId="0" applyFont="1" applyBorder="1"/>
    <xf numFmtId="0" fontId="173" fillId="0" borderId="128" xfId="0" applyFont="1" applyBorder="1"/>
    <xf numFmtId="0" fontId="173" fillId="0" borderId="112" xfId="0" applyFont="1" applyBorder="1"/>
    <xf numFmtId="166" fontId="173" fillId="0" borderId="109" xfId="3" applyFont="1" applyFill="1" applyBorder="1"/>
    <xf numFmtId="0" fontId="173" fillId="0" borderId="103" xfId="0" applyFont="1" applyBorder="1"/>
    <xf numFmtId="169" fontId="173" fillId="0" borderId="112" xfId="0" applyNumberFormat="1" applyFont="1" applyBorder="1"/>
    <xf numFmtId="0" fontId="173" fillId="0" borderId="106" xfId="0" applyFont="1" applyBorder="1"/>
    <xf numFmtId="0" fontId="173" fillId="0" borderId="126" xfId="0" applyFont="1" applyBorder="1"/>
    <xf numFmtId="0" fontId="173" fillId="0" borderId="104" xfId="0" applyFont="1" applyBorder="1"/>
    <xf numFmtId="0" fontId="173" fillId="0" borderId="110" xfId="0" applyFont="1" applyBorder="1" applyAlignment="1">
      <alignment horizontal="left"/>
    </xf>
    <xf numFmtId="169" fontId="173" fillId="0" borderId="108" xfId="0" applyNumberFormat="1" applyFont="1" applyBorder="1"/>
    <xf numFmtId="169" fontId="173" fillId="0" borderId="110" xfId="0" applyNumberFormat="1" applyFont="1" applyBorder="1"/>
    <xf numFmtId="169" fontId="173" fillId="0" borderId="107" xfId="0" applyNumberFormat="1" applyFont="1" applyBorder="1"/>
    <xf numFmtId="0" fontId="173" fillId="0" borderId="116" xfId="0" applyFont="1" applyBorder="1"/>
    <xf numFmtId="169" fontId="173" fillId="0" borderId="113" xfId="0" applyNumberFormat="1" applyFont="1" applyBorder="1"/>
    <xf numFmtId="0" fontId="173" fillId="0" borderId="114" xfId="0" applyFont="1" applyBorder="1"/>
    <xf numFmtId="164" fontId="173" fillId="0" borderId="115" xfId="0" applyNumberFormat="1" applyFont="1" applyBorder="1"/>
    <xf numFmtId="0" fontId="4" fillId="8" borderId="61" xfId="0" applyFont="1" applyFill="1" applyBorder="1" applyAlignment="1">
      <alignment vertical="center" wrapText="1"/>
    </xf>
    <xf numFmtId="165" fontId="30" fillId="0" borderId="42" xfId="2" applyFont="1" applyBorder="1" applyAlignment="1">
      <alignment horizontal="left" vertical="center"/>
    </xf>
    <xf numFmtId="166" fontId="30" fillId="2" borderId="6" xfId="3" applyFont="1" applyFill="1" applyBorder="1" applyAlignment="1">
      <alignment horizontal="left" vertical="center"/>
    </xf>
    <xf numFmtId="166" fontId="30" fillId="2" borderId="11" xfId="3" applyFont="1" applyFill="1" applyBorder="1" applyAlignment="1">
      <alignment horizontal="left" vertical="center"/>
    </xf>
    <xf numFmtId="166" fontId="30" fillId="2" borderId="44" xfId="3" applyFont="1" applyFill="1" applyBorder="1" applyAlignment="1">
      <alignment horizontal="left" vertical="center"/>
    </xf>
    <xf numFmtId="166" fontId="30" fillId="0" borderId="6" xfId="3" applyFont="1" applyFill="1" applyBorder="1" applyAlignment="1">
      <alignment horizontal="left" vertical="center"/>
    </xf>
    <xf numFmtId="165" fontId="30" fillId="0" borderId="94" xfId="2" applyFont="1" applyBorder="1" applyAlignment="1">
      <alignment horizontal="left" vertical="center"/>
    </xf>
    <xf numFmtId="166" fontId="30" fillId="2" borderId="3" xfId="3" applyFont="1" applyFill="1" applyBorder="1" applyAlignment="1">
      <alignment horizontal="left" vertical="center"/>
    </xf>
    <xf numFmtId="166" fontId="30" fillId="2" borderId="36" xfId="3" applyFont="1" applyFill="1" applyBorder="1" applyAlignment="1">
      <alignment horizontal="left" vertical="center"/>
    </xf>
    <xf numFmtId="166" fontId="30" fillId="0" borderId="3" xfId="3" applyFont="1" applyFill="1" applyBorder="1" applyAlignment="1">
      <alignment horizontal="left" vertical="center"/>
    </xf>
    <xf numFmtId="165" fontId="30" fillId="0" borderId="94" xfId="2" applyFont="1" applyFill="1" applyBorder="1" applyAlignment="1">
      <alignment horizontal="left" vertical="center"/>
    </xf>
    <xf numFmtId="165" fontId="30" fillId="0" borderId="94" xfId="2" quotePrefix="1" applyFont="1" applyBorder="1" applyAlignment="1">
      <alignment horizontal="left" vertical="center"/>
    </xf>
    <xf numFmtId="0" fontId="30" fillId="0" borderId="61" xfId="0" applyFont="1" applyBorder="1" applyAlignment="1">
      <alignment horizontal="left" vertical="center"/>
    </xf>
    <xf numFmtId="166" fontId="30" fillId="2" borderId="13" xfId="3" applyFont="1" applyFill="1" applyBorder="1" applyAlignment="1">
      <alignment horizontal="left" vertical="center"/>
    </xf>
    <xf numFmtId="165" fontId="30" fillId="0" borderId="24" xfId="2" applyFont="1" applyBorder="1" applyAlignment="1">
      <alignment horizontal="left" vertical="center"/>
    </xf>
    <xf numFmtId="166" fontId="30" fillId="2" borderId="35" xfId="3" applyFont="1" applyFill="1" applyBorder="1" applyAlignment="1">
      <alignment horizontal="left" vertical="center"/>
    </xf>
    <xf numFmtId="166" fontId="30" fillId="2" borderId="24" xfId="3" applyFont="1" applyFill="1" applyBorder="1" applyAlignment="1">
      <alignment horizontal="left" vertical="center"/>
    </xf>
    <xf numFmtId="166" fontId="30" fillId="2" borderId="20" xfId="3" applyFont="1" applyFill="1" applyBorder="1" applyAlignment="1">
      <alignment horizontal="left" vertical="center"/>
    </xf>
    <xf numFmtId="166" fontId="30" fillId="0" borderId="26" xfId="3" applyFont="1" applyFill="1" applyBorder="1" applyAlignment="1">
      <alignment horizontal="left" vertical="center"/>
    </xf>
    <xf numFmtId="165" fontId="30" fillId="0" borderId="3" xfId="2" applyFont="1" applyBorder="1" applyAlignment="1">
      <alignment horizontal="left" vertical="center"/>
    </xf>
    <xf numFmtId="166" fontId="30" fillId="0" borderId="26" xfId="3" applyFont="1" applyBorder="1" applyAlignment="1">
      <alignment horizontal="left" vertical="center"/>
    </xf>
    <xf numFmtId="166" fontId="30" fillId="0" borderId="11" xfId="3" applyFont="1" applyBorder="1" applyAlignment="1">
      <alignment horizontal="left" vertical="center"/>
    </xf>
    <xf numFmtId="166" fontId="30" fillId="2" borderId="26" xfId="3" applyFont="1" applyFill="1" applyBorder="1" applyAlignment="1">
      <alignment horizontal="left" vertical="center"/>
    </xf>
    <xf numFmtId="166" fontId="30" fillId="0" borderId="3" xfId="3" applyFont="1" applyBorder="1" applyAlignment="1">
      <alignment horizontal="left" vertical="center"/>
    </xf>
    <xf numFmtId="166" fontId="30" fillId="2" borderId="51" xfId="3" applyFont="1" applyFill="1" applyBorder="1" applyAlignment="1">
      <alignment horizontal="left" vertical="center"/>
    </xf>
    <xf numFmtId="166" fontId="5" fillId="2" borderId="36" xfId="3" applyFont="1" applyFill="1" applyBorder="1" applyAlignment="1">
      <alignment horizontal="left" vertical="center"/>
    </xf>
    <xf numFmtId="165" fontId="30" fillId="0" borderId="42" xfId="2" applyFont="1" applyBorder="1" applyAlignment="1">
      <alignment horizontal="left" vertical="center" wrapText="1"/>
    </xf>
    <xf numFmtId="165" fontId="30" fillId="0" borderId="94" xfId="2" quotePrefix="1" applyFont="1" applyBorder="1" applyAlignment="1">
      <alignment horizontal="left" vertical="center" wrapText="1"/>
    </xf>
    <xf numFmtId="166" fontId="4" fillId="0" borderId="156" xfId="3" applyFont="1" applyFill="1" applyBorder="1"/>
    <xf numFmtId="0" fontId="0" fillId="16" borderId="0" xfId="0" applyFill="1"/>
    <xf numFmtId="169" fontId="66" fillId="0" borderId="62" xfId="3" applyNumberFormat="1" applyFont="1" applyFill="1" applyBorder="1" applyAlignment="1">
      <alignment horizontal="right"/>
    </xf>
    <xf numFmtId="49" fontId="108" fillId="0" borderId="54" xfId="0" applyNumberFormat="1" applyFont="1" applyBorder="1" applyAlignment="1">
      <alignment horizontal="left"/>
    </xf>
    <xf numFmtId="0" fontId="0" fillId="0" borderId="0" xfId="0" applyAlignment="1">
      <alignment vertical="center" wrapText="1"/>
    </xf>
    <xf numFmtId="0" fontId="66" fillId="0" borderId="29" xfId="0" quotePrefix="1" applyFont="1" applyBorder="1" applyAlignment="1">
      <alignment horizontal="left" wrapText="1"/>
    </xf>
    <xf numFmtId="0" fontId="66" fillId="0" borderId="29" xfId="0" applyFont="1" applyBorder="1" applyAlignment="1">
      <alignment vertical="center"/>
    </xf>
    <xf numFmtId="0" fontId="66" fillId="0" borderId="29" xfId="0" applyFont="1" applyBorder="1" applyAlignment="1">
      <alignment wrapText="1"/>
    </xf>
    <xf numFmtId="0" fontId="60" fillId="0" borderId="29" xfId="0" applyFont="1" applyBorder="1" applyAlignment="1">
      <alignment wrapText="1"/>
    </xf>
    <xf numFmtId="0" fontId="13" fillId="16" borderId="0" xfId="0" applyFont="1" applyFill="1" applyAlignment="1">
      <alignment horizontal="center" vertical="center" wrapText="1"/>
    </xf>
    <xf numFmtId="169" fontId="47" fillId="0" borderId="12" xfId="1" applyNumberFormat="1" applyFont="1" applyFill="1" applyBorder="1" applyAlignment="1">
      <alignment horizontal="left"/>
    </xf>
    <xf numFmtId="4" fontId="46" fillId="0" borderId="12" xfId="1" applyNumberFormat="1" applyFont="1" applyFill="1" applyBorder="1" applyAlignment="1">
      <alignment horizontal="left"/>
    </xf>
    <xf numFmtId="170" fontId="151" fillId="15" borderId="74" xfId="0" applyNumberFormat="1" applyFont="1" applyFill="1" applyBorder="1"/>
    <xf numFmtId="170" fontId="100" fillId="17" borderId="85" xfId="0" applyNumberFormat="1" applyFont="1" applyFill="1" applyBorder="1"/>
    <xf numFmtId="169" fontId="27" fillId="15" borderId="50" xfId="3" applyNumberFormat="1" applyFont="1" applyFill="1" applyBorder="1" applyAlignment="1">
      <alignment horizontal="right"/>
    </xf>
    <xf numFmtId="164" fontId="181" fillId="18" borderId="48" xfId="3" applyNumberFormat="1" applyFont="1" applyFill="1" applyBorder="1" applyAlignment="1">
      <alignment horizontal="right"/>
    </xf>
    <xf numFmtId="0" fontId="64" fillId="15" borderId="161" xfId="0" applyFont="1" applyFill="1" applyBorder="1" applyAlignment="1">
      <alignment textRotation="90" wrapText="1"/>
    </xf>
    <xf numFmtId="0" fontId="85" fillId="15" borderId="160" xfId="0" applyFont="1" applyFill="1" applyBorder="1" applyAlignment="1">
      <alignment vertical="center" textRotation="90" wrapText="1"/>
    </xf>
    <xf numFmtId="0" fontId="85" fillId="15" borderId="158" xfId="0" applyFont="1" applyFill="1" applyBorder="1" applyAlignment="1">
      <alignment textRotation="90" wrapText="1"/>
    </xf>
    <xf numFmtId="0" fontId="141" fillId="15" borderId="136" xfId="0" applyFont="1" applyFill="1" applyBorder="1" applyAlignment="1">
      <alignment horizontal="center" vertical="center" wrapText="1"/>
    </xf>
    <xf numFmtId="0" fontId="141" fillId="15" borderId="162" xfId="0" applyFont="1" applyFill="1" applyBorder="1" applyAlignment="1">
      <alignment horizontal="center" vertical="center" wrapText="1"/>
    </xf>
    <xf numFmtId="0" fontId="141" fillId="15" borderId="164" xfId="0" applyFont="1" applyFill="1" applyBorder="1" applyAlignment="1">
      <alignment horizontal="center" vertical="center" wrapText="1"/>
    </xf>
    <xf numFmtId="0" fontId="141" fillId="15" borderId="135" xfId="0" quotePrefix="1" applyFont="1" applyFill="1" applyBorder="1" applyAlignment="1">
      <alignment horizontal="center" vertical="center" wrapText="1"/>
    </xf>
    <xf numFmtId="0" fontId="141" fillId="15" borderId="164" xfId="0" quotePrefix="1" applyFont="1" applyFill="1" applyBorder="1" applyAlignment="1">
      <alignment horizontal="center" vertical="center" wrapText="1"/>
    </xf>
    <xf numFmtId="0" fontId="141" fillId="15" borderId="60" xfId="0" applyFont="1" applyFill="1" applyBorder="1" applyAlignment="1">
      <alignment horizontal="center" vertical="center" wrapText="1"/>
    </xf>
    <xf numFmtId="0" fontId="85" fillId="15" borderId="57" xfId="0" applyFont="1" applyFill="1" applyBorder="1" applyAlignment="1">
      <alignment horizontal="center" vertical="center" wrapText="1"/>
    </xf>
    <xf numFmtId="0" fontId="85" fillId="15" borderId="67" xfId="0" applyFont="1" applyFill="1" applyBorder="1" applyAlignment="1">
      <alignment horizontal="center" vertical="center" wrapText="1"/>
    </xf>
    <xf numFmtId="0" fontId="141" fillId="15" borderId="163" xfId="0" quotePrefix="1" applyFont="1" applyFill="1" applyBorder="1" applyAlignment="1">
      <alignment horizontal="center" vertical="center" wrapText="1"/>
    </xf>
    <xf numFmtId="0" fontId="85" fillId="15" borderId="67" xfId="0" quotePrefix="1" applyFont="1" applyFill="1" applyBorder="1" applyAlignment="1">
      <alignment horizontal="center" vertical="center" wrapText="1"/>
    </xf>
    <xf numFmtId="0" fontId="85" fillId="15" borderId="183" xfId="0" quotePrefix="1" applyFont="1" applyFill="1" applyBorder="1" applyAlignment="1">
      <alignment horizontal="center" vertical="center" wrapText="1"/>
    </xf>
    <xf numFmtId="0" fontId="85" fillId="15" borderId="12" xfId="0" quotePrefix="1" applyFont="1" applyFill="1" applyBorder="1" applyAlignment="1">
      <alignment horizontal="center" vertical="center" wrapText="1"/>
    </xf>
    <xf numFmtId="0" fontId="141" fillId="15" borderId="60" xfId="0" quotePrefix="1" applyFont="1" applyFill="1" applyBorder="1" applyAlignment="1">
      <alignment horizontal="center" vertical="center" wrapText="1"/>
    </xf>
    <xf numFmtId="0" fontId="85" fillId="15" borderId="34" xfId="0" quotePrefix="1" applyFont="1" applyFill="1" applyBorder="1" applyAlignment="1">
      <alignment horizontal="center" vertical="center" wrapText="1"/>
    </xf>
    <xf numFmtId="0" fontId="85" fillId="15" borderId="62" xfId="0" quotePrefix="1" applyFont="1" applyFill="1" applyBorder="1" applyAlignment="1">
      <alignment horizontal="center" vertical="center" wrapText="1"/>
    </xf>
    <xf numFmtId="0" fontId="141" fillId="15" borderId="167" xfId="0" quotePrefix="1" applyFont="1" applyFill="1" applyBorder="1" applyAlignment="1">
      <alignment horizontal="center" vertical="center" wrapText="1"/>
    </xf>
    <xf numFmtId="169" fontId="64" fillId="17" borderId="144" xfId="0" applyNumberFormat="1" applyFont="1" applyFill="1" applyBorder="1"/>
    <xf numFmtId="169" fontId="64" fillId="17" borderId="142" xfId="0" applyNumberFormat="1" applyFont="1" applyFill="1" applyBorder="1"/>
    <xf numFmtId="169" fontId="64" fillId="17" borderId="143" xfId="0" applyNumberFormat="1" applyFont="1" applyFill="1" applyBorder="1"/>
    <xf numFmtId="169" fontId="64" fillId="17" borderId="134" xfId="0" applyNumberFormat="1" applyFont="1" applyFill="1" applyBorder="1"/>
    <xf numFmtId="169" fontId="64" fillId="17" borderId="187" xfId="0" applyNumberFormat="1" applyFont="1" applyFill="1" applyBorder="1"/>
    <xf numFmtId="169" fontId="64" fillId="17" borderId="157" xfId="0" applyNumberFormat="1" applyFont="1" applyFill="1" applyBorder="1"/>
    <xf numFmtId="169" fontId="64" fillId="17" borderId="145" xfId="0" applyNumberFormat="1" applyFont="1" applyFill="1" applyBorder="1"/>
    <xf numFmtId="169" fontId="64" fillId="17" borderId="139" xfId="0" applyNumberFormat="1" applyFont="1" applyFill="1" applyBorder="1"/>
    <xf numFmtId="169" fontId="64" fillId="17" borderId="149" xfId="3" applyNumberFormat="1" applyFont="1" applyFill="1" applyBorder="1" applyAlignment="1">
      <alignment horizontal="right"/>
    </xf>
    <xf numFmtId="0" fontId="60" fillId="15" borderId="123" xfId="0" applyFont="1" applyFill="1" applyBorder="1"/>
    <xf numFmtId="169" fontId="64" fillId="15" borderId="140" xfId="0" applyNumberFormat="1" applyFont="1" applyFill="1" applyBorder="1"/>
    <xf numFmtId="0" fontId="0" fillId="15" borderId="0" xfId="0" applyFill="1"/>
    <xf numFmtId="49" fontId="0" fillId="15" borderId="0" xfId="0" applyNumberFormat="1" applyFill="1"/>
    <xf numFmtId="49" fontId="14" fillId="20" borderId="17" xfId="0" applyNumberFormat="1" applyFont="1" applyFill="1" applyBorder="1"/>
    <xf numFmtId="49" fontId="14" fillId="20" borderId="14" xfId="0" applyNumberFormat="1" applyFont="1" applyFill="1" applyBorder="1" applyAlignment="1">
      <alignment horizontal="center"/>
    </xf>
    <xf numFmtId="49" fontId="14" fillId="20" borderId="15" xfId="0" applyNumberFormat="1" applyFont="1" applyFill="1" applyBorder="1" applyAlignment="1">
      <alignment horizontal="center"/>
    </xf>
    <xf numFmtId="49" fontId="14" fillId="20" borderId="27" xfId="0" applyNumberFormat="1" applyFont="1" applyFill="1" applyBorder="1" applyAlignment="1">
      <alignment horizontal="center"/>
    </xf>
    <xf numFmtId="0" fontId="14" fillId="20" borderId="23" xfId="0" applyFont="1" applyFill="1" applyBorder="1" applyAlignment="1">
      <alignment horizontal="center"/>
    </xf>
    <xf numFmtId="166" fontId="14" fillId="20" borderId="5" xfId="3" applyFont="1" applyFill="1" applyBorder="1"/>
    <xf numFmtId="49" fontId="14" fillId="11" borderId="17" xfId="0" applyNumberFormat="1" applyFont="1" applyFill="1" applyBorder="1"/>
    <xf numFmtId="49" fontId="14" fillId="11" borderId="14" xfId="0" applyNumberFormat="1" applyFont="1" applyFill="1" applyBorder="1" applyAlignment="1">
      <alignment horizontal="center"/>
    </xf>
    <xf numFmtId="49" fontId="14" fillId="11" borderId="15" xfId="0" applyNumberFormat="1" applyFont="1" applyFill="1" applyBorder="1" applyAlignment="1">
      <alignment horizontal="center"/>
    </xf>
    <xf numFmtId="49" fontId="14" fillId="11" borderId="27" xfId="0" applyNumberFormat="1" applyFont="1" applyFill="1" applyBorder="1" applyAlignment="1">
      <alignment horizontal="center"/>
    </xf>
    <xf numFmtId="0" fontId="14" fillId="11" borderId="23" xfId="0" applyFont="1" applyFill="1" applyBorder="1" applyAlignment="1">
      <alignment horizontal="center"/>
    </xf>
    <xf numFmtId="166" fontId="14" fillId="11" borderId="5" xfId="3" applyFont="1" applyFill="1" applyBorder="1"/>
    <xf numFmtId="0" fontId="100" fillId="11" borderId="44" xfId="0" applyFont="1" applyFill="1" applyBorder="1" applyAlignment="1">
      <alignment horizontal="left" vertical="center"/>
    </xf>
    <xf numFmtId="174" fontId="150" fillId="11" borderId="78" xfId="0" applyNumberFormat="1" applyFont="1" applyFill="1" applyBorder="1" applyAlignment="1">
      <alignment horizontal="left" vertical="center"/>
    </xf>
    <xf numFmtId="174" fontId="103" fillId="11" borderId="78" xfId="0" applyNumberFormat="1" applyFont="1" applyFill="1" applyBorder="1" applyAlignment="1">
      <alignment vertical="center"/>
    </xf>
    <xf numFmtId="166" fontId="14" fillId="20" borderId="17" xfId="3" applyFont="1" applyFill="1" applyBorder="1"/>
    <xf numFmtId="166" fontId="148" fillId="11" borderId="37" xfId="3" applyFont="1" applyFill="1" applyBorder="1" applyAlignment="1">
      <alignment horizontal="center" vertical="center"/>
    </xf>
    <xf numFmtId="166" fontId="148" fillId="11" borderId="78" xfId="0" applyNumberFormat="1" applyFont="1" applyFill="1" applyBorder="1" applyAlignment="1">
      <alignment horizontal="center" vertical="center"/>
    </xf>
    <xf numFmtId="49" fontId="29" fillId="0" borderId="36" xfId="4" applyNumberFormat="1" applyFont="1" applyBorder="1" applyAlignment="1">
      <alignment horizontal="left" vertical="center"/>
    </xf>
    <xf numFmtId="164" fontId="15" fillId="2" borderId="44" xfId="3" applyNumberFormat="1" applyFont="1" applyFill="1" applyBorder="1" applyAlignment="1">
      <alignment horizontal="right"/>
    </xf>
    <xf numFmtId="166" fontId="12" fillId="0" borderId="12" xfId="3" applyFont="1" applyFill="1" applyBorder="1" applyAlignment="1" applyProtection="1">
      <alignment horizontal="center" vertical="center"/>
      <protection locked="0" hidden="1"/>
    </xf>
    <xf numFmtId="0" fontId="30" fillId="0" borderId="58" xfId="0" applyFont="1" applyBorder="1" applyAlignment="1">
      <alignment horizontal="left" vertical="center" wrapText="1"/>
    </xf>
    <xf numFmtId="49" fontId="5" fillId="0" borderId="0" xfId="0" applyNumberFormat="1" applyFont="1" applyAlignment="1">
      <alignment horizontal="left" wrapText="1"/>
    </xf>
    <xf numFmtId="49" fontId="5" fillId="0" borderId="0" xfId="0" quotePrefix="1" applyNumberFormat="1" applyFont="1" applyAlignment="1">
      <alignment horizontal="left" wrapText="1"/>
    </xf>
    <xf numFmtId="49" fontId="14" fillId="22" borderId="17" xfId="0" applyNumberFormat="1" applyFont="1" applyFill="1" applyBorder="1"/>
    <xf numFmtId="49" fontId="14" fillId="22" borderId="14" xfId="0" applyNumberFormat="1" applyFont="1" applyFill="1" applyBorder="1" applyAlignment="1">
      <alignment horizontal="center"/>
    </xf>
    <xf numFmtId="49" fontId="14" fillId="22" borderId="15" xfId="0" applyNumberFormat="1" applyFont="1" applyFill="1" applyBorder="1" applyAlignment="1">
      <alignment horizontal="center"/>
    </xf>
    <xf numFmtId="49" fontId="14" fillId="22" borderId="27" xfId="0" applyNumberFormat="1" applyFont="1" applyFill="1" applyBorder="1" applyAlignment="1">
      <alignment horizontal="center"/>
    </xf>
    <xf numFmtId="0" fontId="14" fillId="22" borderId="23" xfId="0" applyFont="1" applyFill="1" applyBorder="1" applyAlignment="1">
      <alignment horizontal="center"/>
    </xf>
    <xf numFmtId="166" fontId="14" fillId="22" borderId="17" xfId="3" applyFont="1" applyFill="1" applyBorder="1"/>
    <xf numFmtId="49" fontId="14" fillId="23" borderId="17" xfId="0" applyNumberFormat="1" applyFont="1" applyFill="1" applyBorder="1"/>
    <xf numFmtId="49" fontId="14" fillId="23" borderId="14" xfId="0" applyNumberFormat="1" applyFont="1" applyFill="1" applyBorder="1" applyAlignment="1">
      <alignment horizontal="center"/>
    </xf>
    <xf numFmtId="49" fontId="14" fillId="23" borderId="15" xfId="0" applyNumberFormat="1" applyFont="1" applyFill="1" applyBorder="1" applyAlignment="1">
      <alignment horizontal="center"/>
    </xf>
    <xf numFmtId="49" fontId="14" fillId="23" borderId="27" xfId="0" applyNumberFormat="1" applyFont="1" applyFill="1" applyBorder="1" applyAlignment="1">
      <alignment horizontal="center"/>
    </xf>
    <xf numFmtId="0" fontId="14" fillId="23" borderId="23" xfId="0" applyFont="1" applyFill="1" applyBorder="1" applyAlignment="1">
      <alignment horizontal="center"/>
    </xf>
    <xf numFmtId="166" fontId="14" fillId="23" borderId="17" xfId="3" applyFont="1" applyFill="1" applyBorder="1"/>
    <xf numFmtId="0" fontId="13" fillId="0" borderId="199" xfId="0" applyFont="1" applyBorder="1" applyAlignment="1">
      <alignment horizontal="center" vertical="center" wrapText="1"/>
    </xf>
    <xf numFmtId="166" fontId="14" fillId="23" borderId="5" xfId="3" applyFont="1" applyFill="1" applyBorder="1"/>
    <xf numFmtId="166" fontId="14" fillId="22" borderId="5" xfId="3" applyFont="1" applyFill="1" applyBorder="1"/>
    <xf numFmtId="49" fontId="14" fillId="24" borderId="17" xfId="0" applyNumberFormat="1" applyFont="1" applyFill="1" applyBorder="1"/>
    <xf numFmtId="49" fontId="14" fillId="24" borderId="14" xfId="0" applyNumberFormat="1" applyFont="1" applyFill="1" applyBorder="1" applyAlignment="1">
      <alignment horizontal="center"/>
    </xf>
    <xf numFmtId="49" fontId="14" fillId="24" borderId="15" xfId="0" applyNumberFormat="1" applyFont="1" applyFill="1" applyBorder="1" applyAlignment="1">
      <alignment horizontal="center"/>
    </xf>
    <xf numFmtId="49" fontId="14" fillId="24" borderId="27" xfId="0" applyNumberFormat="1" applyFont="1" applyFill="1" applyBorder="1" applyAlignment="1">
      <alignment horizontal="center"/>
    </xf>
    <xf numFmtId="0" fontId="14" fillId="24" borderId="23" xfId="0" applyFont="1" applyFill="1" applyBorder="1" applyAlignment="1">
      <alignment horizontal="center"/>
    </xf>
    <xf numFmtId="166" fontId="14" fillId="24" borderId="5" xfId="3" applyFont="1" applyFill="1" applyBorder="1"/>
    <xf numFmtId="49" fontId="11" fillId="0" borderId="12" xfId="4" applyNumberFormat="1" applyFont="1" applyBorder="1" applyAlignment="1">
      <alignment horizontal="left" vertical="center"/>
    </xf>
    <xf numFmtId="169" fontId="4" fillId="0" borderId="12" xfId="3" applyNumberFormat="1" applyFont="1" applyFill="1" applyBorder="1" applyAlignment="1">
      <alignment horizontal="right"/>
    </xf>
    <xf numFmtId="0" fontId="11" fillId="0" borderId="12" xfId="0" quotePrefix="1" applyFont="1" applyBorder="1" applyAlignment="1">
      <alignment horizontal="left"/>
    </xf>
    <xf numFmtId="4" fontId="11" fillId="0" borderId="12" xfId="1" applyNumberFormat="1" applyFont="1" applyFill="1" applyBorder="1" applyAlignment="1">
      <alignment horizontal="left" vertical="center" wrapText="1"/>
    </xf>
    <xf numFmtId="4" fontId="85" fillId="0" borderId="12" xfId="1" applyNumberFormat="1" applyFont="1" applyFill="1" applyBorder="1" applyAlignment="1">
      <alignment horizontal="left" vertical="center" wrapText="1"/>
    </xf>
    <xf numFmtId="49" fontId="4" fillId="2" borderId="12" xfId="0" applyNumberFormat="1" applyFont="1" applyFill="1" applyBorder="1" applyAlignment="1">
      <alignment horizontal="left" vertical="top"/>
    </xf>
    <xf numFmtId="0" fontId="4" fillId="0" borderId="12" xfId="0" applyFont="1" applyBorder="1" applyAlignment="1">
      <alignment horizontal="left" vertical="top"/>
    </xf>
    <xf numFmtId="49" fontId="4" fillId="0" borderId="12" xfId="1" applyNumberFormat="1" applyFont="1" applyFill="1" applyBorder="1" applyAlignment="1">
      <alignment horizontal="left" vertical="top"/>
    </xf>
    <xf numFmtId="49" fontId="14" fillId="0" borderId="17" xfId="0" applyNumberFormat="1" applyFont="1" applyBorder="1"/>
    <xf numFmtId="49" fontId="14" fillId="0" borderId="14" xfId="0" applyNumberFormat="1" applyFont="1" applyBorder="1" applyAlignment="1">
      <alignment horizontal="center"/>
    </xf>
    <xf numFmtId="49" fontId="14" fillId="0" borderId="15" xfId="0" applyNumberFormat="1" applyFont="1" applyBorder="1" applyAlignment="1">
      <alignment horizontal="center"/>
    </xf>
    <xf numFmtId="49" fontId="14" fillId="0" borderId="27" xfId="0" applyNumberFormat="1" applyFont="1" applyBorder="1" applyAlignment="1">
      <alignment horizontal="center"/>
    </xf>
    <xf numFmtId="0" fontId="14" fillId="0" borderId="23" xfId="0" applyFont="1" applyBorder="1" applyAlignment="1">
      <alignment horizontal="center"/>
    </xf>
    <xf numFmtId="49" fontId="13" fillId="0" borderId="0" xfId="0" applyNumberFormat="1" applyFont="1" applyAlignment="1">
      <alignment horizontal="center" vertical="top" wrapText="1"/>
    </xf>
    <xf numFmtId="0" fontId="13" fillId="0" borderId="0" xfId="0" applyFont="1" applyAlignment="1">
      <alignment horizontal="center" vertical="top" wrapText="1"/>
    </xf>
    <xf numFmtId="0" fontId="13" fillId="0" borderId="0" xfId="0" applyFont="1" applyAlignment="1">
      <alignment horizontal="center" vertical="center" wrapText="1"/>
    </xf>
    <xf numFmtId="175" fontId="29" fillId="0" borderId="0" xfId="0" applyNumberFormat="1" applyFont="1" applyAlignment="1">
      <alignment vertical="center"/>
    </xf>
    <xf numFmtId="166" fontId="29" fillId="0" borderId="0" xfId="3" applyFont="1" applyFill="1" applyBorder="1" applyAlignment="1">
      <alignment horizontal="center" vertical="center" wrapText="1"/>
    </xf>
    <xf numFmtId="49" fontId="18" fillId="0" borderId="0" xfId="0" applyNumberFormat="1" applyFont="1" applyAlignment="1">
      <alignment horizontal="left" wrapText="1"/>
    </xf>
    <xf numFmtId="49" fontId="14" fillId="0" borderId="0" xfId="0" applyNumberFormat="1" applyFont="1"/>
    <xf numFmtId="49" fontId="14" fillId="0" borderId="0" xfId="0" applyNumberFormat="1" applyFont="1" applyAlignment="1">
      <alignment horizontal="center"/>
    </xf>
    <xf numFmtId="0" fontId="14" fillId="0" borderId="0" xfId="0" applyFont="1" applyAlignment="1">
      <alignment horizontal="center"/>
    </xf>
    <xf numFmtId="166" fontId="14" fillId="0" borderId="0" xfId="3" applyFont="1" applyFill="1" applyBorder="1"/>
    <xf numFmtId="166" fontId="14" fillId="0" borderId="17" xfId="3" applyFont="1" applyFill="1" applyBorder="1"/>
    <xf numFmtId="49" fontId="15" fillId="2" borderId="39" xfId="0" applyNumberFormat="1" applyFont="1" applyFill="1" applyBorder="1" applyAlignment="1">
      <alignment horizontal="left"/>
    </xf>
    <xf numFmtId="164" fontId="15" fillId="2" borderId="41" xfId="3" applyNumberFormat="1" applyFont="1" applyFill="1" applyBorder="1" applyAlignment="1">
      <alignment horizontal="right"/>
    </xf>
    <xf numFmtId="164" fontId="15" fillId="2" borderId="26" xfId="3" applyNumberFormat="1" applyFont="1" applyFill="1" applyBorder="1" applyAlignment="1">
      <alignment horizontal="right"/>
    </xf>
    <xf numFmtId="49" fontId="13" fillId="10" borderId="7" xfId="0" applyNumberFormat="1" applyFont="1" applyFill="1" applyBorder="1" applyAlignment="1">
      <alignment horizontal="center" vertical="top" wrapText="1"/>
    </xf>
    <xf numFmtId="0" fontId="13" fillId="10" borderId="8" xfId="0" applyFont="1" applyFill="1" applyBorder="1" applyAlignment="1">
      <alignment horizontal="center" vertical="top" wrapText="1"/>
    </xf>
    <xf numFmtId="0" fontId="13" fillId="10" borderId="9" xfId="0" applyFont="1" applyFill="1" applyBorder="1" applyAlignment="1">
      <alignment horizontal="center" vertical="top" wrapText="1"/>
    </xf>
    <xf numFmtId="166" fontId="29" fillId="10" borderId="12" xfId="3" applyFont="1" applyFill="1" applyBorder="1" applyAlignment="1">
      <alignment vertical="center"/>
    </xf>
    <xf numFmtId="49" fontId="14" fillId="10" borderId="17" xfId="0" applyNumberFormat="1" applyFont="1" applyFill="1" applyBorder="1"/>
    <xf numFmtId="49" fontId="14" fillId="10" borderId="14" xfId="0" applyNumberFormat="1" applyFont="1" applyFill="1" applyBorder="1" applyAlignment="1">
      <alignment horizontal="center"/>
    </xf>
    <xf numFmtId="49" fontId="14" fillId="10" borderId="15" xfId="0" applyNumberFormat="1" applyFont="1" applyFill="1" applyBorder="1" applyAlignment="1">
      <alignment horizontal="center"/>
    </xf>
    <xf numFmtId="49" fontId="14" fillId="10" borderId="27" xfId="0" applyNumberFormat="1" applyFont="1" applyFill="1" applyBorder="1" applyAlignment="1">
      <alignment horizontal="center"/>
    </xf>
    <xf numFmtId="0" fontId="14" fillId="10" borderId="23" xfId="0" applyFont="1" applyFill="1" applyBorder="1" applyAlignment="1">
      <alignment horizontal="center"/>
    </xf>
    <xf numFmtId="166" fontId="14" fillId="10" borderId="5" xfId="3" applyFont="1" applyFill="1" applyBorder="1"/>
    <xf numFmtId="1" fontId="29" fillId="10" borderId="34" xfId="4" applyNumberFormat="1" applyFont="1" applyFill="1" applyBorder="1" applyAlignment="1">
      <alignment horizontal="left" vertical="center"/>
    </xf>
    <xf numFmtId="49" fontId="29" fillId="10" borderId="34" xfId="4" applyNumberFormat="1" applyFont="1" applyFill="1" applyBorder="1" applyAlignment="1">
      <alignment horizontal="justify" vertical="center" wrapText="1"/>
    </xf>
    <xf numFmtId="175" fontId="29" fillId="10" borderId="12" xfId="0" applyNumberFormat="1" applyFont="1" applyFill="1" applyBorder="1" applyAlignment="1">
      <alignment vertical="center"/>
    </xf>
    <xf numFmtId="175" fontId="29" fillId="10" borderId="21" xfId="0" applyNumberFormat="1" applyFont="1" applyFill="1" applyBorder="1" applyAlignment="1">
      <alignment vertical="center"/>
    </xf>
    <xf numFmtId="166" fontId="14" fillId="10" borderId="17" xfId="3" applyFont="1" applyFill="1" applyBorder="1"/>
    <xf numFmtId="49" fontId="5" fillId="10" borderId="0" xfId="0" applyNumberFormat="1" applyFont="1" applyFill="1" applyAlignment="1">
      <alignment horizontal="left" wrapText="1"/>
    </xf>
    <xf numFmtId="0" fontId="0" fillId="10" borderId="0" xfId="0" applyFill="1" applyAlignment="1">
      <alignment horizontal="left" wrapText="1"/>
    </xf>
    <xf numFmtId="49" fontId="5" fillId="10" borderId="0" xfId="0" quotePrefix="1" applyNumberFormat="1" applyFont="1" applyFill="1" applyAlignment="1">
      <alignment horizontal="left" wrapText="1"/>
    </xf>
    <xf numFmtId="166" fontId="14" fillId="14" borderId="17" xfId="3" applyFont="1" applyFill="1" applyBorder="1"/>
    <xf numFmtId="0" fontId="13" fillId="10" borderId="199" xfId="0" applyFont="1" applyFill="1" applyBorder="1" applyAlignment="1">
      <alignment horizontal="center" vertical="center" wrapText="1"/>
    </xf>
    <xf numFmtId="0" fontId="30" fillId="10" borderId="12" xfId="0" applyFont="1" applyFill="1" applyBorder="1" applyAlignment="1">
      <alignment horizontal="left" vertical="center" wrapText="1"/>
    </xf>
    <xf numFmtId="0" fontId="29" fillId="10" borderId="12" xfId="0" applyFont="1" applyFill="1" applyBorder="1" applyAlignment="1">
      <alignment horizontal="left"/>
    </xf>
    <xf numFmtId="166" fontId="12" fillId="10" borderId="12" xfId="3" applyFont="1" applyFill="1" applyBorder="1" applyAlignment="1" applyProtection="1">
      <alignment horizontal="center" vertical="center"/>
      <protection locked="0" hidden="1"/>
    </xf>
    <xf numFmtId="166" fontId="29" fillId="10" borderId="57" xfId="3" applyFont="1" applyFill="1" applyBorder="1" applyAlignment="1">
      <alignment horizontal="center" vertical="center" wrapText="1"/>
    </xf>
    <xf numFmtId="166" fontId="173" fillId="0" borderId="12" xfId="3" applyFont="1" applyFill="1" applyBorder="1" applyAlignment="1"/>
    <xf numFmtId="0" fontId="151" fillId="0" borderId="0" xfId="0" applyFont="1" applyAlignment="1">
      <alignment vertical="center" wrapText="1"/>
    </xf>
    <xf numFmtId="0" fontId="28" fillId="0" borderId="36" xfId="0" applyFont="1" applyBorder="1"/>
    <xf numFmtId="164" fontId="6" fillId="0" borderId="35" xfId="0" applyNumberFormat="1" applyFont="1" applyBorder="1"/>
    <xf numFmtId="164" fontId="6" fillId="0" borderId="29" xfId="0" applyNumberFormat="1" applyFont="1" applyBorder="1"/>
    <xf numFmtId="164" fontId="6" fillId="0" borderId="41" xfId="0" applyNumberFormat="1" applyFont="1" applyBorder="1"/>
    <xf numFmtId="0" fontId="11" fillId="0" borderId="44" xfId="0" applyFont="1" applyBorder="1"/>
    <xf numFmtId="0" fontId="11" fillId="0" borderId="28" xfId="0" applyFont="1" applyBorder="1"/>
    <xf numFmtId="0" fontId="23" fillId="0" borderId="22" xfId="0" applyFont="1" applyBorder="1"/>
    <xf numFmtId="0" fontId="23" fillId="0" borderId="59" xfId="0" applyFont="1" applyBorder="1" applyAlignment="1">
      <alignment horizontal="left"/>
    </xf>
    <xf numFmtId="0" fontId="23" fillId="0" borderId="201" xfId="0" applyFont="1" applyBorder="1"/>
    <xf numFmtId="174" fontId="0" fillId="0" borderId="0" xfId="0" applyNumberFormat="1"/>
    <xf numFmtId="0" fontId="101" fillId="0" borderId="45" xfId="0" quotePrefix="1" applyFont="1" applyBorder="1" applyAlignment="1">
      <alignment horizontal="left" vertical="center"/>
    </xf>
    <xf numFmtId="0" fontId="191" fillId="0" borderId="45" xfId="0" quotePrefix="1" applyFont="1" applyBorder="1" applyAlignment="1">
      <alignment horizontal="left" vertical="center"/>
    </xf>
    <xf numFmtId="0" fontId="192" fillId="0" borderId="45" xfId="0" applyFont="1" applyBorder="1" applyAlignment="1">
      <alignment horizontal="center" vertical="center"/>
    </xf>
    <xf numFmtId="49" fontId="64" fillId="0" borderId="45" xfId="0" applyNumberFormat="1" applyFont="1" applyBorder="1" applyAlignment="1">
      <alignment horizontal="left" wrapText="1"/>
    </xf>
    <xf numFmtId="0" fontId="0" fillId="10" borderId="0" xfId="0" applyFill="1"/>
    <xf numFmtId="0" fontId="66" fillId="0" borderId="0" xfId="0" applyFont="1" applyAlignment="1">
      <alignment vertical="center"/>
    </xf>
    <xf numFmtId="0" fontId="0" fillId="25" borderId="0" xfId="0" applyFill="1"/>
    <xf numFmtId="0" fontId="5" fillId="0" borderId="12" xfId="0" applyFont="1" applyBorder="1" applyAlignment="1">
      <alignment horizontal="center" vertical="distributed"/>
    </xf>
    <xf numFmtId="0" fontId="0" fillId="0" borderId="2" xfId="0" applyBorder="1"/>
    <xf numFmtId="49" fontId="22" fillId="0" borderId="2" xfId="0" applyNumberFormat="1" applyFont="1" applyBorder="1" applyAlignment="1">
      <alignment horizontal="center"/>
    </xf>
    <xf numFmtId="166" fontId="22" fillId="0" borderId="2" xfId="3" applyFont="1" applyFill="1" applyBorder="1"/>
    <xf numFmtId="166" fontId="0" fillId="0" borderId="2" xfId="3" applyFont="1" applyFill="1" applyBorder="1"/>
    <xf numFmtId="166" fontId="22" fillId="0" borderId="2" xfId="3" quotePrefix="1" applyFont="1" applyFill="1" applyBorder="1" applyAlignment="1">
      <alignment horizontal="right"/>
    </xf>
    <xf numFmtId="49" fontId="0" fillId="0" borderId="2" xfId="0" applyNumberFormat="1" applyBorder="1" applyAlignment="1">
      <alignment horizontal="center"/>
    </xf>
    <xf numFmtId="43" fontId="0" fillId="0" borderId="2" xfId="2" applyNumberFormat="1" applyFont="1" applyFill="1" applyBorder="1"/>
    <xf numFmtId="0" fontId="22" fillId="0" borderId="2" xfId="0" applyFont="1" applyBorder="1" applyAlignment="1">
      <alignment horizontal="center"/>
    </xf>
    <xf numFmtId="49" fontId="0" fillId="0" borderId="2" xfId="0" applyNumberFormat="1" applyBorder="1"/>
    <xf numFmtId="0" fontId="5" fillId="0" borderId="12" xfId="0" applyFont="1" applyBorder="1" applyAlignment="1">
      <alignment horizontal="center"/>
    </xf>
    <xf numFmtId="164" fontId="5" fillId="0" borderId="12" xfId="0" applyNumberFormat="1" applyFont="1" applyBorder="1"/>
    <xf numFmtId="0" fontId="137" fillId="4" borderId="62" xfId="0" applyFont="1" applyFill="1" applyBorder="1" applyAlignment="1">
      <alignment horizontal="center" vertical="center"/>
    </xf>
    <xf numFmtId="0" fontId="137" fillId="4" borderId="12" xfId="0" applyFont="1" applyFill="1" applyBorder="1" applyAlignment="1">
      <alignment horizontal="center" vertical="center"/>
    </xf>
    <xf numFmtId="166" fontId="30" fillId="2" borderId="42" xfId="3" applyFont="1" applyFill="1" applyBorder="1" applyAlignment="1">
      <alignment horizontal="left" vertical="center"/>
    </xf>
    <xf numFmtId="166" fontId="30" fillId="2" borderId="94" xfId="3" applyFont="1" applyFill="1" applyBorder="1" applyAlignment="1">
      <alignment horizontal="left" vertical="center"/>
    </xf>
    <xf numFmtId="166" fontId="30" fillId="0" borderId="36" xfId="3" applyFont="1" applyBorder="1" applyAlignment="1">
      <alignment horizontal="left" vertical="center"/>
    </xf>
    <xf numFmtId="166" fontId="49" fillId="2" borderId="12" xfId="3" applyFont="1" applyFill="1" applyBorder="1" applyAlignment="1">
      <alignment horizontal="left" vertical="center"/>
    </xf>
    <xf numFmtId="0" fontId="0" fillId="2" borderId="12" xfId="0" applyFill="1" applyBorder="1" applyAlignment="1">
      <alignment horizontal="left" vertical="center"/>
    </xf>
    <xf numFmtId="166" fontId="6" fillId="2" borderId="12" xfId="3" applyFont="1" applyFill="1" applyBorder="1" applyAlignment="1">
      <alignment horizontal="left" vertical="center"/>
    </xf>
    <xf numFmtId="166" fontId="37" fillId="2" borderId="12" xfId="3" applyFont="1" applyFill="1" applyBorder="1" applyAlignment="1">
      <alignment horizontal="left" vertical="center"/>
    </xf>
    <xf numFmtId="4" fontId="22" fillId="2" borderId="12" xfId="0" applyNumberFormat="1" applyFont="1" applyFill="1" applyBorder="1" applyAlignment="1">
      <alignment horizontal="right" vertical="center"/>
    </xf>
    <xf numFmtId="166" fontId="0" fillId="2" borderId="12" xfId="0" applyNumberFormat="1" applyFill="1" applyBorder="1" applyAlignment="1">
      <alignment horizontal="left" vertical="center"/>
    </xf>
    <xf numFmtId="0" fontId="100" fillId="0" borderId="12" xfId="0" applyFont="1" applyBorder="1" applyAlignment="1">
      <alignment wrapText="1"/>
    </xf>
    <xf numFmtId="49" fontId="15" fillId="10" borderId="16" xfId="0" applyNumberFormat="1" applyFont="1" applyFill="1" applyBorder="1" applyAlignment="1">
      <alignment horizontal="left"/>
    </xf>
    <xf numFmtId="49" fontId="29" fillId="10" borderId="12" xfId="4" applyNumberFormat="1" applyFont="1" applyFill="1" applyBorder="1" applyAlignment="1">
      <alignment horizontal="left" vertical="center"/>
    </xf>
    <xf numFmtId="49" fontId="15" fillId="10" borderId="6" xfId="0" applyNumberFormat="1" applyFont="1" applyFill="1" applyBorder="1" applyAlignment="1">
      <alignment horizontal="left"/>
    </xf>
    <xf numFmtId="4" fontId="29" fillId="10" borderId="12" xfId="1" applyNumberFormat="1" applyFont="1" applyFill="1" applyBorder="1" applyAlignment="1">
      <alignment horizontal="left" vertical="center" wrapText="1"/>
    </xf>
    <xf numFmtId="0" fontId="15" fillId="10" borderId="3" xfId="0" applyFont="1" applyFill="1" applyBorder="1" applyAlignment="1">
      <alignment horizontal="left" vertical="center" wrapText="1"/>
    </xf>
    <xf numFmtId="1" fontId="29" fillId="10" borderId="12" xfId="1" applyNumberFormat="1" applyFont="1" applyFill="1" applyBorder="1" applyAlignment="1">
      <alignment horizontal="left" vertical="center"/>
    </xf>
    <xf numFmtId="49" fontId="14" fillId="8" borderId="17" xfId="0" applyNumberFormat="1" applyFont="1" applyFill="1" applyBorder="1"/>
    <xf numFmtId="49" fontId="14" fillId="8" borderId="14" xfId="0" applyNumberFormat="1" applyFont="1" applyFill="1" applyBorder="1" applyAlignment="1">
      <alignment horizontal="center"/>
    </xf>
    <xf numFmtId="49" fontId="14" fillId="8" borderId="15" xfId="0" applyNumberFormat="1" applyFont="1" applyFill="1" applyBorder="1" applyAlignment="1">
      <alignment horizontal="center"/>
    </xf>
    <xf numFmtId="49" fontId="14" fillId="8" borderId="27" xfId="0" applyNumberFormat="1" applyFont="1" applyFill="1" applyBorder="1" applyAlignment="1">
      <alignment horizontal="center"/>
    </xf>
    <xf numFmtId="0" fontId="14" fillId="8" borderId="23" xfId="0" applyFont="1" applyFill="1" applyBorder="1" applyAlignment="1">
      <alignment horizontal="center"/>
    </xf>
    <xf numFmtId="166" fontId="14" fillId="8" borderId="17" xfId="3" applyFont="1" applyFill="1" applyBorder="1"/>
    <xf numFmtId="49" fontId="14" fillId="26" borderId="17" xfId="0" applyNumberFormat="1" applyFont="1" applyFill="1" applyBorder="1"/>
    <xf numFmtId="49" fontId="14" fillId="26" borderId="14" xfId="0" applyNumberFormat="1" applyFont="1" applyFill="1" applyBorder="1" applyAlignment="1">
      <alignment horizontal="center"/>
    </xf>
    <xf numFmtId="49" fontId="14" fillId="26" borderId="15" xfId="0" applyNumberFormat="1" applyFont="1" applyFill="1" applyBorder="1" applyAlignment="1">
      <alignment horizontal="center"/>
    </xf>
    <xf numFmtId="49" fontId="14" fillId="26" borderId="27" xfId="0" applyNumberFormat="1" applyFont="1" applyFill="1" applyBorder="1" applyAlignment="1">
      <alignment horizontal="center"/>
    </xf>
    <xf numFmtId="0" fontId="14" fillId="26" borderId="23" xfId="0" applyFont="1" applyFill="1" applyBorder="1" applyAlignment="1">
      <alignment horizontal="center"/>
    </xf>
    <xf numFmtId="166" fontId="14" fillId="26" borderId="5" xfId="3" applyFont="1" applyFill="1" applyBorder="1"/>
    <xf numFmtId="49" fontId="5" fillId="13" borderId="0" xfId="0" applyNumberFormat="1" applyFont="1" applyFill="1"/>
    <xf numFmtId="0" fontId="9" fillId="13" borderId="0" xfId="0" applyFont="1" applyFill="1" applyAlignment="1">
      <alignment horizontal="center"/>
    </xf>
    <xf numFmtId="0" fontId="10" fillId="13" borderId="0" xfId="0" applyFont="1" applyFill="1" applyAlignment="1">
      <alignment horizontal="center"/>
    </xf>
    <xf numFmtId="0" fontId="5" fillId="13" borderId="0" xfId="0" applyFont="1" applyFill="1" applyAlignment="1">
      <alignment horizontal="center"/>
    </xf>
    <xf numFmtId="0" fontId="5" fillId="13" borderId="0" xfId="0" applyFont="1" applyFill="1"/>
    <xf numFmtId="0" fontId="8" fillId="13" borderId="0" xfId="0" applyFont="1" applyFill="1"/>
    <xf numFmtId="49" fontId="13" fillId="13" borderId="7" xfId="0" applyNumberFormat="1" applyFont="1" applyFill="1" applyBorder="1" applyAlignment="1">
      <alignment horizontal="center" vertical="top" wrapText="1"/>
    </xf>
    <xf numFmtId="0" fontId="13" fillId="13" borderId="8" xfId="0" applyFont="1" applyFill="1" applyBorder="1" applyAlignment="1">
      <alignment horizontal="center" vertical="top" wrapText="1"/>
    </xf>
    <xf numFmtId="0" fontId="13" fillId="13" borderId="9" xfId="0" applyFont="1" applyFill="1" applyBorder="1" applyAlignment="1">
      <alignment horizontal="center" vertical="top" wrapText="1"/>
    </xf>
    <xf numFmtId="0" fontId="13" fillId="13" borderId="10" xfId="0" applyFont="1" applyFill="1" applyBorder="1" applyAlignment="1">
      <alignment horizontal="center" vertical="center" wrapText="1"/>
    </xf>
    <xf numFmtId="49" fontId="15" fillId="13" borderId="51" xfId="0" applyNumberFormat="1" applyFont="1" applyFill="1" applyBorder="1" applyAlignment="1">
      <alignment horizontal="center"/>
    </xf>
    <xf numFmtId="49" fontId="15" fillId="13" borderId="34" xfId="0" applyNumberFormat="1" applyFont="1" applyFill="1" applyBorder="1" applyAlignment="1">
      <alignment horizontal="center"/>
    </xf>
    <xf numFmtId="49" fontId="15" fillId="13" borderId="16" xfId="0" applyNumberFormat="1" applyFont="1" applyFill="1" applyBorder="1" applyAlignment="1">
      <alignment horizontal="left"/>
    </xf>
    <xf numFmtId="49" fontId="29" fillId="13" borderId="61" xfId="4" applyNumberFormat="1" applyFont="1" applyFill="1" applyBorder="1" applyAlignment="1">
      <alignment horizontal="left" vertical="center"/>
    </xf>
    <xf numFmtId="164" fontId="15" fillId="13" borderId="12" xfId="3" applyNumberFormat="1" applyFont="1" applyFill="1" applyBorder="1" applyAlignment="1">
      <alignment horizontal="right"/>
    </xf>
    <xf numFmtId="49" fontId="15" fillId="13" borderId="6" xfId="0" applyNumberFormat="1" applyFont="1" applyFill="1" applyBorder="1" applyAlignment="1">
      <alignment horizontal="left"/>
    </xf>
    <xf numFmtId="4" fontId="29" fillId="13" borderId="61" xfId="1" applyNumberFormat="1" applyFont="1" applyFill="1" applyBorder="1" applyAlignment="1">
      <alignment horizontal="left" vertical="center" wrapText="1"/>
    </xf>
    <xf numFmtId="166" fontId="14" fillId="13" borderId="12" xfId="3" applyFont="1" applyFill="1" applyBorder="1"/>
    <xf numFmtId="49" fontId="14" fillId="27" borderId="17" xfId="0" applyNumberFormat="1" applyFont="1" applyFill="1" applyBorder="1"/>
    <xf numFmtId="49" fontId="14" fillId="27" borderId="14" xfId="0" applyNumberFormat="1" applyFont="1" applyFill="1" applyBorder="1" applyAlignment="1">
      <alignment horizontal="center"/>
    </xf>
    <xf numFmtId="49" fontId="14" fillId="27" borderId="15" xfId="0" applyNumberFormat="1" applyFont="1" applyFill="1" applyBorder="1" applyAlignment="1">
      <alignment horizontal="center"/>
    </xf>
    <xf numFmtId="49" fontId="14" fillId="27" borderId="27" xfId="0" applyNumberFormat="1" applyFont="1" applyFill="1" applyBorder="1" applyAlignment="1">
      <alignment horizontal="center"/>
    </xf>
    <xf numFmtId="0" fontId="14" fillId="27" borderId="23" xfId="0" applyFont="1" applyFill="1" applyBorder="1" applyAlignment="1">
      <alignment horizontal="center"/>
    </xf>
    <xf numFmtId="166" fontId="14" fillId="27" borderId="5" xfId="3" applyFont="1" applyFill="1" applyBorder="1"/>
    <xf numFmtId="49" fontId="9" fillId="13" borderId="0" xfId="0" applyNumberFormat="1" applyFont="1" applyFill="1" applyAlignment="1">
      <alignment horizontal="center"/>
    </xf>
    <xf numFmtId="49" fontId="10" fillId="13" borderId="0" xfId="0" applyNumberFormat="1" applyFont="1" applyFill="1" applyAlignment="1">
      <alignment horizontal="center"/>
    </xf>
    <xf numFmtId="49" fontId="5" fillId="13" borderId="0" xfId="0" applyNumberFormat="1" applyFont="1" applyFill="1" applyAlignment="1">
      <alignment horizontal="center"/>
    </xf>
    <xf numFmtId="49" fontId="5" fillId="13" borderId="28" xfId="0" applyNumberFormat="1" applyFont="1" applyFill="1" applyBorder="1" applyAlignment="1">
      <alignment horizontal="center"/>
    </xf>
    <xf numFmtId="49" fontId="5" fillId="13" borderId="0" xfId="0" applyNumberFormat="1" applyFont="1" applyFill="1" applyAlignment="1">
      <alignment horizontal="left"/>
    </xf>
    <xf numFmtId="0" fontId="5" fillId="13" borderId="0" xfId="0" applyFont="1" applyFill="1" applyAlignment="1">
      <alignment horizontal="left"/>
    </xf>
    <xf numFmtId="0" fontId="5" fillId="13" borderId="28" xfId="0" applyFont="1" applyFill="1" applyBorder="1" applyAlignment="1">
      <alignment horizontal="left"/>
    </xf>
    <xf numFmtId="0" fontId="6" fillId="13" borderId="29" xfId="0" applyFont="1" applyFill="1" applyBorder="1" applyAlignment="1">
      <alignment horizontal="left"/>
    </xf>
    <xf numFmtId="49" fontId="5" fillId="13" borderId="28" xfId="0" applyNumberFormat="1" applyFont="1" applyFill="1" applyBorder="1" applyAlignment="1">
      <alignment horizontal="left"/>
    </xf>
    <xf numFmtId="49" fontId="4" fillId="0" borderId="26" xfId="1" applyNumberFormat="1" applyFont="1" applyFill="1" applyBorder="1" applyAlignment="1">
      <alignment horizontal="center"/>
    </xf>
    <xf numFmtId="0" fontId="113" fillId="0" borderId="61" xfId="0" applyFont="1" applyBorder="1" applyAlignment="1">
      <alignment horizontal="left" vertical="center" wrapText="1"/>
    </xf>
    <xf numFmtId="166" fontId="103" fillId="0" borderId="44" xfId="3" applyFont="1" applyFill="1" applyBorder="1" applyAlignment="1">
      <alignment horizontal="center" wrapText="1"/>
    </xf>
    <xf numFmtId="167" fontId="111" fillId="0" borderId="12" xfId="0" applyNumberFormat="1" applyFont="1" applyBorder="1" applyAlignment="1">
      <alignment horizontal="center" vertical="center"/>
    </xf>
    <xf numFmtId="166" fontId="103" fillId="0" borderId="50" xfId="3" applyFont="1" applyFill="1" applyBorder="1" applyAlignment="1">
      <alignment horizontal="left"/>
    </xf>
    <xf numFmtId="49" fontId="66" fillId="0" borderId="2" xfId="0" applyNumberFormat="1" applyFont="1" applyBorder="1" applyAlignment="1">
      <alignment horizontal="left" wrapText="1"/>
    </xf>
    <xf numFmtId="171" fontId="81" fillId="0" borderId="6" xfId="2" applyNumberFormat="1" applyFont="1" applyFill="1" applyBorder="1" applyAlignment="1">
      <alignment horizontal="center"/>
    </xf>
    <xf numFmtId="49" fontId="66" fillId="0" borderId="2" xfId="0" applyNumberFormat="1" applyFont="1" applyBorder="1"/>
    <xf numFmtId="0" fontId="60" fillId="0" borderId="2" xfId="0" applyFont="1" applyBorder="1" applyAlignment="1">
      <alignment wrapText="1"/>
    </xf>
    <xf numFmtId="49" fontId="66" fillId="0" borderId="6" xfId="0" applyNumberFormat="1" applyFont="1" applyBorder="1" applyAlignment="1">
      <alignment horizontal="center"/>
    </xf>
    <xf numFmtId="49" fontId="66" fillId="0" borderId="4" xfId="0" applyNumberFormat="1" applyFont="1" applyBorder="1" applyAlignment="1">
      <alignment horizontal="center"/>
    </xf>
    <xf numFmtId="0" fontId="77" fillId="0" borderId="4" xfId="0" applyFont="1" applyBorder="1" applyAlignment="1">
      <alignment horizontal="center"/>
    </xf>
    <xf numFmtId="171" fontId="66" fillId="0" borderId="2" xfId="0" applyNumberFormat="1" applyFont="1" applyBorder="1" applyAlignment="1">
      <alignment horizontal="center"/>
    </xf>
    <xf numFmtId="0" fontId="95" fillId="0" borderId="65" xfId="0" applyFont="1" applyBorder="1"/>
    <xf numFmtId="0" fontId="95" fillId="0" borderId="4" xfId="0" applyFont="1" applyBorder="1"/>
    <xf numFmtId="49" fontId="95" fillId="0" borderId="4" xfId="0" applyNumberFormat="1" applyFont="1" applyBorder="1" applyAlignment="1">
      <alignment horizontal="left"/>
    </xf>
    <xf numFmtId="171" fontId="95" fillId="0" borderId="65" xfId="2" applyNumberFormat="1" applyFont="1" applyFill="1" applyBorder="1" applyAlignment="1">
      <alignment horizontal="center"/>
    </xf>
    <xf numFmtId="171" fontId="95" fillId="0" borderId="4" xfId="2" applyNumberFormat="1" applyFont="1" applyFill="1" applyBorder="1" applyAlignment="1">
      <alignment horizontal="center"/>
    </xf>
    <xf numFmtId="0" fontId="195" fillId="0" borderId="0" xfId="0" applyFont="1"/>
    <xf numFmtId="0" fontId="195" fillId="0" borderId="72" xfId="0" applyFont="1" applyBorder="1"/>
    <xf numFmtId="0" fontId="173" fillId="0" borderId="34" xfId="0" quotePrefix="1" applyFont="1" applyBorder="1" applyAlignment="1">
      <alignment horizontal="left"/>
    </xf>
    <xf numFmtId="0" fontId="173" fillId="0" borderId="14" xfId="0" quotePrefix="1" applyFont="1" applyBorder="1" applyAlignment="1">
      <alignment horizontal="left"/>
    </xf>
    <xf numFmtId="0" fontId="173" fillId="0" borderId="8" xfId="0" quotePrefix="1" applyFont="1" applyBorder="1" applyAlignment="1">
      <alignment horizontal="left"/>
    </xf>
    <xf numFmtId="0" fontId="146" fillId="0" borderId="14" xfId="0" quotePrefix="1" applyFont="1" applyBorder="1" applyAlignment="1">
      <alignment horizontal="left"/>
    </xf>
    <xf numFmtId="171" fontId="146" fillId="0" borderId="14" xfId="0" applyNumberFormat="1" applyFont="1" applyBorder="1"/>
    <xf numFmtId="0" fontId="146" fillId="0" borderId="8" xfId="0" quotePrefix="1" applyFont="1" applyBorder="1" applyAlignment="1">
      <alignment horizontal="left"/>
    </xf>
    <xf numFmtId="171" fontId="146" fillId="0" borderId="8" xfId="0" applyNumberFormat="1" applyFont="1" applyBorder="1"/>
    <xf numFmtId="0" fontId="146" fillId="0" borderId="34" xfId="0" quotePrefix="1" applyFont="1" applyBorder="1" applyAlignment="1">
      <alignment horizontal="left"/>
    </xf>
    <xf numFmtId="171" fontId="146" fillId="0" borderId="34" xfId="0" applyNumberFormat="1" applyFont="1" applyBorder="1"/>
    <xf numFmtId="171" fontId="173" fillId="0" borderId="21" xfId="0" applyNumberFormat="1" applyFont="1" applyBorder="1"/>
    <xf numFmtId="0" fontId="173" fillId="0" borderId="57" xfId="0" quotePrefix="1" applyFont="1" applyBorder="1" applyAlignment="1">
      <alignment horizontal="left"/>
    </xf>
    <xf numFmtId="4" fontId="95" fillId="0" borderId="36" xfId="0" applyNumberFormat="1" applyFont="1" applyBorder="1"/>
    <xf numFmtId="4" fontId="173" fillId="0" borderId="63" xfId="0" applyNumberFormat="1" applyFont="1" applyBorder="1"/>
    <xf numFmtId="4" fontId="173" fillId="0" borderId="57" xfId="0" applyNumberFormat="1" applyFont="1" applyBorder="1"/>
    <xf numFmtId="0" fontId="173" fillId="0" borderId="181" xfId="0" quotePrefix="1" applyFont="1" applyBorder="1" applyAlignment="1">
      <alignment horizontal="left"/>
    </xf>
    <xf numFmtId="0" fontId="173" fillId="0" borderId="23" xfId="0" quotePrefix="1" applyFont="1" applyBorder="1" applyAlignment="1">
      <alignment horizontal="left"/>
    </xf>
    <xf numFmtId="0" fontId="95" fillId="0" borderId="23" xfId="0" applyFont="1" applyBorder="1"/>
    <xf numFmtId="0" fontId="95" fillId="0" borderId="97" xfId="0" applyFont="1" applyBorder="1"/>
    <xf numFmtId="171" fontId="95" fillId="0" borderId="70" xfId="0" applyNumberFormat="1" applyFont="1" applyBorder="1"/>
    <xf numFmtId="0" fontId="173" fillId="0" borderId="64" xfId="0" quotePrefix="1" applyFont="1" applyBorder="1" applyAlignment="1">
      <alignment horizontal="left"/>
    </xf>
    <xf numFmtId="0" fontId="173" fillId="0" borderId="1" xfId="0" quotePrefix="1" applyFont="1" applyBorder="1" applyAlignment="1">
      <alignment horizontal="left"/>
    </xf>
    <xf numFmtId="0" fontId="95" fillId="0" borderId="1" xfId="0" applyFont="1" applyBorder="1"/>
    <xf numFmtId="0" fontId="95" fillId="0" borderId="132" xfId="0" applyFont="1" applyBorder="1"/>
    <xf numFmtId="171" fontId="95" fillId="0" borderId="57" xfId="0" applyNumberFormat="1" applyFont="1" applyBorder="1"/>
    <xf numFmtId="171" fontId="95" fillId="0" borderId="68" xfId="0" applyNumberFormat="1" applyFont="1" applyBorder="1"/>
    <xf numFmtId="0" fontId="173" fillId="0" borderId="44" xfId="0" quotePrefix="1" applyFont="1" applyBorder="1" applyAlignment="1">
      <alignment horizontal="left"/>
    </xf>
    <xf numFmtId="0" fontId="95" fillId="0" borderId="44" xfId="0" applyFont="1" applyBorder="1"/>
    <xf numFmtId="171" fontId="95" fillId="0" borderId="34" xfId="0" applyNumberFormat="1" applyFont="1" applyBorder="1"/>
    <xf numFmtId="0" fontId="173" fillId="0" borderId="44" xfId="0" applyFont="1" applyBorder="1"/>
    <xf numFmtId="0" fontId="173" fillId="0" borderId="67" xfId="0" applyFont="1" applyBorder="1"/>
    <xf numFmtId="0" fontId="95" fillId="0" borderId="57" xfId="0" applyFont="1" applyBorder="1"/>
    <xf numFmtId="4" fontId="173" fillId="0" borderId="23" xfId="0" applyNumberFormat="1" applyFont="1" applyBorder="1"/>
    <xf numFmtId="4" fontId="95" fillId="0" borderId="97" xfId="0" applyNumberFormat="1" applyFont="1" applyBorder="1"/>
    <xf numFmtId="171" fontId="95" fillId="0" borderId="21" xfId="0" applyNumberFormat="1" applyFont="1" applyBorder="1"/>
    <xf numFmtId="0" fontId="173" fillId="0" borderId="9" xfId="0" quotePrefix="1" applyFont="1" applyBorder="1" applyAlignment="1">
      <alignment horizontal="left"/>
    </xf>
    <xf numFmtId="0" fontId="173" fillId="0" borderId="31" xfId="0" quotePrefix="1" applyFont="1" applyBorder="1" applyAlignment="1">
      <alignment horizontal="left"/>
    </xf>
    <xf numFmtId="165" fontId="95" fillId="0" borderId="31" xfId="2" applyFont="1" applyFill="1" applyBorder="1" applyAlignment="1">
      <alignment horizontal="center"/>
    </xf>
    <xf numFmtId="165" fontId="95" fillId="0" borderId="93" xfId="2" applyFont="1" applyFill="1" applyBorder="1" applyAlignment="1">
      <alignment horizontal="center"/>
    </xf>
    <xf numFmtId="171" fontId="95" fillId="0" borderId="69" xfId="0" applyNumberFormat="1" applyFont="1" applyBorder="1"/>
    <xf numFmtId="4" fontId="173" fillId="0" borderId="31" xfId="0" applyNumberFormat="1" applyFont="1" applyBorder="1"/>
    <xf numFmtId="4" fontId="173" fillId="0" borderId="93" xfId="0" applyNumberFormat="1" applyFont="1" applyBorder="1"/>
    <xf numFmtId="4" fontId="95" fillId="0" borderId="93" xfId="0" applyNumberFormat="1" applyFont="1" applyBorder="1"/>
    <xf numFmtId="166" fontId="28" fillId="0" borderId="0" xfId="3" applyFont="1" applyFill="1" applyBorder="1"/>
    <xf numFmtId="0" fontId="28" fillId="0" borderId="0" xfId="0" applyFont="1" applyAlignment="1">
      <alignment horizontal="center"/>
    </xf>
    <xf numFmtId="9" fontId="28" fillId="0" borderId="0" xfId="0" applyNumberFormat="1" applyFont="1"/>
    <xf numFmtId="10" fontId="28" fillId="0" borderId="0" xfId="5" applyNumberFormat="1" applyFont="1" applyFill="1" applyBorder="1"/>
    <xf numFmtId="4" fontId="95" fillId="6" borderId="73" xfId="0" applyNumberFormat="1" applyFont="1" applyFill="1" applyBorder="1"/>
    <xf numFmtId="4" fontId="95" fillId="6" borderId="74" xfId="0" applyNumberFormat="1" applyFont="1" applyFill="1" applyBorder="1"/>
    <xf numFmtId="4" fontId="95" fillId="6" borderId="75" xfId="0" applyNumberFormat="1" applyFont="1" applyFill="1" applyBorder="1"/>
    <xf numFmtId="164" fontId="95" fillId="6" borderId="71" xfId="0" applyNumberFormat="1" applyFont="1" applyFill="1" applyBorder="1"/>
    <xf numFmtId="0" fontId="95" fillId="6" borderId="0" xfId="0" applyFont="1" applyFill="1"/>
    <xf numFmtId="171" fontId="95" fillId="6" borderId="50" xfId="0" applyNumberFormat="1" applyFont="1" applyFill="1" applyBorder="1"/>
    <xf numFmtId="0" fontId="195" fillId="6" borderId="50" xfId="0" applyFont="1" applyFill="1" applyBorder="1" applyAlignment="1">
      <alignment horizontal="left"/>
    </xf>
    <xf numFmtId="171" fontId="195" fillId="6" borderId="21" xfId="0" applyNumberFormat="1" applyFont="1" applyFill="1" applyBorder="1"/>
    <xf numFmtId="171" fontId="195" fillId="6" borderId="34" xfId="0" applyNumberFormat="1" applyFont="1" applyFill="1" applyBorder="1"/>
    <xf numFmtId="0" fontId="195" fillId="6" borderId="34" xfId="0" applyFont="1" applyFill="1" applyBorder="1" applyAlignment="1">
      <alignment horizontal="left"/>
    </xf>
    <xf numFmtId="171" fontId="195" fillId="6" borderId="50" xfId="0" applyNumberFormat="1" applyFont="1" applyFill="1" applyBorder="1"/>
    <xf numFmtId="0" fontId="170" fillId="6" borderId="12" xfId="0" applyFont="1" applyFill="1" applyBorder="1" applyAlignment="1">
      <alignment horizontal="center" vertical="center"/>
    </xf>
    <xf numFmtId="166" fontId="170" fillId="6" borderId="12" xfId="0" applyNumberFormat="1" applyFont="1" applyFill="1" applyBorder="1"/>
    <xf numFmtId="166" fontId="165" fillId="6" borderId="12" xfId="3" applyFont="1" applyFill="1" applyBorder="1" applyAlignment="1"/>
    <xf numFmtId="0" fontId="66" fillId="6" borderId="12" xfId="0" applyFont="1" applyFill="1" applyBorder="1" applyAlignment="1">
      <alignment horizontal="left"/>
    </xf>
    <xf numFmtId="49" fontId="66" fillId="6" borderId="12" xfId="0" applyNumberFormat="1" applyFont="1" applyFill="1" applyBorder="1" applyAlignment="1">
      <alignment horizontal="center"/>
    </xf>
    <xf numFmtId="4" fontId="66" fillId="6" borderId="12" xfId="0" applyNumberFormat="1" applyFont="1" applyFill="1" applyBorder="1" applyAlignment="1">
      <alignment horizontal="left"/>
    </xf>
    <xf numFmtId="171" fontId="66" fillId="6" borderId="12" xfId="0" applyNumberFormat="1" applyFont="1" applyFill="1" applyBorder="1" applyAlignment="1">
      <alignment horizontal="center"/>
    </xf>
    <xf numFmtId="171" fontId="66" fillId="6" borderId="12" xfId="0" applyNumberFormat="1" applyFont="1" applyFill="1" applyBorder="1"/>
    <xf numFmtId="0" fontId="173" fillId="6" borderId="12" xfId="0" applyFont="1" applyFill="1" applyBorder="1"/>
    <xf numFmtId="49" fontId="173" fillId="6" borderId="12" xfId="0" applyNumberFormat="1" applyFont="1" applyFill="1" applyBorder="1" applyAlignment="1">
      <alignment horizontal="center"/>
    </xf>
    <xf numFmtId="49" fontId="173" fillId="6" borderId="12" xfId="0" applyNumberFormat="1" applyFont="1" applyFill="1" applyBorder="1" applyAlignment="1">
      <alignment horizontal="left"/>
    </xf>
    <xf numFmtId="171" fontId="173" fillId="6" borderId="12" xfId="0" applyNumberFormat="1" applyFont="1" applyFill="1" applyBorder="1" applyAlignment="1">
      <alignment horizontal="center"/>
    </xf>
    <xf numFmtId="0" fontId="165" fillId="6" borderId="0" xfId="0" applyFont="1" applyFill="1" applyAlignment="1">
      <alignment horizontal="left"/>
    </xf>
    <xf numFmtId="0" fontId="173" fillId="6" borderId="0" xfId="0" applyFont="1" applyFill="1"/>
    <xf numFmtId="49" fontId="173" fillId="6" borderId="0" xfId="0" applyNumberFormat="1" applyFont="1" applyFill="1" applyAlignment="1">
      <alignment horizontal="center"/>
    </xf>
    <xf numFmtId="49" fontId="173" fillId="6" borderId="0" xfId="0" applyNumberFormat="1" applyFont="1" applyFill="1" applyAlignment="1">
      <alignment horizontal="left"/>
    </xf>
    <xf numFmtId="171" fontId="165" fillId="6" borderId="0" xfId="0" applyNumberFormat="1" applyFont="1" applyFill="1" applyAlignment="1">
      <alignment horizontal="center"/>
    </xf>
    <xf numFmtId="0" fontId="173" fillId="6" borderId="36" xfId="0" applyFont="1" applyFill="1" applyBorder="1"/>
    <xf numFmtId="49" fontId="173" fillId="6" borderId="36" xfId="0" applyNumberFormat="1" applyFont="1" applyFill="1" applyBorder="1" applyAlignment="1">
      <alignment horizontal="center"/>
    </xf>
    <xf numFmtId="49" fontId="173" fillId="6" borderId="36" xfId="0" applyNumberFormat="1" applyFont="1" applyFill="1" applyBorder="1" applyAlignment="1">
      <alignment horizontal="left"/>
    </xf>
    <xf numFmtId="171" fontId="173" fillId="6" borderId="36" xfId="0" applyNumberFormat="1" applyFont="1" applyFill="1" applyBorder="1" applyAlignment="1">
      <alignment horizontal="center"/>
    </xf>
    <xf numFmtId="171" fontId="173" fillId="6" borderId="63" xfId="0" applyNumberFormat="1" applyFont="1" applyFill="1" applyBorder="1" applyAlignment="1">
      <alignment horizontal="center"/>
    </xf>
    <xf numFmtId="0" fontId="66" fillId="6" borderId="2" xfId="0" applyFont="1" applyFill="1" applyBorder="1"/>
    <xf numFmtId="0" fontId="165" fillId="6" borderId="31" xfId="0" applyFont="1" applyFill="1" applyBorder="1"/>
    <xf numFmtId="49" fontId="165" fillId="6" borderId="65" xfId="0" applyNumberFormat="1" applyFont="1" applyFill="1" applyBorder="1" applyAlignment="1">
      <alignment horizontal="left"/>
    </xf>
    <xf numFmtId="165" fontId="165" fillId="6" borderId="1" xfId="2" applyFont="1" applyFill="1" applyBorder="1" applyAlignment="1">
      <alignment horizontal="center"/>
    </xf>
    <xf numFmtId="165" fontId="165" fillId="6" borderId="32" xfId="2" applyFont="1" applyFill="1" applyBorder="1" applyAlignment="1">
      <alignment horizontal="center"/>
    </xf>
    <xf numFmtId="165" fontId="165" fillId="6" borderId="47" xfId="2" applyFont="1" applyFill="1" applyBorder="1" applyAlignment="1">
      <alignment horizontal="left"/>
    </xf>
    <xf numFmtId="171" fontId="165" fillId="6" borderId="32" xfId="2" applyNumberFormat="1" applyFont="1" applyFill="1" applyBorder="1" applyAlignment="1">
      <alignment horizontal="center"/>
    </xf>
    <xf numFmtId="171" fontId="165" fillId="6" borderId="47" xfId="2" applyNumberFormat="1" applyFont="1" applyFill="1" applyBorder="1" applyAlignment="1">
      <alignment horizontal="center"/>
    </xf>
    <xf numFmtId="0" fontId="66" fillId="6" borderId="3" xfId="0" applyFont="1" applyFill="1" applyBorder="1"/>
    <xf numFmtId="165" fontId="165" fillId="6" borderId="26" xfId="2" applyFont="1" applyFill="1" applyBorder="1" applyAlignment="1">
      <alignment horizontal="left"/>
    </xf>
    <xf numFmtId="171" fontId="165" fillId="6" borderId="26" xfId="2" applyNumberFormat="1" applyFont="1" applyFill="1" applyBorder="1" applyAlignment="1">
      <alignment horizontal="center"/>
    </xf>
    <xf numFmtId="0" fontId="66" fillId="6" borderId="24" xfId="0" applyFont="1" applyFill="1" applyBorder="1"/>
    <xf numFmtId="165" fontId="165" fillId="6" borderId="26" xfId="2" applyFont="1" applyFill="1" applyBorder="1" applyAlignment="1">
      <alignment horizontal="center"/>
    </xf>
    <xf numFmtId="165" fontId="165" fillId="6" borderId="5" xfId="2" applyFont="1" applyFill="1" applyBorder="1" applyAlignment="1">
      <alignment horizontal="left"/>
    </xf>
    <xf numFmtId="171" fontId="165" fillId="6" borderId="27" xfId="2" applyNumberFormat="1" applyFont="1" applyFill="1" applyBorder="1" applyAlignment="1">
      <alignment horizontal="center"/>
    </xf>
    <xf numFmtId="171" fontId="165" fillId="6" borderId="5" xfId="2" applyNumberFormat="1" applyFont="1" applyFill="1" applyBorder="1" applyAlignment="1">
      <alignment horizontal="center"/>
    </xf>
    <xf numFmtId="0" fontId="165" fillId="6" borderId="26" xfId="0" applyFont="1" applyFill="1" applyBorder="1"/>
    <xf numFmtId="49" fontId="165" fillId="6" borderId="3" xfId="0" applyNumberFormat="1" applyFont="1" applyFill="1" applyBorder="1" applyAlignment="1">
      <alignment horizontal="center"/>
    </xf>
    <xf numFmtId="49" fontId="165" fillId="6" borderId="26" xfId="0" applyNumberFormat="1" applyFont="1" applyFill="1" applyBorder="1" applyAlignment="1">
      <alignment horizontal="left"/>
    </xf>
    <xf numFmtId="171" fontId="165" fillId="6" borderId="3" xfId="2" applyNumberFormat="1" applyFont="1" applyFill="1" applyBorder="1" applyAlignment="1">
      <alignment horizontal="center"/>
    </xf>
    <xf numFmtId="171" fontId="165" fillId="6" borderId="41" xfId="2" applyNumberFormat="1" applyFont="1" applyFill="1" applyBorder="1" applyAlignment="1">
      <alignment horizontal="center"/>
    </xf>
    <xf numFmtId="171" fontId="165" fillId="6" borderId="94" xfId="2" applyNumberFormat="1" applyFont="1" applyFill="1" applyBorder="1" applyAlignment="1">
      <alignment horizontal="center"/>
    </xf>
    <xf numFmtId="0" fontId="66" fillId="6" borderId="6" xfId="0" applyFont="1" applyFill="1" applyBorder="1" applyAlignment="1">
      <alignment horizontal="center"/>
    </xf>
    <xf numFmtId="0" fontId="80" fillId="6" borderId="3" xfId="0" applyFont="1" applyFill="1" applyBorder="1"/>
    <xf numFmtId="49" fontId="165" fillId="6" borderId="26" xfId="0" applyNumberFormat="1" applyFont="1" applyFill="1" applyBorder="1" applyAlignment="1">
      <alignment horizontal="center"/>
    </xf>
    <xf numFmtId="0" fontId="165" fillId="6" borderId="26" xfId="0" applyFont="1" applyFill="1" applyBorder="1" applyAlignment="1">
      <alignment vertical="center"/>
    </xf>
    <xf numFmtId="0" fontId="156" fillId="6" borderId="26" xfId="0" applyFont="1" applyFill="1" applyBorder="1"/>
    <xf numFmtId="49" fontId="156" fillId="6" borderId="26" xfId="0" applyNumberFormat="1" applyFont="1" applyFill="1" applyBorder="1" applyAlignment="1">
      <alignment horizontal="center"/>
    </xf>
    <xf numFmtId="165" fontId="156" fillId="6" borderId="26" xfId="2" applyFont="1" applyFill="1" applyBorder="1" applyAlignment="1">
      <alignment horizontal="center"/>
    </xf>
    <xf numFmtId="165" fontId="156" fillId="6" borderId="26" xfId="2" applyFont="1" applyFill="1" applyBorder="1" applyAlignment="1">
      <alignment horizontal="left"/>
    </xf>
    <xf numFmtId="166" fontId="57" fillId="0" borderId="0" xfId="3" applyFont="1"/>
    <xf numFmtId="0" fontId="5" fillId="28" borderId="12" xfId="0" applyFont="1" applyFill="1" applyBorder="1" applyAlignment="1">
      <alignment horizontal="center" vertical="distributed"/>
    </xf>
    <xf numFmtId="49" fontId="22" fillId="28" borderId="47" xfId="0" applyNumberFormat="1" applyFont="1" applyFill="1" applyBorder="1" applyAlignment="1">
      <alignment horizontal="center"/>
    </xf>
    <xf numFmtId="0" fontId="27" fillId="28" borderId="31" xfId="0" applyFont="1" applyFill="1" applyBorder="1" applyAlignment="1">
      <alignment horizontal="center"/>
    </xf>
    <xf numFmtId="0" fontId="22" fillId="28" borderId="47" xfId="0" applyFont="1" applyFill="1" applyBorder="1" applyAlignment="1">
      <alignment horizontal="center"/>
    </xf>
    <xf numFmtId="0" fontId="0" fillId="29" borderId="47" xfId="0" applyFill="1" applyBorder="1"/>
    <xf numFmtId="169" fontId="22" fillId="29" borderId="47" xfId="3" applyNumberFormat="1" applyFont="1" applyFill="1" applyBorder="1"/>
    <xf numFmtId="49" fontId="0" fillId="29" borderId="47" xfId="0" applyNumberFormat="1" applyFill="1" applyBorder="1"/>
    <xf numFmtId="0" fontId="22" fillId="29" borderId="31" xfId="0" applyFont="1" applyFill="1" applyBorder="1" applyAlignment="1">
      <alignment horizontal="center"/>
    </xf>
    <xf numFmtId="166" fontId="22" fillId="29" borderId="47" xfId="3" applyFont="1" applyFill="1" applyBorder="1"/>
    <xf numFmtId="4" fontId="49" fillId="29" borderId="12" xfId="2" applyNumberFormat="1" applyFont="1" applyFill="1" applyBorder="1" applyAlignment="1">
      <alignment horizontal="right" vertical="center"/>
    </xf>
    <xf numFmtId="4" fontId="24" fillId="29" borderId="12" xfId="2" applyNumberFormat="1" applyFont="1" applyFill="1" applyBorder="1" applyAlignment="1">
      <alignment horizontal="center" vertical="center"/>
    </xf>
    <xf numFmtId="166" fontId="37" fillId="29" borderId="12" xfId="3" applyFont="1" applyFill="1" applyBorder="1" applyAlignment="1">
      <alignment horizontal="right" vertical="center" wrapText="1"/>
    </xf>
    <xf numFmtId="166" fontId="6" fillId="29" borderId="12" xfId="3" applyFont="1" applyFill="1" applyBorder="1" applyAlignment="1">
      <alignment horizontal="right" vertical="center" wrapText="1"/>
    </xf>
    <xf numFmtId="166" fontId="37" fillId="29" borderId="61" xfId="3" applyFont="1" applyFill="1" applyBorder="1" applyAlignment="1">
      <alignment horizontal="right" vertical="center" wrapText="1"/>
    </xf>
    <xf numFmtId="166" fontId="7" fillId="28" borderId="12" xfId="3" applyFont="1" applyFill="1" applyBorder="1" applyAlignment="1">
      <alignment horizontal="center" vertical="center" textRotation="90" wrapText="1"/>
    </xf>
    <xf numFmtId="169" fontId="173" fillId="29" borderId="144" xfId="0" applyNumberFormat="1" applyFont="1" applyFill="1" applyBorder="1"/>
    <xf numFmtId="169" fontId="173" fillId="29" borderId="142" xfId="0" applyNumberFormat="1" applyFont="1" applyFill="1" applyBorder="1"/>
    <xf numFmtId="169" fontId="173" fillId="29" borderId="143" xfId="0" applyNumberFormat="1" applyFont="1" applyFill="1" applyBorder="1"/>
    <xf numFmtId="169" fontId="173" fillId="29" borderId="134" xfId="0" applyNumberFormat="1" applyFont="1" applyFill="1" applyBorder="1"/>
    <xf numFmtId="169" fontId="173" fillId="29" borderId="187" xfId="0" applyNumberFormat="1" applyFont="1" applyFill="1" applyBorder="1"/>
    <xf numFmtId="169" fontId="173" fillId="29" borderId="157" xfId="0" applyNumberFormat="1" applyFont="1" applyFill="1" applyBorder="1"/>
    <xf numFmtId="169" fontId="173" fillId="29" borderId="145" xfId="0" applyNumberFormat="1" applyFont="1" applyFill="1" applyBorder="1"/>
    <xf numFmtId="169" fontId="173" fillId="29" borderId="139" xfId="0" applyNumberFormat="1" applyFont="1" applyFill="1" applyBorder="1"/>
    <xf numFmtId="169" fontId="173" fillId="29" borderId="149" xfId="3" applyNumberFormat="1" applyFont="1" applyFill="1" applyBorder="1" applyAlignment="1">
      <alignment horizontal="right"/>
    </xf>
    <xf numFmtId="169" fontId="173" fillId="29" borderId="140" xfId="0" applyNumberFormat="1" applyFont="1" applyFill="1" applyBorder="1"/>
    <xf numFmtId="0" fontId="173" fillId="29" borderId="125" xfId="0" applyFont="1" applyFill="1" applyBorder="1"/>
    <xf numFmtId="0" fontId="173" fillId="29" borderId="123" xfId="0" applyFont="1" applyFill="1" applyBorder="1"/>
    <xf numFmtId="0" fontId="64" fillId="29" borderId="161" xfId="0" applyFont="1" applyFill="1" applyBorder="1" applyAlignment="1">
      <alignment textRotation="90" wrapText="1"/>
    </xf>
    <xf numFmtId="0" fontId="85" fillId="29" borderId="160" xfId="0" applyFont="1" applyFill="1" applyBorder="1" applyAlignment="1">
      <alignment vertical="center" textRotation="90" wrapText="1"/>
    </xf>
    <xf numFmtId="0" fontId="85" fillId="29" borderId="158" xfId="0" applyFont="1" applyFill="1" applyBorder="1" applyAlignment="1">
      <alignment textRotation="90" wrapText="1"/>
    </xf>
    <xf numFmtId="0" fontId="141" fillId="29" borderId="136" xfId="0" applyFont="1" applyFill="1" applyBorder="1" applyAlignment="1">
      <alignment horizontal="center" vertical="center" wrapText="1"/>
    </xf>
    <xf numFmtId="0" fontId="141" fillId="29" borderId="162" xfId="0" applyFont="1" applyFill="1" applyBorder="1" applyAlignment="1">
      <alignment horizontal="center" vertical="center" wrapText="1"/>
    </xf>
    <xf numFmtId="0" fontId="141" fillId="29" borderId="164" xfId="0" applyFont="1" applyFill="1" applyBorder="1" applyAlignment="1">
      <alignment horizontal="center" vertical="center" wrapText="1"/>
    </xf>
    <xf numFmtId="0" fontId="141" fillId="29" borderId="135" xfId="0" quotePrefix="1" applyFont="1" applyFill="1" applyBorder="1" applyAlignment="1">
      <alignment horizontal="center" vertical="center" wrapText="1"/>
    </xf>
    <xf numFmtId="0" fontId="141" fillId="29" borderId="164" xfId="0" quotePrefix="1" applyFont="1" applyFill="1" applyBorder="1" applyAlignment="1">
      <alignment horizontal="center" vertical="center" wrapText="1"/>
    </xf>
    <xf numFmtId="0" fontId="141" fillId="29" borderId="60" xfId="0" applyFont="1" applyFill="1" applyBorder="1" applyAlignment="1">
      <alignment horizontal="center" vertical="center" wrapText="1"/>
    </xf>
    <xf numFmtId="0" fontId="85" fillId="29" borderId="57" xfId="0" applyFont="1" applyFill="1" applyBorder="1" applyAlignment="1">
      <alignment horizontal="center" vertical="center" wrapText="1"/>
    </xf>
    <xf numFmtId="0" fontId="85" fillId="29" borderId="67" xfId="0" applyFont="1" applyFill="1" applyBorder="1" applyAlignment="1">
      <alignment horizontal="center" vertical="center" wrapText="1"/>
    </xf>
    <xf numFmtId="0" fontId="141" fillId="29" borderId="163" xfId="0" quotePrefix="1" applyFont="1" applyFill="1" applyBorder="1" applyAlignment="1">
      <alignment horizontal="center" vertical="center" wrapText="1"/>
    </xf>
    <xf numFmtId="0" fontId="85" fillId="29" borderId="67" xfId="0" quotePrefix="1" applyFont="1" applyFill="1" applyBorder="1" applyAlignment="1">
      <alignment horizontal="center" vertical="center" wrapText="1"/>
    </xf>
    <xf numFmtId="0" fontId="85" fillId="29" borderId="12" xfId="0" quotePrefix="1" applyFont="1" applyFill="1" applyBorder="1" applyAlignment="1">
      <alignment horizontal="center" vertical="center" wrapText="1"/>
    </xf>
    <xf numFmtId="0" fontId="141" fillId="29" borderId="60" xfId="0" quotePrefix="1" applyFont="1" applyFill="1" applyBorder="1" applyAlignment="1">
      <alignment horizontal="center" vertical="center" wrapText="1"/>
    </xf>
    <xf numFmtId="0" fontId="85" fillId="29" borderId="34" xfId="0" quotePrefix="1" applyFont="1" applyFill="1" applyBorder="1" applyAlignment="1">
      <alignment horizontal="center" vertical="center" wrapText="1"/>
    </xf>
    <xf numFmtId="0" fontId="85" fillId="29" borderId="62" xfId="0" quotePrefix="1" applyFont="1" applyFill="1" applyBorder="1" applyAlignment="1">
      <alignment horizontal="center" vertical="center" wrapText="1"/>
    </xf>
    <xf numFmtId="0" fontId="141" fillId="29" borderId="167" xfId="0" quotePrefix="1" applyFont="1" applyFill="1" applyBorder="1" applyAlignment="1">
      <alignment horizontal="center" vertical="center" wrapText="1"/>
    </xf>
    <xf numFmtId="0" fontId="22" fillId="29" borderId="12" xfId="0" applyFont="1" applyFill="1" applyBorder="1" applyAlignment="1">
      <alignment horizontal="center" vertical="center"/>
    </xf>
    <xf numFmtId="0" fontId="22" fillId="29" borderId="12" xfId="0" applyFont="1" applyFill="1" applyBorder="1" applyAlignment="1">
      <alignment horizontal="center" vertical="center" wrapText="1"/>
    </xf>
    <xf numFmtId="0" fontId="194" fillId="29" borderId="12" xfId="0" applyFont="1" applyFill="1" applyBorder="1" applyAlignment="1">
      <alignment horizontal="center" vertical="center" wrapText="1"/>
    </xf>
    <xf numFmtId="0" fontId="22" fillId="29" borderId="21" xfId="0" applyFont="1" applyFill="1" applyBorder="1" applyAlignment="1">
      <alignment horizontal="center" vertical="center" wrapText="1"/>
    </xf>
    <xf numFmtId="0" fontId="22" fillId="29" borderId="36" xfId="0" applyFont="1" applyFill="1" applyBorder="1" applyAlignment="1">
      <alignment horizontal="left"/>
    </xf>
    <xf numFmtId="0" fontId="22" fillId="29" borderId="63" xfId="0" applyFont="1" applyFill="1" applyBorder="1" applyAlignment="1">
      <alignment horizontal="left"/>
    </xf>
    <xf numFmtId="49" fontId="22" fillId="29" borderId="12" xfId="0" applyNumberFormat="1" applyFont="1" applyFill="1" applyBorder="1" applyAlignment="1">
      <alignment horizontal="left"/>
    </xf>
    <xf numFmtId="171" fontId="22" fillId="29" borderId="12" xfId="2" applyNumberFormat="1" applyFont="1" applyFill="1" applyBorder="1" applyAlignment="1">
      <alignment horizontal="center"/>
    </xf>
    <xf numFmtId="0" fontId="22" fillId="29" borderId="61" xfId="0" applyFont="1" applyFill="1" applyBorder="1" applyAlignment="1">
      <alignment horizontal="left"/>
    </xf>
    <xf numFmtId="0" fontId="16" fillId="28" borderId="0" xfId="0" applyFont="1" applyFill="1"/>
    <xf numFmtId="0" fontId="98" fillId="28" borderId="0" xfId="0" applyFont="1" applyFill="1"/>
    <xf numFmtId="0" fontId="16" fillId="29" borderId="12" xfId="0" applyFont="1" applyFill="1" applyBorder="1" applyAlignment="1">
      <alignment horizontal="center" vertical="center"/>
    </xf>
    <xf numFmtId="0" fontId="16" fillId="29" borderId="63" xfId="0" applyFont="1" applyFill="1" applyBorder="1" applyAlignment="1">
      <alignment horizontal="center" vertical="center" wrapText="1"/>
    </xf>
    <xf numFmtId="0" fontId="16" fillId="29" borderId="61" xfId="0" applyFont="1" applyFill="1" applyBorder="1" applyAlignment="1">
      <alignment vertical="center" wrapText="1"/>
    </xf>
    <xf numFmtId="0" fontId="4" fillId="29" borderId="61" xfId="0" applyFont="1" applyFill="1" applyBorder="1" applyAlignment="1">
      <alignment vertical="center" wrapText="1"/>
    </xf>
    <xf numFmtId="0" fontId="16" fillId="29" borderId="12" xfId="0" applyFont="1" applyFill="1" applyBorder="1" applyAlignment="1">
      <alignment horizontal="center" vertical="center" wrapText="1"/>
    </xf>
    <xf numFmtId="0" fontId="16" fillId="29" borderId="12" xfId="0" applyFont="1" applyFill="1" applyBorder="1"/>
    <xf numFmtId="166" fontId="22" fillId="29" borderId="12" xfId="0" applyNumberFormat="1" applyFont="1" applyFill="1" applyBorder="1"/>
    <xf numFmtId="0" fontId="160" fillId="28" borderId="12" xfId="0" applyFont="1" applyFill="1" applyBorder="1" applyAlignment="1">
      <alignment horizontal="left" textRotation="90" wrapText="1"/>
    </xf>
    <xf numFmtId="0" fontId="160" fillId="28" borderId="12" xfId="0" quotePrefix="1" applyFont="1" applyFill="1" applyBorder="1" applyAlignment="1">
      <alignment horizontal="center" textRotation="90" wrapText="1"/>
    </xf>
    <xf numFmtId="0" fontId="160" fillId="28" borderId="12" xfId="0" applyFont="1" applyFill="1" applyBorder="1" applyAlignment="1">
      <alignment horizontal="center" textRotation="90" wrapText="1"/>
    </xf>
    <xf numFmtId="49" fontId="22" fillId="29" borderId="12" xfId="0" applyNumberFormat="1" applyFont="1" applyFill="1" applyBorder="1"/>
    <xf numFmtId="49" fontId="22" fillId="29" borderId="13" xfId="0" applyNumberFormat="1" applyFont="1" applyFill="1" applyBorder="1"/>
    <xf numFmtId="0" fontId="22" fillId="29" borderId="26" xfId="0" applyFont="1" applyFill="1" applyBorder="1"/>
    <xf numFmtId="0" fontId="53" fillId="29" borderId="26" xfId="0" applyFont="1" applyFill="1" applyBorder="1"/>
    <xf numFmtId="164" fontId="22" fillId="29" borderId="3" xfId="3" applyNumberFormat="1" applyFont="1" applyFill="1" applyBorder="1" applyAlignment="1">
      <alignment horizontal="right"/>
    </xf>
    <xf numFmtId="0" fontId="22" fillId="29" borderId="26" xfId="0" applyFont="1" applyFill="1" applyBorder="1" applyAlignment="1">
      <alignment horizontal="center"/>
    </xf>
    <xf numFmtId="164" fontId="22" fillId="29" borderId="24" xfId="3" applyNumberFormat="1" applyFont="1" applyFill="1" applyBorder="1" applyAlignment="1">
      <alignment horizontal="right"/>
    </xf>
    <xf numFmtId="0" fontId="7" fillId="28" borderId="12" xfId="0" applyFont="1" applyFill="1" applyBorder="1" applyAlignment="1">
      <alignment horizontal="center" vertical="center" wrapText="1"/>
    </xf>
    <xf numFmtId="0" fontId="32" fillId="28" borderId="12" xfId="0" applyFont="1" applyFill="1" applyBorder="1" applyAlignment="1">
      <alignment horizontal="left" vertical="center" textRotation="90" wrapText="1" readingOrder="1"/>
    </xf>
    <xf numFmtId="0" fontId="32" fillId="28" borderId="12" xfId="0" quotePrefix="1" applyFont="1" applyFill="1" applyBorder="1" applyAlignment="1">
      <alignment horizontal="left" vertical="center" textRotation="90" wrapText="1" readingOrder="1"/>
    </xf>
    <xf numFmtId="49" fontId="32" fillId="28" borderId="12" xfId="0" quotePrefix="1" applyNumberFormat="1" applyFont="1" applyFill="1" applyBorder="1" applyAlignment="1">
      <alignment horizontal="left" vertical="center" textRotation="90" wrapText="1" readingOrder="1"/>
    </xf>
    <xf numFmtId="49" fontId="0" fillId="29" borderId="12" xfId="0" applyNumberFormat="1" applyFill="1" applyBorder="1"/>
    <xf numFmtId="0" fontId="0" fillId="29" borderId="12" xfId="0" applyFill="1" applyBorder="1" applyAlignment="1">
      <alignment horizontal="center"/>
    </xf>
    <xf numFmtId="0" fontId="26" fillId="29" borderId="12" xfId="0" applyFont="1" applyFill="1" applyBorder="1"/>
    <xf numFmtId="0" fontId="22" fillId="29" borderId="12" xfId="0" applyFont="1" applyFill="1" applyBorder="1" applyAlignment="1">
      <alignment horizontal="center"/>
    </xf>
    <xf numFmtId="0" fontId="22" fillId="29" borderId="12" xfId="0" applyFont="1" applyFill="1" applyBorder="1"/>
    <xf numFmtId="164" fontId="27" fillId="29" borderId="50" xfId="3" applyNumberFormat="1" applyFont="1" applyFill="1" applyBorder="1" applyAlignment="1">
      <alignment horizontal="right"/>
    </xf>
    <xf numFmtId="49" fontId="32" fillId="28" borderId="12" xfId="0" applyNumberFormat="1" applyFont="1" applyFill="1" applyBorder="1" applyAlignment="1">
      <alignment horizontal="center" textRotation="90"/>
    </xf>
    <xf numFmtId="49" fontId="32" fillId="28" borderId="12" xfId="0" quotePrefix="1" applyNumberFormat="1" applyFont="1" applyFill="1" applyBorder="1" applyAlignment="1">
      <alignment horizontal="center" textRotation="90"/>
    </xf>
    <xf numFmtId="49" fontId="32" fillId="28" borderId="12" xfId="0" quotePrefix="1" applyNumberFormat="1" applyFont="1" applyFill="1" applyBorder="1" applyAlignment="1">
      <alignment horizontal="center" textRotation="90" wrapText="1"/>
    </xf>
    <xf numFmtId="0" fontId="32" fillId="28" borderId="12" xfId="0" applyFont="1" applyFill="1" applyBorder="1" applyAlignment="1">
      <alignment horizontal="center" textRotation="90"/>
    </xf>
    <xf numFmtId="169" fontId="27" fillId="29" borderId="50" xfId="3" applyNumberFormat="1" applyFont="1" applyFill="1" applyBorder="1" applyAlignment="1">
      <alignment horizontal="right"/>
    </xf>
    <xf numFmtId="169" fontId="50" fillId="29" borderId="50" xfId="1" applyNumberFormat="1" applyFont="1" applyFill="1" applyBorder="1"/>
    <xf numFmtId="169" fontId="50" fillId="29" borderId="180" xfId="1" applyNumberFormat="1" applyFont="1" applyFill="1" applyBorder="1"/>
    <xf numFmtId="0" fontId="32" fillId="28" borderId="12" xfId="0" applyFont="1" applyFill="1" applyBorder="1" applyAlignment="1">
      <alignment horizontal="center" vertical="center" textRotation="90" wrapText="1"/>
    </xf>
    <xf numFmtId="0" fontId="32" fillId="28" borderId="12" xfId="0" quotePrefix="1" applyFont="1" applyFill="1" applyBorder="1" applyAlignment="1">
      <alignment horizontal="center" vertical="center" textRotation="90" wrapText="1"/>
    </xf>
    <xf numFmtId="49" fontId="32" fillId="28" borderId="12" xfId="0" quotePrefix="1" applyNumberFormat="1" applyFont="1" applyFill="1" applyBorder="1" applyAlignment="1">
      <alignment horizontal="center" vertical="center" textRotation="90" wrapText="1"/>
    </xf>
    <xf numFmtId="164" fontId="53" fillId="29" borderId="50" xfId="3" applyNumberFormat="1" applyFont="1" applyFill="1" applyBorder="1" applyAlignment="1">
      <alignment horizontal="right"/>
    </xf>
    <xf numFmtId="0" fontId="100" fillId="28" borderId="4" xfId="0" applyFont="1" applyFill="1" applyBorder="1" applyAlignment="1">
      <alignment horizontal="center"/>
    </xf>
    <xf numFmtId="0" fontId="103" fillId="28" borderId="61" xfId="0" applyFont="1" applyFill="1" applyBorder="1"/>
    <xf numFmtId="0" fontId="103" fillId="28" borderId="63" xfId="0" applyFont="1" applyFill="1" applyBorder="1"/>
    <xf numFmtId="0" fontId="100" fillId="28" borderId="2" xfId="0" applyFont="1" applyFill="1" applyBorder="1" applyAlignment="1">
      <alignment horizontal="center"/>
    </xf>
    <xf numFmtId="170" fontId="100" fillId="28" borderId="85" xfId="0" applyNumberFormat="1" applyFont="1" applyFill="1" applyBorder="1"/>
    <xf numFmtId="0" fontId="100" fillId="28" borderId="2" xfId="0" quotePrefix="1" applyFont="1" applyFill="1" applyBorder="1" applyAlignment="1">
      <alignment horizontal="center"/>
    </xf>
    <xf numFmtId="0" fontId="103" fillId="29" borderId="4" xfId="0" applyFont="1" applyFill="1" applyBorder="1" applyAlignment="1">
      <alignment horizontal="center" vertical="center"/>
    </xf>
    <xf numFmtId="169" fontId="100" fillId="29" borderId="65" xfId="0" applyNumberFormat="1" applyFont="1" applyFill="1" applyBorder="1"/>
    <xf numFmtId="166" fontId="24" fillId="29" borderId="16" xfId="3" applyFont="1" applyFill="1" applyBorder="1" applyAlignment="1">
      <alignment vertical="center" wrapText="1"/>
    </xf>
    <xf numFmtId="0" fontId="11" fillId="28" borderId="0" xfId="0" applyFont="1" applyFill="1"/>
    <xf numFmtId="0" fontId="43" fillId="28" borderId="47" xfId="0" applyFont="1" applyFill="1" applyBorder="1" applyAlignment="1">
      <alignment horizontal="center" vertical="center"/>
    </xf>
    <xf numFmtId="0" fontId="42" fillId="28" borderId="47" xfId="0" applyFont="1" applyFill="1" applyBorder="1" applyAlignment="1">
      <alignment horizontal="center" vertical="center"/>
    </xf>
    <xf numFmtId="0" fontId="30" fillId="28" borderId="47" xfId="0" applyFont="1" applyFill="1" applyBorder="1" applyAlignment="1">
      <alignment horizontal="center" vertical="center"/>
    </xf>
    <xf numFmtId="0" fontId="6" fillId="28" borderId="47" xfId="0" applyFont="1" applyFill="1" applyBorder="1" applyAlignment="1">
      <alignment horizontal="centerContinuous" vertical="center"/>
    </xf>
    <xf numFmtId="0" fontId="6" fillId="28" borderId="5" xfId="0" applyFont="1" applyFill="1" applyBorder="1" applyAlignment="1">
      <alignment horizontal="center" vertical="center"/>
    </xf>
    <xf numFmtId="0" fontId="6" fillId="28" borderId="32" xfId="0" applyFont="1" applyFill="1" applyBorder="1" applyAlignment="1">
      <alignment horizontal="center" vertical="center"/>
    </xf>
    <xf numFmtId="0" fontId="6" fillId="28" borderId="32" xfId="0" applyFont="1" applyFill="1" applyBorder="1" applyAlignment="1">
      <alignment horizontal="center" vertical="center" wrapText="1"/>
    </xf>
    <xf numFmtId="0" fontId="6" fillId="28" borderId="47" xfId="0" quotePrefix="1" applyFont="1" applyFill="1" applyBorder="1" applyAlignment="1">
      <alignment horizontal="center" vertical="justify" wrapText="1"/>
    </xf>
    <xf numFmtId="0" fontId="37" fillId="29" borderId="47" xfId="0" applyFont="1" applyFill="1" applyBorder="1" applyAlignment="1">
      <alignment horizontal="center"/>
    </xf>
    <xf numFmtId="0" fontId="37" fillId="29" borderId="47" xfId="0" applyFont="1" applyFill="1" applyBorder="1"/>
    <xf numFmtId="164" fontId="6" fillId="29" borderId="47" xfId="0" applyNumberFormat="1" applyFont="1" applyFill="1" applyBorder="1"/>
    <xf numFmtId="164" fontId="6" fillId="29" borderId="32" xfId="0" applyNumberFormat="1" applyFont="1" applyFill="1" applyBorder="1"/>
    <xf numFmtId="169" fontId="6" fillId="29" borderId="47" xfId="0" applyNumberFormat="1" applyFont="1" applyFill="1" applyBorder="1"/>
    <xf numFmtId="164" fontId="37" fillId="29" borderId="32" xfId="0" applyNumberFormat="1" applyFont="1" applyFill="1" applyBorder="1"/>
    <xf numFmtId="0" fontId="37" fillId="29" borderId="34" xfId="0" applyFont="1" applyFill="1" applyBorder="1" applyAlignment="1">
      <alignment horizontal="center"/>
    </xf>
    <xf numFmtId="0" fontId="37" fillId="29" borderId="34" xfId="0" applyFont="1" applyFill="1" applyBorder="1" applyAlignment="1">
      <alignment horizontal="left"/>
    </xf>
    <xf numFmtId="164" fontId="6" fillId="29" borderId="6" xfId="0" applyNumberFormat="1" applyFont="1" applyFill="1" applyBorder="1"/>
    <xf numFmtId="164" fontId="6" fillId="29" borderId="16" xfId="0" applyNumberFormat="1" applyFont="1" applyFill="1" applyBorder="1"/>
    <xf numFmtId="164" fontId="6" fillId="29" borderId="41" xfId="0" applyNumberFormat="1" applyFont="1" applyFill="1" applyBorder="1"/>
    <xf numFmtId="164" fontId="37" fillId="29" borderId="44" xfId="0" applyNumberFormat="1" applyFont="1" applyFill="1" applyBorder="1"/>
    <xf numFmtId="164" fontId="6" fillId="29" borderId="45" xfId="0" applyNumberFormat="1" applyFont="1" applyFill="1" applyBorder="1"/>
    <xf numFmtId="164" fontId="6" fillId="29" borderId="30" xfId="0" applyNumberFormat="1" applyFont="1" applyFill="1" applyBorder="1"/>
    <xf numFmtId="169" fontId="6" fillId="29" borderId="8" xfId="0" applyNumberFormat="1" applyFont="1" applyFill="1" applyBorder="1"/>
    <xf numFmtId="169" fontId="6" fillId="29" borderId="93" xfId="0" applyNumberFormat="1" applyFont="1" applyFill="1" applyBorder="1"/>
    <xf numFmtId="169" fontId="37" fillId="29" borderId="93" xfId="0" applyNumberFormat="1" applyFont="1" applyFill="1" applyBorder="1"/>
    <xf numFmtId="164" fontId="6" fillId="29" borderId="4" xfId="0" applyNumberFormat="1" applyFont="1" applyFill="1" applyBorder="1"/>
    <xf numFmtId="0" fontId="37" fillId="29" borderId="34" xfId="0" applyFont="1" applyFill="1" applyBorder="1"/>
    <xf numFmtId="164" fontId="6" fillId="29" borderId="42" xfId="0" applyNumberFormat="1" applyFont="1" applyFill="1" applyBorder="1"/>
    <xf numFmtId="164" fontId="6" fillId="29" borderId="18" xfId="0" applyNumberFormat="1" applyFont="1" applyFill="1" applyBorder="1"/>
    <xf numFmtId="164" fontId="6" fillId="29" borderId="200" xfId="0" applyNumberFormat="1" applyFont="1" applyFill="1" applyBorder="1"/>
    <xf numFmtId="164" fontId="37" fillId="29" borderId="67" xfId="0" applyNumberFormat="1" applyFont="1" applyFill="1" applyBorder="1"/>
    <xf numFmtId="164" fontId="37" fillId="29" borderId="38" xfId="0" applyNumberFormat="1" applyFont="1" applyFill="1" applyBorder="1"/>
    <xf numFmtId="164" fontId="6" fillId="29" borderId="60" xfId="0" applyNumberFormat="1" applyFont="1" applyFill="1" applyBorder="1"/>
    <xf numFmtId="0" fontId="37" fillId="29" borderId="12" xfId="0" applyFont="1" applyFill="1" applyBorder="1" applyAlignment="1">
      <alignment horizontal="center"/>
    </xf>
    <xf numFmtId="0" fontId="37" fillId="29" borderId="13" xfId="0" applyFont="1" applyFill="1" applyBorder="1"/>
    <xf numFmtId="164" fontId="6" fillId="29" borderId="3" xfId="0" applyNumberFormat="1" applyFont="1" applyFill="1" applyBorder="1"/>
    <xf numFmtId="164" fontId="6" fillId="29" borderId="26" xfId="0" applyNumberFormat="1" applyFont="1" applyFill="1" applyBorder="1"/>
    <xf numFmtId="164" fontId="6" fillId="29" borderId="2" xfId="0" applyNumberFormat="1" applyFont="1" applyFill="1" applyBorder="1"/>
    <xf numFmtId="169" fontId="6" fillId="29" borderId="4" xfId="0" applyNumberFormat="1" applyFont="1" applyFill="1" applyBorder="1"/>
    <xf numFmtId="169" fontId="6" fillId="29" borderId="1" xfId="0" applyNumberFormat="1" applyFont="1" applyFill="1" applyBorder="1"/>
    <xf numFmtId="0" fontId="37" fillId="29" borderId="56" xfId="0" applyFont="1" applyFill="1" applyBorder="1"/>
    <xf numFmtId="169" fontId="6" fillId="29" borderId="45" xfId="0" applyNumberFormat="1" applyFont="1" applyFill="1" applyBorder="1"/>
    <xf numFmtId="169" fontId="6" fillId="29" borderId="38" xfId="0" applyNumberFormat="1" applyFont="1" applyFill="1" applyBorder="1"/>
    <xf numFmtId="164" fontId="6" fillId="29" borderId="38" xfId="0" applyNumberFormat="1" applyFont="1" applyFill="1" applyBorder="1"/>
    <xf numFmtId="164" fontId="73" fillId="29" borderId="32" xfId="0" applyNumberFormat="1" applyFont="1" applyFill="1" applyBorder="1"/>
    <xf numFmtId="164" fontId="37" fillId="29" borderId="47" xfId="0" applyNumberFormat="1" applyFont="1" applyFill="1" applyBorder="1"/>
    <xf numFmtId="0" fontId="37" fillId="29" borderId="51" xfId="0" applyFont="1" applyFill="1" applyBorder="1" applyAlignment="1">
      <alignment horizontal="center"/>
    </xf>
    <xf numFmtId="0" fontId="13" fillId="29" borderId="182" xfId="0" applyFont="1" applyFill="1" applyBorder="1" applyAlignment="1">
      <alignment horizontal="center"/>
    </xf>
    <xf numFmtId="0" fontId="37" fillId="29" borderId="78" xfId="0" applyFont="1" applyFill="1" applyBorder="1"/>
    <xf numFmtId="169" fontId="37" fillId="29" borderId="47" xfId="0" applyNumberFormat="1" applyFont="1" applyFill="1" applyBorder="1"/>
    <xf numFmtId="164" fontId="6" fillId="29" borderId="96" xfId="0" applyNumberFormat="1" applyFont="1" applyFill="1" applyBorder="1"/>
    <xf numFmtId="0" fontId="7" fillId="0" borderId="0" xfId="0" quotePrefix="1" applyFont="1" applyAlignment="1">
      <alignment wrapText="1"/>
    </xf>
    <xf numFmtId="0" fontId="7" fillId="28" borderId="12" xfId="0" quotePrefix="1" applyFont="1" applyFill="1" applyBorder="1" applyAlignment="1">
      <alignment horizontal="center" vertical="center" wrapText="1"/>
    </xf>
    <xf numFmtId="0" fontId="6" fillId="29" borderId="50" xfId="0" applyFont="1" applyFill="1" applyBorder="1" applyAlignment="1">
      <alignment horizontal="center"/>
    </xf>
    <xf numFmtId="164" fontId="6" fillId="29" borderId="50" xfId="0" applyNumberFormat="1" applyFont="1" applyFill="1" applyBorder="1"/>
    <xf numFmtId="10" fontId="95" fillId="28" borderId="55" xfId="0" applyNumberFormat="1" applyFont="1" applyFill="1" applyBorder="1" applyAlignment="1">
      <alignment horizontal="center"/>
    </xf>
    <xf numFmtId="0" fontId="95" fillId="28" borderId="47" xfId="0" applyFont="1" applyFill="1" applyBorder="1" applyAlignment="1">
      <alignment horizontal="center"/>
    </xf>
    <xf numFmtId="0" fontId="95" fillId="28" borderId="32" xfId="0" applyFont="1" applyFill="1" applyBorder="1" applyAlignment="1">
      <alignment horizontal="center" wrapText="1"/>
    </xf>
    <xf numFmtId="0" fontId="95" fillId="28" borderId="32" xfId="0" applyFont="1" applyFill="1" applyBorder="1" applyAlignment="1">
      <alignment horizontal="center"/>
    </xf>
    <xf numFmtId="0" fontId="95" fillId="28" borderId="4" xfId="0" quotePrefix="1" applyFont="1" applyFill="1" applyBorder="1" applyAlignment="1">
      <alignment horizontal="center" vertical="center" wrapText="1"/>
    </xf>
    <xf numFmtId="0" fontId="95" fillId="28" borderId="47" xfId="0" applyFont="1" applyFill="1" applyBorder="1" applyAlignment="1">
      <alignment horizontal="center" vertical="center" wrapText="1"/>
    </xf>
    <xf numFmtId="0" fontId="95" fillId="28" borderId="65" xfId="0" applyFont="1" applyFill="1" applyBorder="1" applyAlignment="1">
      <alignment horizontal="center" vertical="center" wrapText="1"/>
    </xf>
    <xf numFmtId="0" fontId="66" fillId="28" borderId="2" xfId="0" applyFont="1" applyFill="1" applyBorder="1"/>
    <xf numFmtId="0" fontId="170" fillId="28" borderId="0" xfId="0" applyFont="1" applyFill="1" applyAlignment="1">
      <alignment horizontal="left"/>
    </xf>
    <xf numFmtId="0" fontId="156" fillId="28" borderId="37" xfId="0" applyFont="1" applyFill="1" applyBorder="1" applyAlignment="1">
      <alignment horizontal="left"/>
    </xf>
    <xf numFmtId="165" fontId="156" fillId="28" borderId="29" xfId="2" applyFont="1" applyFill="1" applyBorder="1" applyAlignment="1">
      <alignment horizontal="center"/>
    </xf>
    <xf numFmtId="165" fontId="156" fillId="28" borderId="2" xfId="2" applyFont="1" applyFill="1" applyBorder="1" applyAlignment="1">
      <alignment horizontal="left"/>
    </xf>
    <xf numFmtId="171" fontId="156" fillId="28" borderId="29" xfId="2" applyNumberFormat="1" applyFont="1" applyFill="1" applyBorder="1" applyAlignment="1">
      <alignment horizontal="center"/>
    </xf>
    <xf numFmtId="171" fontId="156" fillId="28" borderId="2" xfId="2" applyNumberFormat="1" applyFont="1" applyFill="1" applyBorder="1" applyAlignment="1">
      <alignment horizontal="center"/>
    </xf>
    <xf numFmtId="171" fontId="156" fillId="28" borderId="0" xfId="2" applyNumberFormat="1" applyFont="1" applyFill="1" applyBorder="1" applyAlignment="1">
      <alignment horizontal="center"/>
    </xf>
    <xf numFmtId="0" fontId="173" fillId="28" borderId="0" xfId="0" applyFont="1" applyFill="1" applyAlignment="1">
      <alignment vertical="center"/>
    </xf>
    <xf numFmtId="49" fontId="173" fillId="28" borderId="0" xfId="0" applyNumberFormat="1" applyFont="1" applyFill="1" applyAlignment="1">
      <alignment horizontal="center"/>
    </xf>
    <xf numFmtId="49" fontId="173" fillId="28" borderId="0" xfId="0" applyNumberFormat="1" applyFont="1" applyFill="1" applyAlignment="1">
      <alignment horizontal="left"/>
    </xf>
    <xf numFmtId="171" fontId="173" fillId="28" borderId="0" xfId="0" applyNumberFormat="1" applyFont="1" applyFill="1" applyAlignment="1">
      <alignment horizontal="center"/>
    </xf>
    <xf numFmtId="171" fontId="173" fillId="28" borderId="0" xfId="0" applyNumberFormat="1" applyFont="1" applyFill="1"/>
    <xf numFmtId="171" fontId="77" fillId="28" borderId="0" xfId="0" applyNumberFormat="1" applyFont="1" applyFill="1"/>
    <xf numFmtId="0" fontId="156" fillId="28" borderId="0" xfId="0" applyFont="1" applyFill="1" applyAlignment="1">
      <alignment horizontal="center"/>
    </xf>
    <xf numFmtId="0" fontId="66" fillId="28" borderId="0" xfId="0" applyFont="1" applyFill="1"/>
    <xf numFmtId="49" fontId="66" fillId="28" borderId="0" xfId="0" applyNumberFormat="1" applyFont="1" applyFill="1" applyAlignment="1">
      <alignment horizontal="center"/>
    </xf>
    <xf numFmtId="49" fontId="66" fillId="28" borderId="0" xfId="0" applyNumberFormat="1" applyFont="1" applyFill="1" applyAlignment="1">
      <alignment horizontal="left"/>
    </xf>
    <xf numFmtId="171" fontId="66" fillId="28" borderId="0" xfId="0" applyNumberFormat="1" applyFont="1" applyFill="1" applyAlignment="1">
      <alignment horizontal="center"/>
    </xf>
    <xf numFmtId="0" fontId="156" fillId="28" borderId="12" xfId="0" applyFont="1" applyFill="1" applyBorder="1" applyAlignment="1">
      <alignment horizontal="center" vertical="center"/>
    </xf>
    <xf numFmtId="0" fontId="156" fillId="28" borderId="12" xfId="0" applyFont="1" applyFill="1" applyBorder="1" applyAlignment="1">
      <alignment horizontal="center" vertical="center" wrapText="1"/>
    </xf>
    <xf numFmtId="0" fontId="65" fillId="28" borderId="12" xfId="0" quotePrefix="1" applyFont="1" applyFill="1" applyBorder="1" applyAlignment="1">
      <alignment vertical="center" wrapText="1"/>
    </xf>
    <xf numFmtId="0" fontId="65" fillId="28" borderId="12" xfId="0" applyFont="1" applyFill="1" applyBorder="1" applyAlignment="1">
      <alignment vertical="center"/>
    </xf>
    <xf numFmtId="0" fontId="95" fillId="28" borderId="12" xfId="0" applyFont="1" applyFill="1" applyBorder="1" applyAlignment="1">
      <alignment horizontal="center" vertical="center"/>
    </xf>
    <xf numFmtId="4" fontId="95" fillId="28" borderId="12" xfId="0" applyNumberFormat="1" applyFont="1" applyFill="1" applyBorder="1" applyAlignment="1">
      <alignment horizontal="center"/>
    </xf>
    <xf numFmtId="0" fontId="195" fillId="28" borderId="57" xfId="0" applyFont="1" applyFill="1" applyBorder="1"/>
    <xf numFmtId="0" fontId="195" fillId="28" borderId="34" xfId="0" applyFont="1" applyFill="1" applyBorder="1" applyAlignment="1">
      <alignment vertical="center" wrapText="1"/>
    </xf>
    <xf numFmtId="171" fontId="195" fillId="28" borderId="34" xfId="0" applyNumberFormat="1" applyFont="1" applyFill="1" applyBorder="1" applyAlignment="1">
      <alignment horizontal="center" vertical="center" wrapText="1"/>
    </xf>
    <xf numFmtId="0" fontId="77" fillId="28" borderId="21" xfId="0" applyFont="1" applyFill="1" applyBorder="1"/>
    <xf numFmtId="0" fontId="64" fillId="28" borderId="57" xfId="0" quotePrefix="1" applyFont="1" applyFill="1" applyBorder="1" applyAlignment="1">
      <alignment horizontal="center" wrapText="1"/>
    </xf>
    <xf numFmtId="0" fontId="77" fillId="28" borderId="57" xfId="0" applyFont="1" applyFill="1" applyBorder="1"/>
    <xf numFmtId="171" fontId="78" fillId="28" borderId="57" xfId="0" applyNumberFormat="1" applyFont="1" applyFill="1" applyBorder="1" applyAlignment="1">
      <alignment horizontal="left" wrapText="1"/>
    </xf>
    <xf numFmtId="0" fontId="165" fillId="30" borderId="12" xfId="0" applyFont="1" applyFill="1" applyBorder="1"/>
    <xf numFmtId="0" fontId="166" fillId="30" borderId="12" xfId="0" applyFont="1" applyFill="1" applyBorder="1"/>
    <xf numFmtId="49" fontId="166" fillId="30" borderId="12" xfId="0" applyNumberFormat="1" applyFont="1" applyFill="1" applyBorder="1" applyAlignment="1">
      <alignment horizontal="center"/>
    </xf>
    <xf numFmtId="171" fontId="165" fillId="30" borderId="12" xfId="0" applyNumberFormat="1" applyFont="1" applyFill="1" applyBorder="1" applyAlignment="1">
      <alignment horizontal="center"/>
    </xf>
    <xf numFmtId="164" fontId="49" fillId="29" borderId="9" xfId="0" applyNumberFormat="1" applyFont="1" applyFill="1" applyBorder="1"/>
    <xf numFmtId="164" fontId="49" fillId="29" borderId="10" xfId="1" applyNumberFormat="1" applyFont="1" applyFill="1" applyBorder="1"/>
    <xf numFmtId="164" fontId="49" fillId="29" borderId="8" xfId="0" applyNumberFormat="1" applyFont="1" applyFill="1" applyBorder="1"/>
    <xf numFmtId="164" fontId="49" fillId="29" borderId="19" xfId="1" applyNumberFormat="1" applyFont="1" applyFill="1" applyBorder="1"/>
    <xf numFmtId="169" fontId="49" fillId="29" borderId="63" xfId="0" applyNumberFormat="1" applyFont="1" applyFill="1" applyBorder="1"/>
    <xf numFmtId="0" fontId="49" fillId="0" borderId="30" xfId="0" quotePrefix="1" applyFont="1" applyBorder="1" applyAlignment="1">
      <alignment vertical="center"/>
    </xf>
    <xf numFmtId="0" fontId="49" fillId="0" borderId="31" xfId="0" quotePrefix="1" applyFont="1" applyBorder="1" applyAlignment="1">
      <alignment vertical="center"/>
    </xf>
    <xf numFmtId="0" fontId="49" fillId="0" borderId="32" xfId="0" quotePrefix="1" applyFont="1" applyBorder="1" applyAlignment="1">
      <alignment vertical="center"/>
    </xf>
    <xf numFmtId="0" fontId="100" fillId="0" borderId="34" xfId="0" applyFont="1" applyBorder="1" applyAlignment="1">
      <alignment horizontal="left" vertical="center" wrapText="1"/>
    </xf>
    <xf numFmtId="49" fontId="113" fillId="0" borderId="12" xfId="0" applyNumberFormat="1" applyFont="1" applyBorder="1" applyAlignment="1">
      <alignment horizontal="center" wrapText="1"/>
    </xf>
    <xf numFmtId="169" fontId="103" fillId="32" borderId="12" xfId="0" applyNumberFormat="1" applyFont="1" applyFill="1" applyBorder="1"/>
    <xf numFmtId="169" fontId="103" fillId="32" borderId="36" xfId="0" applyNumberFormat="1" applyFont="1" applyFill="1" applyBorder="1" applyAlignment="1">
      <alignment horizontal="center"/>
    </xf>
    <xf numFmtId="169" fontId="107" fillId="32" borderId="36" xfId="0" applyNumberFormat="1" applyFont="1" applyFill="1" applyBorder="1" applyAlignment="1">
      <alignment horizontal="center"/>
    </xf>
    <xf numFmtId="169" fontId="103" fillId="32" borderId="21" xfId="0" applyNumberFormat="1" applyFont="1" applyFill="1" applyBorder="1"/>
    <xf numFmtId="0" fontId="137" fillId="32" borderId="34" xfId="0" applyFont="1" applyFill="1" applyBorder="1" applyAlignment="1">
      <alignment horizontal="center" vertical="center"/>
    </xf>
    <xf numFmtId="166" fontId="103" fillId="32" borderId="36" xfId="3" applyFont="1" applyFill="1" applyBorder="1" applyAlignment="1">
      <alignment horizontal="left"/>
    </xf>
    <xf numFmtId="169" fontId="100" fillId="32" borderId="36" xfId="0" applyNumberFormat="1" applyFont="1" applyFill="1" applyBorder="1" applyAlignment="1">
      <alignment horizontal="left"/>
    </xf>
    <xf numFmtId="169" fontId="103" fillId="32" borderId="86" xfId="0" applyNumberFormat="1" applyFont="1" applyFill="1" applyBorder="1"/>
    <xf numFmtId="166" fontId="107" fillId="32" borderId="66" xfId="3" applyFont="1" applyFill="1" applyBorder="1" applyAlignment="1">
      <alignment horizontal="center" vertical="center"/>
    </xf>
    <xf numFmtId="171" fontId="146" fillId="0" borderId="61" xfId="0" applyNumberFormat="1" applyFont="1" applyBorder="1" applyAlignment="1">
      <alignment horizontal="center"/>
    </xf>
    <xf numFmtId="171" fontId="146" fillId="0" borderId="63" xfId="0" applyNumberFormat="1" applyFont="1" applyBorder="1" applyAlignment="1">
      <alignment horizontal="center"/>
    </xf>
    <xf numFmtId="166" fontId="146" fillId="0" borderId="61" xfId="3" applyFont="1" applyFill="1" applyBorder="1" applyAlignment="1">
      <alignment horizontal="center"/>
    </xf>
    <xf numFmtId="166" fontId="146" fillId="0" borderId="63" xfId="3" applyFont="1" applyFill="1" applyBorder="1" applyAlignment="1">
      <alignment horizontal="center"/>
    </xf>
    <xf numFmtId="0" fontId="95" fillId="28" borderId="34" xfId="0" quotePrefix="1" applyFont="1" applyFill="1" applyBorder="1" applyAlignment="1">
      <alignment horizontal="center" wrapText="1"/>
    </xf>
    <xf numFmtId="0" fontId="95" fillId="28" borderId="67" xfId="0" quotePrefix="1" applyFont="1" applyFill="1" applyBorder="1" applyAlignment="1">
      <alignment horizontal="left" wrapText="1"/>
    </xf>
    <xf numFmtId="0" fontId="66" fillId="0" borderId="4" xfId="0" applyFont="1" applyBorder="1" applyAlignment="1">
      <alignment wrapText="1"/>
    </xf>
    <xf numFmtId="0" fontId="64" fillId="0" borderId="4" xfId="0" applyFont="1" applyBorder="1" applyAlignment="1">
      <alignment wrapText="1"/>
    </xf>
    <xf numFmtId="0" fontId="205" fillId="0" borderId="12" xfId="0" applyFont="1" applyBorder="1" applyAlignment="1">
      <alignment horizontal="left" wrapText="1" shrinkToFit="1"/>
    </xf>
    <xf numFmtId="0" fontId="100" fillId="0" borderId="0" xfId="0" applyFont="1" applyAlignment="1">
      <alignment horizontal="center" vertical="top" wrapText="1"/>
    </xf>
    <xf numFmtId="0" fontId="39" fillId="29" borderId="47" xfId="0" quotePrefix="1" applyFont="1" applyFill="1" applyBorder="1" applyAlignment="1">
      <alignment horizontal="left" vertical="center"/>
    </xf>
    <xf numFmtId="0" fontId="35" fillId="29" borderId="47" xfId="0" applyFont="1" applyFill="1" applyBorder="1" applyAlignment="1">
      <alignment horizontal="center" vertical="center"/>
    </xf>
    <xf numFmtId="0" fontId="75" fillId="29" borderId="32" xfId="0" quotePrefix="1" applyFont="1" applyFill="1" applyBorder="1" applyAlignment="1">
      <alignment horizontal="center" vertical="center" wrapText="1"/>
    </xf>
    <xf numFmtId="170" fontId="100" fillId="28" borderId="12" xfId="0" applyNumberFormat="1" applyFont="1" applyFill="1" applyBorder="1"/>
    <xf numFmtId="170" fontId="103" fillId="29" borderId="71" xfId="0" applyNumberFormat="1" applyFont="1" applyFill="1" applyBorder="1"/>
    <xf numFmtId="170" fontId="103" fillId="0" borderId="12" xfId="0" applyNumberFormat="1" applyFont="1" applyBorder="1"/>
    <xf numFmtId="0" fontId="100" fillId="0" borderId="0" xfId="0" applyFont="1" applyAlignment="1">
      <alignment vertical="top" wrapText="1"/>
    </xf>
    <xf numFmtId="170" fontId="103" fillId="28" borderId="50" xfId="0" applyNumberFormat="1" applyFont="1" applyFill="1" applyBorder="1"/>
    <xf numFmtId="170" fontId="100" fillId="28" borderId="50" xfId="0" applyNumberFormat="1" applyFont="1" applyFill="1" applyBorder="1"/>
    <xf numFmtId="0" fontId="0" fillId="0" borderId="63" xfId="0" applyBorder="1"/>
    <xf numFmtId="166" fontId="49" fillId="2" borderId="34" xfId="3" applyFont="1" applyFill="1" applyBorder="1" applyAlignment="1">
      <alignment horizontal="left" vertical="center"/>
    </xf>
    <xf numFmtId="166" fontId="13" fillId="2" borderId="51" xfId="3" applyFont="1" applyFill="1" applyBorder="1" applyAlignment="1">
      <alignment horizontal="left" vertical="center"/>
    </xf>
    <xf numFmtId="165" fontId="148" fillId="28" borderId="12" xfId="2" applyFont="1" applyFill="1" applyBorder="1" applyAlignment="1">
      <alignment vertical="center"/>
    </xf>
    <xf numFmtId="166" fontId="30" fillId="28" borderId="12" xfId="3" applyFont="1" applyFill="1" applyBorder="1" applyAlignment="1">
      <alignment textRotation="90"/>
    </xf>
    <xf numFmtId="166" fontId="30" fillId="28" borderId="12" xfId="3" applyFont="1" applyFill="1" applyBorder="1" applyAlignment="1">
      <alignment horizontal="center" textRotation="45" wrapText="1"/>
    </xf>
    <xf numFmtId="166" fontId="30" fillId="28" borderId="12" xfId="3" applyFont="1" applyFill="1" applyBorder="1" applyAlignment="1">
      <alignment horizontal="center" textRotation="45"/>
    </xf>
    <xf numFmtId="0" fontId="68" fillId="28" borderId="184" xfId="0" applyFont="1" applyFill="1" applyBorder="1" applyAlignment="1">
      <alignment horizontal="center" vertical="center"/>
    </xf>
    <xf numFmtId="0" fontId="100" fillId="0" borderId="36" xfId="0" applyFont="1" applyBorder="1" applyAlignment="1">
      <alignment horizontal="left" vertical="center" wrapText="1"/>
    </xf>
    <xf numFmtId="0" fontId="135" fillId="4" borderId="12" xfId="0" applyFont="1" applyFill="1" applyBorder="1" applyAlignment="1">
      <alignment horizontal="center" vertical="center"/>
    </xf>
    <xf numFmtId="169" fontId="173" fillId="0" borderId="168" xfId="0" applyNumberFormat="1" applyFont="1" applyBorder="1"/>
    <xf numFmtId="39" fontId="173" fillId="0" borderId="168" xfId="0" applyNumberFormat="1" applyFont="1" applyBorder="1"/>
    <xf numFmtId="169" fontId="175" fillId="0" borderId="168" xfId="0" applyNumberFormat="1" applyFont="1" applyBorder="1"/>
    <xf numFmtId="169" fontId="175" fillId="0" borderId="136" xfId="0" applyNumberFormat="1" applyFont="1" applyBorder="1"/>
    <xf numFmtId="169" fontId="173" fillId="0" borderId="0" xfId="0" applyNumberFormat="1" applyFont="1"/>
    <xf numFmtId="164" fontId="173" fillId="0" borderId="0" xfId="0" applyNumberFormat="1" applyFont="1"/>
    <xf numFmtId="0" fontId="207" fillId="29" borderId="202" xfId="0" quotePrefix="1" applyFont="1" applyFill="1" applyBorder="1" applyAlignment="1">
      <alignment horizontal="center" vertical="center" wrapText="1"/>
    </xf>
    <xf numFmtId="166" fontId="29" fillId="0" borderId="0" xfId="3" applyFont="1" applyFill="1" applyBorder="1" applyAlignment="1">
      <alignment vertical="center"/>
    </xf>
    <xf numFmtId="0" fontId="77" fillId="0" borderId="12" xfId="0" applyFont="1" applyBorder="1" applyAlignment="1">
      <alignment horizontal="center"/>
    </xf>
    <xf numFmtId="0" fontId="95" fillId="0" borderId="12" xfId="0" applyFont="1" applyBorder="1"/>
    <xf numFmtId="49" fontId="95" fillId="0" borderId="12" xfId="0" applyNumberFormat="1" applyFont="1" applyBorder="1" applyAlignment="1">
      <alignment horizontal="left"/>
    </xf>
    <xf numFmtId="0" fontId="95" fillId="0" borderId="12" xfId="0" applyFont="1" applyBorder="1" applyAlignment="1">
      <alignment wrapText="1"/>
    </xf>
    <xf numFmtId="0" fontId="100" fillId="6" borderId="2" xfId="0" quotePrefix="1" applyFont="1" applyFill="1" applyBorder="1" applyAlignment="1">
      <alignment horizontal="left" wrapText="1"/>
    </xf>
    <xf numFmtId="170" fontId="100" fillId="6" borderId="29" xfId="0" applyNumberFormat="1" applyFont="1" applyFill="1" applyBorder="1"/>
    <xf numFmtId="0" fontId="100" fillId="6" borderId="2" xfId="0" quotePrefix="1" applyFont="1" applyFill="1" applyBorder="1" applyAlignment="1">
      <alignment horizontal="left"/>
    </xf>
    <xf numFmtId="49" fontId="14" fillId="33" borderId="17" xfId="0" applyNumberFormat="1" applyFont="1" applyFill="1" applyBorder="1"/>
    <xf numFmtId="49" fontId="14" fillId="33" borderId="14" xfId="0" applyNumberFormat="1" applyFont="1" applyFill="1" applyBorder="1" applyAlignment="1">
      <alignment horizontal="center"/>
    </xf>
    <xf numFmtId="49" fontId="14" fillId="33" borderId="15" xfId="0" applyNumberFormat="1" applyFont="1" applyFill="1" applyBorder="1" applyAlignment="1">
      <alignment horizontal="center"/>
    </xf>
    <xf numFmtId="49" fontId="14" fillId="33" borderId="27" xfId="0" applyNumberFormat="1" applyFont="1" applyFill="1" applyBorder="1" applyAlignment="1">
      <alignment horizontal="center"/>
    </xf>
    <xf numFmtId="0" fontId="14" fillId="33" borderId="23" xfId="0" applyFont="1" applyFill="1" applyBorder="1" applyAlignment="1">
      <alignment horizontal="center"/>
    </xf>
    <xf numFmtId="166" fontId="14" fillId="33" borderId="5" xfId="3" applyFont="1" applyFill="1" applyBorder="1"/>
    <xf numFmtId="49" fontId="4" fillId="0" borderId="12" xfId="4" applyNumberFormat="1" applyFont="1" applyBorder="1" applyAlignment="1">
      <alignment horizontal="justify" vertical="center" wrapText="1"/>
    </xf>
    <xf numFmtId="0" fontId="141" fillId="29" borderId="34" xfId="0" quotePrefix="1" applyFont="1" applyFill="1" applyBorder="1" applyAlignment="1">
      <alignment horizontal="center" vertical="center" wrapText="1"/>
    </xf>
    <xf numFmtId="49" fontId="14" fillId="17" borderId="17" xfId="0" applyNumberFormat="1" applyFont="1" applyFill="1" applyBorder="1"/>
    <xf numFmtId="49" fontId="14" fillId="17" borderId="14" xfId="0" applyNumberFormat="1" applyFont="1" applyFill="1" applyBorder="1" applyAlignment="1">
      <alignment horizontal="center"/>
    </xf>
    <xf numFmtId="49" fontId="14" fillId="17" borderId="15" xfId="0" applyNumberFormat="1" applyFont="1" applyFill="1" applyBorder="1" applyAlignment="1">
      <alignment horizontal="center"/>
    </xf>
    <xf numFmtId="49" fontId="14" fillId="17" borderId="27" xfId="0" applyNumberFormat="1" applyFont="1" applyFill="1" applyBorder="1" applyAlignment="1">
      <alignment horizontal="center"/>
    </xf>
    <xf numFmtId="0" fontId="14" fillId="17" borderId="23" xfId="0" applyFont="1" applyFill="1" applyBorder="1" applyAlignment="1">
      <alignment horizontal="center"/>
    </xf>
    <xf numFmtId="166" fontId="14" fillId="17" borderId="5" xfId="3" applyFont="1" applyFill="1" applyBorder="1"/>
    <xf numFmtId="49" fontId="14" fillId="34" borderId="17" xfId="0" applyNumberFormat="1" applyFont="1" applyFill="1" applyBorder="1"/>
    <xf numFmtId="49" fontId="14" fillId="34" borderId="14" xfId="0" applyNumberFormat="1" applyFont="1" applyFill="1" applyBorder="1" applyAlignment="1">
      <alignment horizontal="center"/>
    </xf>
    <xf numFmtId="49" fontId="14" fillId="34" borderId="15" xfId="0" applyNumberFormat="1" applyFont="1" applyFill="1" applyBorder="1" applyAlignment="1">
      <alignment horizontal="center"/>
    </xf>
    <xf numFmtId="49" fontId="14" fillId="34" borderId="27" xfId="0" applyNumberFormat="1" applyFont="1" applyFill="1" applyBorder="1" applyAlignment="1">
      <alignment horizontal="center"/>
    </xf>
    <xf numFmtId="0" fontId="14" fillId="34" borderId="23" xfId="0" applyFont="1" applyFill="1" applyBorder="1" applyAlignment="1">
      <alignment horizontal="center"/>
    </xf>
    <xf numFmtId="166" fontId="14" fillId="34" borderId="5" xfId="3" applyFont="1" applyFill="1" applyBorder="1"/>
    <xf numFmtId="169" fontId="107" fillId="32" borderId="44" xfId="0" applyNumberFormat="1" applyFont="1" applyFill="1" applyBorder="1" applyAlignment="1">
      <alignment horizontal="center"/>
    </xf>
    <xf numFmtId="169" fontId="208" fillId="4" borderId="44" xfId="0" applyNumberFormat="1" applyFont="1" applyFill="1" applyBorder="1" applyAlignment="1">
      <alignment horizontal="center"/>
    </xf>
    <xf numFmtId="0" fontId="29" fillId="0" borderId="0" xfId="0" applyFont="1" applyAlignment="1">
      <alignment horizontal="left"/>
    </xf>
    <xf numFmtId="166" fontId="4" fillId="0" borderId="57" xfId="3" applyFont="1" applyFill="1" applyBorder="1"/>
    <xf numFmtId="0" fontId="137" fillId="4" borderId="61" xfId="0" applyFont="1" applyFill="1" applyBorder="1" applyAlignment="1">
      <alignment horizontal="center" vertical="center"/>
    </xf>
    <xf numFmtId="49" fontId="135" fillId="4" borderId="12" xfId="0" applyNumberFormat="1" applyFont="1" applyFill="1" applyBorder="1" applyAlignment="1">
      <alignment horizontal="center" vertical="center"/>
    </xf>
    <xf numFmtId="0" fontId="137" fillId="4" borderId="12" xfId="0" applyFont="1" applyFill="1" applyBorder="1" applyAlignment="1">
      <alignment vertical="center" wrapText="1"/>
    </xf>
    <xf numFmtId="49" fontId="18" fillId="2" borderId="0" xfId="0" applyNumberFormat="1" applyFont="1" applyFill="1" applyAlignment="1">
      <alignment wrapText="1"/>
    </xf>
    <xf numFmtId="0" fontId="13" fillId="10" borderId="12" xfId="0" applyFont="1" applyFill="1" applyBorder="1" applyAlignment="1">
      <alignment horizontal="center" vertical="center" wrapText="1"/>
    </xf>
    <xf numFmtId="170" fontId="100" fillId="0" borderId="12" xfId="0" quotePrefix="1" applyNumberFormat="1" applyFont="1" applyBorder="1" applyAlignment="1">
      <alignment horizontal="left"/>
    </xf>
    <xf numFmtId="0" fontId="210" fillId="0" borderId="0" xfId="0" applyFont="1" applyAlignment="1">
      <alignment horizontal="center"/>
    </xf>
    <xf numFmtId="164" fontId="4" fillId="0" borderId="3" xfId="3" applyNumberFormat="1" applyFont="1" applyFill="1" applyBorder="1" applyAlignment="1">
      <alignment horizontal="right"/>
    </xf>
    <xf numFmtId="170" fontId="13" fillId="0" borderId="0" xfId="0" applyNumberFormat="1" applyFont="1"/>
    <xf numFmtId="166" fontId="100" fillId="28" borderId="85" xfId="3" applyFont="1" applyFill="1" applyBorder="1"/>
    <xf numFmtId="169" fontId="173" fillId="0" borderId="203" xfId="3" applyNumberFormat="1" applyFont="1" applyFill="1" applyBorder="1" applyAlignment="1">
      <alignment horizontal="right"/>
    </xf>
    <xf numFmtId="169" fontId="175" fillId="0" borderId="204" xfId="0" applyNumberFormat="1" applyFont="1" applyBorder="1"/>
    <xf numFmtId="0" fontId="108" fillId="0" borderId="54" xfId="0" applyFont="1" applyBorder="1" applyAlignment="1">
      <alignment horizontal="left"/>
    </xf>
    <xf numFmtId="0" fontId="108" fillId="0" borderId="52" xfId="0" applyFont="1" applyBorder="1" applyAlignment="1">
      <alignment horizontal="left" vertical="center"/>
    </xf>
    <xf numFmtId="0" fontId="100" fillId="0" borderId="206" xfId="0" applyFont="1" applyBorder="1" applyAlignment="1">
      <alignment wrapText="1"/>
    </xf>
    <xf numFmtId="0" fontId="103" fillId="28" borderId="205" xfId="0" applyFont="1" applyFill="1" applyBorder="1" applyAlignment="1">
      <alignment wrapText="1"/>
    </xf>
    <xf numFmtId="0" fontId="100" fillId="0" borderId="205" xfId="0" quotePrefix="1" applyFont="1" applyBorder="1" applyAlignment="1">
      <alignment wrapText="1"/>
    </xf>
    <xf numFmtId="0" fontId="100" fillId="28" borderId="205" xfId="0" applyFont="1" applyFill="1" applyBorder="1" applyAlignment="1">
      <alignment wrapText="1"/>
    </xf>
    <xf numFmtId="0" fontId="100" fillId="0" borderId="205" xfId="0" applyFont="1" applyBorder="1" applyAlignment="1">
      <alignment wrapText="1"/>
    </xf>
    <xf numFmtId="0" fontId="150" fillId="0" borderId="205" xfId="0" applyFont="1" applyBorder="1" applyAlignment="1">
      <alignment wrapText="1"/>
    </xf>
    <xf numFmtId="170" fontId="75" fillId="29" borderId="45" xfId="0" applyNumberFormat="1" applyFont="1" applyFill="1" applyBorder="1" applyAlignment="1">
      <alignment horizontal="center" vertical="center"/>
    </xf>
    <xf numFmtId="170" fontId="75" fillId="29" borderId="45" xfId="0" applyNumberFormat="1" applyFont="1" applyFill="1" applyBorder="1" applyAlignment="1">
      <alignment vertical="center"/>
    </xf>
    <xf numFmtId="0" fontId="75" fillId="29" borderId="55" xfId="0" applyFont="1" applyFill="1" applyBorder="1" applyAlignment="1">
      <alignment horizontal="center" vertical="center"/>
    </xf>
    <xf numFmtId="0" fontId="75" fillId="29" borderId="45" xfId="0" applyFont="1" applyFill="1" applyBorder="1" applyAlignment="1">
      <alignment horizontal="center" vertical="center"/>
    </xf>
    <xf numFmtId="0" fontId="75" fillId="29" borderId="89" xfId="0" applyFont="1" applyFill="1" applyBorder="1" applyAlignment="1">
      <alignment horizontal="center" vertical="center"/>
    </xf>
    <xf numFmtId="0" fontId="75" fillId="29" borderId="21" xfId="0" applyFont="1" applyFill="1" applyBorder="1" applyAlignment="1">
      <alignment horizontal="center" vertical="center"/>
    </xf>
    <xf numFmtId="0" fontId="100" fillId="0" borderId="207" xfId="0" applyFont="1" applyBorder="1"/>
    <xf numFmtId="0" fontId="163" fillId="0" borderId="205" xfId="0" applyFont="1" applyBorder="1" applyAlignment="1">
      <alignment wrapText="1"/>
    </xf>
    <xf numFmtId="0" fontId="103" fillId="0" borderId="205" xfId="0" applyFont="1" applyBorder="1" applyAlignment="1">
      <alignment wrapText="1"/>
    </xf>
    <xf numFmtId="166" fontId="39" fillId="29" borderId="55" xfId="3" applyFont="1" applyFill="1" applyBorder="1" applyAlignment="1">
      <alignment horizontal="center" vertical="center" wrapText="1"/>
    </xf>
    <xf numFmtId="0" fontId="100" fillId="0" borderId="30" xfId="0" applyFont="1" applyBorder="1" applyAlignment="1">
      <alignment horizontal="center"/>
    </xf>
    <xf numFmtId="170" fontId="100" fillId="0" borderId="27" xfId="0" applyNumberFormat="1" applyFont="1" applyBorder="1"/>
    <xf numFmtId="0" fontId="100" fillId="0" borderId="60" xfId="0" applyFont="1" applyBorder="1"/>
    <xf numFmtId="0" fontId="100" fillId="0" borderId="208" xfId="0" applyFont="1" applyBorder="1" applyAlignment="1">
      <alignment vertical="center" wrapText="1"/>
    </xf>
    <xf numFmtId="170" fontId="100" fillId="0" borderId="12" xfId="0" quotePrefix="1" applyNumberFormat="1" applyFont="1" applyBorder="1" applyAlignment="1">
      <alignment horizontal="left" vertical="center"/>
    </xf>
    <xf numFmtId="0" fontId="100" fillId="0" borderId="12" xfId="2" applyNumberFormat="1" applyFont="1" applyFill="1" applyBorder="1" applyAlignment="1">
      <alignment horizontal="center" vertical="center"/>
    </xf>
    <xf numFmtId="170" fontId="100" fillId="0" borderId="12" xfId="0" applyNumberFormat="1" applyFont="1" applyBorder="1" applyAlignment="1">
      <alignment vertical="center"/>
    </xf>
    <xf numFmtId="164" fontId="100" fillId="0" borderId="12" xfId="0" applyNumberFormat="1" applyFont="1" applyBorder="1" applyAlignment="1">
      <alignment vertical="center"/>
    </xf>
    <xf numFmtId="166" fontId="103" fillId="0" borderId="12" xfId="3" applyFont="1" applyFill="1" applyBorder="1" applyAlignment="1">
      <alignment vertical="top" wrapText="1"/>
    </xf>
    <xf numFmtId="0" fontId="100" fillId="0" borderId="12" xfId="2" quotePrefix="1" applyNumberFormat="1" applyFont="1" applyFill="1" applyBorder="1" applyAlignment="1">
      <alignment horizontal="center"/>
    </xf>
    <xf numFmtId="0" fontId="100" fillId="0" borderId="12" xfId="0" applyFont="1" applyBorder="1"/>
    <xf numFmtId="170" fontId="163" fillId="0" borderId="12" xfId="0" applyNumberFormat="1" applyFont="1" applyBorder="1"/>
    <xf numFmtId="170" fontId="150" fillId="0" borderId="12" xfId="0" applyNumberFormat="1" applyFont="1" applyBorder="1"/>
    <xf numFmtId="0" fontId="100" fillId="0" borderId="12" xfId="2" applyNumberFormat="1" applyFont="1" applyFill="1" applyBorder="1" applyAlignment="1">
      <alignment horizontal="center"/>
    </xf>
    <xf numFmtId="170" fontId="172" fillId="0" borderId="12" xfId="0" applyNumberFormat="1" applyFont="1" applyBorder="1"/>
    <xf numFmtId="170" fontId="162" fillId="0" borderId="12" xfId="0" applyNumberFormat="1" applyFont="1" applyBorder="1"/>
    <xf numFmtId="171" fontId="163" fillId="0" borderId="12" xfId="0" applyNumberFormat="1" applyFont="1" applyBorder="1"/>
    <xf numFmtId="171" fontId="100" fillId="0" borderId="12" xfId="0" applyNumberFormat="1" applyFont="1" applyBorder="1"/>
    <xf numFmtId="49" fontId="29" fillId="10" borderId="61" xfId="4" applyNumberFormat="1" applyFont="1" applyFill="1" applyBorder="1" applyAlignment="1">
      <alignment horizontal="left" vertical="center"/>
    </xf>
    <xf numFmtId="164" fontId="15" fillId="10" borderId="12" xfId="3" applyNumberFormat="1" applyFont="1" applyFill="1" applyBorder="1" applyAlignment="1">
      <alignment horizontal="right"/>
    </xf>
    <xf numFmtId="4" fontId="29" fillId="10" borderId="61" xfId="1" applyNumberFormat="1" applyFont="1" applyFill="1" applyBorder="1" applyAlignment="1">
      <alignment horizontal="left" vertical="center" wrapText="1"/>
    </xf>
    <xf numFmtId="166" fontId="14" fillId="10" borderId="12" xfId="3" applyFont="1" applyFill="1" applyBorder="1"/>
    <xf numFmtId="0" fontId="100" fillId="10" borderId="0" xfId="0" applyFont="1" applyFill="1"/>
    <xf numFmtId="44" fontId="204" fillId="0" borderId="0" xfId="0" applyNumberFormat="1" applyFont="1"/>
    <xf numFmtId="166" fontId="173" fillId="0" borderId="105" xfId="3" applyFont="1" applyFill="1" applyBorder="1" applyAlignment="1">
      <alignment horizontal="right"/>
    </xf>
    <xf numFmtId="49" fontId="4" fillId="0" borderId="34" xfId="4" applyNumberFormat="1" applyFont="1" applyBorder="1" applyAlignment="1">
      <alignment horizontal="justify" vertical="center" wrapText="1"/>
    </xf>
    <xf numFmtId="0" fontId="4" fillId="0" borderId="12" xfId="0" applyFont="1" applyBorder="1" applyAlignment="1">
      <alignment horizontal="left" vertical="center" wrapText="1"/>
    </xf>
    <xf numFmtId="49" fontId="28" fillId="0" borderId="12" xfId="4" applyNumberFormat="1" applyFont="1" applyBorder="1" applyAlignment="1">
      <alignment horizontal="justify" vertical="center" wrapText="1"/>
    </xf>
    <xf numFmtId="166" fontId="14" fillId="8" borderId="5" xfId="3" applyFont="1" applyFill="1" applyBorder="1"/>
    <xf numFmtId="0" fontId="0" fillId="4" borderId="0" xfId="0" applyFill="1"/>
    <xf numFmtId="49" fontId="15" fillId="0" borderId="39" xfId="0" applyNumberFormat="1" applyFont="1" applyBorder="1" applyAlignment="1">
      <alignment horizontal="left"/>
    </xf>
    <xf numFmtId="4" fontId="29" fillId="0" borderId="63" xfId="1" applyNumberFormat="1" applyFont="1" applyFill="1" applyBorder="1" applyAlignment="1">
      <alignment horizontal="left" vertical="center" wrapText="1"/>
    </xf>
    <xf numFmtId="49" fontId="29" fillId="0" borderId="63" xfId="4" applyNumberFormat="1" applyFont="1" applyBorder="1" applyAlignment="1">
      <alignment horizontal="left" vertical="center"/>
    </xf>
    <xf numFmtId="0" fontId="0" fillId="16" borderId="0" xfId="0" applyFill="1" applyAlignment="1">
      <alignment horizontal="center" vertical="center"/>
    </xf>
    <xf numFmtId="4" fontId="29" fillId="10" borderId="36" xfId="1" applyNumberFormat="1" applyFont="1" applyFill="1" applyBorder="1" applyAlignment="1">
      <alignment horizontal="left" vertical="center" wrapText="1"/>
    </xf>
    <xf numFmtId="0" fontId="113" fillId="0" borderId="12" xfId="0" applyFont="1" applyBorder="1" applyAlignment="1">
      <alignment horizontal="left" wrapText="1"/>
    </xf>
    <xf numFmtId="169" fontId="113" fillId="4" borderId="12" xfId="0" applyNumberFormat="1" applyFont="1" applyFill="1" applyBorder="1" applyAlignment="1">
      <alignment horizontal="left"/>
    </xf>
    <xf numFmtId="49" fontId="15" fillId="0" borderId="12" xfId="0" applyNumberFormat="1" applyFont="1" applyBorder="1" applyAlignment="1">
      <alignment horizontal="left"/>
    </xf>
    <xf numFmtId="49" fontId="139" fillId="4" borderId="34" xfId="0" applyNumberFormat="1" applyFont="1" applyFill="1" applyBorder="1" applyAlignment="1">
      <alignment horizontal="center" vertical="center"/>
    </xf>
    <xf numFmtId="0" fontId="113" fillId="4" borderId="62" xfId="0" applyFont="1" applyFill="1" applyBorder="1" applyAlignment="1">
      <alignment vertical="center"/>
    </xf>
    <xf numFmtId="169" fontId="113" fillId="4" borderId="36" xfId="0" applyNumberFormat="1" applyFont="1" applyFill="1" applyBorder="1" applyAlignment="1">
      <alignment horizontal="left"/>
    </xf>
    <xf numFmtId="169" fontId="113" fillId="4" borderId="36" xfId="0" applyNumberFormat="1" applyFont="1" applyFill="1" applyBorder="1" applyAlignment="1">
      <alignment horizontal="center"/>
    </xf>
    <xf numFmtId="169" fontId="113" fillId="4" borderId="12" xfId="0" applyNumberFormat="1" applyFont="1" applyFill="1" applyBorder="1"/>
    <xf numFmtId="49" fontId="139" fillId="4" borderId="62" xfId="0" applyNumberFormat="1" applyFont="1" applyFill="1" applyBorder="1" applyAlignment="1">
      <alignment horizontal="center" vertical="center"/>
    </xf>
    <xf numFmtId="0" fontId="113" fillId="0" borderId="12" xfId="0" applyFont="1" applyBorder="1" applyAlignment="1">
      <alignment wrapText="1"/>
    </xf>
    <xf numFmtId="49" fontId="113" fillId="4" borderId="63" xfId="0" applyNumberFormat="1" applyFont="1" applyFill="1" applyBorder="1" applyAlignment="1">
      <alignment horizontal="center" vertical="top" wrapText="1"/>
    </xf>
    <xf numFmtId="0" fontId="113" fillId="4" borderId="34" xfId="0" applyFont="1" applyFill="1" applyBorder="1" applyAlignment="1">
      <alignment horizontal="center" vertical="center" wrapText="1"/>
    </xf>
    <xf numFmtId="0" fontId="113" fillId="4" borderId="62" xfId="0" applyFont="1" applyFill="1" applyBorder="1" applyAlignment="1">
      <alignment vertical="center" wrapText="1"/>
    </xf>
    <xf numFmtId="0" fontId="214" fillId="4" borderId="62" xfId="0" applyFont="1" applyFill="1" applyBorder="1" applyAlignment="1">
      <alignment vertical="center" wrapText="1"/>
    </xf>
    <xf numFmtId="169" fontId="113" fillId="0" borderId="12" xfId="0" applyNumberFormat="1" applyFont="1" applyBorder="1" applyAlignment="1">
      <alignment horizontal="left"/>
    </xf>
    <xf numFmtId="0" fontId="215" fillId="0" borderId="62" xfId="0" applyFont="1" applyBorder="1" applyAlignment="1">
      <alignment vertical="center"/>
    </xf>
    <xf numFmtId="49" fontId="113" fillId="0" borderId="12" xfId="0" applyNumberFormat="1" applyFont="1" applyBorder="1" applyAlignment="1">
      <alignment horizontal="center" vertical="top" wrapText="1"/>
    </xf>
    <xf numFmtId="169" fontId="113" fillId="0" borderId="34" xfId="0" applyNumberFormat="1" applyFont="1" applyBorder="1" applyAlignment="1">
      <alignment horizontal="left"/>
    </xf>
    <xf numFmtId="169" fontId="113" fillId="0" borderId="12" xfId="0" applyNumberFormat="1" applyFont="1" applyBorder="1" applyAlignment="1">
      <alignment horizontal="center"/>
    </xf>
    <xf numFmtId="169" fontId="113" fillId="0" borderId="36" xfId="0" applyNumberFormat="1" applyFont="1" applyBorder="1" applyAlignment="1">
      <alignment horizontal="center"/>
    </xf>
    <xf numFmtId="169" fontId="113" fillId="0" borderId="12" xfId="0" applyNumberFormat="1" applyFont="1" applyBorder="1"/>
    <xf numFmtId="49" fontId="139" fillId="4" borderId="57" xfId="0" applyNumberFormat="1" applyFont="1" applyFill="1" applyBorder="1" applyAlignment="1">
      <alignment horizontal="center" vertical="center"/>
    </xf>
    <xf numFmtId="169" fontId="113" fillId="4" borderId="34" xfId="0" applyNumberFormat="1" applyFont="1" applyFill="1" applyBorder="1" applyAlignment="1">
      <alignment horizontal="left"/>
    </xf>
    <xf numFmtId="0" fontId="113" fillId="4" borderId="34" xfId="0" applyFont="1" applyFill="1" applyBorder="1" applyAlignment="1">
      <alignment horizontal="left" vertical="center" wrapText="1"/>
    </xf>
    <xf numFmtId="166" fontId="113" fillId="0" borderId="62" xfId="3" applyFont="1" applyFill="1" applyBorder="1" applyAlignment="1">
      <alignment horizontal="center" wrapText="1"/>
    </xf>
    <xf numFmtId="166" fontId="113" fillId="4" borderId="36" xfId="3" applyFont="1" applyFill="1" applyBorder="1" applyAlignment="1"/>
    <xf numFmtId="166" fontId="113" fillId="4" borderId="12" xfId="3" applyFont="1" applyFill="1" applyBorder="1" applyAlignment="1"/>
    <xf numFmtId="166" fontId="113" fillId="4" borderId="12" xfId="3" applyFont="1" applyFill="1" applyBorder="1" applyAlignment="1">
      <alignment horizontal="left"/>
    </xf>
    <xf numFmtId="49" fontId="139" fillId="4" borderId="61" xfId="0" applyNumberFormat="1" applyFont="1" applyFill="1" applyBorder="1" applyAlignment="1">
      <alignment horizontal="center" vertical="center"/>
    </xf>
    <xf numFmtId="0" fontId="113" fillId="0" borderId="12" xfId="0" applyFont="1" applyBorder="1" applyAlignment="1">
      <alignment vertical="center" wrapText="1"/>
    </xf>
    <xf numFmtId="0" fontId="113" fillId="4" borderId="12" xfId="0" applyFont="1" applyFill="1" applyBorder="1" applyAlignment="1">
      <alignment horizontal="left" wrapText="1"/>
    </xf>
    <xf numFmtId="169" fontId="113" fillId="4" borderId="21" xfId="0" applyNumberFormat="1" applyFont="1" applyFill="1" applyBorder="1"/>
    <xf numFmtId="49" fontId="139" fillId="4" borderId="12" xfId="0" applyNumberFormat="1" applyFont="1" applyFill="1" applyBorder="1" applyAlignment="1">
      <alignment horizontal="center" vertical="center"/>
    </xf>
    <xf numFmtId="0" fontId="113" fillId="0" borderId="44" xfId="0" applyFont="1" applyBorder="1" applyAlignment="1">
      <alignment wrapText="1"/>
    </xf>
    <xf numFmtId="49" fontId="208" fillId="4" borderId="44" xfId="0" applyNumberFormat="1" applyFont="1" applyFill="1" applyBorder="1" applyAlignment="1">
      <alignment horizontal="center" vertical="top" wrapText="1"/>
    </xf>
    <xf numFmtId="169" fontId="113" fillId="4" borderId="44" xfId="0" applyNumberFormat="1" applyFont="1" applyFill="1" applyBorder="1" applyAlignment="1">
      <alignment horizontal="left"/>
    </xf>
    <xf numFmtId="169" fontId="107" fillId="32" borderId="21" xfId="0" applyNumberFormat="1" applyFont="1" applyFill="1" applyBorder="1"/>
    <xf numFmtId="0" fontId="113" fillId="4" borderId="44" xfId="0" applyFont="1" applyFill="1" applyBorder="1" applyAlignment="1">
      <alignment horizontal="left" vertical="center" wrapText="1"/>
    </xf>
    <xf numFmtId="166" fontId="113" fillId="4" borderId="61" xfId="3" applyFont="1" applyFill="1" applyBorder="1" applyAlignment="1">
      <alignment horizontal="left" vertical="center" wrapText="1"/>
    </xf>
    <xf numFmtId="166" fontId="113" fillId="0" borderId="62" xfId="3" applyFont="1" applyFill="1" applyBorder="1" applyAlignment="1">
      <alignment horizontal="left" vertical="center" wrapText="1"/>
    </xf>
    <xf numFmtId="0" fontId="113" fillId="0" borderId="62" xfId="0" applyFont="1" applyBorder="1" applyAlignment="1">
      <alignment horizontal="left" vertical="center"/>
    </xf>
    <xf numFmtId="166" fontId="113" fillId="0" borderId="62" xfId="3" applyFont="1" applyFill="1" applyBorder="1" applyAlignment="1">
      <alignment horizontal="left" wrapText="1"/>
    </xf>
    <xf numFmtId="169" fontId="107" fillId="4" borderId="36" xfId="0" applyNumberFormat="1" applyFont="1" applyFill="1" applyBorder="1" applyAlignment="1">
      <alignment horizontal="left"/>
    </xf>
    <xf numFmtId="169" fontId="107" fillId="4" borderId="12" xfId="0" applyNumberFormat="1" applyFont="1" applyFill="1" applyBorder="1" applyAlignment="1">
      <alignment horizontal="left"/>
    </xf>
    <xf numFmtId="0" fontId="113" fillId="0" borderId="62" xfId="0" applyFont="1" applyBorder="1" applyAlignment="1">
      <alignment horizontal="left" vertical="center" wrapText="1"/>
    </xf>
    <xf numFmtId="169" fontId="107" fillId="0" borderId="36" xfId="0" applyNumberFormat="1" applyFont="1" applyBorder="1" applyAlignment="1">
      <alignment horizontal="left"/>
    </xf>
    <xf numFmtId="169" fontId="107" fillId="0" borderId="12" xfId="0" applyNumberFormat="1" applyFont="1" applyBorder="1" applyAlignment="1">
      <alignment horizontal="left"/>
    </xf>
    <xf numFmtId="0" fontId="113" fillId="0" borderId="12" xfId="0" applyFont="1" applyBorder="1" applyAlignment="1">
      <alignment horizontal="left" wrapText="1" shrinkToFit="1"/>
    </xf>
    <xf numFmtId="166" fontId="113" fillId="0" borderId="61" xfId="3" applyFont="1" applyFill="1" applyBorder="1" applyAlignment="1">
      <alignment horizontal="left"/>
    </xf>
    <xf numFmtId="169" fontId="113" fillId="0" borderId="36" xfId="0" applyNumberFormat="1" applyFont="1" applyBorder="1" applyAlignment="1">
      <alignment horizontal="left"/>
    </xf>
    <xf numFmtId="0" fontId="113" fillId="0" borderId="12" xfId="0" applyFont="1" applyBorder="1" applyAlignment="1">
      <alignment horizontal="left" vertical="center" wrapText="1"/>
    </xf>
    <xf numFmtId="166" fontId="113" fillId="0" borderId="12" xfId="3" applyFont="1" applyFill="1" applyBorder="1" applyAlignment="1">
      <alignment horizontal="left"/>
    </xf>
    <xf numFmtId="169" fontId="113" fillId="11" borderId="12" xfId="0" applyNumberFormat="1" applyFont="1" applyFill="1" applyBorder="1" applyAlignment="1">
      <alignment horizontal="left"/>
    </xf>
    <xf numFmtId="169" fontId="113" fillId="10" borderId="12" xfId="0" applyNumberFormat="1" applyFont="1" applyFill="1" applyBorder="1" applyAlignment="1">
      <alignment horizontal="left"/>
    </xf>
    <xf numFmtId="0" fontId="113" fillId="4" borderId="62" xfId="0" applyFont="1" applyFill="1" applyBorder="1" applyAlignment="1">
      <alignment horizontal="left" vertical="center" wrapText="1"/>
    </xf>
    <xf numFmtId="166" fontId="113" fillId="4" borderId="61" xfId="3" applyFont="1" applyFill="1" applyBorder="1" applyAlignment="1">
      <alignment horizontal="left"/>
    </xf>
    <xf numFmtId="166" fontId="113" fillId="4" borderId="61" xfId="3" applyFont="1" applyFill="1" applyBorder="1" applyAlignment="1">
      <alignment horizontal="center" wrapText="1"/>
    </xf>
    <xf numFmtId="0" fontId="113" fillId="19" borderId="12" xfId="0" applyFont="1" applyFill="1" applyBorder="1" applyAlignment="1">
      <alignment horizontal="left" wrapText="1" shrinkToFit="1"/>
    </xf>
    <xf numFmtId="0" fontId="113" fillId="19" borderId="62" xfId="0" applyFont="1" applyFill="1" applyBorder="1" applyAlignment="1">
      <alignment vertical="center"/>
    </xf>
    <xf numFmtId="166" fontId="113" fillId="4" borderId="62" xfId="3" applyFont="1" applyFill="1" applyBorder="1" applyAlignment="1">
      <alignment horizontal="center" wrapText="1"/>
    </xf>
    <xf numFmtId="0" fontId="113" fillId="19" borderId="62" xfId="0" applyFont="1" applyFill="1" applyBorder="1" applyAlignment="1">
      <alignment horizontal="left" vertical="center" wrapText="1"/>
    </xf>
    <xf numFmtId="0" fontId="113" fillId="0" borderId="44" xfId="0" applyFont="1" applyBorder="1" applyAlignment="1">
      <alignment horizontal="left" wrapText="1"/>
    </xf>
    <xf numFmtId="166" fontId="113" fillId="0" borderId="36" xfId="3" applyFont="1" applyFill="1" applyBorder="1" applyAlignment="1"/>
    <xf numFmtId="166" fontId="113" fillId="0" borderId="12" xfId="3" applyFont="1" applyFill="1" applyBorder="1" applyAlignment="1"/>
    <xf numFmtId="0" fontId="113" fillId="0" borderId="36" xfId="0" applyFont="1" applyBorder="1" applyAlignment="1">
      <alignment vertical="center" wrapText="1"/>
    </xf>
    <xf numFmtId="166" fontId="113" fillId="0" borderId="21" xfId="3" applyFont="1" applyFill="1" applyBorder="1" applyAlignment="1">
      <alignment horizontal="left"/>
    </xf>
    <xf numFmtId="166" fontId="113" fillId="0" borderId="49" xfId="3" applyFont="1" applyFill="1" applyBorder="1" applyAlignment="1">
      <alignment horizontal="left"/>
    </xf>
    <xf numFmtId="0" fontId="113" fillId="0" borderId="34" xfId="0" applyFont="1" applyBorder="1" applyAlignment="1">
      <alignment horizontal="center" vertical="center" wrapText="1"/>
    </xf>
    <xf numFmtId="166" fontId="113" fillId="10" borderId="36" xfId="3" applyFont="1" applyFill="1" applyBorder="1" applyAlignment="1"/>
    <xf numFmtId="166" fontId="113" fillId="0" borderId="12" xfId="3" applyFont="1" applyFill="1" applyBorder="1" applyAlignment="1">
      <alignment horizontal="center" wrapText="1"/>
    </xf>
    <xf numFmtId="0" fontId="215" fillId="4" borderId="62" xfId="0" applyFont="1" applyFill="1" applyBorder="1" applyAlignment="1">
      <alignment vertical="center"/>
    </xf>
    <xf numFmtId="0" fontId="113" fillId="0" borderId="62" xfId="0" applyFont="1" applyBorder="1" applyAlignment="1">
      <alignment vertical="center" wrapText="1"/>
    </xf>
    <xf numFmtId="166" fontId="107" fillId="4" borderId="12" xfId="3" applyFont="1" applyFill="1" applyBorder="1" applyAlignment="1">
      <alignment horizontal="center" vertical="center" wrapText="1"/>
    </xf>
    <xf numFmtId="166" fontId="113" fillId="4" borderId="12" xfId="3" applyFont="1" applyFill="1" applyBorder="1" applyAlignment="1">
      <alignment horizontal="center" vertical="center" wrapText="1"/>
    </xf>
    <xf numFmtId="0" fontId="113" fillId="4" borderId="12" xfId="0" applyFont="1" applyFill="1" applyBorder="1" applyAlignment="1">
      <alignment wrapText="1"/>
    </xf>
    <xf numFmtId="170" fontId="113" fillId="0" borderId="12" xfId="0" applyNumberFormat="1" applyFont="1" applyBorder="1"/>
    <xf numFmtId="170" fontId="5" fillId="0" borderId="12" xfId="0" applyNumberFormat="1" applyFont="1" applyBorder="1"/>
    <xf numFmtId="0" fontId="113" fillId="4" borderId="12" xfId="0" applyFont="1" applyFill="1" applyBorder="1" applyAlignment="1">
      <alignment horizontal="left" vertical="center"/>
    </xf>
    <xf numFmtId="0" fontId="5" fillId="4" borderId="12" xfId="0" applyFont="1" applyFill="1" applyBorder="1" applyAlignment="1">
      <alignment horizontal="left" wrapText="1"/>
    </xf>
    <xf numFmtId="0" fontId="113" fillId="4" borderId="12" xfId="0" applyFont="1" applyFill="1" applyBorder="1"/>
    <xf numFmtId="166" fontId="5" fillId="4" borderId="12" xfId="3" applyFont="1" applyFill="1" applyBorder="1"/>
    <xf numFmtId="0" fontId="5" fillId="4" borderId="12" xfId="0" applyFont="1" applyFill="1" applyBorder="1" applyAlignment="1">
      <alignment wrapText="1"/>
    </xf>
    <xf numFmtId="170" fontId="5" fillId="4" borderId="12" xfId="0" applyNumberFormat="1" applyFont="1" applyFill="1" applyBorder="1"/>
    <xf numFmtId="0" fontId="113" fillId="4" borderId="34" xfId="0" applyFont="1" applyFill="1" applyBorder="1" applyAlignment="1">
      <alignment wrapText="1"/>
    </xf>
    <xf numFmtId="49" fontId="113" fillId="4" borderId="34" xfId="0" quotePrefix="1" applyNumberFormat="1" applyFont="1" applyFill="1" applyBorder="1" applyAlignment="1">
      <alignment horizontal="left" wrapText="1"/>
    </xf>
    <xf numFmtId="0" fontId="113" fillId="4" borderId="62" xfId="0" applyFont="1" applyFill="1" applyBorder="1"/>
    <xf numFmtId="170" fontId="5" fillId="4" borderId="56" xfId="0" applyNumberFormat="1" applyFont="1" applyFill="1" applyBorder="1"/>
    <xf numFmtId="0" fontId="107" fillId="4" borderId="44" xfId="0" applyFont="1" applyFill="1" applyBorder="1" applyAlignment="1">
      <alignment vertical="center" wrapText="1"/>
    </xf>
    <xf numFmtId="166" fontId="107" fillId="4" borderId="67" xfId="3" applyFont="1" applyFill="1" applyBorder="1" applyAlignment="1">
      <alignment horizontal="center" wrapText="1"/>
    </xf>
    <xf numFmtId="169" fontId="113" fillId="4" borderId="34" xfId="0" applyNumberFormat="1" applyFont="1" applyFill="1" applyBorder="1"/>
    <xf numFmtId="0" fontId="113" fillId="0" borderId="54" xfId="0" applyFont="1" applyBorder="1" applyAlignment="1">
      <alignment wrapText="1"/>
    </xf>
    <xf numFmtId="49" fontId="113" fillId="4" borderId="12" xfId="0" quotePrefix="1" applyNumberFormat="1" applyFont="1" applyFill="1" applyBorder="1" applyAlignment="1">
      <alignment horizontal="left" vertical="center" wrapText="1"/>
    </xf>
    <xf numFmtId="0" fontId="113" fillId="0" borderId="36" xfId="0" applyFont="1" applyBorder="1" applyAlignment="1">
      <alignment horizontal="left" wrapText="1"/>
    </xf>
    <xf numFmtId="0" fontId="113" fillId="4" borderId="12" xfId="0" applyFont="1" applyFill="1" applyBorder="1" applyAlignment="1">
      <alignment horizontal="left"/>
    </xf>
    <xf numFmtId="170" fontId="5" fillId="4" borderId="13" xfId="0" applyNumberFormat="1" applyFont="1" applyFill="1" applyBorder="1"/>
    <xf numFmtId="0" fontId="139" fillId="4" borderId="62" xfId="0" applyFont="1" applyFill="1" applyBorder="1" applyAlignment="1">
      <alignment horizontal="center" vertical="center"/>
    </xf>
    <xf numFmtId="0" fontId="215" fillId="0" borderId="54" xfId="0" applyFont="1" applyBorder="1" applyAlignment="1">
      <alignment wrapText="1"/>
    </xf>
    <xf numFmtId="0" fontId="113" fillId="0" borderId="62" xfId="0" applyFont="1" applyBorder="1" applyAlignment="1">
      <alignment horizontal="center" vertical="center" wrapText="1"/>
    </xf>
    <xf numFmtId="166" fontId="107" fillId="0" borderId="0" xfId="3" applyFont="1" applyFill="1" applyBorder="1" applyAlignment="1">
      <alignment horizontal="center" vertical="center" wrapText="1"/>
    </xf>
    <xf numFmtId="0" fontId="107" fillId="0" borderId="12" xfId="0" applyFont="1" applyBorder="1" applyAlignment="1">
      <alignment horizontal="center" vertical="center" wrapText="1"/>
    </xf>
    <xf numFmtId="0" fontId="215" fillId="0" borderId="12" xfId="0" applyFont="1" applyBorder="1" applyAlignment="1">
      <alignment vertical="center" wrapText="1"/>
    </xf>
    <xf numFmtId="166" fontId="107" fillId="4" borderId="0" xfId="3" applyFont="1" applyFill="1" applyBorder="1" applyAlignment="1">
      <alignment horizontal="center" vertical="center" wrapText="1"/>
    </xf>
    <xf numFmtId="0" fontId="107" fillId="4" borderId="12" xfId="0" applyFont="1" applyFill="1" applyBorder="1" applyAlignment="1">
      <alignment horizontal="center" vertical="center" wrapText="1"/>
    </xf>
    <xf numFmtId="0" fontId="215" fillId="0" borderId="36" xfId="0" applyFont="1" applyBorder="1" applyAlignment="1">
      <alignment vertical="center" wrapText="1"/>
    </xf>
    <xf numFmtId="0" fontId="215" fillId="0" borderId="62" xfId="0" applyFont="1" applyBorder="1" applyAlignment="1">
      <alignment vertical="center" wrapText="1"/>
    </xf>
    <xf numFmtId="0" fontId="215" fillId="0" borderId="62" xfId="0" applyFont="1" applyBorder="1" applyAlignment="1">
      <alignment horizontal="left" vertical="center" wrapText="1"/>
    </xf>
    <xf numFmtId="0" fontId="215" fillId="0" borderId="12" xfId="0" applyFont="1" applyBorder="1" applyAlignment="1">
      <alignment horizontal="left" wrapText="1" shrinkToFit="1"/>
    </xf>
    <xf numFmtId="166" fontId="107" fillId="32" borderId="78" xfId="3" applyFont="1" applyFill="1" applyBorder="1"/>
    <xf numFmtId="0" fontId="113" fillId="4" borderId="62" xfId="0" applyFont="1" applyFill="1" applyBorder="1" applyAlignment="1">
      <alignment horizontal="left"/>
    </xf>
    <xf numFmtId="169" fontId="107" fillId="32" borderId="12" xfId="0" applyNumberFormat="1" applyFont="1" applyFill="1" applyBorder="1"/>
    <xf numFmtId="169" fontId="208" fillId="4" borderId="12" xfId="0" applyNumberFormat="1" applyFont="1" applyFill="1" applyBorder="1" applyAlignment="1">
      <alignment horizontal="center"/>
    </xf>
    <xf numFmtId="0" fontId="15" fillId="10" borderId="36" xfId="0" applyFont="1" applyFill="1" applyBorder="1" applyAlignment="1">
      <alignment horizontal="left" vertical="center" wrapText="1"/>
    </xf>
    <xf numFmtId="0" fontId="113" fillId="0" borderId="12" xfId="0" quotePrefix="1" applyFont="1" applyBorder="1" applyAlignment="1">
      <alignment horizontal="center" vertical="center"/>
    </xf>
    <xf numFmtId="0" fontId="113" fillId="0" borderId="12" xfId="0" quotePrefix="1" applyFont="1" applyBorder="1" applyAlignment="1">
      <alignment horizontal="left" wrapText="1"/>
    </xf>
    <xf numFmtId="164" fontId="113" fillId="0" borderId="12" xfId="0" applyNumberFormat="1" applyFont="1" applyBorder="1" applyAlignment="1">
      <alignment horizontal="left"/>
    </xf>
    <xf numFmtId="0" fontId="113" fillId="0" borderId="12" xfId="0" applyFont="1" applyBorder="1" applyAlignment="1">
      <alignment horizontal="center" vertical="center"/>
    </xf>
    <xf numFmtId="0" fontId="113" fillId="0" borderId="12" xfId="0" applyFont="1" applyBorder="1" applyAlignment="1">
      <alignment horizontal="justify" wrapText="1"/>
    </xf>
    <xf numFmtId="164" fontId="113" fillId="0" borderId="12" xfId="0" applyNumberFormat="1" applyFont="1" applyBorder="1"/>
    <xf numFmtId="164" fontId="113" fillId="0" borderId="12" xfId="0" applyNumberFormat="1" applyFont="1" applyBorder="1" applyAlignment="1">
      <alignment horizontal="center"/>
    </xf>
    <xf numFmtId="0" fontId="100" fillId="0" borderId="12" xfId="0" applyFont="1" applyBorder="1" applyAlignment="1">
      <alignment horizontal="justify" wrapText="1"/>
    </xf>
    <xf numFmtId="164" fontId="107" fillId="0" borderId="12" xfId="0" applyNumberFormat="1" applyFont="1" applyBorder="1"/>
    <xf numFmtId="0" fontId="100" fillId="0" borderId="12" xfId="0" applyFont="1" applyBorder="1" applyAlignment="1">
      <alignment horizontal="left" wrapText="1"/>
    </xf>
    <xf numFmtId="0" fontId="100" fillId="0" borderId="12" xfId="0" applyFont="1" applyBorder="1" applyAlignment="1">
      <alignment horizontal="justify" vertical="center" wrapText="1"/>
    </xf>
    <xf numFmtId="0" fontId="100" fillId="0" borderId="12" xfId="0" applyFont="1" applyBorder="1" applyAlignment="1">
      <alignment horizontal="left" wrapText="1" shrinkToFit="1"/>
    </xf>
    <xf numFmtId="164" fontId="100" fillId="0" borderId="12" xfId="0" applyNumberFormat="1" applyFont="1" applyBorder="1"/>
    <xf numFmtId="0" fontId="114" fillId="0" borderId="0" xfId="0" applyFont="1" applyAlignment="1">
      <alignment vertical="center" wrapText="1"/>
    </xf>
    <xf numFmtId="0" fontId="107" fillId="0" borderId="0" xfId="0" applyFont="1" applyAlignment="1">
      <alignment horizontal="center"/>
    </xf>
    <xf numFmtId="164" fontId="103" fillId="28" borderId="78" xfId="0" applyNumberFormat="1" applyFont="1" applyFill="1" applyBorder="1"/>
    <xf numFmtId="49" fontId="4" fillId="0" borderId="12" xfId="4" applyNumberFormat="1" applyFont="1" applyBorder="1" applyAlignment="1">
      <alignment horizontal="left" vertical="center"/>
    </xf>
    <xf numFmtId="4" fontId="4" fillId="0" borderId="12" xfId="1" applyNumberFormat="1" applyFont="1" applyFill="1" applyBorder="1" applyAlignment="1">
      <alignment horizontal="left" vertical="center" wrapText="1"/>
    </xf>
    <xf numFmtId="0" fontId="103" fillId="0" borderId="0" xfId="0" applyFont="1" applyAlignment="1">
      <alignment horizontal="center"/>
    </xf>
    <xf numFmtId="0" fontId="32" fillId="0" borderId="12" xfId="0" applyFont="1" applyBorder="1" applyAlignment="1">
      <alignment horizontal="center" vertical="center" textRotation="90" wrapText="1"/>
    </xf>
    <xf numFmtId="0" fontId="32" fillId="0" borderId="12" xfId="0" quotePrefix="1" applyFont="1" applyBorder="1" applyAlignment="1">
      <alignment horizontal="center" vertical="center" textRotation="90" wrapText="1"/>
    </xf>
    <xf numFmtId="0" fontId="12" fillId="0" borderId="34" xfId="0" applyFont="1" applyBorder="1" applyAlignment="1">
      <alignment horizontal="center"/>
    </xf>
    <xf numFmtId="49" fontId="12" fillId="0" borderId="34" xfId="0" applyNumberFormat="1" applyFont="1" applyBorder="1" applyAlignment="1">
      <alignment horizontal="center"/>
    </xf>
    <xf numFmtId="49" fontId="12" fillId="0" borderId="56" xfId="0" applyNumberFormat="1" applyFont="1" applyBorder="1" applyAlignment="1">
      <alignment horizontal="center"/>
    </xf>
    <xf numFmtId="0" fontId="5" fillId="0" borderId="41" xfId="0" quotePrefix="1" applyFont="1" applyBorder="1" applyAlignment="1">
      <alignment horizontal="left"/>
    </xf>
    <xf numFmtId="166" fontId="12" fillId="0" borderId="6" xfId="3" applyFont="1" applyFill="1" applyBorder="1" applyAlignment="1">
      <alignment horizontal="center"/>
    </xf>
    <xf numFmtId="0" fontId="12" fillId="0" borderId="12" xfId="0" applyFont="1" applyBorder="1" applyAlignment="1">
      <alignment horizontal="center"/>
    </xf>
    <xf numFmtId="49" fontId="12" fillId="0" borderId="12" xfId="0" applyNumberFormat="1" applyFont="1" applyBorder="1" applyAlignment="1">
      <alignment horizontal="center"/>
    </xf>
    <xf numFmtId="49" fontId="12" fillId="0" borderId="13" xfId="0" quotePrefix="1" applyNumberFormat="1" applyFont="1" applyBorder="1" applyAlignment="1">
      <alignment horizontal="center"/>
    </xf>
    <xf numFmtId="0" fontId="5" fillId="0" borderId="38" xfId="0" quotePrefix="1" applyFont="1" applyBorder="1" applyAlignment="1">
      <alignment horizontal="left"/>
    </xf>
    <xf numFmtId="166" fontId="12" fillId="0" borderId="16" xfId="3" applyFont="1" applyFill="1" applyBorder="1" applyAlignment="1">
      <alignment horizontal="center"/>
    </xf>
    <xf numFmtId="0" fontId="5" fillId="0" borderId="26" xfId="0" quotePrefix="1" applyFont="1" applyBorder="1" applyAlignment="1">
      <alignment horizontal="left"/>
    </xf>
    <xf numFmtId="166" fontId="12" fillId="0" borderId="3" xfId="3" applyFont="1" applyFill="1" applyBorder="1" applyAlignment="1">
      <alignment horizontal="center"/>
    </xf>
    <xf numFmtId="166" fontId="12" fillId="0" borderId="95" xfId="3" applyFont="1" applyFill="1" applyBorder="1" applyAlignment="1">
      <alignment horizontal="center" vertical="center" wrapText="1"/>
    </xf>
    <xf numFmtId="0" fontId="100" fillId="6" borderId="2" xfId="0" applyFont="1" applyFill="1" applyBorder="1" applyAlignment="1">
      <alignment wrapText="1"/>
    </xf>
    <xf numFmtId="169" fontId="216" fillId="0" borderId="166" xfId="3" applyNumberFormat="1" applyFont="1" applyFill="1" applyBorder="1" applyAlignment="1">
      <alignment horizontal="right"/>
    </xf>
    <xf numFmtId="166" fontId="0" fillId="0" borderId="58" xfId="3" applyFont="1" applyBorder="1"/>
    <xf numFmtId="166" fontId="0" fillId="0" borderId="58" xfId="3" applyFont="1" applyFill="1" applyBorder="1"/>
    <xf numFmtId="166" fontId="29" fillId="0" borderId="58" xfId="3" applyFont="1" applyFill="1" applyBorder="1"/>
    <xf numFmtId="166" fontId="113" fillId="4" borderId="12" xfId="3" applyFont="1" applyFill="1" applyBorder="1" applyAlignment="1">
      <alignment horizontal="center" wrapText="1"/>
    </xf>
    <xf numFmtId="0" fontId="4" fillId="0" borderId="12" xfId="0" applyFont="1" applyBorder="1" applyAlignment="1">
      <alignment horizontal="center"/>
    </xf>
    <xf numFmtId="0" fontId="4" fillId="29" borderId="12" xfId="0" applyFont="1" applyFill="1" applyBorder="1"/>
    <xf numFmtId="0" fontId="4" fillId="29" borderId="12" xfId="0" applyFont="1" applyFill="1" applyBorder="1" applyAlignment="1">
      <alignment horizontal="center"/>
    </xf>
    <xf numFmtId="164" fontId="27" fillId="29" borderId="61" xfId="3" applyNumberFormat="1" applyFont="1" applyFill="1" applyBorder="1" applyAlignment="1">
      <alignment horizontal="right"/>
    </xf>
    <xf numFmtId="169" fontId="50" fillId="0" borderId="80" xfId="1" quotePrefix="1" applyNumberFormat="1" applyFont="1" applyFill="1" applyBorder="1" applyAlignment="1">
      <alignment horizontal="left"/>
    </xf>
    <xf numFmtId="44" fontId="29" fillId="0" borderId="0" xfId="0" applyNumberFormat="1" applyFont="1"/>
    <xf numFmtId="44" fontId="16" fillId="0" borderId="0" xfId="0" applyNumberFormat="1" applyFont="1"/>
    <xf numFmtId="8" fontId="130" fillId="0" borderId="0" xfId="0" applyNumberFormat="1" applyFont="1"/>
    <xf numFmtId="8" fontId="130" fillId="0" borderId="0" xfId="0" applyNumberFormat="1" applyFont="1" applyAlignment="1">
      <alignment vertical="center"/>
    </xf>
    <xf numFmtId="44" fontId="57" fillId="0" borderId="0" xfId="0" applyNumberFormat="1" applyFont="1"/>
    <xf numFmtId="164" fontId="29" fillId="0" borderId="61" xfId="3" applyNumberFormat="1" applyFont="1" applyFill="1" applyBorder="1" applyAlignment="1">
      <alignment horizontal="right"/>
    </xf>
    <xf numFmtId="164" fontId="115" fillId="0" borderId="61" xfId="3" applyNumberFormat="1" applyFont="1" applyFill="1" applyBorder="1" applyAlignment="1">
      <alignment horizontal="right"/>
    </xf>
    <xf numFmtId="0" fontId="181" fillId="36" borderId="12" xfId="0" applyFont="1" applyFill="1" applyBorder="1" applyAlignment="1">
      <alignment horizontal="center" vertical="center"/>
    </xf>
    <xf numFmtId="166" fontId="181" fillId="36" borderId="12" xfId="3" applyFont="1" applyFill="1" applyBorder="1" applyAlignment="1">
      <alignment vertical="center"/>
    </xf>
    <xf numFmtId="166" fontId="0" fillId="36" borderId="12" xfId="3" applyFont="1" applyFill="1" applyBorder="1"/>
    <xf numFmtId="166" fontId="57" fillId="36" borderId="12" xfId="3" applyFont="1" applyFill="1" applyBorder="1"/>
    <xf numFmtId="0" fontId="0" fillId="29" borderId="12" xfId="0" applyFill="1" applyBorder="1"/>
    <xf numFmtId="44" fontId="0" fillId="29" borderId="12" xfId="0" applyNumberFormat="1" applyFill="1" applyBorder="1"/>
    <xf numFmtId="0" fontId="0" fillId="36" borderId="12" xfId="0" applyFill="1" applyBorder="1"/>
    <xf numFmtId="164" fontId="27" fillId="36" borderId="12" xfId="3" applyNumberFormat="1" applyFont="1" applyFill="1" applyBorder="1" applyAlignment="1">
      <alignment horizontal="right"/>
    </xf>
    <xf numFmtId="166" fontId="4" fillId="36" borderId="12" xfId="3" applyFont="1" applyFill="1" applyBorder="1"/>
    <xf numFmtId="166" fontId="181" fillId="36" borderId="12" xfId="0" applyNumberFormat="1" applyFont="1" applyFill="1" applyBorder="1"/>
    <xf numFmtId="166" fontId="22" fillId="29" borderId="12" xfId="3" applyFont="1" applyFill="1" applyBorder="1"/>
    <xf numFmtId="44" fontId="22" fillId="29" borderId="12" xfId="0" applyNumberFormat="1" applyFont="1" applyFill="1" applyBorder="1"/>
    <xf numFmtId="166" fontId="28" fillId="36" borderId="12" xfId="3" applyFont="1" applyFill="1" applyBorder="1" applyAlignment="1">
      <alignment horizontal="right"/>
    </xf>
    <xf numFmtId="166" fontId="181" fillId="36" borderId="12" xfId="3" applyFont="1" applyFill="1" applyBorder="1"/>
    <xf numFmtId="166" fontId="181" fillId="35" borderId="12" xfId="3" applyFont="1" applyFill="1" applyBorder="1" applyAlignment="1">
      <alignment horizontal="center" vertical="center"/>
    </xf>
    <xf numFmtId="166" fontId="181" fillId="35" borderId="12" xfId="3" applyFont="1" applyFill="1" applyBorder="1" applyAlignment="1">
      <alignment vertical="center"/>
    </xf>
    <xf numFmtId="166" fontId="0" fillId="35" borderId="12" xfId="3" applyFont="1" applyFill="1" applyBorder="1"/>
    <xf numFmtId="164" fontId="57" fillId="29" borderId="12" xfId="0" applyNumberFormat="1" applyFont="1" applyFill="1" applyBorder="1"/>
    <xf numFmtId="44" fontId="57" fillId="29" borderId="12" xfId="0" applyNumberFormat="1" applyFont="1" applyFill="1" applyBorder="1"/>
    <xf numFmtId="166" fontId="22" fillId="35" borderId="12" xfId="3" applyFont="1" applyFill="1" applyBorder="1"/>
    <xf numFmtId="166" fontId="22" fillId="35" borderId="12" xfId="0" applyNumberFormat="1" applyFont="1" applyFill="1" applyBorder="1"/>
    <xf numFmtId="164" fontId="22" fillId="29" borderId="12" xfId="0" applyNumberFormat="1" applyFont="1" applyFill="1" applyBorder="1"/>
    <xf numFmtId="44" fontId="217" fillId="29" borderId="12" xfId="0" applyNumberFormat="1" applyFont="1" applyFill="1" applyBorder="1"/>
    <xf numFmtId="0" fontId="181" fillId="29" borderId="12" xfId="0" applyFont="1" applyFill="1" applyBorder="1" applyAlignment="1">
      <alignment horizontal="center" vertical="center"/>
    </xf>
    <xf numFmtId="166" fontId="0" fillId="29" borderId="12" xfId="3" applyFont="1" applyFill="1" applyBorder="1"/>
    <xf numFmtId="166" fontId="128" fillId="36" borderId="12" xfId="3" applyFont="1" applyFill="1" applyBorder="1" applyAlignment="1">
      <alignment horizontal="right"/>
    </xf>
    <xf numFmtId="166" fontId="53" fillId="36" borderId="12" xfId="3" applyFont="1" applyFill="1" applyBorder="1" applyAlignment="1">
      <alignment horizontal="right"/>
    </xf>
    <xf numFmtId="166" fontId="127" fillId="36" borderId="12" xfId="3" applyFont="1" applyFill="1" applyBorder="1" applyAlignment="1">
      <alignment horizontal="right"/>
    </xf>
    <xf numFmtId="166" fontId="28" fillId="36" borderId="12" xfId="3" applyFont="1" applyFill="1" applyBorder="1"/>
    <xf numFmtId="166" fontId="47" fillId="36" borderId="12" xfId="3" quotePrefix="1" applyFont="1" applyFill="1" applyBorder="1" applyAlignment="1">
      <alignment horizontal="left"/>
    </xf>
    <xf numFmtId="166" fontId="4" fillId="29" borderId="12" xfId="3" applyFont="1" applyFill="1" applyBorder="1"/>
    <xf numFmtId="166" fontId="126" fillId="36" borderId="12" xfId="3" applyFont="1" applyFill="1" applyBorder="1"/>
    <xf numFmtId="166" fontId="129" fillId="36" borderId="12" xfId="3" applyFont="1" applyFill="1" applyBorder="1"/>
    <xf numFmtId="166" fontId="148" fillId="36" borderId="12" xfId="3" applyFont="1" applyFill="1" applyBorder="1"/>
    <xf numFmtId="166" fontId="27" fillId="29" borderId="12" xfId="3" applyFont="1" applyFill="1" applyBorder="1"/>
    <xf numFmtId="0" fontId="181" fillId="29" borderId="12" xfId="0" applyFont="1" applyFill="1" applyBorder="1" applyAlignment="1">
      <alignment horizontal="center" vertical="center" wrapText="1"/>
    </xf>
    <xf numFmtId="164" fontId="28" fillId="29" borderId="12" xfId="3" applyNumberFormat="1" applyFont="1" applyFill="1" applyBorder="1" applyAlignment="1">
      <alignment horizontal="right"/>
    </xf>
    <xf numFmtId="166" fontId="0" fillId="29" borderId="0" xfId="3" applyFont="1" applyFill="1"/>
    <xf numFmtId="166" fontId="15" fillId="17" borderId="0" xfId="3" applyFont="1" applyFill="1"/>
    <xf numFmtId="166" fontId="151" fillId="29" borderId="12" xfId="3" applyFont="1" applyFill="1" applyBorder="1" applyAlignment="1">
      <alignment horizontal="center" vertical="center" wrapText="1"/>
    </xf>
    <xf numFmtId="166" fontId="151" fillId="29" borderId="12" xfId="3" applyFont="1" applyFill="1" applyBorder="1" applyAlignment="1">
      <alignment horizontal="center" vertical="center"/>
    </xf>
    <xf numFmtId="0" fontId="181" fillId="36" borderId="12" xfId="0" applyFont="1" applyFill="1" applyBorder="1" applyAlignment="1">
      <alignment horizontal="center" vertical="center" wrapText="1"/>
    </xf>
    <xf numFmtId="44" fontId="57" fillId="0" borderId="73" xfId="0" applyNumberFormat="1" applyFont="1" applyBorder="1"/>
    <xf numFmtId="166" fontId="19" fillId="0" borderId="58" xfId="3" applyFont="1" applyFill="1" applyBorder="1"/>
    <xf numFmtId="44" fontId="70" fillId="17" borderId="74" xfId="0" applyNumberFormat="1" applyFont="1" applyFill="1" applyBorder="1"/>
    <xf numFmtId="0" fontId="22" fillId="0" borderId="0" xfId="0" applyFont="1" applyAlignment="1">
      <alignment horizontal="center" vertical="center" wrapText="1"/>
    </xf>
    <xf numFmtId="44" fontId="22" fillId="0" borderId="73" xfId="0" applyNumberFormat="1" applyFont="1" applyBorder="1"/>
    <xf numFmtId="44" fontId="0" fillId="0" borderId="73" xfId="0" applyNumberFormat="1" applyBorder="1"/>
    <xf numFmtId="166" fontId="22" fillId="0" borderId="73" xfId="3" applyFont="1" applyBorder="1"/>
    <xf numFmtId="0" fontId="39" fillId="0" borderId="0" xfId="0" applyFont="1" applyAlignment="1">
      <alignment horizontal="left" vertical="distributed" wrapText="1"/>
    </xf>
    <xf numFmtId="0" fontId="5" fillId="0" borderId="0" xfId="0" applyFont="1" applyAlignment="1">
      <alignment horizontal="justify" vertical="justify" wrapText="1"/>
    </xf>
    <xf numFmtId="0" fontId="39" fillId="0" borderId="0" xfId="0" applyFont="1" applyAlignment="1">
      <alignment horizontal="justify" vertical="distributed" wrapText="1"/>
    </xf>
    <xf numFmtId="49" fontId="5" fillId="0" borderId="0" xfId="0" applyNumberFormat="1" applyFont="1" applyAlignment="1">
      <alignment horizontal="justify" vertical="justify" wrapText="1"/>
    </xf>
    <xf numFmtId="0" fontId="75" fillId="0" borderId="0" xfId="0" applyFont="1" applyAlignment="1">
      <alignment horizontal="left" vertical="distributed" wrapText="1"/>
    </xf>
    <xf numFmtId="0" fontId="5" fillId="0" borderId="0" xfId="0" quotePrefix="1" applyFont="1" applyAlignment="1">
      <alignment horizontal="justify" vertical="distributed" wrapText="1"/>
    </xf>
    <xf numFmtId="0" fontId="5" fillId="0" borderId="0" xfId="0" applyFont="1" applyAlignment="1">
      <alignment horizontal="justify" vertical="distributed" wrapText="1"/>
    </xf>
    <xf numFmtId="0" fontId="5" fillId="0" borderId="0" xfId="0" quotePrefix="1" applyFont="1" applyAlignment="1">
      <alignment horizontal="justify" vertical="distributed"/>
    </xf>
    <xf numFmtId="0" fontId="6" fillId="0" borderId="0" xfId="0" applyFont="1" applyAlignment="1">
      <alignment horizontal="justify" vertical="distributed"/>
    </xf>
    <xf numFmtId="0" fontId="155" fillId="0" borderId="0" xfId="0" applyFont="1" applyAlignment="1">
      <alignment horizontal="center" vertical="distributed"/>
    </xf>
    <xf numFmtId="0" fontId="36" fillId="0" borderId="0" xfId="0" applyFont="1" applyAlignment="1">
      <alignment horizontal="center" vertical="distributed"/>
    </xf>
    <xf numFmtId="0" fontId="5" fillId="0" borderId="0" xfId="0" quotePrefix="1" applyFont="1" applyAlignment="1">
      <alignment horizontal="left" vertical="distributed"/>
    </xf>
    <xf numFmtId="0" fontId="6" fillId="0" borderId="0" xfId="0" applyFont="1" applyAlignment="1">
      <alignment horizontal="left" vertical="distributed"/>
    </xf>
    <xf numFmtId="0" fontId="6" fillId="0" borderId="0" xfId="0" quotePrefix="1" applyFont="1" applyAlignment="1">
      <alignment horizontal="left" vertical="distributed" wrapText="1"/>
    </xf>
    <xf numFmtId="0" fontId="6" fillId="0" borderId="0" xfId="0" applyFont="1" applyAlignment="1">
      <alignment horizontal="left" vertical="distributed" wrapText="1"/>
    </xf>
    <xf numFmtId="0" fontId="5" fillId="0" borderId="0" xfId="0" applyFont="1" applyAlignment="1">
      <alignment horizontal="left" vertical="distributed" wrapText="1"/>
    </xf>
    <xf numFmtId="0" fontId="36" fillId="0" borderId="0" xfId="0" quotePrefix="1" applyFont="1" applyAlignment="1">
      <alignment horizontal="center" vertical="distributed"/>
    </xf>
    <xf numFmtId="0" fontId="6" fillId="28" borderId="12" xfId="0" quotePrefix="1" applyFont="1" applyFill="1" applyBorder="1" applyAlignment="1">
      <alignment horizontal="center" vertical="distributed"/>
    </xf>
    <xf numFmtId="0" fontId="6" fillId="28" borderId="12" xfId="0" applyFont="1" applyFill="1" applyBorder="1" applyAlignment="1">
      <alignment horizontal="center" vertical="distributed"/>
    </xf>
    <xf numFmtId="0" fontId="5" fillId="28" borderId="12" xfId="0" applyFont="1" applyFill="1" applyBorder="1" applyAlignment="1">
      <alignment horizontal="center" vertical="distributed"/>
    </xf>
    <xf numFmtId="0" fontId="5" fillId="0" borderId="12" xfId="0" applyFont="1" applyBorder="1" applyAlignment="1">
      <alignment horizontal="left" vertical="distributed"/>
    </xf>
    <xf numFmtId="164" fontId="5" fillId="0" borderId="12" xfId="0" quotePrefix="1" applyNumberFormat="1" applyFont="1" applyBorder="1" applyAlignment="1">
      <alignment horizontal="center" vertical="distributed"/>
    </xf>
    <xf numFmtId="164" fontId="5" fillId="0" borderId="12" xfId="0" applyNumberFormat="1" applyFont="1" applyBorder="1" applyAlignment="1">
      <alignment horizontal="center" vertical="distributed"/>
    </xf>
    <xf numFmtId="0" fontId="147" fillId="29" borderId="12" xfId="0" applyFont="1" applyFill="1" applyBorder="1" applyAlignment="1">
      <alignment horizontal="center" vertical="distributed"/>
    </xf>
    <xf numFmtId="164" fontId="147" fillId="29" borderId="12" xfId="0" applyNumberFormat="1" applyFont="1" applyFill="1" applyBorder="1" applyAlignment="1">
      <alignment horizontal="center" vertical="distributed"/>
    </xf>
    <xf numFmtId="0" fontId="6" fillId="0" borderId="0" xfId="0" quotePrefix="1" applyFont="1" applyAlignment="1">
      <alignment horizontal="center" vertical="distributed"/>
    </xf>
    <xf numFmtId="0" fontId="6" fillId="0" borderId="0" xfId="0" applyFont="1" applyAlignment="1">
      <alignment horizontal="center" vertical="distributed"/>
    </xf>
    <xf numFmtId="0" fontId="5" fillId="28" borderId="12" xfId="0" quotePrefix="1" applyFont="1" applyFill="1" applyBorder="1" applyAlignment="1">
      <alignment horizontal="center" vertical="distributed"/>
    </xf>
    <xf numFmtId="0" fontId="5" fillId="0" borderId="12" xfId="0" applyFont="1" applyBorder="1" applyAlignment="1">
      <alignment vertical="distributed"/>
    </xf>
    <xf numFmtId="164" fontId="5" fillId="0" borderId="61" xfId="0" applyNumberFormat="1" applyFont="1" applyBorder="1" applyAlignment="1">
      <alignment horizontal="center" vertical="distributed"/>
    </xf>
    <xf numFmtId="164" fontId="5" fillId="0" borderId="63" xfId="0" applyNumberFormat="1" applyFont="1" applyBorder="1" applyAlignment="1">
      <alignment horizontal="center" vertical="distributed"/>
    </xf>
    <xf numFmtId="0" fontId="5" fillId="0" borderId="61" xfId="0" applyFont="1" applyBorder="1" applyAlignment="1">
      <alignment horizontal="left" vertical="distributed"/>
    </xf>
    <xf numFmtId="0" fontId="5" fillId="0" borderId="36" xfId="0" applyFont="1" applyBorder="1" applyAlignment="1">
      <alignment horizontal="left" vertical="distributed"/>
    </xf>
    <xf numFmtId="0" fontId="5" fillId="0" borderId="63" xfId="0" applyFont="1" applyBorder="1" applyAlignment="1">
      <alignment horizontal="left" vertical="distributed"/>
    </xf>
    <xf numFmtId="0" fontId="147" fillId="29" borderId="12" xfId="0" quotePrefix="1" applyFont="1" applyFill="1" applyBorder="1" applyAlignment="1">
      <alignment horizontal="center" vertical="distributed"/>
    </xf>
    <xf numFmtId="0" fontId="7" fillId="0" borderId="0" xfId="0" applyFont="1" applyAlignment="1">
      <alignment horizontal="justify" vertical="distributed" wrapText="1"/>
    </xf>
    <xf numFmtId="0" fontId="147" fillId="0" borderId="0" xfId="0" applyFont="1" applyAlignment="1">
      <alignment horizontal="justify" vertical="distributed" wrapText="1"/>
    </xf>
    <xf numFmtId="0" fontId="75" fillId="0" borderId="0" xfId="0" applyFont="1" applyAlignment="1">
      <alignment horizontal="justify" vertical="distributed" wrapText="1"/>
    </xf>
    <xf numFmtId="0" fontId="6" fillId="0" borderId="0" xfId="0" quotePrefix="1" applyFont="1" applyAlignment="1">
      <alignment horizontal="justify" vertical="distributed" wrapText="1"/>
    </xf>
    <xf numFmtId="0" fontId="6" fillId="0" borderId="0" xfId="0" applyFont="1" applyAlignment="1">
      <alignment horizontal="justify" vertical="distributed" wrapText="1"/>
    </xf>
    <xf numFmtId="0" fontId="6" fillId="0" borderId="0" xfId="0" applyFont="1" applyAlignment="1">
      <alignment horizontal="justify" vertical="justify" wrapText="1"/>
    </xf>
    <xf numFmtId="0" fontId="6" fillId="0" borderId="0" xfId="0" quotePrefix="1" applyFont="1" applyAlignment="1">
      <alignment horizontal="justify" vertical="justify" wrapText="1"/>
    </xf>
    <xf numFmtId="0" fontId="5" fillId="28" borderId="61" xfId="0" applyFont="1" applyFill="1" applyBorder="1" applyAlignment="1">
      <alignment horizontal="center" vertical="distributed" wrapText="1"/>
    </xf>
    <xf numFmtId="0" fontId="5" fillId="28" borderId="36" xfId="0" applyFont="1" applyFill="1" applyBorder="1" applyAlignment="1">
      <alignment horizontal="center" vertical="distributed" wrapText="1"/>
    </xf>
    <xf numFmtId="0" fontId="5" fillId="28" borderId="63" xfId="0" applyFont="1" applyFill="1" applyBorder="1" applyAlignment="1">
      <alignment horizontal="center" vertical="distributed" wrapText="1"/>
    </xf>
    <xf numFmtId="0" fontId="39" fillId="0" borderId="61" xfId="0" applyFont="1" applyBorder="1" applyAlignment="1">
      <alignment horizontal="left" vertical="distributed" wrapText="1"/>
    </xf>
    <xf numFmtId="0" fontId="39" fillId="0" borderId="36" xfId="0" applyFont="1" applyBorder="1" applyAlignment="1">
      <alignment horizontal="left" vertical="distributed" wrapText="1"/>
    </xf>
    <xf numFmtId="0" fontId="39" fillId="0" borderId="63" xfId="0" applyFont="1" applyBorder="1" applyAlignment="1">
      <alignment horizontal="left" vertical="distributed" wrapText="1"/>
    </xf>
    <xf numFmtId="164" fontId="39" fillId="0" borderId="12" xfId="0" applyNumberFormat="1" applyFont="1" applyBorder="1" applyAlignment="1">
      <alignment horizontal="center" vertical="distributed"/>
    </xf>
    <xf numFmtId="49" fontId="39" fillId="0" borderId="61" xfId="0" quotePrefix="1" applyNumberFormat="1" applyFont="1" applyBorder="1" applyAlignment="1">
      <alignment horizontal="center" vertical="distributed" wrapText="1"/>
    </xf>
    <xf numFmtId="49" fontId="39" fillId="0" borderId="63" xfId="0" applyNumberFormat="1" applyFont="1" applyBorder="1" applyAlignment="1">
      <alignment horizontal="center" vertical="distributed" wrapText="1"/>
    </xf>
    <xf numFmtId="0" fontId="39" fillId="0" borderId="12" xfId="0" quotePrefix="1" applyFont="1" applyBorder="1" applyAlignment="1">
      <alignment horizontal="left" vertical="distributed" wrapText="1"/>
    </xf>
    <xf numFmtId="0" fontId="39" fillId="0" borderId="12" xfId="0" applyFont="1" applyBorder="1" applyAlignment="1">
      <alignment horizontal="left" vertical="distributed" wrapText="1"/>
    </xf>
    <xf numFmtId="0" fontId="6" fillId="0" borderId="46" xfId="0" applyFont="1" applyBorder="1" applyAlignment="1">
      <alignment horizontal="center"/>
    </xf>
    <xf numFmtId="0" fontId="6" fillId="0" borderId="0" xfId="0" applyFont="1" applyAlignment="1">
      <alignment horizontal="center"/>
    </xf>
    <xf numFmtId="0" fontId="6" fillId="0" borderId="0" xfId="0" quotePrefix="1" applyFont="1" applyAlignment="1">
      <alignment horizontal="center"/>
    </xf>
    <xf numFmtId="0" fontId="5" fillId="0" borderId="0" xfId="0" quotePrefix="1" applyFont="1" applyAlignment="1">
      <alignment vertical="distributed" wrapText="1"/>
    </xf>
    <xf numFmtId="0" fontId="5" fillId="0" borderId="0" xfId="0" applyFont="1" applyAlignment="1">
      <alignment vertical="distributed" wrapText="1"/>
    </xf>
    <xf numFmtId="0" fontId="147" fillId="0" borderId="0" xfId="0" quotePrefix="1" applyFont="1" applyAlignment="1">
      <alignment horizontal="left" vertical="distributed" wrapText="1"/>
    </xf>
    <xf numFmtId="0" fontId="147" fillId="0" borderId="0" xfId="0" applyFont="1" applyAlignment="1">
      <alignment horizontal="left" vertical="distributed" wrapText="1"/>
    </xf>
    <xf numFmtId="0" fontId="75" fillId="0" borderId="0" xfId="0" applyFont="1" applyAlignment="1">
      <alignment horizontal="justify" vertical="center" wrapText="1"/>
    </xf>
    <xf numFmtId="0" fontId="6" fillId="0" borderId="0" xfId="0" applyFont="1" applyAlignment="1">
      <alignment horizontal="center" wrapText="1"/>
    </xf>
    <xf numFmtId="0" fontId="6" fillId="0" borderId="0" xfId="0" quotePrefix="1" applyFont="1" applyAlignment="1">
      <alignment horizontal="center" wrapText="1"/>
    </xf>
    <xf numFmtId="0" fontId="6" fillId="0" borderId="0" xfId="0" applyFont="1" applyAlignment="1">
      <alignment horizontal="center" vertical="center"/>
    </xf>
    <xf numFmtId="0" fontId="6" fillId="0" borderId="0" xfId="0" quotePrefix="1" applyFont="1" applyAlignment="1">
      <alignment horizontal="center" vertical="center"/>
    </xf>
    <xf numFmtId="0" fontId="6" fillId="0" borderId="0" xfId="0" quotePrefix="1" applyFont="1"/>
    <xf numFmtId="0" fontId="5" fillId="0" borderId="0" xfId="0" quotePrefix="1" applyFont="1" applyAlignment="1">
      <alignment horizontal="left" vertical="distributed" wrapText="1"/>
    </xf>
    <xf numFmtId="0" fontId="5" fillId="0" borderId="0" xfId="0" quotePrefix="1" applyFont="1" applyAlignment="1">
      <alignment horizontal="justify" vertical="justify" wrapText="1"/>
    </xf>
    <xf numFmtId="165" fontId="184" fillId="0" borderId="0" xfId="2" quotePrefix="1" applyFont="1" applyFill="1" applyAlignment="1">
      <alignment horizontal="center" vertical="center"/>
    </xf>
    <xf numFmtId="165" fontId="36" fillId="0" borderId="0" xfId="2" quotePrefix="1" applyFont="1" applyFill="1" applyAlignment="1">
      <alignment horizontal="center"/>
    </xf>
    <xf numFmtId="165" fontId="36" fillId="0" borderId="0" xfId="2" quotePrefix="1" applyFont="1" applyFill="1" applyAlignment="1" applyProtection="1">
      <alignment horizontal="center"/>
      <protection locked="0"/>
    </xf>
    <xf numFmtId="165" fontId="35" fillId="0" borderId="0" xfId="2" applyFont="1" applyFill="1" applyAlignment="1">
      <alignment horizontal="center"/>
    </xf>
    <xf numFmtId="49" fontId="148" fillId="28" borderId="28" xfId="0" applyNumberFormat="1" applyFont="1" applyFill="1" applyBorder="1" applyAlignment="1">
      <alignment horizontal="center"/>
    </xf>
    <xf numFmtId="49" fontId="148" fillId="28" borderId="0" xfId="0" applyNumberFormat="1" applyFont="1" applyFill="1" applyAlignment="1">
      <alignment horizontal="center"/>
    </xf>
    <xf numFmtId="49" fontId="148" fillId="28" borderId="29" xfId="0" applyNumberFormat="1" applyFont="1" applyFill="1" applyBorder="1" applyAlignment="1">
      <alignment horizontal="center"/>
    </xf>
    <xf numFmtId="0" fontId="148" fillId="28" borderId="89" xfId="0" applyFont="1" applyFill="1" applyBorder="1" applyAlignment="1">
      <alignment horizontal="center"/>
    </xf>
    <xf numFmtId="0" fontId="148" fillId="28" borderId="46" xfId="0" applyFont="1" applyFill="1" applyBorder="1" applyAlignment="1">
      <alignment horizontal="center"/>
    </xf>
    <xf numFmtId="0" fontId="148" fillId="28" borderId="55" xfId="0" applyFont="1" applyFill="1" applyBorder="1" applyAlignment="1">
      <alignment horizontal="center"/>
    </xf>
    <xf numFmtId="0" fontId="54" fillId="28" borderId="43" xfId="0" applyFont="1" applyFill="1" applyBorder="1" applyAlignment="1">
      <alignment horizontal="center"/>
    </xf>
    <xf numFmtId="0" fontId="54" fillId="28" borderId="1" xfId="0" applyFont="1" applyFill="1" applyBorder="1" applyAlignment="1">
      <alignment horizontal="center"/>
    </xf>
    <xf numFmtId="0" fontId="54" fillId="28" borderId="65" xfId="0" applyFont="1" applyFill="1" applyBorder="1" applyAlignment="1">
      <alignment horizontal="center"/>
    </xf>
    <xf numFmtId="0" fontId="148" fillId="28" borderId="28" xfId="0" applyFont="1" applyFill="1" applyBorder="1" applyAlignment="1">
      <alignment horizontal="center"/>
    </xf>
    <xf numFmtId="0" fontId="148" fillId="28" borderId="0" xfId="0" applyFont="1" applyFill="1" applyAlignment="1">
      <alignment horizontal="center"/>
    </xf>
    <xf numFmtId="0" fontId="148" fillId="28" borderId="29" xfId="0" applyFont="1" applyFill="1" applyBorder="1" applyAlignment="1">
      <alignment horizontal="center"/>
    </xf>
    <xf numFmtId="49" fontId="0" fillId="0" borderId="28" xfId="0" applyNumberFormat="1" applyBorder="1" applyAlignment="1">
      <alignment horizontal="center"/>
    </xf>
    <xf numFmtId="49" fontId="0" fillId="0" borderId="0" xfId="0" applyNumberFormat="1" applyAlignment="1">
      <alignment horizontal="center"/>
    </xf>
    <xf numFmtId="0" fontId="22" fillId="0" borderId="28" xfId="0" applyFont="1" applyBorder="1" applyAlignment="1">
      <alignment horizontal="left"/>
    </xf>
    <xf numFmtId="0" fontId="22" fillId="0" borderId="29" xfId="0" applyFont="1" applyBorder="1" applyAlignment="1">
      <alignment horizontal="left"/>
    </xf>
    <xf numFmtId="0" fontId="22" fillId="0" borderId="28" xfId="0" applyFont="1" applyBorder="1" applyAlignment="1">
      <alignment horizontal="center"/>
    </xf>
    <xf numFmtId="0" fontId="22" fillId="0" borderId="0" xfId="0" applyFont="1" applyAlignment="1">
      <alignment horizontal="center"/>
    </xf>
    <xf numFmtId="0" fontId="22" fillId="0" borderId="0" xfId="0" applyFont="1" applyAlignment="1">
      <alignment horizontal="left"/>
    </xf>
    <xf numFmtId="49" fontId="22" fillId="29" borderId="30" xfId="0" applyNumberFormat="1" applyFont="1" applyFill="1" applyBorder="1" applyAlignment="1">
      <alignment horizontal="center"/>
    </xf>
    <xf numFmtId="49" fontId="22" fillId="29" borderId="31" xfId="0" applyNumberFormat="1" applyFont="1" applyFill="1" applyBorder="1" applyAlignment="1">
      <alignment horizontal="center"/>
    </xf>
    <xf numFmtId="0" fontId="27" fillId="28" borderId="89" xfId="0" applyFont="1" applyFill="1" applyBorder="1" applyAlignment="1">
      <alignment horizontal="center"/>
    </xf>
    <xf numFmtId="0" fontId="27" fillId="28" borderId="46" xfId="0" applyFont="1" applyFill="1" applyBorder="1" applyAlignment="1">
      <alignment horizontal="center"/>
    </xf>
    <xf numFmtId="0" fontId="27" fillId="28" borderId="55" xfId="0" applyFont="1" applyFill="1" applyBorder="1" applyAlignment="1">
      <alignment horizontal="center"/>
    </xf>
    <xf numFmtId="165" fontId="155" fillId="0" borderId="0" xfId="2" quotePrefix="1" applyFont="1" applyFill="1" applyAlignment="1">
      <alignment horizontal="center" vertical="center"/>
    </xf>
    <xf numFmtId="165" fontId="185" fillId="0" borderId="0" xfId="2" applyFont="1" applyFill="1" applyAlignment="1">
      <alignment horizontal="center" vertical="center"/>
    </xf>
    <xf numFmtId="165" fontId="155" fillId="0" borderId="0" xfId="2" quotePrefix="1" applyFont="1" applyFill="1" applyAlignment="1" applyProtection="1">
      <alignment horizontal="center" vertical="center"/>
      <protection locked="0"/>
    </xf>
    <xf numFmtId="165" fontId="155" fillId="0" borderId="0" xfId="2" applyFont="1" applyFill="1" applyAlignment="1" applyProtection="1">
      <alignment horizontal="center" vertical="center"/>
      <protection locked="0"/>
    </xf>
    <xf numFmtId="165" fontId="158" fillId="29" borderId="21" xfId="2" applyFont="1" applyFill="1" applyBorder="1" applyAlignment="1">
      <alignment horizontal="center" vertical="center"/>
    </xf>
    <xf numFmtId="165" fontId="159" fillId="29" borderId="21" xfId="2" applyFont="1" applyFill="1" applyBorder="1" applyAlignment="1">
      <alignment horizontal="center" vertical="center"/>
    </xf>
    <xf numFmtId="165" fontId="159" fillId="29" borderId="77" xfId="2" applyFont="1" applyFill="1" applyBorder="1" applyAlignment="1">
      <alignment horizontal="center" vertical="center"/>
    </xf>
    <xf numFmtId="165" fontId="29" fillId="28" borderId="12" xfId="2" applyFont="1" applyFill="1" applyBorder="1" applyAlignment="1">
      <alignment horizontal="center" vertical="center" textRotation="45" wrapText="1"/>
    </xf>
    <xf numFmtId="165" fontId="148" fillId="28" borderId="12" xfId="2" applyFont="1" applyFill="1" applyBorder="1" applyAlignment="1">
      <alignment horizontal="center" vertical="center" wrapText="1"/>
    </xf>
    <xf numFmtId="166" fontId="5" fillId="28" borderId="12" xfId="3" applyFont="1" applyFill="1" applyBorder="1" applyAlignment="1">
      <alignment horizontal="center" vertical="center"/>
    </xf>
    <xf numFmtId="165" fontId="155" fillId="0" borderId="44" xfId="2" applyFont="1" applyFill="1" applyBorder="1" applyAlignment="1">
      <alignment horizontal="center" vertical="center"/>
    </xf>
    <xf numFmtId="165" fontId="185" fillId="0" borderId="44" xfId="2" applyFont="1" applyFill="1" applyBorder="1" applyAlignment="1">
      <alignment horizontal="center" vertical="center"/>
    </xf>
    <xf numFmtId="165" fontId="4" fillId="28" borderId="12" xfId="2" applyFont="1" applyFill="1" applyBorder="1" applyAlignment="1">
      <alignment horizontal="center" vertical="center" textRotation="45" wrapText="1"/>
    </xf>
    <xf numFmtId="0" fontId="30" fillId="0" borderId="0" xfId="0" applyFont="1" applyAlignment="1">
      <alignment horizontal="left"/>
    </xf>
    <xf numFmtId="49" fontId="5" fillId="0" borderId="0" xfId="0" applyNumberFormat="1" applyFont="1" applyAlignment="1">
      <alignment horizontal="left"/>
    </xf>
    <xf numFmtId="0" fontId="146" fillId="0" borderId="0" xfId="0" applyFont="1" applyAlignment="1">
      <alignment horizontal="left" vertical="justify"/>
    </xf>
    <xf numFmtId="166" fontId="5" fillId="28" borderId="12" xfId="3" applyFont="1" applyFill="1" applyBorder="1" applyAlignment="1">
      <alignment horizontal="center" textRotation="45" wrapText="1"/>
    </xf>
    <xf numFmtId="166" fontId="5" fillId="28" borderId="12" xfId="3" applyFont="1" applyFill="1" applyBorder="1" applyAlignment="1">
      <alignment horizontal="center" textRotation="42" wrapText="1"/>
    </xf>
    <xf numFmtId="166" fontId="49" fillId="28" borderId="12" xfId="3" applyFont="1" applyFill="1" applyBorder="1" applyAlignment="1" applyProtection="1">
      <alignment horizontal="center" vertical="center" textRotation="44" wrapText="1"/>
      <protection locked="0" hidden="1"/>
    </xf>
    <xf numFmtId="0" fontId="7" fillId="2" borderId="0" xfId="0" applyFont="1" applyFill="1" applyAlignment="1">
      <alignment horizontal="center"/>
    </xf>
    <xf numFmtId="0" fontId="21" fillId="0" borderId="0" xfId="0" applyFont="1" applyAlignment="1">
      <alignment horizontal="center"/>
    </xf>
    <xf numFmtId="49" fontId="5" fillId="2" borderId="0" xfId="0" applyNumberFormat="1" applyFont="1" applyFill="1" applyAlignment="1">
      <alignment horizontal="justify"/>
    </xf>
    <xf numFmtId="49" fontId="30" fillId="0" borderId="0" xfId="0" applyNumberFormat="1" applyFont="1" applyAlignment="1">
      <alignment horizontal="justify"/>
    </xf>
    <xf numFmtId="0" fontId="157" fillId="0" borderId="0" xfId="0" applyFont="1" applyAlignment="1">
      <alignment horizontal="center" vertical="center"/>
    </xf>
    <xf numFmtId="0" fontId="157" fillId="0" borderId="198" xfId="0" applyFont="1" applyBorder="1" applyAlignment="1">
      <alignment horizontal="center" vertical="center"/>
    </xf>
    <xf numFmtId="169" fontId="173" fillId="29" borderId="117" xfId="0" applyNumberFormat="1" applyFont="1" applyFill="1" applyBorder="1" applyAlignment="1">
      <alignment horizontal="center"/>
    </xf>
    <xf numFmtId="0" fontId="173" fillId="29" borderId="118" xfId="0" applyFont="1" applyFill="1" applyBorder="1" applyAlignment="1">
      <alignment horizontal="center"/>
    </xf>
    <xf numFmtId="169" fontId="173" fillId="0" borderId="105" xfId="0" applyNumberFormat="1" applyFont="1" applyBorder="1" applyAlignment="1">
      <alignment horizontal="center"/>
    </xf>
    <xf numFmtId="169" fontId="173" fillId="0" borderId="110" xfId="0" applyNumberFormat="1" applyFont="1" applyBorder="1" applyAlignment="1">
      <alignment horizontal="center"/>
    </xf>
    <xf numFmtId="166" fontId="173" fillId="0" borderId="100" xfId="3" applyFont="1" applyFill="1" applyBorder="1" applyAlignment="1">
      <alignment horizontal="center"/>
    </xf>
    <xf numFmtId="166" fontId="173" fillId="0" borderId="111" xfId="3" applyFont="1" applyFill="1" applyBorder="1" applyAlignment="1">
      <alignment horizontal="center"/>
    </xf>
    <xf numFmtId="166" fontId="173" fillId="0" borderId="102" xfId="3" applyFont="1" applyFill="1" applyBorder="1" applyAlignment="1">
      <alignment horizontal="center"/>
    </xf>
    <xf numFmtId="166" fontId="173" fillId="0" borderId="129" xfId="3" applyFont="1" applyFill="1" applyBorder="1" applyAlignment="1">
      <alignment horizontal="left"/>
    </xf>
    <xf numFmtId="166" fontId="173" fillId="0" borderId="0" xfId="3" applyFont="1" applyFill="1" applyBorder="1" applyAlignment="1">
      <alignment horizontal="left"/>
    </xf>
    <xf numFmtId="166" fontId="173" fillId="0" borderId="128" xfId="3" applyFont="1" applyFill="1" applyBorder="1" applyAlignment="1">
      <alignment horizontal="left"/>
    </xf>
    <xf numFmtId="166" fontId="173" fillId="0" borderId="0" xfId="3" applyFont="1" applyFill="1" applyBorder="1" applyAlignment="1">
      <alignment horizontal="center"/>
    </xf>
    <xf numFmtId="166" fontId="173" fillId="0" borderId="122" xfId="3" applyFont="1" applyFill="1" applyBorder="1" applyAlignment="1">
      <alignment horizontal="center"/>
    </xf>
    <xf numFmtId="169" fontId="173" fillId="0" borderId="100" xfId="0" applyNumberFormat="1" applyFont="1" applyBorder="1" applyAlignment="1">
      <alignment horizontal="center"/>
    </xf>
    <xf numFmtId="0" fontId="173" fillId="0" borderId="111" xfId="0" applyFont="1" applyBorder="1" applyAlignment="1">
      <alignment horizontal="center"/>
    </xf>
    <xf numFmtId="169" fontId="173" fillId="0" borderId="102" xfId="0" applyNumberFormat="1" applyFont="1" applyBorder="1" applyAlignment="1">
      <alignment horizontal="center"/>
    </xf>
    <xf numFmtId="0" fontId="173" fillId="0" borderId="127" xfId="0" applyFont="1" applyBorder="1" applyAlignment="1">
      <alignment horizontal="left"/>
    </xf>
    <xf numFmtId="0" fontId="173" fillId="0" borderId="105" xfId="0" applyFont="1" applyBorder="1" applyAlignment="1">
      <alignment horizontal="left"/>
    </xf>
    <xf numFmtId="0" fontId="173" fillId="0" borderId="104" xfId="0" applyFont="1" applyBorder="1" applyAlignment="1">
      <alignment horizontal="left"/>
    </xf>
    <xf numFmtId="0" fontId="140" fillId="0" borderId="0" xfId="0" quotePrefix="1" applyFont="1" applyAlignment="1">
      <alignment horizontal="center"/>
    </xf>
    <xf numFmtId="0" fontId="157" fillId="0" borderId="0" xfId="0" quotePrefix="1" applyFont="1" applyAlignment="1">
      <alignment horizontal="center"/>
    </xf>
    <xf numFmtId="0" fontId="157" fillId="0" borderId="0" xfId="0" applyFont="1" applyAlignment="1">
      <alignment horizontal="center"/>
    </xf>
    <xf numFmtId="169" fontId="64" fillId="0" borderId="99" xfId="0" applyNumberFormat="1" applyFont="1" applyBorder="1" applyAlignment="1">
      <alignment horizontal="center"/>
    </xf>
    <xf numFmtId="0" fontId="64" fillId="0" borderId="101" xfId="0" applyFont="1" applyBorder="1" applyAlignment="1">
      <alignment horizontal="center"/>
    </xf>
    <xf numFmtId="0" fontId="68" fillId="28" borderId="133" xfId="0" applyFont="1" applyFill="1" applyBorder="1" applyAlignment="1">
      <alignment horizontal="center" vertical="center"/>
    </xf>
    <xf numFmtId="0" fontId="68" fillId="28" borderId="184" xfId="0" applyFont="1" applyFill="1" applyBorder="1" applyAlignment="1">
      <alignment horizontal="center" vertical="center"/>
    </xf>
    <xf numFmtId="0" fontId="65" fillId="29" borderId="152" xfId="0" applyFont="1" applyFill="1" applyBorder="1" applyAlignment="1" applyProtection="1">
      <alignment horizontal="center" vertical="center" textRotation="90" wrapText="1"/>
      <protection locked="0" hidden="1"/>
    </xf>
    <xf numFmtId="0" fontId="64" fillId="29" borderId="169" xfId="0" applyFont="1" applyFill="1" applyBorder="1"/>
    <xf numFmtId="169" fontId="173" fillId="29" borderId="124" xfId="0" applyNumberFormat="1" applyFont="1" applyFill="1" applyBorder="1" applyAlignment="1">
      <alignment horizontal="center"/>
    </xf>
    <xf numFmtId="169" fontId="173" fillId="29" borderId="116" xfId="0" applyNumberFormat="1" applyFont="1" applyFill="1" applyBorder="1" applyAlignment="1">
      <alignment horizontal="center"/>
    </xf>
    <xf numFmtId="169" fontId="173" fillId="29" borderId="119" xfId="0" applyNumberFormat="1" applyFont="1" applyFill="1" applyBorder="1" applyAlignment="1">
      <alignment horizontal="center"/>
    </xf>
    <xf numFmtId="0" fontId="173" fillId="29" borderId="120" xfId="0" applyFont="1" applyFill="1" applyBorder="1" applyAlignment="1">
      <alignment horizontal="left"/>
    </xf>
    <xf numFmtId="0" fontId="173" fillId="29" borderId="121" xfId="0" applyFont="1" applyFill="1" applyBorder="1" applyAlignment="1">
      <alignment horizontal="left"/>
    </xf>
    <xf numFmtId="0" fontId="173" fillId="29" borderId="123" xfId="0" applyFont="1" applyFill="1" applyBorder="1" applyAlignment="1">
      <alignment horizontal="left"/>
    </xf>
    <xf numFmtId="169" fontId="64" fillId="15" borderId="189" xfId="0" applyNumberFormat="1" applyFont="1" applyFill="1" applyBorder="1" applyAlignment="1">
      <alignment horizontal="center"/>
    </xf>
    <xf numFmtId="169" fontId="64" fillId="15" borderId="116" xfId="0" applyNumberFormat="1" applyFont="1" applyFill="1" applyBorder="1" applyAlignment="1">
      <alignment horizontal="center"/>
    </xf>
    <xf numFmtId="169" fontId="64" fillId="0" borderId="190" xfId="0" applyNumberFormat="1" applyFont="1" applyBorder="1" applyAlignment="1">
      <alignment horizontal="center"/>
    </xf>
    <xf numFmtId="169" fontId="64" fillId="0" borderId="110" xfId="0" applyNumberFormat="1" applyFont="1" applyBorder="1" applyAlignment="1">
      <alignment horizontal="center"/>
    </xf>
    <xf numFmtId="169" fontId="64" fillId="0" borderId="188" xfId="0" applyNumberFormat="1" applyFont="1" applyBorder="1" applyAlignment="1">
      <alignment horizontal="center"/>
    </xf>
    <xf numFmtId="0" fontId="65" fillId="15" borderId="160" xfId="0" applyFont="1" applyFill="1" applyBorder="1" applyAlignment="1" applyProtection="1">
      <alignment horizontal="center" vertical="center" textRotation="90" wrapText="1"/>
      <protection locked="0" hidden="1"/>
    </xf>
    <xf numFmtId="0" fontId="65" fillId="15" borderId="196" xfId="0" applyFont="1" applyFill="1" applyBorder="1" applyAlignment="1" applyProtection="1">
      <alignment horizontal="center" vertical="center" textRotation="90" wrapText="1"/>
      <protection locked="0" hidden="1"/>
    </xf>
    <xf numFmtId="0" fontId="60" fillId="15" borderId="120" xfId="0" applyFont="1" applyFill="1" applyBorder="1" applyAlignment="1">
      <alignment horizontal="left"/>
    </xf>
    <xf numFmtId="0" fontId="60" fillId="15" borderId="121" xfId="0" applyFont="1" applyFill="1" applyBorder="1" applyAlignment="1">
      <alignment horizontal="left"/>
    </xf>
    <xf numFmtId="0" fontId="60" fillId="15" borderId="123" xfId="0" applyFont="1" applyFill="1" applyBorder="1" applyAlignment="1">
      <alignment horizontal="left"/>
    </xf>
    <xf numFmtId="0" fontId="182" fillId="0" borderId="0" xfId="0" quotePrefix="1" applyFont="1" applyAlignment="1">
      <alignment horizontal="center"/>
    </xf>
    <xf numFmtId="0" fontId="183" fillId="0" borderId="198" xfId="0" applyFont="1" applyBorder="1" applyAlignment="1">
      <alignment horizontal="center" vertical="center"/>
    </xf>
    <xf numFmtId="0" fontId="68" fillId="17" borderId="167" xfId="0" applyFont="1" applyFill="1" applyBorder="1" applyAlignment="1">
      <alignment horizontal="center" vertical="center"/>
    </xf>
    <xf numFmtId="0" fontId="68" fillId="17" borderId="184" xfId="0" applyFont="1" applyFill="1" applyBorder="1" applyAlignment="1">
      <alignment horizontal="center" vertical="center"/>
    </xf>
    <xf numFmtId="0" fontId="68" fillId="17" borderId="197" xfId="0" applyFont="1" applyFill="1" applyBorder="1" applyAlignment="1">
      <alignment horizontal="center" vertical="center"/>
    </xf>
    <xf numFmtId="0" fontId="182" fillId="0" borderId="0" xfId="0" applyFont="1" applyAlignment="1">
      <alignment horizontal="center"/>
    </xf>
    <xf numFmtId="166" fontId="64" fillId="0" borderId="191" xfId="3" applyFont="1" applyFill="1" applyBorder="1" applyAlignment="1">
      <alignment horizontal="center"/>
    </xf>
    <xf numFmtId="166" fontId="64" fillId="0" borderId="192" xfId="3" applyFont="1" applyFill="1" applyBorder="1" applyAlignment="1">
      <alignment horizontal="center"/>
    </xf>
    <xf numFmtId="166" fontId="60" fillId="0" borderId="193" xfId="3" applyFont="1" applyFill="1" applyBorder="1" applyAlignment="1">
      <alignment horizontal="left"/>
    </xf>
    <xf numFmtId="166" fontId="60" fillId="0" borderId="194" xfId="3" applyFont="1" applyFill="1" applyBorder="1" applyAlignment="1">
      <alignment horizontal="left"/>
    </xf>
    <xf numFmtId="166" fontId="60" fillId="0" borderId="195" xfId="3" applyFont="1" applyFill="1" applyBorder="1" applyAlignment="1">
      <alignment horizontal="left"/>
    </xf>
    <xf numFmtId="0" fontId="60" fillId="0" borderId="127" xfId="0" applyFont="1" applyBorder="1" applyAlignment="1">
      <alignment horizontal="left"/>
    </xf>
    <xf numFmtId="0" fontId="60" fillId="0" borderId="105" xfId="0" applyFont="1" applyBorder="1" applyAlignment="1">
      <alignment horizontal="left"/>
    </xf>
    <xf numFmtId="0" fontId="60" fillId="0" borderId="104" xfId="0" applyFont="1" applyBorder="1" applyAlignment="1">
      <alignment horizontal="left"/>
    </xf>
    <xf numFmtId="0" fontId="4" fillId="0" borderId="61" xfId="0" applyFont="1" applyBorder="1" applyAlignment="1">
      <alignment horizontal="left"/>
    </xf>
    <xf numFmtId="0" fontId="16" fillId="0" borderId="36" xfId="0" applyFont="1" applyBorder="1" applyAlignment="1">
      <alignment horizontal="left"/>
    </xf>
    <xf numFmtId="0" fontId="16" fillId="0" borderId="63" xfId="0" applyFont="1" applyBorder="1" applyAlignment="1">
      <alignment horizontal="left"/>
    </xf>
    <xf numFmtId="0" fontId="16" fillId="0" borderId="61" xfId="0" applyFont="1" applyBorder="1" applyAlignment="1">
      <alignment horizontal="center"/>
    </xf>
    <xf numFmtId="0" fontId="16" fillId="0" borderId="36" xfId="0" applyFont="1" applyBorder="1" applyAlignment="1">
      <alignment horizontal="center"/>
    </xf>
    <xf numFmtId="0" fontId="16" fillId="0" borderId="63" xfId="0" applyFont="1" applyBorder="1" applyAlignment="1">
      <alignment horizontal="center"/>
    </xf>
    <xf numFmtId="0" fontId="22" fillId="29" borderId="21" xfId="0" applyFont="1" applyFill="1" applyBorder="1" applyAlignment="1">
      <alignment horizontal="center" vertical="center"/>
    </xf>
    <xf numFmtId="0" fontId="22" fillId="29" borderId="34" xfId="0" applyFont="1" applyFill="1" applyBorder="1" applyAlignment="1">
      <alignment horizontal="center" vertical="center"/>
    </xf>
    <xf numFmtId="0" fontId="53" fillId="28" borderId="77" xfId="0" applyFont="1" applyFill="1" applyBorder="1" applyAlignment="1">
      <alignment horizontal="center" vertical="center" wrapText="1"/>
    </xf>
    <xf numFmtId="0" fontId="53" fillId="28" borderId="62" xfId="0" applyFont="1" applyFill="1" applyBorder="1" applyAlignment="1">
      <alignment horizontal="center" vertical="center" wrapText="1"/>
    </xf>
    <xf numFmtId="0" fontId="22" fillId="28" borderId="12" xfId="0" applyFont="1" applyFill="1" applyBorder="1" applyAlignment="1">
      <alignment horizontal="center"/>
    </xf>
    <xf numFmtId="0" fontId="26" fillId="28" borderId="21" xfId="0" applyFont="1" applyFill="1" applyBorder="1" applyAlignment="1">
      <alignment horizontal="center" vertical="center" wrapText="1"/>
    </xf>
    <xf numFmtId="0" fontId="26" fillId="28" borderId="34" xfId="0" applyFont="1" applyFill="1" applyBorder="1" applyAlignment="1">
      <alignment horizontal="center" vertical="center" wrapText="1"/>
    </xf>
    <xf numFmtId="0" fontId="22" fillId="28" borderId="12" xfId="0" applyFont="1" applyFill="1" applyBorder="1" applyAlignment="1">
      <alignment horizontal="center" vertical="center" wrapText="1"/>
    </xf>
    <xf numFmtId="0" fontId="22" fillId="28" borderId="21" xfId="0" applyFont="1" applyFill="1" applyBorder="1" applyAlignment="1">
      <alignment horizontal="center" vertical="top" wrapText="1"/>
    </xf>
    <xf numFmtId="0" fontId="22" fillId="28" borderId="34" xfId="0" applyFont="1" applyFill="1" applyBorder="1" applyAlignment="1">
      <alignment horizontal="center" vertical="top" wrapText="1"/>
    </xf>
    <xf numFmtId="0" fontId="22" fillId="29" borderId="12" xfId="0" applyFont="1" applyFill="1" applyBorder="1" applyAlignment="1">
      <alignment horizontal="center" vertical="center"/>
    </xf>
    <xf numFmtId="0" fontId="22" fillId="28" borderId="21" xfId="0" applyFont="1" applyFill="1" applyBorder="1" applyAlignment="1">
      <alignment horizontal="center" vertical="center" wrapText="1"/>
    </xf>
    <xf numFmtId="0" fontId="22" fillId="28" borderId="34" xfId="0" applyFont="1" applyFill="1" applyBorder="1" applyAlignment="1">
      <alignment horizontal="center" vertical="center" wrapText="1"/>
    </xf>
    <xf numFmtId="0" fontId="16" fillId="0" borderId="61" xfId="0" applyFont="1" applyBorder="1" applyAlignment="1">
      <alignment horizontal="justify" vertical="center" wrapText="1"/>
    </xf>
    <xf numFmtId="0" fontId="16" fillId="0" borderId="63" xfId="0" applyFont="1" applyBorder="1" applyAlignment="1">
      <alignment horizontal="justify" vertical="center" wrapText="1"/>
    </xf>
    <xf numFmtId="0" fontId="16" fillId="28" borderId="12" xfId="0" applyFont="1" applyFill="1" applyBorder="1" applyAlignment="1">
      <alignment horizontal="center" vertical="center"/>
    </xf>
    <xf numFmtId="0" fontId="22" fillId="28" borderId="12" xfId="0" applyFont="1" applyFill="1" applyBorder="1" applyAlignment="1">
      <alignment horizontal="center" vertical="center"/>
    </xf>
    <xf numFmtId="0" fontId="22" fillId="28" borderId="21" xfId="0" applyFont="1" applyFill="1" applyBorder="1" applyAlignment="1">
      <alignment horizontal="center" vertical="center"/>
    </xf>
    <xf numFmtId="0" fontId="22" fillId="28" borderId="34" xfId="0" applyFont="1" applyFill="1" applyBorder="1" applyAlignment="1">
      <alignment horizontal="center" vertical="center"/>
    </xf>
    <xf numFmtId="0" fontId="16" fillId="29" borderId="12" xfId="0" applyFont="1" applyFill="1" applyBorder="1" applyAlignment="1">
      <alignment horizontal="center"/>
    </xf>
    <xf numFmtId="0" fontId="22" fillId="29" borderId="12" xfId="0" applyFont="1" applyFill="1" applyBorder="1" applyAlignment="1">
      <alignment horizontal="center" vertical="center" wrapText="1"/>
    </xf>
    <xf numFmtId="0" fontId="16" fillId="29" borderId="12" xfId="0" applyFont="1" applyFill="1" applyBorder="1" applyAlignment="1">
      <alignment horizontal="center" vertical="center" wrapText="1"/>
    </xf>
    <xf numFmtId="0" fontId="22" fillId="29" borderId="21" xfId="0" applyFont="1" applyFill="1" applyBorder="1" applyAlignment="1">
      <alignment horizontal="center" vertical="center" wrapText="1"/>
    </xf>
    <xf numFmtId="0" fontId="22" fillId="29" borderId="34" xfId="0" applyFont="1" applyFill="1" applyBorder="1" applyAlignment="1">
      <alignment horizontal="center" vertical="center" wrapText="1"/>
    </xf>
    <xf numFmtId="0" fontId="22" fillId="28" borderId="61" xfId="0" applyFont="1" applyFill="1" applyBorder="1" applyAlignment="1">
      <alignment horizontal="center" vertical="center" wrapText="1"/>
    </xf>
    <xf numFmtId="0" fontId="22" fillId="28" borderId="36" xfId="0" applyFont="1" applyFill="1" applyBorder="1" applyAlignment="1">
      <alignment horizontal="center" vertical="center" wrapText="1"/>
    </xf>
    <xf numFmtId="0" fontId="22" fillId="28" borderId="63" xfId="0" applyFont="1" applyFill="1" applyBorder="1" applyAlignment="1">
      <alignment horizontal="center" vertical="center" wrapText="1"/>
    </xf>
    <xf numFmtId="166" fontId="22" fillId="0" borderId="80" xfId="3" applyFont="1" applyFill="1" applyBorder="1" applyAlignment="1">
      <alignment horizontal="center"/>
    </xf>
    <xf numFmtId="166" fontId="22" fillId="0" borderId="78" xfId="3" applyFont="1" applyFill="1" applyBorder="1" applyAlignment="1">
      <alignment horizontal="center"/>
    </xf>
    <xf numFmtId="49" fontId="16" fillId="4" borderId="62" xfId="4" applyNumberFormat="1" applyFill="1" applyBorder="1" applyAlignment="1">
      <alignment horizontal="center"/>
    </xf>
    <xf numFmtId="49" fontId="16" fillId="4" borderId="44" xfId="4" applyNumberFormat="1" applyFill="1" applyBorder="1" applyAlignment="1">
      <alignment horizontal="center"/>
    </xf>
    <xf numFmtId="49" fontId="16" fillId="4" borderId="44" xfId="4" applyNumberFormat="1" applyFill="1" applyBorder="1" applyAlignment="1">
      <alignment horizontal="left" wrapText="1"/>
    </xf>
    <xf numFmtId="0" fontId="16" fillId="0" borderId="58" xfId="0" applyFont="1" applyBorder="1" applyAlignment="1">
      <alignment horizontal="center"/>
    </xf>
    <xf numFmtId="0" fontId="16" fillId="0" borderId="0" xfId="0" applyFont="1" applyAlignment="1">
      <alignment horizontal="center"/>
    </xf>
    <xf numFmtId="166" fontId="16" fillId="0" borderId="58" xfId="3" applyFont="1" applyFill="1" applyBorder="1" applyAlignment="1">
      <alignment horizontal="center"/>
    </xf>
    <xf numFmtId="166" fontId="16" fillId="0" borderId="0" xfId="3" applyFont="1" applyFill="1" applyBorder="1" applyAlignment="1">
      <alignment horizontal="center"/>
    </xf>
    <xf numFmtId="0" fontId="16" fillId="0" borderId="0" xfId="0" applyFont="1" applyAlignment="1">
      <alignment horizontal="left"/>
    </xf>
    <xf numFmtId="0" fontId="17" fillId="0" borderId="61" xfId="0" applyFont="1" applyBorder="1" applyAlignment="1">
      <alignment horizontal="center"/>
    </xf>
    <xf numFmtId="0" fontId="17" fillId="0" borderId="36" xfId="0" applyFont="1" applyBorder="1" applyAlignment="1">
      <alignment horizontal="center"/>
    </xf>
    <xf numFmtId="0" fontId="17" fillId="0" borderId="63" xfId="0" applyFont="1" applyBorder="1" applyAlignment="1">
      <alignment horizontal="center"/>
    </xf>
    <xf numFmtId="0" fontId="53" fillId="9" borderId="12" xfId="0" applyFont="1" applyFill="1" applyBorder="1" applyAlignment="1">
      <alignment horizontal="center" vertical="center" wrapText="1"/>
    </xf>
    <xf numFmtId="0" fontId="16" fillId="28" borderId="61" xfId="0" applyFont="1" applyFill="1" applyBorder="1" applyAlignment="1">
      <alignment horizontal="center"/>
    </xf>
    <xf numFmtId="0" fontId="16" fillId="28" borderId="36" xfId="0" applyFont="1" applyFill="1" applyBorder="1" applyAlignment="1">
      <alignment horizontal="center"/>
    </xf>
    <xf numFmtId="0" fontId="17" fillId="28" borderId="58" xfId="0" applyFont="1" applyFill="1" applyBorder="1" applyAlignment="1">
      <alignment horizontal="center"/>
    </xf>
    <xf numFmtId="0" fontId="17" fillId="28" borderId="0" xfId="0" applyFont="1" applyFill="1" applyAlignment="1">
      <alignment horizontal="center"/>
    </xf>
    <xf numFmtId="0" fontId="17" fillId="28" borderId="60" xfId="0" applyFont="1" applyFill="1" applyBorder="1" applyAlignment="1">
      <alignment horizontal="center"/>
    </xf>
    <xf numFmtId="0" fontId="17" fillId="28" borderId="77" xfId="0" applyFont="1" applyFill="1" applyBorder="1" applyAlignment="1">
      <alignment horizontal="center"/>
    </xf>
    <xf numFmtId="0" fontId="17" fillId="28" borderId="37" xfId="0" applyFont="1" applyFill="1" applyBorder="1" applyAlignment="1">
      <alignment horizontal="center"/>
    </xf>
    <xf numFmtId="0" fontId="17" fillId="28" borderId="49" xfId="0" applyFont="1" applyFill="1" applyBorder="1" applyAlignment="1">
      <alignment horizontal="center"/>
    </xf>
    <xf numFmtId="166" fontId="17" fillId="28" borderId="58" xfId="3" applyFont="1" applyFill="1" applyBorder="1" applyAlignment="1">
      <alignment horizontal="center"/>
    </xf>
    <xf numFmtId="166" fontId="17" fillId="28" borderId="0" xfId="3" applyFont="1" applyFill="1" applyBorder="1" applyAlignment="1">
      <alignment horizontal="center"/>
    </xf>
    <xf numFmtId="166" fontId="17" fillId="28" borderId="60" xfId="3" applyFont="1" applyFill="1" applyBorder="1" applyAlignment="1">
      <alignment horizontal="center"/>
    </xf>
    <xf numFmtId="0" fontId="27" fillId="0" borderId="12" xfId="0" applyFont="1" applyBorder="1" applyAlignment="1">
      <alignment horizontal="center" vertical="center"/>
    </xf>
    <xf numFmtId="0" fontId="4" fillId="0" borderId="12" xfId="0" applyFont="1" applyBorder="1" applyAlignment="1">
      <alignment horizontal="justify" vertical="center" wrapText="1"/>
    </xf>
    <xf numFmtId="0" fontId="16" fillId="0" borderId="12" xfId="0" applyFont="1" applyBorder="1" applyAlignment="1">
      <alignment horizontal="justify" vertical="center" wrapText="1"/>
    </xf>
    <xf numFmtId="0" fontId="16" fillId="0" borderId="12" xfId="0" applyFont="1" applyBorder="1" applyAlignment="1">
      <alignment horizontal="left"/>
    </xf>
    <xf numFmtId="0" fontId="18" fillId="28" borderId="12" xfId="0" applyFont="1" applyFill="1" applyBorder="1" applyAlignment="1">
      <alignment horizontal="center" vertical="center" wrapText="1"/>
    </xf>
    <xf numFmtId="0" fontId="18" fillId="2" borderId="0" xfId="0" quotePrefix="1" applyFont="1" applyFill="1" applyAlignment="1">
      <alignment horizontal="center"/>
    </xf>
    <xf numFmtId="0" fontId="18" fillId="2" borderId="0" xfId="0" applyFont="1" applyFill="1" applyAlignment="1">
      <alignment horizontal="center"/>
    </xf>
    <xf numFmtId="0" fontId="19" fillId="0" borderId="0" xfId="0" applyFont="1" applyAlignment="1">
      <alignment horizontal="center"/>
    </xf>
    <xf numFmtId="0" fontId="18" fillId="2" borderId="0" xfId="0" applyFont="1" applyFill="1" applyAlignment="1">
      <alignment horizontal="left"/>
    </xf>
    <xf numFmtId="0" fontId="19" fillId="0" borderId="0" xfId="0" applyFont="1" applyAlignment="1">
      <alignment horizontal="left"/>
    </xf>
    <xf numFmtId="0" fontId="161" fillId="18" borderId="0" xfId="0" applyFont="1" applyFill="1" applyAlignment="1">
      <alignment horizontal="center"/>
    </xf>
    <xf numFmtId="0" fontId="161" fillId="18" borderId="179" xfId="0" applyFont="1" applyFill="1" applyBorder="1" applyAlignment="1">
      <alignment horizontal="center"/>
    </xf>
    <xf numFmtId="0" fontId="26" fillId="29" borderId="77" xfId="0" applyFont="1" applyFill="1" applyBorder="1" applyAlignment="1">
      <alignment horizontal="center"/>
    </xf>
    <xf numFmtId="0" fontId="26" fillId="29" borderId="37" xfId="0" applyFont="1" applyFill="1" applyBorder="1" applyAlignment="1">
      <alignment horizontal="center"/>
    </xf>
    <xf numFmtId="0" fontId="26" fillId="29" borderId="35" xfId="0" applyFont="1" applyFill="1" applyBorder="1" applyAlignment="1">
      <alignment horizontal="center"/>
    </xf>
    <xf numFmtId="0" fontId="18" fillId="28" borderId="12" xfId="0" quotePrefix="1" applyFont="1" applyFill="1" applyBorder="1" applyAlignment="1">
      <alignment horizontal="left"/>
    </xf>
    <xf numFmtId="0" fontId="18" fillId="28" borderId="12" xfId="0" applyFont="1" applyFill="1" applyBorder="1" applyAlignment="1">
      <alignment horizontal="left"/>
    </xf>
    <xf numFmtId="0" fontId="5" fillId="28" borderId="12" xfId="0" applyFont="1" applyFill="1" applyBorder="1" applyAlignment="1">
      <alignment horizontal="center"/>
    </xf>
    <xf numFmtId="0" fontId="13" fillId="28" borderId="12" xfId="0" applyFont="1" applyFill="1" applyBorder="1" applyAlignment="1">
      <alignment horizontal="center" vertical="center" wrapText="1"/>
    </xf>
    <xf numFmtId="0" fontId="5" fillId="28" borderId="12" xfId="0" applyFont="1" applyFill="1" applyBorder="1" applyAlignment="1" applyProtection="1">
      <alignment horizontal="center" vertical="center" textRotation="90" wrapText="1"/>
      <protection locked="0" hidden="1"/>
    </xf>
    <xf numFmtId="0" fontId="26" fillId="29" borderId="61" xfId="0" applyFont="1" applyFill="1" applyBorder="1" applyAlignment="1">
      <alignment horizontal="center"/>
    </xf>
    <xf numFmtId="0" fontId="26" fillId="29" borderId="36" xfId="0" applyFont="1" applyFill="1" applyBorder="1" applyAlignment="1">
      <alignment horizontal="center"/>
    </xf>
    <xf numFmtId="0" fontId="26" fillId="29" borderId="63" xfId="0" applyFont="1" applyFill="1" applyBorder="1" applyAlignment="1">
      <alignment horizontal="center"/>
    </xf>
    <xf numFmtId="0" fontId="27" fillId="29" borderId="37" xfId="0" applyFont="1" applyFill="1" applyBorder="1" applyAlignment="1">
      <alignment horizontal="center"/>
    </xf>
    <xf numFmtId="0" fontId="27" fillId="29" borderId="49" xfId="0" applyFont="1" applyFill="1" applyBorder="1" applyAlignment="1">
      <alignment horizontal="center"/>
    </xf>
    <xf numFmtId="0" fontId="12" fillId="0" borderId="0" xfId="0" applyFont="1" applyAlignment="1">
      <alignment horizontal="center"/>
    </xf>
    <xf numFmtId="0" fontId="7" fillId="0" borderId="0" xfId="0" quotePrefix="1" applyFont="1" applyAlignment="1">
      <alignment horizontal="center"/>
    </xf>
    <xf numFmtId="0" fontId="7" fillId="0" borderId="0" xfId="0" applyFont="1" applyAlignment="1">
      <alignment horizontal="center"/>
    </xf>
    <xf numFmtId="0" fontId="18" fillId="0" borderId="0" xfId="0" applyFont="1" applyAlignment="1">
      <alignment horizontal="center"/>
    </xf>
    <xf numFmtId="0" fontId="49" fillId="28" borderId="12" xfId="0" applyFont="1" applyFill="1" applyBorder="1" applyAlignment="1">
      <alignment horizontal="center" vertical="center" wrapText="1"/>
    </xf>
    <xf numFmtId="0" fontId="7" fillId="28" borderId="12" xfId="0" quotePrefix="1" applyFont="1" applyFill="1" applyBorder="1" applyAlignment="1">
      <alignment horizontal="left"/>
    </xf>
    <xf numFmtId="0" fontId="7" fillId="28" borderId="12" xfId="0" applyFont="1" applyFill="1" applyBorder="1" applyAlignment="1">
      <alignment horizontal="left"/>
    </xf>
    <xf numFmtId="0" fontId="6" fillId="28" borderId="12" xfId="0" applyFont="1" applyFill="1" applyBorder="1" applyAlignment="1">
      <alignment horizontal="center"/>
    </xf>
    <xf numFmtId="0" fontId="7" fillId="28" borderId="12" xfId="0" applyFont="1" applyFill="1" applyBorder="1" applyAlignment="1">
      <alignment horizontal="center" vertical="center" wrapText="1"/>
    </xf>
    <xf numFmtId="0" fontId="7" fillId="28" borderId="12" xfId="0" applyFont="1" applyFill="1" applyBorder="1" applyAlignment="1" applyProtection="1">
      <alignment horizontal="center" vertical="center" textRotation="90" wrapText="1"/>
      <protection locked="0" hidden="1"/>
    </xf>
    <xf numFmtId="0" fontId="7" fillId="28" borderId="61" xfId="0" applyFont="1" applyFill="1" applyBorder="1" applyAlignment="1" applyProtection="1">
      <alignment horizontal="center" vertical="center" textRotation="90" wrapText="1"/>
      <protection locked="0" hidden="1"/>
    </xf>
    <xf numFmtId="44" fontId="148" fillId="28" borderId="0" xfId="0" applyNumberFormat="1" applyFont="1" applyFill="1" applyAlignment="1">
      <alignment horizontal="center"/>
    </xf>
    <xf numFmtId="0" fontId="49" fillId="28" borderId="12" xfId="0" quotePrefix="1" applyFont="1" applyFill="1" applyBorder="1" applyAlignment="1">
      <alignment horizontal="left"/>
    </xf>
    <xf numFmtId="0" fontId="49" fillId="28" borderId="12" xfId="0" applyFont="1" applyFill="1" applyBorder="1" applyAlignment="1">
      <alignment horizontal="left"/>
    </xf>
    <xf numFmtId="0" fontId="24" fillId="28" borderId="12" xfId="0" applyFont="1" applyFill="1" applyBorder="1" applyAlignment="1">
      <alignment horizontal="center" vertical="center" wrapText="1"/>
    </xf>
    <xf numFmtId="169" fontId="49" fillId="28" borderId="12" xfId="0" applyNumberFormat="1" applyFont="1" applyFill="1" applyBorder="1" applyAlignment="1" applyProtection="1">
      <alignment horizontal="center" vertical="center" textRotation="90" wrapText="1"/>
      <protection locked="0" hidden="1"/>
    </xf>
    <xf numFmtId="49" fontId="176" fillId="28" borderId="12" xfId="0" applyNumberFormat="1" applyFont="1" applyFill="1" applyBorder="1" applyAlignment="1">
      <alignment horizontal="center" wrapText="1"/>
    </xf>
    <xf numFmtId="0" fontId="49" fillId="17" borderId="12" xfId="0" applyFont="1" applyFill="1" applyBorder="1" applyAlignment="1">
      <alignment horizontal="center" vertical="center" wrapText="1"/>
    </xf>
    <xf numFmtId="0" fontId="49" fillId="17" borderId="12" xfId="0" quotePrefix="1" applyFont="1" applyFill="1" applyBorder="1" applyAlignment="1">
      <alignment horizontal="left"/>
    </xf>
    <xf numFmtId="0" fontId="49" fillId="17" borderId="12" xfId="0" applyFont="1" applyFill="1" applyBorder="1" applyAlignment="1">
      <alignment horizontal="left"/>
    </xf>
    <xf numFmtId="0" fontId="26" fillId="15" borderId="61" xfId="0" applyFont="1" applyFill="1" applyBorder="1" applyAlignment="1">
      <alignment horizontal="center"/>
    </xf>
    <xf numFmtId="0" fontId="26" fillId="15" borderId="36" xfId="0" applyFont="1" applyFill="1" applyBorder="1" applyAlignment="1">
      <alignment horizontal="center"/>
    </xf>
    <xf numFmtId="0" fontId="26" fillId="15" borderId="63" xfId="0" applyFont="1" applyFill="1" applyBorder="1" applyAlignment="1">
      <alignment horizontal="center"/>
    </xf>
    <xf numFmtId="4" fontId="145" fillId="29" borderId="12" xfId="1" applyNumberFormat="1" applyFont="1" applyFill="1" applyBorder="1" applyAlignment="1">
      <alignment horizontal="center" vertical="center"/>
    </xf>
    <xf numFmtId="0" fontId="26" fillId="0" borderId="61" xfId="0" applyFont="1" applyBorder="1" applyAlignment="1">
      <alignment horizontal="left"/>
    </xf>
    <xf numFmtId="0" fontId="26" fillId="0" borderId="36" xfId="0" applyFont="1" applyBorder="1" applyAlignment="1">
      <alignment horizontal="left"/>
    </xf>
    <xf numFmtId="0" fontId="26" fillId="0" borderId="63" xfId="0" applyFont="1" applyBorder="1" applyAlignment="1">
      <alignment horizontal="left"/>
    </xf>
    <xf numFmtId="0" fontId="11" fillId="0" borderId="36" xfId="0" applyFont="1" applyBorder="1" applyAlignment="1">
      <alignment horizontal="left"/>
    </xf>
    <xf numFmtId="0" fontId="11" fillId="0" borderId="63" xfId="0" applyFont="1" applyBorder="1" applyAlignment="1">
      <alignment horizontal="left"/>
    </xf>
    <xf numFmtId="0" fontId="49" fillId="0" borderId="0" xfId="0" quotePrefix="1" applyFont="1" applyAlignment="1">
      <alignment horizontal="center"/>
    </xf>
    <xf numFmtId="0" fontId="49" fillId="0" borderId="0" xfId="0" applyFont="1" applyAlignment="1">
      <alignment horizontal="center"/>
    </xf>
    <xf numFmtId="0" fontId="49" fillId="28" borderId="12" xfId="0" applyFont="1" applyFill="1" applyBorder="1" applyAlignment="1">
      <alignment horizontal="center"/>
    </xf>
    <xf numFmtId="0" fontId="22" fillId="29" borderId="61" xfId="0" applyFont="1" applyFill="1" applyBorder="1" applyAlignment="1">
      <alignment horizontal="center"/>
    </xf>
    <xf numFmtId="0" fontId="22" fillId="29" borderId="36" xfId="0" applyFont="1" applyFill="1" applyBorder="1" applyAlignment="1">
      <alignment horizontal="center"/>
    </xf>
    <xf numFmtId="0" fontId="22" fillId="29" borderId="63" xfId="0" applyFont="1" applyFill="1" applyBorder="1" applyAlignment="1">
      <alignment horizontal="center"/>
    </xf>
    <xf numFmtId="0" fontId="18" fillId="0" borderId="0" xfId="0" quotePrefix="1" applyFont="1" applyAlignment="1">
      <alignment horizontal="center"/>
    </xf>
    <xf numFmtId="0" fontId="49" fillId="28" borderId="12" xfId="0" applyFont="1" applyFill="1" applyBorder="1" applyAlignment="1">
      <alignment horizontal="center" wrapText="1"/>
    </xf>
    <xf numFmtId="49" fontId="5" fillId="0" borderId="0" xfId="0" applyNumberFormat="1" applyFont="1" applyAlignment="1">
      <alignment horizontal="justify"/>
    </xf>
    <xf numFmtId="0" fontId="7" fillId="0" borderId="12" xfId="0" applyFont="1" applyBorder="1" applyAlignment="1">
      <alignment horizontal="center"/>
    </xf>
    <xf numFmtId="0" fontId="6" fillId="0" borderId="12" xfId="0" applyFont="1" applyBorder="1" applyAlignment="1">
      <alignment horizontal="center"/>
    </xf>
    <xf numFmtId="0" fontId="7" fillId="0" borderId="12" xfId="0" applyFont="1" applyBorder="1" applyAlignment="1">
      <alignment horizontal="center" vertical="center" wrapText="1"/>
    </xf>
    <xf numFmtId="0" fontId="7" fillId="0" borderId="12" xfId="0" applyFont="1" applyBorder="1" applyAlignment="1" applyProtection="1">
      <alignment horizontal="center" vertical="center" textRotation="90" wrapText="1"/>
      <protection locked="0" hidden="1"/>
    </xf>
    <xf numFmtId="0" fontId="6" fillId="0" borderId="12" xfId="0" applyFont="1" applyBorder="1" applyAlignment="1">
      <alignment horizontal="center" vertical="center"/>
    </xf>
    <xf numFmtId="49" fontId="12" fillId="0" borderId="0" xfId="0" applyNumberFormat="1" applyFont="1" applyAlignment="1">
      <alignment horizontal="left"/>
    </xf>
    <xf numFmtId="0" fontId="147" fillId="0" borderId="181" xfId="0" applyFont="1" applyBorder="1" applyAlignment="1">
      <alignment horizontal="center" vertical="center" wrapText="1"/>
    </xf>
    <xf numFmtId="0" fontId="147" fillId="0" borderId="23" xfId="0" applyFont="1" applyBorder="1" applyAlignment="1">
      <alignment horizontal="center" vertical="center" wrapText="1"/>
    </xf>
    <xf numFmtId="0" fontId="147" fillId="0" borderId="27" xfId="0" applyFont="1" applyBorder="1" applyAlignment="1">
      <alignment horizontal="center" vertical="center" wrapText="1"/>
    </xf>
    <xf numFmtId="0" fontId="144" fillId="0" borderId="0" xfId="0" applyFont="1" applyAlignment="1">
      <alignment horizontal="left" vertical="justify"/>
    </xf>
    <xf numFmtId="166" fontId="103" fillId="0" borderId="0" xfId="3" applyFont="1" applyFill="1" applyBorder="1" applyAlignment="1">
      <alignment horizontal="center" vertical="center" wrapText="1"/>
    </xf>
    <xf numFmtId="0" fontId="103" fillId="28" borderId="12" xfId="0" applyFont="1" applyFill="1" applyBorder="1" applyAlignment="1">
      <alignment horizontal="center"/>
    </xf>
    <xf numFmtId="0" fontId="103" fillId="29" borderId="80" xfId="0" applyFont="1" applyFill="1" applyBorder="1" applyAlignment="1">
      <alignment horizontal="center"/>
    </xf>
    <xf numFmtId="0" fontId="103" fillId="29" borderId="86" xfId="0" applyFont="1" applyFill="1" applyBorder="1" applyAlignment="1">
      <alignment horizontal="center"/>
    </xf>
    <xf numFmtId="0" fontId="103" fillId="0" borderId="0" xfId="0" applyFont="1" applyAlignment="1">
      <alignment horizontal="center"/>
    </xf>
    <xf numFmtId="0" fontId="100" fillId="0" borderId="12" xfId="0" applyFont="1" applyBorder="1" applyAlignment="1">
      <alignment horizontal="left" vertical="top"/>
    </xf>
    <xf numFmtId="170" fontId="103" fillId="28" borderId="61" xfId="0" applyNumberFormat="1" applyFont="1" applyFill="1" applyBorder="1" applyAlignment="1">
      <alignment horizontal="left"/>
    </xf>
    <xf numFmtId="170" fontId="103" fillId="28" borderId="63" xfId="0" applyNumberFormat="1" applyFont="1" applyFill="1" applyBorder="1" applyAlignment="1">
      <alignment horizontal="left"/>
    </xf>
    <xf numFmtId="0" fontId="155" fillId="28" borderId="0" xfId="0" quotePrefix="1" applyFont="1" applyFill="1" applyAlignment="1">
      <alignment horizontal="center" vertical="center"/>
    </xf>
    <xf numFmtId="0" fontId="155" fillId="28" borderId="0" xfId="0" applyFont="1" applyFill="1" applyAlignment="1">
      <alignment horizontal="center" vertical="center"/>
    </xf>
    <xf numFmtId="0" fontId="193" fillId="29" borderId="30" xfId="0" quotePrefix="1" applyFont="1" applyFill="1" applyBorder="1" applyAlignment="1">
      <alignment horizontal="center" vertical="center"/>
    </xf>
    <xf numFmtId="0" fontId="193" fillId="29" borderId="32" xfId="0" applyFont="1" applyFill="1" applyBorder="1" applyAlignment="1">
      <alignment horizontal="center" vertical="center"/>
    </xf>
    <xf numFmtId="0" fontId="100" fillId="0" borderId="12" xfId="0" quotePrefix="1" applyFont="1" applyBorder="1" applyAlignment="1">
      <alignment horizontal="left"/>
    </xf>
    <xf numFmtId="0" fontId="100" fillId="0" borderId="12" xfId="0" applyFont="1" applyBorder="1" applyAlignment="1">
      <alignment horizontal="left"/>
    </xf>
    <xf numFmtId="170" fontId="100" fillId="0" borderId="12" xfId="0" quotePrefix="1" applyNumberFormat="1" applyFont="1" applyBorder="1" applyAlignment="1">
      <alignment horizontal="left"/>
    </xf>
    <xf numFmtId="170" fontId="106" fillId="0" borderId="12" xfId="0" applyNumberFormat="1" applyFont="1" applyBorder="1" applyAlignment="1">
      <alignment horizontal="left"/>
    </xf>
    <xf numFmtId="0" fontId="100" fillId="0" borderId="21" xfId="0" applyFont="1" applyBorder="1" applyAlignment="1">
      <alignment horizontal="left"/>
    </xf>
    <xf numFmtId="170" fontId="104" fillId="28" borderId="62" xfId="0" quotePrefix="1" applyNumberFormat="1" applyFont="1" applyFill="1" applyBorder="1"/>
    <xf numFmtId="170" fontId="104" fillId="28" borderId="67" xfId="0" applyNumberFormat="1" applyFont="1" applyFill="1" applyBorder="1"/>
    <xf numFmtId="170" fontId="100" fillId="0" borderId="0" xfId="0" applyNumberFormat="1" applyFont="1" applyAlignment="1">
      <alignment horizontal="left"/>
    </xf>
    <xf numFmtId="170" fontId="100" fillId="0" borderId="60" xfId="0" applyNumberFormat="1" applyFont="1" applyBorder="1" applyAlignment="1">
      <alignment horizontal="left"/>
    </xf>
    <xf numFmtId="170" fontId="100" fillId="0" borderId="12" xfId="0" applyNumberFormat="1" applyFont="1" applyBorder="1" applyAlignment="1">
      <alignment horizontal="left"/>
    </xf>
    <xf numFmtId="0" fontId="100" fillId="0" borderId="12" xfId="0" applyFont="1" applyBorder="1" applyAlignment="1">
      <alignment horizontal="center"/>
    </xf>
    <xf numFmtId="0" fontId="150" fillId="0" borderId="0" xfId="0" quotePrefix="1" applyFont="1" applyAlignment="1">
      <alignment horizontal="left"/>
    </xf>
    <xf numFmtId="0" fontId="7" fillId="17" borderId="0" xfId="0" quotePrefix="1" applyFont="1" applyFill="1" applyAlignment="1">
      <alignment horizontal="left" vertical="center" wrapText="1"/>
    </xf>
    <xf numFmtId="0" fontId="7" fillId="28" borderId="0" xfId="0" quotePrefix="1" applyFont="1" applyFill="1" applyAlignment="1">
      <alignment horizontal="left" vertical="center" wrapText="1"/>
    </xf>
    <xf numFmtId="0" fontId="7" fillId="0" borderId="0" xfId="0" applyFont="1" applyAlignment="1">
      <alignment horizontal="center" vertical="center"/>
    </xf>
    <xf numFmtId="0" fontId="7" fillId="0" borderId="1" xfId="0" quotePrefix="1" applyFont="1" applyBorder="1" applyAlignment="1">
      <alignment horizontal="center" vertical="center"/>
    </xf>
    <xf numFmtId="0" fontId="7" fillId="0" borderId="0" xfId="0" quotePrefix="1" applyFont="1" applyAlignment="1">
      <alignment horizontal="center" vertical="center"/>
    </xf>
    <xf numFmtId="164" fontId="5" fillId="0" borderId="37" xfId="0" applyNumberFormat="1" applyFont="1" applyBorder="1" applyAlignment="1">
      <alignment horizontal="center"/>
    </xf>
    <xf numFmtId="0" fontId="6" fillId="0" borderId="0" xfId="0" quotePrefix="1" applyFont="1" applyAlignment="1">
      <alignment horizontal="left" wrapText="1"/>
    </xf>
    <xf numFmtId="0" fontId="6" fillId="0" borderId="0" xfId="0" applyFont="1" applyAlignment="1">
      <alignment horizontal="left" wrapText="1"/>
    </xf>
    <xf numFmtId="0" fontId="5" fillId="0" borderId="0" xfId="0" quotePrefix="1" applyFont="1" applyAlignment="1">
      <alignment horizontal="left"/>
    </xf>
    <xf numFmtId="0" fontId="5" fillId="0" borderId="0" xfId="0" applyFont="1" applyAlignment="1">
      <alignment horizontal="left"/>
    </xf>
    <xf numFmtId="0" fontId="5" fillId="0" borderId="0" xfId="0" quotePrefix="1" applyFont="1" applyAlignment="1">
      <alignment horizontal="center" wrapText="1"/>
    </xf>
    <xf numFmtId="0" fontId="5" fillId="0" borderId="0" xfId="0" applyFont="1" applyAlignment="1">
      <alignment horizontal="center" wrapText="1"/>
    </xf>
    <xf numFmtId="0" fontId="23" fillId="0" borderId="0" xfId="0" quotePrefix="1" applyFont="1" applyAlignment="1">
      <alignment horizontal="center" wrapText="1"/>
    </xf>
    <xf numFmtId="0" fontId="23" fillId="0" borderId="0" xfId="0" applyFont="1" applyAlignment="1">
      <alignment horizontal="center" wrapText="1"/>
    </xf>
    <xf numFmtId="49" fontId="5" fillId="0" borderId="0" xfId="0" applyNumberFormat="1" applyFont="1" applyAlignment="1">
      <alignment horizontal="center"/>
    </xf>
    <xf numFmtId="0" fontId="147" fillId="0" borderId="0" xfId="0" applyFont="1" applyAlignment="1">
      <alignment horizontal="center"/>
    </xf>
    <xf numFmtId="0" fontId="147" fillId="0" borderId="0" xfId="0" quotePrefix="1" applyFont="1" applyAlignment="1">
      <alignment horizontal="center"/>
    </xf>
    <xf numFmtId="0" fontId="24" fillId="0" borderId="0" xfId="0" quotePrefix="1" applyFont="1" applyAlignment="1">
      <alignment horizontal="left"/>
    </xf>
    <xf numFmtId="166" fontId="146" fillId="0" borderId="12" xfId="3" applyFont="1" applyFill="1" applyBorder="1" applyAlignment="1">
      <alignment horizontal="center"/>
    </xf>
    <xf numFmtId="166" fontId="170" fillId="6" borderId="12" xfId="3" applyFont="1" applyFill="1" applyBorder="1" applyAlignment="1">
      <alignment horizontal="center"/>
    </xf>
    <xf numFmtId="0" fontId="65" fillId="28" borderId="12" xfId="0" quotePrefix="1" applyFont="1" applyFill="1" applyBorder="1" applyAlignment="1">
      <alignment horizontal="center" vertical="center" wrapText="1"/>
    </xf>
    <xf numFmtId="171" fontId="146" fillId="0" borderId="12" xfId="0" applyNumberFormat="1" applyFont="1" applyBorder="1" applyAlignment="1">
      <alignment horizontal="center"/>
    </xf>
    <xf numFmtId="166" fontId="170" fillId="6" borderId="12" xfId="0" applyNumberFormat="1" applyFont="1" applyFill="1" applyBorder="1" applyAlignment="1">
      <alignment horizontal="center"/>
    </xf>
    <xf numFmtId="171" fontId="146" fillId="0" borderId="61" xfId="0" applyNumberFormat="1" applyFont="1" applyBorder="1" applyAlignment="1">
      <alignment horizontal="center"/>
    </xf>
    <xf numFmtId="171" fontId="146" fillId="0" borderId="63" xfId="0" applyNumberFormat="1" applyFont="1" applyBorder="1" applyAlignment="1">
      <alignment horizontal="center"/>
    </xf>
    <xf numFmtId="166" fontId="146" fillId="0" borderId="61" xfId="3" applyFont="1" applyFill="1" applyBorder="1" applyAlignment="1">
      <alignment horizontal="center"/>
    </xf>
    <xf numFmtId="166" fontId="146" fillId="0" borderId="63" xfId="3" applyFont="1" applyFill="1" applyBorder="1" applyAlignment="1">
      <alignment horizontal="center"/>
    </xf>
    <xf numFmtId="171" fontId="173" fillId="0" borderId="21" xfId="0" applyNumberFormat="1" applyFont="1" applyBorder="1" applyAlignment="1">
      <alignment horizontal="center"/>
    </xf>
    <xf numFmtId="0" fontId="173" fillId="0" borderId="21" xfId="0" applyFont="1" applyBorder="1" applyAlignment="1">
      <alignment horizontal="center"/>
    </xf>
    <xf numFmtId="171" fontId="173" fillId="0" borderId="70" xfId="0" applyNumberFormat="1" applyFont="1" applyBorder="1" applyAlignment="1">
      <alignment horizontal="center"/>
    </xf>
    <xf numFmtId="0" fontId="173" fillId="0" borderId="70" xfId="0" applyFont="1" applyBorder="1" applyAlignment="1">
      <alignment horizontal="center"/>
    </xf>
    <xf numFmtId="0" fontId="165" fillId="6" borderId="36" xfId="0" applyFont="1" applyFill="1" applyBorder="1" applyAlignment="1">
      <alignment horizontal="left"/>
    </xf>
    <xf numFmtId="0" fontId="165" fillId="6" borderId="37" xfId="0" applyFont="1" applyFill="1" applyBorder="1" applyAlignment="1">
      <alignment horizontal="left"/>
    </xf>
    <xf numFmtId="169" fontId="173" fillId="0" borderId="181" xfId="2" applyNumberFormat="1" applyFont="1" applyFill="1" applyBorder="1" applyAlignment="1">
      <alignment horizontal="center"/>
    </xf>
    <xf numFmtId="169" fontId="173" fillId="0" borderId="23" xfId="2" applyNumberFormat="1" applyFont="1" applyFill="1" applyBorder="1" applyAlignment="1">
      <alignment horizontal="center"/>
    </xf>
    <xf numFmtId="169" fontId="173" fillId="0" borderId="97" xfId="2" applyNumberFormat="1" applyFont="1" applyFill="1" applyBorder="1" applyAlignment="1">
      <alignment horizontal="center"/>
    </xf>
    <xf numFmtId="0" fontId="95" fillId="0" borderId="61" xfId="0" applyFont="1" applyBorder="1" applyAlignment="1">
      <alignment horizontal="center"/>
    </xf>
    <xf numFmtId="0" fontId="95" fillId="0" borderId="36" xfId="0" applyFont="1" applyBorder="1" applyAlignment="1">
      <alignment horizontal="center"/>
    </xf>
    <xf numFmtId="0" fontId="95" fillId="0" borderId="63" xfId="0" applyFont="1" applyBorder="1" applyAlignment="1">
      <alignment horizontal="center"/>
    </xf>
    <xf numFmtId="171" fontId="95" fillId="0" borderId="61" xfId="0" applyNumberFormat="1" applyFont="1" applyBorder="1" applyAlignment="1">
      <alignment horizontal="center"/>
    </xf>
    <xf numFmtId="171" fontId="95" fillId="0" borderId="36" xfId="0" applyNumberFormat="1" applyFont="1" applyBorder="1" applyAlignment="1">
      <alignment horizontal="center"/>
    </xf>
    <xf numFmtId="0" fontId="164" fillId="0" borderId="0" xfId="0" applyFont="1" applyAlignment="1">
      <alignment horizontal="center" vertical="center"/>
    </xf>
    <xf numFmtId="0" fontId="173" fillId="28" borderId="61" xfId="0" quotePrefix="1" applyFont="1" applyFill="1" applyBorder="1" applyAlignment="1">
      <alignment horizontal="center"/>
    </xf>
    <xf numFmtId="0" fontId="173" fillId="28" borderId="36" xfId="0" quotePrefix="1" applyFont="1" applyFill="1" applyBorder="1" applyAlignment="1">
      <alignment horizontal="center"/>
    </xf>
    <xf numFmtId="0" fontId="173" fillId="28" borderId="63" xfId="0" quotePrefix="1" applyFont="1" applyFill="1" applyBorder="1" applyAlignment="1">
      <alignment horizontal="center"/>
    </xf>
    <xf numFmtId="4" fontId="173" fillId="28" borderId="61" xfId="0" applyNumberFormat="1" applyFont="1" applyFill="1" applyBorder="1" applyAlignment="1">
      <alignment horizontal="center"/>
    </xf>
    <xf numFmtId="4" fontId="173" fillId="28" borderId="36" xfId="0" applyNumberFormat="1" applyFont="1" applyFill="1" applyBorder="1" applyAlignment="1">
      <alignment horizontal="center"/>
    </xf>
    <xf numFmtId="4" fontId="173" fillId="28" borderId="63" xfId="0" applyNumberFormat="1" applyFont="1" applyFill="1" applyBorder="1" applyAlignment="1">
      <alignment horizontal="center"/>
    </xf>
    <xf numFmtId="49" fontId="95" fillId="28" borderId="61" xfId="0" quotePrefix="1" applyNumberFormat="1" applyFont="1" applyFill="1" applyBorder="1" applyAlignment="1">
      <alignment horizontal="center" vertical="center"/>
    </xf>
    <xf numFmtId="49" fontId="95" fillId="28" borderId="36" xfId="0" applyNumberFormat="1" applyFont="1" applyFill="1" applyBorder="1" applyAlignment="1">
      <alignment horizontal="center" vertical="center"/>
    </xf>
    <xf numFmtId="49" fontId="95" fillId="28" borderId="63" xfId="0" applyNumberFormat="1" applyFont="1" applyFill="1" applyBorder="1" applyAlignment="1">
      <alignment horizontal="center" vertical="center"/>
    </xf>
    <xf numFmtId="0" fontId="95" fillId="28" borderId="61" xfId="0" applyFont="1" applyFill="1" applyBorder="1" applyAlignment="1">
      <alignment horizontal="center"/>
    </xf>
    <xf numFmtId="0" fontId="95" fillId="28" borderId="36" xfId="0" applyFont="1" applyFill="1" applyBorder="1" applyAlignment="1">
      <alignment horizontal="center"/>
    </xf>
    <xf numFmtId="0" fontId="95" fillId="28" borderId="63" xfId="0" applyFont="1" applyFill="1" applyBorder="1" applyAlignment="1">
      <alignment horizontal="center"/>
    </xf>
    <xf numFmtId="0" fontId="173" fillId="28" borderId="36" xfId="0" applyFont="1" applyFill="1" applyBorder="1" applyAlignment="1">
      <alignment horizontal="center" wrapText="1"/>
    </xf>
    <xf numFmtId="0" fontId="173" fillId="28" borderId="63" xfId="0" quotePrefix="1" applyFont="1" applyFill="1" applyBorder="1" applyAlignment="1">
      <alignment horizontal="center" wrapText="1"/>
    </xf>
    <xf numFmtId="0" fontId="173" fillId="28" borderId="36" xfId="0" quotePrefix="1" applyFont="1" applyFill="1" applyBorder="1" applyAlignment="1">
      <alignment horizontal="center" vertical="center" wrapText="1"/>
    </xf>
    <xf numFmtId="0" fontId="173" fillId="28" borderId="63" xfId="0" quotePrefix="1" applyFont="1" applyFill="1" applyBorder="1" applyAlignment="1">
      <alignment horizontal="center" vertical="center" wrapText="1"/>
    </xf>
    <xf numFmtId="0" fontId="165" fillId="6" borderId="61" xfId="0" applyFont="1" applyFill="1" applyBorder="1" applyAlignment="1">
      <alignment horizontal="left"/>
    </xf>
    <xf numFmtId="0" fontId="165" fillId="6" borderId="63" xfId="0" applyFont="1" applyFill="1" applyBorder="1" applyAlignment="1">
      <alignment horizontal="left"/>
    </xf>
    <xf numFmtId="0" fontId="156" fillId="6" borderId="61" xfId="0" applyFont="1" applyFill="1" applyBorder="1" applyAlignment="1">
      <alignment horizontal="left"/>
    </xf>
    <xf numFmtId="0" fontId="156" fillId="6" borderId="63" xfId="0" applyFont="1" applyFill="1" applyBorder="1" applyAlignment="1">
      <alignment horizontal="left"/>
    </xf>
    <xf numFmtId="0" fontId="165" fillId="28" borderId="0" xfId="0" applyFont="1" applyFill="1" applyAlignment="1">
      <alignment horizontal="center"/>
    </xf>
    <xf numFmtId="0" fontId="156" fillId="6" borderId="61" xfId="0" applyFont="1" applyFill="1" applyBorder="1" applyAlignment="1">
      <alignment horizontal="center"/>
    </xf>
    <xf numFmtId="0" fontId="156" fillId="6" borderId="63" xfId="0" applyFont="1" applyFill="1" applyBorder="1" applyAlignment="1">
      <alignment horizontal="center"/>
    </xf>
    <xf numFmtId="0" fontId="157" fillId="0" borderId="12" xfId="0" applyFont="1" applyBorder="1" applyAlignment="1">
      <alignment horizontal="center" vertical="center"/>
    </xf>
    <xf numFmtId="0" fontId="65" fillId="28" borderId="12" xfId="0" applyFont="1" applyFill="1" applyBorder="1" applyAlignment="1">
      <alignment horizontal="center" vertical="center"/>
    </xf>
    <xf numFmtId="0" fontId="77" fillId="28" borderId="12" xfId="0" quotePrefix="1" applyFont="1" applyFill="1" applyBorder="1" applyAlignment="1">
      <alignment horizontal="center" vertical="center"/>
    </xf>
    <xf numFmtId="0" fontId="155" fillId="0" borderId="0" xfId="0" applyFont="1" applyAlignment="1">
      <alignment horizontal="center" vertical="center"/>
    </xf>
    <xf numFmtId="0" fontId="186" fillId="0" borderId="0" xfId="0" quotePrefix="1" applyFont="1" applyAlignment="1">
      <alignment horizontal="center" vertical="center"/>
    </xf>
    <xf numFmtId="0" fontId="186" fillId="0" borderId="0" xfId="0" applyFont="1" applyAlignment="1">
      <alignment horizontal="center" vertical="center"/>
    </xf>
    <xf numFmtId="0" fontId="65" fillId="28" borderId="25" xfId="0" applyFont="1" applyFill="1" applyBorder="1" applyAlignment="1">
      <alignment horizontal="center" vertical="center"/>
    </xf>
    <xf numFmtId="0" fontId="65" fillId="28" borderId="84" xfId="0" applyFont="1" applyFill="1" applyBorder="1" applyAlignment="1">
      <alignment horizontal="center" vertical="center"/>
    </xf>
    <xf numFmtId="0" fontId="65" fillId="28" borderId="88" xfId="0" applyFont="1" applyFill="1" applyBorder="1" applyAlignment="1">
      <alignment horizontal="center" vertical="center"/>
    </xf>
    <xf numFmtId="0" fontId="95" fillId="28" borderId="46" xfId="0" applyFont="1" applyFill="1" applyBorder="1" applyAlignment="1">
      <alignment horizontal="center" vertical="center"/>
    </xf>
    <xf numFmtId="0" fontId="95" fillId="28" borderId="0" xfId="0" applyFont="1" applyFill="1" applyAlignment="1">
      <alignment horizontal="center" vertical="center"/>
    </xf>
    <xf numFmtId="0" fontId="95" fillId="28" borderId="1" xfId="0" applyFont="1" applyFill="1" applyBorder="1" applyAlignment="1">
      <alignment horizontal="center" vertical="center"/>
    </xf>
    <xf numFmtId="0" fontId="95" fillId="28" borderId="45" xfId="0" applyFont="1" applyFill="1" applyBorder="1" applyAlignment="1">
      <alignment horizontal="center" vertical="center" wrapText="1"/>
    </xf>
    <xf numFmtId="0" fontId="173" fillId="28" borderId="2" xfId="0" applyFont="1" applyFill="1" applyBorder="1" applyAlignment="1">
      <alignment horizontal="center" vertical="center" wrapText="1"/>
    </xf>
    <xf numFmtId="0" fontId="173" fillId="28" borderId="4" xfId="0" applyFont="1" applyFill="1" applyBorder="1" applyAlignment="1">
      <alignment horizontal="center" vertical="center" wrapText="1"/>
    </xf>
    <xf numFmtId="0" fontId="77" fillId="28" borderId="45" xfId="0" applyFont="1" applyFill="1" applyBorder="1" applyAlignment="1">
      <alignment horizontal="center" vertical="center"/>
    </xf>
    <xf numFmtId="0" fontId="66" fillId="28" borderId="2" xfId="0" applyFont="1" applyFill="1" applyBorder="1" applyAlignment="1">
      <alignment horizontal="center" vertical="center"/>
    </xf>
    <xf numFmtId="0" fontId="66" fillId="28" borderId="4" xfId="0" applyFont="1" applyFill="1" applyBorder="1" applyAlignment="1">
      <alignment horizontal="center" vertical="center"/>
    </xf>
    <xf numFmtId="0" fontId="95" fillId="28" borderId="55" xfId="0" applyFont="1" applyFill="1" applyBorder="1" applyAlignment="1">
      <alignment horizontal="center" vertical="center" wrapText="1"/>
    </xf>
    <xf numFmtId="0" fontId="95" fillId="28" borderId="29" xfId="0" applyFont="1" applyFill="1" applyBorder="1" applyAlignment="1">
      <alignment horizontal="center" vertical="center" wrapText="1"/>
    </xf>
    <xf numFmtId="0" fontId="95" fillId="28" borderId="65" xfId="0" applyFont="1" applyFill="1" applyBorder="1" applyAlignment="1">
      <alignment horizontal="center" vertical="center" wrapText="1"/>
    </xf>
    <xf numFmtId="0" fontId="95" fillId="28" borderId="89" xfId="0" applyFont="1" applyFill="1" applyBorder="1" applyAlignment="1">
      <alignment horizontal="center" vertical="center" wrapText="1"/>
    </xf>
    <xf numFmtId="0" fontId="95" fillId="28" borderId="43" xfId="0" applyFont="1" applyFill="1" applyBorder="1" applyAlignment="1">
      <alignment horizontal="center" vertical="center" wrapText="1"/>
    </xf>
    <xf numFmtId="0" fontId="95" fillId="28" borderId="31" xfId="0" applyFont="1" applyFill="1" applyBorder="1" applyAlignment="1">
      <alignment horizontal="center"/>
    </xf>
    <xf numFmtId="0" fontId="95" fillId="28" borderId="32" xfId="0" applyFont="1" applyFill="1" applyBorder="1" applyAlignment="1">
      <alignment horizontal="center"/>
    </xf>
    <xf numFmtId="0" fontId="95" fillId="28" borderId="45" xfId="0" applyFont="1" applyFill="1" applyBorder="1" applyAlignment="1">
      <alignment horizontal="center" vertical="center"/>
    </xf>
    <xf numFmtId="0" fontId="95" fillId="28" borderId="2" xfId="0" applyFont="1" applyFill="1" applyBorder="1" applyAlignment="1">
      <alignment horizontal="center" vertical="center"/>
    </xf>
    <xf numFmtId="0" fontId="95" fillId="28" borderId="65" xfId="0" applyFont="1" applyFill="1" applyBorder="1" applyAlignment="1">
      <alignment horizontal="center" vertical="center"/>
    </xf>
    <xf numFmtId="9" fontId="95" fillId="28" borderId="30" xfId="0" applyNumberFormat="1" applyFont="1" applyFill="1" applyBorder="1" applyAlignment="1">
      <alignment horizontal="center"/>
    </xf>
    <xf numFmtId="9" fontId="95" fillId="28" borderId="31" xfId="0" applyNumberFormat="1" applyFont="1" applyFill="1" applyBorder="1" applyAlignment="1">
      <alignment horizontal="center"/>
    </xf>
    <xf numFmtId="9" fontId="95" fillId="28" borderId="32" xfId="0" applyNumberFormat="1" applyFont="1" applyFill="1" applyBorder="1" applyAlignment="1">
      <alignment horizontal="center"/>
    </xf>
    <xf numFmtId="0" fontId="77" fillId="28" borderId="55" xfId="0" applyFont="1" applyFill="1" applyBorder="1" applyAlignment="1">
      <alignment horizontal="center" wrapText="1"/>
    </xf>
    <xf numFmtId="0" fontId="77" fillId="28" borderId="65" xfId="0" applyFont="1" applyFill="1" applyBorder="1" applyAlignment="1">
      <alignment horizontal="center" wrapText="1"/>
    </xf>
    <xf numFmtId="164" fontId="173" fillId="0" borderId="77" xfId="0" applyNumberFormat="1" applyFont="1" applyBorder="1" applyAlignment="1">
      <alignment horizontal="center"/>
    </xf>
    <xf numFmtId="164" fontId="173" fillId="0" borderId="37" xfId="0" applyNumberFormat="1" applyFont="1" applyBorder="1" applyAlignment="1">
      <alignment horizontal="center"/>
    </xf>
    <xf numFmtId="164" fontId="173" fillId="0" borderId="49" xfId="0" applyNumberFormat="1" applyFont="1" applyBorder="1" applyAlignment="1">
      <alignment horizontal="center"/>
    </xf>
    <xf numFmtId="164" fontId="146" fillId="0" borderId="9" xfId="0" applyNumberFormat="1" applyFont="1" applyBorder="1" applyAlignment="1">
      <alignment horizontal="center"/>
    </xf>
    <xf numFmtId="164" fontId="146" fillId="0" borderId="93" xfId="0" applyNumberFormat="1" applyFont="1" applyBorder="1" applyAlignment="1">
      <alignment horizontal="center"/>
    </xf>
    <xf numFmtId="171" fontId="195" fillId="28" borderId="77" xfId="0" applyNumberFormat="1" applyFont="1" applyFill="1" applyBorder="1" applyAlignment="1">
      <alignment horizontal="center" wrapText="1"/>
    </xf>
    <xf numFmtId="171" fontId="195" fillId="28" borderId="49" xfId="0" applyNumberFormat="1" applyFont="1" applyFill="1" applyBorder="1" applyAlignment="1">
      <alignment horizontal="center" wrapText="1"/>
    </xf>
    <xf numFmtId="171" fontId="195" fillId="0" borderId="62" xfId="0" applyNumberFormat="1" applyFont="1" applyBorder="1" applyAlignment="1">
      <alignment horizontal="center"/>
    </xf>
    <xf numFmtId="171" fontId="195" fillId="0" borderId="67" xfId="0" applyNumberFormat="1" applyFont="1" applyBorder="1" applyAlignment="1">
      <alignment horizontal="center"/>
    </xf>
    <xf numFmtId="169" fontId="195" fillId="6" borderId="80" xfId="2" applyNumberFormat="1" applyFont="1" applyFill="1" applyBorder="1" applyAlignment="1">
      <alignment horizontal="center"/>
    </xf>
    <xf numFmtId="169" fontId="195" fillId="6" borderId="78" xfId="2" applyNumberFormat="1" applyFont="1" applyFill="1" applyBorder="1" applyAlignment="1">
      <alignment horizontal="center"/>
    </xf>
    <xf numFmtId="169" fontId="195" fillId="6" borderId="86" xfId="2" applyNumberFormat="1" applyFont="1" applyFill="1" applyBorder="1" applyAlignment="1">
      <alignment horizontal="center"/>
    </xf>
    <xf numFmtId="171" fontId="95" fillId="6" borderId="50" xfId="0" applyNumberFormat="1" applyFont="1" applyFill="1" applyBorder="1" applyAlignment="1">
      <alignment horizontal="center"/>
    </xf>
    <xf numFmtId="0" fontId="95" fillId="6" borderId="50" xfId="0" applyFont="1" applyFill="1" applyBorder="1" applyAlignment="1">
      <alignment horizontal="center"/>
    </xf>
    <xf numFmtId="0" fontId="195" fillId="28" borderId="12" xfId="0" applyFont="1" applyFill="1" applyBorder="1" applyAlignment="1">
      <alignment horizontal="center" wrapText="1"/>
    </xf>
    <xf numFmtId="166" fontId="65" fillId="0" borderId="12" xfId="3" applyFont="1" applyFill="1" applyBorder="1" applyAlignment="1">
      <alignment horizontal="center"/>
    </xf>
    <xf numFmtId="0" fontId="64" fillId="0" borderId="58" xfId="0" applyFont="1" applyBorder="1" applyAlignment="1">
      <alignment horizontal="center" wrapText="1"/>
    </xf>
    <xf numFmtId="0" fontId="64" fillId="0" borderId="0" xfId="0" quotePrefix="1" applyFont="1" applyAlignment="1">
      <alignment horizontal="center" wrapText="1"/>
    </xf>
    <xf numFmtId="0" fontId="64" fillId="28" borderId="36" xfId="0" applyFont="1" applyFill="1" applyBorder="1" applyAlignment="1">
      <alignment horizontal="center" wrapText="1"/>
    </xf>
    <xf numFmtId="0" fontId="64" fillId="28" borderId="36" xfId="0" quotePrefix="1" applyFont="1" applyFill="1" applyBorder="1" applyAlignment="1">
      <alignment horizontal="center" wrapText="1"/>
    </xf>
    <xf numFmtId="0" fontId="77" fillId="0" borderId="61" xfId="0" quotePrefix="1" applyFont="1" applyBorder="1" applyAlignment="1">
      <alignment horizontal="center"/>
    </xf>
    <xf numFmtId="0" fontId="77" fillId="0" borderId="36" xfId="0" quotePrefix="1" applyFont="1" applyBorder="1" applyAlignment="1">
      <alignment horizontal="center"/>
    </xf>
    <xf numFmtId="0" fontId="77" fillId="0" borderId="63" xfId="0" quotePrefix="1" applyFont="1" applyBorder="1" applyAlignment="1">
      <alignment horizontal="center"/>
    </xf>
    <xf numFmtId="0" fontId="65" fillId="28" borderId="61" xfId="0" applyFont="1" applyFill="1" applyBorder="1" applyAlignment="1">
      <alignment horizontal="center"/>
    </xf>
    <xf numFmtId="0" fontId="65" fillId="28" borderId="36" xfId="0" applyFont="1" applyFill="1" applyBorder="1" applyAlignment="1">
      <alignment horizontal="center"/>
    </xf>
    <xf numFmtId="0" fontId="165" fillId="6" borderId="1" xfId="0" applyFont="1" applyFill="1" applyBorder="1" applyAlignment="1">
      <alignment horizontal="left"/>
    </xf>
    <xf numFmtId="0" fontId="165" fillId="6" borderId="65" xfId="0" applyFont="1" applyFill="1" applyBorder="1" applyAlignment="1">
      <alignment horizontal="left"/>
    </xf>
    <xf numFmtId="0" fontId="65" fillId="28" borderId="63" xfId="0" applyFont="1" applyFill="1" applyBorder="1" applyAlignment="1">
      <alignment horizontal="center"/>
    </xf>
    <xf numFmtId="0" fontId="64" fillId="28" borderId="63" xfId="0" quotePrefix="1" applyFont="1" applyFill="1" applyBorder="1" applyAlignment="1">
      <alignment horizontal="center" wrapText="1"/>
    </xf>
    <xf numFmtId="0" fontId="65" fillId="0" borderId="61" xfId="0" applyFont="1" applyBorder="1" applyAlignment="1">
      <alignment horizontal="center"/>
    </xf>
    <xf numFmtId="0" fontId="65" fillId="0" borderId="36" xfId="0" applyFont="1" applyBorder="1" applyAlignment="1">
      <alignment horizontal="center"/>
    </xf>
    <xf numFmtId="0" fontId="65" fillId="0" borderId="63" xfId="0" applyFont="1" applyBorder="1" applyAlignment="1">
      <alignment horizontal="center"/>
    </xf>
    <xf numFmtId="174" fontId="6" fillId="0" borderId="21" xfId="0" applyNumberFormat="1" applyFont="1" applyBorder="1" applyAlignment="1">
      <alignment horizontal="center"/>
    </xf>
    <xf numFmtId="171" fontId="195" fillId="6" borderId="80" xfId="0" applyNumberFormat="1" applyFont="1" applyFill="1" applyBorder="1" applyAlignment="1">
      <alignment horizontal="center"/>
    </xf>
    <xf numFmtId="171" fontId="195" fillId="6" borderId="86" xfId="0" applyNumberFormat="1" applyFont="1" applyFill="1" applyBorder="1" applyAlignment="1">
      <alignment horizontal="center"/>
    </xf>
    <xf numFmtId="0" fontId="65" fillId="0" borderId="30" xfId="0" quotePrefix="1" applyFont="1" applyBorder="1" applyAlignment="1">
      <alignment horizontal="center"/>
    </xf>
    <xf numFmtId="0" fontId="65" fillId="0" borderId="31" xfId="0" quotePrefix="1" applyFont="1" applyBorder="1" applyAlignment="1">
      <alignment horizontal="center"/>
    </xf>
    <xf numFmtId="0" fontId="65" fillId="0" borderId="31" xfId="0" applyFont="1" applyBorder="1" applyAlignment="1">
      <alignment horizontal="center"/>
    </xf>
    <xf numFmtId="0" fontId="65" fillId="0" borderId="93" xfId="0" applyFont="1" applyBorder="1" applyAlignment="1">
      <alignment horizontal="center"/>
    </xf>
    <xf numFmtId="171" fontId="77" fillId="0" borderId="9" xfId="0" applyNumberFormat="1" applyFont="1" applyBorder="1" applyAlignment="1">
      <alignment horizontal="center"/>
    </xf>
    <xf numFmtId="171" fontId="77" fillId="0" borderId="93" xfId="0" applyNumberFormat="1" applyFont="1" applyBorder="1" applyAlignment="1">
      <alignment horizontal="center"/>
    </xf>
    <xf numFmtId="0" fontId="95" fillId="0" borderId="61" xfId="0" quotePrefix="1" applyFont="1" applyBorder="1" applyAlignment="1">
      <alignment horizontal="center"/>
    </xf>
    <xf numFmtId="0" fontId="95" fillId="0" borderId="36" xfId="0" quotePrefix="1" applyFont="1" applyBorder="1" applyAlignment="1">
      <alignment horizontal="center"/>
    </xf>
    <xf numFmtId="0" fontId="95" fillId="0" borderId="63" xfId="0" quotePrefix="1" applyFont="1" applyBorder="1" applyAlignment="1">
      <alignment horizontal="center"/>
    </xf>
    <xf numFmtId="0" fontId="195" fillId="28" borderId="62" xfId="0" applyFont="1" applyFill="1" applyBorder="1" applyAlignment="1">
      <alignment horizontal="center" wrapText="1"/>
    </xf>
    <xf numFmtId="0" fontId="195" fillId="28" borderId="67" xfId="0" applyFont="1" applyFill="1" applyBorder="1" applyAlignment="1">
      <alignment horizontal="center" wrapText="1"/>
    </xf>
    <xf numFmtId="171" fontId="77" fillId="0" borderId="31" xfId="0" applyNumberFormat="1" applyFont="1" applyBorder="1" applyAlignment="1">
      <alignment horizontal="center"/>
    </xf>
    <xf numFmtId="164" fontId="146" fillId="0" borderId="62" xfId="0" applyNumberFormat="1" applyFont="1" applyBorder="1" applyAlignment="1">
      <alignment horizontal="center"/>
    </xf>
    <xf numFmtId="164" fontId="146" fillId="0" borderId="67" xfId="0" applyNumberFormat="1" applyFont="1" applyBorder="1" applyAlignment="1">
      <alignment horizontal="center"/>
    </xf>
    <xf numFmtId="164" fontId="95" fillId="6" borderId="90" xfId="0" applyNumberFormat="1" applyFont="1" applyFill="1" applyBorder="1" applyAlignment="1">
      <alignment horizontal="right"/>
    </xf>
    <xf numFmtId="164" fontId="95" fillId="6" borderId="91" xfId="0" applyNumberFormat="1" applyFont="1" applyFill="1" applyBorder="1" applyAlignment="1">
      <alignment horizontal="right"/>
    </xf>
    <xf numFmtId="164" fontId="95" fillId="6" borderId="92" xfId="0" applyNumberFormat="1" applyFont="1" applyFill="1" applyBorder="1" applyAlignment="1">
      <alignment horizontal="right"/>
    </xf>
    <xf numFmtId="169" fontId="173" fillId="0" borderId="9" xfId="2" applyNumberFormat="1" applyFont="1" applyFill="1" applyBorder="1" applyAlignment="1">
      <alignment horizontal="center"/>
    </xf>
    <xf numFmtId="169" fontId="173" fillId="0" borderId="31" xfId="2" applyNumberFormat="1" applyFont="1" applyFill="1" applyBorder="1" applyAlignment="1">
      <alignment horizontal="center"/>
    </xf>
    <xf numFmtId="169" fontId="173" fillId="0" borderId="93" xfId="2" applyNumberFormat="1" applyFont="1" applyFill="1" applyBorder="1" applyAlignment="1">
      <alignment horizontal="center"/>
    </xf>
    <xf numFmtId="0" fontId="11" fillId="0" borderId="0" xfId="0" applyFont="1" applyAlignment="1">
      <alignment horizontal="center"/>
    </xf>
    <xf numFmtId="0" fontId="28" fillId="0" borderId="0" xfId="0" applyFont="1" applyAlignment="1">
      <alignment horizontal="center"/>
    </xf>
    <xf numFmtId="166" fontId="4" fillId="0" borderId="0" xfId="3" applyFont="1" applyBorder="1" applyAlignment="1">
      <alignment horizontal="center"/>
    </xf>
    <xf numFmtId="0" fontId="148" fillId="28" borderId="0" xfId="0" applyFont="1" applyFill="1" applyAlignment="1">
      <alignment horizontal="center" vertical="center" wrapText="1"/>
    </xf>
    <xf numFmtId="169" fontId="173" fillId="0" borderId="62" xfId="2" applyNumberFormat="1" applyFont="1" applyFill="1" applyBorder="1" applyAlignment="1">
      <alignment horizontal="center"/>
    </xf>
    <xf numFmtId="169" fontId="173" fillId="0" borderId="44" xfId="2" applyNumberFormat="1" applyFont="1" applyFill="1" applyBorder="1" applyAlignment="1">
      <alignment horizontal="center"/>
    </xf>
    <xf numFmtId="169" fontId="173" fillId="0" borderId="67" xfId="2" applyNumberFormat="1" applyFont="1" applyFill="1" applyBorder="1" applyAlignment="1">
      <alignment horizontal="center"/>
    </xf>
    <xf numFmtId="171" fontId="78" fillId="28" borderId="58" xfId="0" applyNumberFormat="1" applyFont="1" applyFill="1" applyBorder="1" applyAlignment="1">
      <alignment horizontal="center" wrapText="1"/>
    </xf>
    <xf numFmtId="171" fontId="78" fillId="28" borderId="0" xfId="0" applyNumberFormat="1" applyFont="1" applyFill="1" applyAlignment="1">
      <alignment horizontal="center" wrapText="1"/>
    </xf>
    <xf numFmtId="0" fontId="65" fillId="0" borderId="0" xfId="0" quotePrefix="1" applyFont="1" applyAlignment="1">
      <alignment horizontal="center"/>
    </xf>
    <xf numFmtId="0" fontId="65" fillId="0" borderId="0" xfId="0" applyFont="1" applyAlignment="1">
      <alignment horizontal="center"/>
    </xf>
    <xf numFmtId="171" fontId="77" fillId="0" borderId="0" xfId="0" applyNumberFormat="1" applyFont="1" applyAlignment="1">
      <alignment horizontal="center"/>
    </xf>
    <xf numFmtId="171" fontId="66" fillId="0" borderId="49" xfId="0" applyNumberFormat="1" applyFont="1" applyBorder="1" applyAlignment="1">
      <alignment horizontal="center"/>
    </xf>
    <xf numFmtId="0" fontId="66" fillId="0" borderId="77" xfId="0" applyFont="1" applyBorder="1" applyAlignment="1">
      <alignment horizontal="center"/>
    </xf>
    <xf numFmtId="166" fontId="209" fillId="0" borderId="0" xfId="3" applyFont="1" applyBorder="1" applyAlignment="1">
      <alignment horizontal="center"/>
    </xf>
    <xf numFmtId="164" fontId="146" fillId="0" borderId="181" xfId="0" applyNumberFormat="1" applyFont="1" applyBorder="1" applyAlignment="1">
      <alignment horizontal="center"/>
    </xf>
    <xf numFmtId="164" fontId="146" fillId="0" borderId="97" xfId="0" applyNumberFormat="1" applyFont="1" applyBorder="1" applyAlignment="1">
      <alignment horizontal="center"/>
    </xf>
    <xf numFmtId="166" fontId="64" fillId="0" borderId="12" xfId="3" applyFont="1" applyFill="1" applyBorder="1" applyAlignment="1">
      <alignment horizontal="center"/>
    </xf>
    <xf numFmtId="166" fontId="170" fillId="6" borderId="50" xfId="3" applyFont="1" applyFill="1" applyBorder="1" applyAlignment="1">
      <alignment horizontal="center"/>
    </xf>
    <xf numFmtId="171" fontId="66" fillId="0" borderId="12" xfId="0" applyNumberFormat="1" applyFont="1" applyBorder="1" applyAlignment="1">
      <alignment horizontal="center"/>
    </xf>
    <xf numFmtId="0" fontId="66" fillId="0" borderId="12" xfId="0" applyFont="1" applyBorder="1" applyAlignment="1">
      <alignment horizontal="center"/>
    </xf>
    <xf numFmtId="0" fontId="36" fillId="0" borderId="0" xfId="0" quotePrefix="1" applyFont="1" applyAlignment="1">
      <alignment horizontal="center" vertical="center"/>
    </xf>
    <xf numFmtId="0" fontId="36" fillId="0" borderId="0" xfId="0" applyFont="1" applyAlignment="1">
      <alignment horizontal="center" vertical="center"/>
    </xf>
    <xf numFmtId="0" fontId="5" fillId="0" borderId="0" xfId="0" applyFont="1" applyAlignment="1">
      <alignment horizontal="center"/>
    </xf>
    <xf numFmtId="4" fontId="49" fillId="28" borderId="89" xfId="1" quotePrefix="1" applyNumberFormat="1" applyFont="1" applyFill="1" applyBorder="1" applyAlignment="1">
      <alignment horizontal="center" wrapText="1"/>
    </xf>
    <xf numFmtId="4" fontId="49" fillId="28" borderId="46" xfId="1" applyNumberFormat="1" applyFont="1" applyFill="1" applyBorder="1" applyAlignment="1">
      <alignment horizontal="center" wrapText="1"/>
    </xf>
    <xf numFmtId="4" fontId="49" fillId="28" borderId="55" xfId="1" applyNumberFormat="1" applyFont="1" applyFill="1" applyBorder="1" applyAlignment="1">
      <alignment horizontal="center" wrapText="1"/>
    </xf>
    <xf numFmtId="4" fontId="30" fillId="28" borderId="45" xfId="1" applyNumberFormat="1" applyFont="1" applyFill="1" applyBorder="1" applyAlignment="1">
      <alignment horizontal="center" vertical="center" wrapText="1"/>
    </xf>
    <xf numFmtId="0" fontId="30" fillId="28" borderId="2" xfId="0" applyFont="1" applyFill="1" applyBorder="1" applyAlignment="1">
      <alignment horizontal="center" vertical="center" wrapText="1"/>
    </xf>
    <xf numFmtId="4" fontId="30" fillId="28" borderId="4" xfId="1" applyNumberFormat="1" applyFont="1" applyFill="1" applyBorder="1" applyAlignment="1">
      <alignment horizontal="center" vertical="center" wrapText="1"/>
    </xf>
    <xf numFmtId="0" fontId="29" fillId="0" borderId="46" xfId="0" applyFont="1" applyBorder="1" applyAlignment="1">
      <alignment horizontal="left" vertical="center" wrapText="1"/>
    </xf>
    <xf numFmtId="49" fontId="30" fillId="29" borderId="43" xfId="1" applyNumberFormat="1" applyFont="1" applyFill="1" applyBorder="1" applyAlignment="1">
      <alignment horizontal="center"/>
    </xf>
    <xf numFmtId="49" fontId="30" fillId="29" borderId="132" xfId="1" applyNumberFormat="1" applyFont="1" applyFill="1" applyBorder="1" applyAlignment="1">
      <alignment horizontal="center"/>
    </xf>
    <xf numFmtId="0" fontId="30" fillId="28" borderId="4" xfId="0" applyFont="1" applyFill="1" applyBorder="1" applyAlignment="1">
      <alignment horizontal="center" vertical="center" wrapText="1"/>
    </xf>
    <xf numFmtId="4" fontId="49" fillId="28" borderId="89" xfId="1" applyNumberFormat="1" applyFont="1" applyFill="1" applyBorder="1" applyAlignment="1">
      <alignment horizontal="center"/>
    </xf>
    <xf numFmtId="4" fontId="49" fillId="28" borderId="46" xfId="1" applyNumberFormat="1" applyFont="1" applyFill="1" applyBorder="1" applyAlignment="1">
      <alignment horizontal="center"/>
    </xf>
    <xf numFmtId="4" fontId="49" fillId="28" borderId="55" xfId="1" applyNumberFormat="1" applyFont="1" applyFill="1" applyBorder="1" applyAlignment="1">
      <alignment horizontal="center"/>
    </xf>
    <xf numFmtId="49" fontId="30" fillId="28" borderId="45" xfId="1" applyNumberFormat="1" applyFont="1" applyFill="1" applyBorder="1" applyAlignment="1">
      <alignment horizontal="center" vertical="center"/>
    </xf>
    <xf numFmtId="49" fontId="30" fillId="28" borderId="2" xfId="1" applyNumberFormat="1" applyFont="1" applyFill="1" applyBorder="1" applyAlignment="1">
      <alignment horizontal="center" vertical="center"/>
    </xf>
    <xf numFmtId="49" fontId="30" fillId="28" borderId="4" xfId="1" applyNumberFormat="1" applyFont="1" applyFill="1" applyBorder="1" applyAlignment="1">
      <alignment horizontal="center" vertical="center"/>
    </xf>
    <xf numFmtId="4" fontId="30" fillId="28" borderId="45" xfId="1" applyNumberFormat="1" applyFont="1" applyFill="1" applyBorder="1" applyAlignment="1">
      <alignment horizontal="center" vertical="center"/>
    </xf>
    <xf numFmtId="4" fontId="30" fillId="28" borderId="2" xfId="1" applyNumberFormat="1" applyFont="1" applyFill="1" applyBorder="1" applyAlignment="1">
      <alignment horizontal="center" vertical="center"/>
    </xf>
    <xf numFmtId="4" fontId="30" fillId="28" borderId="4" xfId="1" applyNumberFormat="1" applyFont="1" applyFill="1" applyBorder="1" applyAlignment="1">
      <alignment horizontal="center" vertical="center"/>
    </xf>
    <xf numFmtId="49" fontId="30" fillId="28" borderId="45" xfId="1" applyNumberFormat="1" applyFont="1" applyFill="1" applyBorder="1" applyAlignment="1">
      <alignment horizontal="center" vertical="center" wrapText="1"/>
    </xf>
    <xf numFmtId="49" fontId="30" fillId="28" borderId="2" xfId="1" applyNumberFormat="1" applyFont="1" applyFill="1" applyBorder="1" applyAlignment="1">
      <alignment horizontal="center" vertical="center" wrapText="1"/>
    </xf>
    <xf numFmtId="49" fontId="30" fillId="28" borderId="4" xfId="1" applyNumberFormat="1" applyFont="1" applyFill="1" applyBorder="1" applyAlignment="1">
      <alignment horizontal="center" vertical="center" wrapText="1"/>
    </xf>
    <xf numFmtId="4" fontId="30" fillId="28" borderId="2" xfId="1" applyNumberFormat="1" applyFont="1" applyFill="1" applyBorder="1" applyAlignment="1">
      <alignment horizontal="center" vertical="center" wrapText="1"/>
    </xf>
    <xf numFmtId="0" fontId="49" fillId="29" borderId="61" xfId="0" applyFont="1" applyFill="1" applyBorder="1" applyAlignment="1">
      <alignment horizontal="center"/>
    </xf>
    <xf numFmtId="0" fontId="49" fillId="29" borderId="36" xfId="0" applyFont="1" applyFill="1" applyBorder="1" applyAlignment="1">
      <alignment horizontal="center"/>
    </xf>
    <xf numFmtId="0" fontId="27" fillId="15" borderId="0" xfId="0" applyFont="1" applyFill="1" applyAlignment="1">
      <alignment horizontal="center" vertical="center"/>
    </xf>
    <xf numFmtId="0" fontId="143" fillId="17" borderId="0" xfId="0" applyFont="1" applyFill="1" applyAlignment="1">
      <alignment horizontal="center" vertical="center"/>
    </xf>
    <xf numFmtId="0" fontId="101" fillId="15" borderId="0" xfId="0" applyFont="1" applyFill="1" applyAlignment="1">
      <alignment horizontal="center" vertical="center"/>
    </xf>
    <xf numFmtId="0" fontId="102" fillId="32" borderId="61" xfId="0" applyFont="1" applyFill="1" applyBorder="1" applyAlignment="1">
      <alignment horizontal="center" vertical="center"/>
    </xf>
    <xf numFmtId="0" fontId="102" fillId="32" borderId="36" xfId="0" applyFont="1" applyFill="1" applyBorder="1" applyAlignment="1">
      <alignment horizontal="center" vertical="center"/>
    </xf>
    <xf numFmtId="0" fontId="102" fillId="32" borderId="67" xfId="0" applyFont="1" applyFill="1" applyBorder="1" applyAlignment="1">
      <alignment horizontal="center" vertical="center"/>
    </xf>
    <xf numFmtId="0" fontId="104" fillId="4" borderId="37" xfId="0" applyFont="1" applyFill="1" applyBorder="1" applyAlignment="1">
      <alignment horizontal="center" vertical="center" wrapText="1"/>
    </xf>
    <xf numFmtId="0" fontId="104" fillId="4" borderId="44" xfId="0" applyFont="1" applyFill="1" applyBorder="1" applyAlignment="1">
      <alignment horizontal="center" vertical="center" wrapText="1"/>
    </xf>
    <xf numFmtId="0" fontId="199" fillId="0" borderId="61" xfId="0" applyFont="1" applyBorder="1" applyAlignment="1">
      <alignment horizontal="center" vertical="center" wrapText="1"/>
    </xf>
    <xf numFmtId="0" fontId="199" fillId="0" borderId="36" xfId="0" applyFont="1" applyBorder="1" applyAlignment="1">
      <alignment horizontal="center" vertical="center" wrapText="1"/>
    </xf>
    <xf numFmtId="0" fontId="199" fillId="0" borderId="63" xfId="0" applyFont="1" applyBorder="1" applyAlignment="1">
      <alignment horizontal="center" vertical="center" wrapText="1"/>
    </xf>
    <xf numFmtId="0" fontId="135" fillId="4" borderId="21" xfId="0" applyFont="1" applyFill="1" applyBorder="1" applyAlignment="1">
      <alignment horizontal="center" vertical="center"/>
    </xf>
    <xf numFmtId="0" fontId="135" fillId="4" borderId="34" xfId="0" applyFont="1" applyFill="1" applyBorder="1" applyAlignment="1">
      <alignment horizontal="center" vertical="center"/>
    </xf>
    <xf numFmtId="0" fontId="198" fillId="21" borderId="77" xfId="0" applyFont="1" applyFill="1" applyBorder="1" applyAlignment="1">
      <alignment horizontal="center" vertical="center"/>
    </xf>
    <xf numFmtId="0" fontId="198" fillId="21" borderId="62" xfId="0" applyFont="1" applyFill="1" applyBorder="1" applyAlignment="1">
      <alignment horizontal="center" vertical="center"/>
    </xf>
    <xf numFmtId="49" fontId="103" fillId="4" borderId="61" xfId="0" applyNumberFormat="1" applyFont="1" applyFill="1" applyBorder="1" applyAlignment="1">
      <alignment horizontal="center" vertical="center"/>
    </xf>
    <xf numFmtId="49" fontId="103" fillId="4" borderId="36" xfId="0" applyNumberFormat="1" applyFont="1" applyFill="1" applyBorder="1" applyAlignment="1">
      <alignment horizontal="center" vertical="center"/>
    </xf>
    <xf numFmtId="49" fontId="103" fillId="4" borderId="63" xfId="0" applyNumberFormat="1" applyFont="1" applyFill="1" applyBorder="1" applyAlignment="1">
      <alignment horizontal="center" vertical="center"/>
    </xf>
    <xf numFmtId="0" fontId="104" fillId="4" borderId="77" xfId="0" applyFont="1" applyFill="1" applyBorder="1" applyAlignment="1">
      <alignment horizontal="center" vertical="center" wrapText="1"/>
    </xf>
    <xf numFmtId="0" fontId="104" fillId="4" borderId="62" xfId="0" applyFont="1" applyFill="1" applyBorder="1" applyAlignment="1">
      <alignment horizontal="center" vertical="center" wrapText="1"/>
    </xf>
    <xf numFmtId="0" fontId="103" fillId="4" borderId="37" xfId="0" applyFont="1" applyFill="1" applyBorder="1" applyAlignment="1">
      <alignment horizontal="center" vertical="center" wrapText="1"/>
    </xf>
    <xf numFmtId="0" fontId="103" fillId="4" borderId="44" xfId="0" applyFont="1" applyFill="1" applyBorder="1" applyAlignment="1">
      <alignment horizontal="center" vertical="center" wrapText="1"/>
    </xf>
    <xf numFmtId="0" fontId="107" fillId="4" borderId="49" xfId="0" applyFont="1" applyFill="1" applyBorder="1" applyAlignment="1">
      <alignment horizontal="center" vertical="center" wrapText="1"/>
    </xf>
    <xf numFmtId="0" fontId="107" fillId="4" borderId="67" xfId="0" applyFont="1" applyFill="1" applyBorder="1" applyAlignment="1">
      <alignment horizontal="center" vertical="center" wrapText="1"/>
    </xf>
    <xf numFmtId="0" fontId="111" fillId="0" borderId="0" xfId="0" quotePrefix="1" applyFont="1" applyAlignment="1">
      <alignment horizontal="center"/>
    </xf>
    <xf numFmtId="0" fontId="199" fillId="0" borderId="61" xfId="0" applyFont="1" applyBorder="1" applyAlignment="1">
      <alignment horizontal="center" vertical="center"/>
    </xf>
    <xf numFmtId="0" fontId="199" fillId="0" borderId="36" xfId="0" applyFont="1" applyBorder="1" applyAlignment="1">
      <alignment horizontal="center" vertical="center"/>
    </xf>
    <xf numFmtId="0" fontId="199" fillId="0" borderId="44" xfId="0" applyFont="1" applyBorder="1" applyAlignment="1">
      <alignment horizontal="center" vertical="center"/>
    </xf>
    <xf numFmtId="0" fontId="199" fillId="0" borderId="67" xfId="0" applyFont="1" applyBorder="1" applyAlignment="1">
      <alignment horizontal="center" vertical="center"/>
    </xf>
    <xf numFmtId="0" fontId="201" fillId="0" borderId="61" xfId="0" applyFont="1" applyBorder="1" applyAlignment="1">
      <alignment horizontal="center" vertical="center"/>
    </xf>
    <xf numFmtId="0" fontId="201" fillId="0" borderId="36" xfId="0" applyFont="1" applyBorder="1" applyAlignment="1">
      <alignment horizontal="center" vertical="center"/>
    </xf>
    <xf numFmtId="0" fontId="201" fillId="0" borderId="44" xfId="0" applyFont="1" applyBorder="1" applyAlignment="1">
      <alignment horizontal="center" vertical="center"/>
    </xf>
    <xf numFmtId="0" fontId="201" fillId="0" borderId="67" xfId="0" applyFont="1" applyBorder="1" applyAlignment="1">
      <alignment horizontal="center" vertical="center"/>
    </xf>
    <xf numFmtId="0" fontId="102" fillId="0" borderId="61" xfId="0" applyFont="1" applyBorder="1" applyAlignment="1">
      <alignment horizontal="left" vertical="center"/>
    </xf>
    <xf numFmtId="0" fontId="102" fillId="0" borderId="36" xfId="0" applyFont="1" applyBorder="1" applyAlignment="1">
      <alignment horizontal="left" vertical="center"/>
    </xf>
    <xf numFmtId="0" fontId="104" fillId="32" borderId="14" xfId="0" applyFont="1" applyFill="1" applyBorder="1" applyAlignment="1">
      <alignment horizontal="center" vertical="center"/>
    </xf>
    <xf numFmtId="0" fontId="104" fillId="32" borderId="66" xfId="0" applyFont="1" applyFill="1" applyBorder="1" applyAlignment="1">
      <alignment horizontal="center" vertical="center"/>
    </xf>
    <xf numFmtId="0" fontId="111" fillId="0" borderId="46" xfId="0" applyFont="1" applyBorder="1" applyAlignment="1">
      <alignment horizontal="center"/>
    </xf>
    <xf numFmtId="0" fontId="203" fillId="0" borderId="0" xfId="6" applyFont="1" applyFill="1" applyAlignment="1">
      <alignment horizontal="center"/>
    </xf>
    <xf numFmtId="0" fontId="203" fillId="0" borderId="44" xfId="6" applyFont="1" applyFill="1" applyBorder="1" applyAlignment="1">
      <alignment horizontal="center"/>
    </xf>
    <xf numFmtId="0" fontId="196" fillId="0" borderId="58" xfId="0" applyFont="1" applyBorder="1" applyAlignment="1">
      <alignment horizontal="center" vertical="center" wrapText="1"/>
    </xf>
    <xf numFmtId="0" fontId="196" fillId="0" borderId="0" xfId="0" applyFont="1" applyAlignment="1">
      <alignment horizontal="center" vertical="center" wrapText="1"/>
    </xf>
    <xf numFmtId="49" fontId="100" fillId="4" borderId="61" xfId="0" applyNumberFormat="1" applyFont="1" applyFill="1" applyBorder="1" applyAlignment="1">
      <alignment horizontal="center" vertical="center"/>
    </xf>
    <xf numFmtId="49" fontId="100" fillId="4" borderId="36" xfId="0" applyNumberFormat="1" applyFont="1" applyFill="1" applyBorder="1" applyAlignment="1">
      <alignment horizontal="center" vertical="center"/>
    </xf>
    <xf numFmtId="49" fontId="100" fillId="4" borderId="63" xfId="0" applyNumberFormat="1" applyFont="1" applyFill="1" applyBorder="1" applyAlignment="1">
      <alignment horizontal="center" vertical="center"/>
    </xf>
    <xf numFmtId="0" fontId="104" fillId="4" borderId="21" xfId="0" applyFont="1" applyFill="1" applyBorder="1" applyAlignment="1">
      <alignment horizontal="center" vertical="center" wrapText="1"/>
    </xf>
    <xf numFmtId="0" fontId="104" fillId="4" borderId="34" xfId="0" applyFont="1" applyFill="1" applyBorder="1" applyAlignment="1">
      <alignment horizontal="center" vertical="center" wrapText="1"/>
    </xf>
    <xf numFmtId="0" fontId="104" fillId="4" borderId="46" xfId="0" applyFont="1" applyFill="1" applyBorder="1" applyAlignment="1">
      <alignment horizontal="center" vertical="center" wrapText="1"/>
    </xf>
    <xf numFmtId="166" fontId="105" fillId="4" borderId="32" xfId="3" applyFont="1" applyFill="1" applyBorder="1" applyAlignment="1">
      <alignment horizontal="center" vertical="center" wrapText="1"/>
    </xf>
    <xf numFmtId="166" fontId="105" fillId="4" borderId="55" xfId="3" applyFont="1" applyFill="1" applyBorder="1" applyAlignment="1">
      <alignment horizontal="center" vertical="center" wrapText="1"/>
    </xf>
    <xf numFmtId="0" fontId="104" fillId="4" borderId="47" xfId="0" applyFont="1" applyFill="1" applyBorder="1" applyAlignment="1">
      <alignment horizontal="center" vertical="center" wrapText="1"/>
    </xf>
    <xf numFmtId="0" fontId="104" fillId="4" borderId="16" xfId="0" applyFont="1" applyFill="1" applyBorder="1" applyAlignment="1">
      <alignment horizontal="center" vertical="center" wrapText="1"/>
    </xf>
    <xf numFmtId="0" fontId="203" fillId="0" borderId="0" xfId="6" quotePrefix="1" applyFont="1" applyFill="1" applyAlignment="1">
      <alignment horizontal="center"/>
    </xf>
    <xf numFmtId="0" fontId="133" fillId="0" borderId="58" xfId="0" applyFont="1" applyBorder="1" applyAlignment="1">
      <alignment horizontal="center" vertical="center"/>
    </xf>
    <xf numFmtId="0" fontId="133" fillId="0" borderId="0" xfId="0" applyFont="1" applyAlignment="1">
      <alignment horizontal="center" vertical="center"/>
    </xf>
    <xf numFmtId="0" fontId="133" fillId="0" borderId="60" xfId="0" applyFont="1" applyBorder="1" applyAlignment="1">
      <alignment horizontal="center" vertical="center"/>
    </xf>
    <xf numFmtId="0" fontId="103" fillId="4" borderId="0" xfId="0" applyFont="1" applyFill="1" applyAlignment="1">
      <alignment horizontal="center" vertical="center" wrapText="1"/>
    </xf>
    <xf numFmtId="0" fontId="107" fillId="4" borderId="60" xfId="0" applyFont="1" applyFill="1" applyBorder="1" applyAlignment="1">
      <alignment horizontal="center" vertical="center" wrapText="1"/>
    </xf>
    <xf numFmtId="0" fontId="102" fillId="32" borderId="63" xfId="0" applyFont="1" applyFill="1" applyBorder="1" applyAlignment="1">
      <alignment horizontal="center" vertical="center"/>
    </xf>
    <xf numFmtId="49" fontId="103" fillId="4" borderId="62" xfId="0" applyNumberFormat="1" applyFont="1" applyFill="1" applyBorder="1" applyAlignment="1">
      <alignment horizontal="center" vertical="center"/>
    </xf>
    <xf numFmtId="49" fontId="103" fillId="4" borderId="44" xfId="0" applyNumberFormat="1" applyFont="1" applyFill="1" applyBorder="1" applyAlignment="1">
      <alignment horizontal="center" vertical="center"/>
    </xf>
    <xf numFmtId="49" fontId="103" fillId="4" borderId="67" xfId="0" applyNumberFormat="1" applyFont="1" applyFill="1" applyBorder="1" applyAlignment="1">
      <alignment horizontal="center" vertical="center"/>
    </xf>
    <xf numFmtId="0" fontId="104" fillId="4" borderId="58" xfId="0" applyFont="1" applyFill="1" applyBorder="1" applyAlignment="1">
      <alignment horizontal="center" vertical="center" wrapText="1"/>
    </xf>
    <xf numFmtId="0" fontId="104" fillId="4" borderId="0" xfId="0" applyFont="1" applyFill="1" applyAlignment="1">
      <alignment horizontal="center" vertical="center" wrapText="1"/>
    </xf>
    <xf numFmtId="0" fontId="199" fillId="0" borderId="63" xfId="0" applyFont="1" applyBorder="1" applyAlignment="1">
      <alignment horizontal="center" vertical="center"/>
    </xf>
    <xf numFmtId="0" fontId="49" fillId="0" borderId="12" xfId="0" quotePrefix="1" applyFont="1" applyBorder="1" applyAlignment="1">
      <alignment horizontal="left" vertical="center" wrapText="1"/>
    </xf>
    <xf numFmtId="0" fontId="49" fillId="0" borderId="12" xfId="0" applyFont="1" applyBorder="1" applyAlignment="1">
      <alignment horizontal="left" vertical="center" wrapText="1"/>
    </xf>
    <xf numFmtId="0" fontId="102" fillId="32" borderId="62" xfId="0" applyFont="1" applyFill="1" applyBorder="1" applyAlignment="1">
      <alignment horizontal="center" vertical="center"/>
    </xf>
    <xf numFmtId="0" fontId="102" fillId="32" borderId="44" xfId="0" applyFont="1" applyFill="1" applyBorder="1" applyAlignment="1">
      <alignment horizontal="center" vertical="center"/>
    </xf>
    <xf numFmtId="0" fontId="107" fillId="32" borderId="62" xfId="0" applyFont="1" applyFill="1" applyBorder="1" applyAlignment="1">
      <alignment horizontal="center" vertical="center"/>
    </xf>
    <xf numFmtId="0" fontId="107" fillId="32" borderId="44" xfId="0" applyFont="1" applyFill="1" applyBorder="1" applyAlignment="1">
      <alignment horizontal="center" vertical="center"/>
    </xf>
    <xf numFmtId="0" fontId="135" fillId="4" borderId="57" xfId="0" applyFont="1" applyFill="1" applyBorder="1" applyAlignment="1">
      <alignment horizontal="center" vertical="center"/>
    </xf>
    <xf numFmtId="0" fontId="125" fillId="28" borderId="0" xfId="0" quotePrefix="1" applyFont="1" applyFill="1" applyAlignment="1">
      <alignment horizontal="center" vertical="center"/>
    </xf>
    <xf numFmtId="164" fontId="107" fillId="0" borderId="12" xfId="0" applyNumberFormat="1" applyFont="1" applyBorder="1" applyAlignment="1">
      <alignment horizontal="center" vertical="center"/>
    </xf>
    <xf numFmtId="0" fontId="103" fillId="28" borderId="12" xfId="0" applyFont="1" applyFill="1" applyBorder="1" applyAlignment="1">
      <alignment horizontal="center" wrapText="1"/>
    </xf>
    <xf numFmtId="0" fontId="125" fillId="28" borderId="12" xfId="0" applyFont="1" applyFill="1" applyBorder="1" applyAlignment="1">
      <alignment horizontal="center" vertical="center" wrapText="1"/>
    </xf>
    <xf numFmtId="0" fontId="107" fillId="28" borderId="12" xfId="0" applyFont="1" applyFill="1" applyBorder="1" applyAlignment="1">
      <alignment horizontal="center" vertical="center"/>
    </xf>
    <xf numFmtId="0" fontId="107" fillId="28" borderId="12" xfId="0" applyFont="1" applyFill="1" applyBorder="1" applyAlignment="1">
      <alignment horizontal="center" vertical="center" wrapText="1"/>
    </xf>
    <xf numFmtId="0" fontId="113" fillId="0" borderId="12" xfId="0" applyFont="1" applyBorder="1" applyAlignment="1">
      <alignment horizontal="center" vertical="center" wrapText="1"/>
    </xf>
    <xf numFmtId="0" fontId="0" fillId="0" borderId="0" xfId="0" applyAlignment="1">
      <alignment horizontal="center" vertical="center" wrapText="1"/>
    </xf>
    <xf numFmtId="0" fontId="125" fillId="30" borderId="0" xfId="0" applyFont="1" applyFill="1" applyAlignment="1">
      <alignment horizontal="center" vertical="center" wrapText="1"/>
    </xf>
    <xf numFmtId="0" fontId="204" fillId="0" borderId="12" xfId="0" quotePrefix="1" applyFont="1" applyBorder="1" applyAlignment="1">
      <alignment horizontal="center" vertical="center" wrapText="1"/>
    </xf>
    <xf numFmtId="0" fontId="107" fillId="28" borderId="44" xfId="0" applyFont="1" applyFill="1" applyBorder="1" applyAlignment="1">
      <alignment horizontal="center" vertical="center" wrapText="1"/>
    </xf>
    <xf numFmtId="0" fontId="107" fillId="28" borderId="44" xfId="0" applyFont="1" applyFill="1" applyBorder="1" applyAlignment="1">
      <alignment horizontal="center" vertical="center"/>
    </xf>
    <xf numFmtId="0" fontId="107" fillId="28" borderId="44" xfId="0" quotePrefix="1" applyFont="1" applyFill="1" applyBorder="1" applyAlignment="1">
      <alignment horizontal="center" vertical="center"/>
    </xf>
    <xf numFmtId="49" fontId="5" fillId="0" borderId="39" xfId="0" quotePrefix="1" applyNumberFormat="1" applyFont="1" applyBorder="1" applyAlignment="1">
      <alignment horizontal="left"/>
    </xf>
    <xf numFmtId="49" fontId="5" fillId="0" borderId="79" xfId="0" applyNumberFormat="1" applyFont="1" applyBorder="1" applyAlignment="1">
      <alignment horizontal="left"/>
    </xf>
    <xf numFmtId="0" fontId="5" fillId="0" borderId="39" xfId="0" applyFont="1" applyBorder="1" applyAlignment="1">
      <alignment horizontal="left" wrapText="1"/>
    </xf>
    <xf numFmtId="0" fontId="5" fillId="0" borderId="38" xfId="0" applyFont="1" applyBorder="1" applyAlignment="1">
      <alignment horizontal="left" wrapText="1"/>
    </xf>
    <xf numFmtId="0" fontId="5" fillId="0" borderId="131" xfId="0" quotePrefix="1" applyFont="1" applyBorder="1" applyAlignment="1">
      <alignment horizontal="left" vertical="center" wrapText="1"/>
    </xf>
    <xf numFmtId="0" fontId="5" fillId="0" borderId="37" xfId="0" quotePrefix="1" applyFont="1" applyBorder="1" applyAlignment="1">
      <alignment horizontal="left" vertical="center" wrapText="1"/>
    </xf>
    <xf numFmtId="0" fontId="5" fillId="0" borderId="35" xfId="0" quotePrefix="1" applyFont="1" applyBorder="1" applyAlignment="1">
      <alignment horizontal="left" vertical="center" wrapText="1"/>
    </xf>
    <xf numFmtId="0" fontId="5" fillId="0" borderId="42" xfId="0" quotePrefix="1" applyFont="1" applyBorder="1" applyAlignment="1">
      <alignment horizontal="left" vertical="center" wrapText="1"/>
    </xf>
    <xf numFmtId="0" fontId="5" fillId="0" borderId="44" xfId="0" quotePrefix="1" applyFont="1" applyBorder="1" applyAlignment="1">
      <alignment horizontal="left" vertical="center" wrapText="1"/>
    </xf>
    <xf numFmtId="0" fontId="5" fillId="0" borderId="41" xfId="0" quotePrefix="1" applyFont="1" applyBorder="1" applyAlignment="1">
      <alignment horizontal="left" vertical="center" wrapText="1"/>
    </xf>
    <xf numFmtId="0" fontId="5" fillId="0" borderId="42" xfId="0" quotePrefix="1" applyFont="1" applyBorder="1" applyAlignment="1">
      <alignment horizontal="left" wrapText="1"/>
    </xf>
    <xf numFmtId="0" fontId="0" fillId="0" borderId="41" xfId="0" applyBorder="1" applyAlignment="1">
      <alignment horizontal="left" wrapText="1"/>
    </xf>
    <xf numFmtId="49" fontId="5" fillId="0" borderId="131" xfId="0" applyNumberFormat="1" applyFont="1" applyBorder="1" applyAlignment="1">
      <alignment horizontal="left" wrapText="1"/>
    </xf>
    <xf numFmtId="49" fontId="5" fillId="0" borderId="37" xfId="0" applyNumberFormat="1" applyFont="1" applyBorder="1" applyAlignment="1">
      <alignment horizontal="left" wrapText="1"/>
    </xf>
    <xf numFmtId="49" fontId="5" fillId="0" borderId="35" xfId="0" applyNumberFormat="1" applyFont="1" applyBorder="1" applyAlignment="1">
      <alignment horizontal="left" wrapText="1"/>
    </xf>
    <xf numFmtId="49" fontId="5" fillId="0" borderId="42" xfId="0" applyNumberFormat="1" applyFont="1" applyBorder="1" applyAlignment="1">
      <alignment horizontal="left" wrapText="1"/>
    </xf>
    <xf numFmtId="49" fontId="5" fillId="0" borderId="44" xfId="0" applyNumberFormat="1" applyFont="1" applyBorder="1" applyAlignment="1">
      <alignment horizontal="left" wrapText="1"/>
    </xf>
    <xf numFmtId="49" fontId="5" fillId="0" borderId="41" xfId="0" applyNumberFormat="1" applyFont="1" applyBorder="1" applyAlignment="1">
      <alignment horizontal="left" wrapText="1"/>
    </xf>
    <xf numFmtId="0" fontId="5" fillId="0" borderId="42" xfId="0" applyFont="1" applyBorder="1" applyAlignment="1">
      <alignment horizontal="left" wrapText="1"/>
    </xf>
    <xf numFmtId="49" fontId="5" fillId="0" borderId="43" xfId="0" applyNumberFormat="1" applyFont="1" applyBorder="1" applyAlignment="1">
      <alignment horizontal="left" wrapText="1"/>
    </xf>
    <xf numFmtId="0" fontId="0" fillId="0" borderId="1" xfId="0" applyBorder="1" applyAlignment="1">
      <alignment horizontal="left" wrapText="1"/>
    </xf>
    <xf numFmtId="0" fontId="0" fillId="0" borderId="65" xfId="0" applyBorder="1" applyAlignment="1">
      <alignment horizontal="left" wrapText="1"/>
    </xf>
    <xf numFmtId="49" fontId="5" fillId="0" borderId="43" xfId="0" quotePrefix="1" applyNumberFormat="1" applyFont="1" applyBorder="1" applyAlignment="1">
      <alignment horizontal="left" wrapText="1"/>
    </xf>
    <xf numFmtId="0" fontId="20" fillId="0" borderId="0" xfId="0" applyFont="1" applyAlignment="1">
      <alignment horizontal="left" vertical="center"/>
    </xf>
    <xf numFmtId="0" fontId="167" fillId="30" borderId="12" xfId="0" quotePrefix="1" applyFont="1" applyFill="1" applyBorder="1" applyAlignment="1">
      <alignment horizontal="left" vertical="center" wrapText="1"/>
    </xf>
    <xf numFmtId="0" fontId="167" fillId="30" borderId="12" xfId="0" applyFont="1" applyFill="1" applyBorder="1" applyAlignment="1">
      <alignment horizontal="left" vertical="center" wrapText="1"/>
    </xf>
    <xf numFmtId="0" fontId="5" fillId="0" borderId="43" xfId="0" applyFont="1" applyBorder="1" applyAlignment="1">
      <alignment horizontal="center"/>
    </xf>
    <xf numFmtId="0" fontId="16" fillId="0" borderId="1" xfId="0" applyFont="1" applyBorder="1"/>
    <xf numFmtId="0" fontId="16" fillId="0" borderId="65" xfId="0" applyFont="1" applyBorder="1"/>
    <xf numFmtId="0" fontId="12" fillId="0" borderId="2" xfId="0" applyFont="1" applyBorder="1" applyAlignment="1">
      <alignment horizontal="center" vertical="center"/>
    </xf>
    <xf numFmtId="0" fontId="16" fillId="0" borderId="4" xfId="0" applyFont="1" applyBorder="1" applyAlignment="1">
      <alignment horizontal="center"/>
    </xf>
    <xf numFmtId="0" fontId="12" fillId="0" borderId="2" xfId="0" applyFont="1" applyBorder="1" applyAlignment="1" applyProtection="1">
      <alignment horizontal="center" vertical="center"/>
      <protection locked="0" hidden="1"/>
    </xf>
    <xf numFmtId="49" fontId="5" fillId="2" borderId="39" xfId="0" quotePrefix="1" applyNumberFormat="1" applyFont="1" applyFill="1" applyBorder="1" applyAlignment="1">
      <alignment horizontal="left"/>
    </xf>
    <xf numFmtId="49" fontId="5" fillId="2" borderId="79" xfId="0" applyNumberFormat="1" applyFont="1" applyFill="1" applyBorder="1" applyAlignment="1">
      <alignment horizontal="left"/>
    </xf>
    <xf numFmtId="0" fontId="5" fillId="2" borderId="39" xfId="0" applyFont="1" applyFill="1" applyBorder="1" applyAlignment="1">
      <alignment horizontal="left" wrapText="1"/>
    </xf>
    <xf numFmtId="0" fontId="5" fillId="2" borderId="38" xfId="0" applyFont="1" applyFill="1" applyBorder="1" applyAlignment="1">
      <alignment horizontal="left" wrapText="1"/>
    </xf>
    <xf numFmtId="0" fontId="5" fillId="2" borderId="131" xfId="0" quotePrefix="1" applyFont="1" applyFill="1" applyBorder="1" applyAlignment="1">
      <alignment horizontal="left" wrapText="1"/>
    </xf>
    <xf numFmtId="0" fontId="5" fillId="2" borderId="37" xfId="0" quotePrefix="1" applyFont="1" applyFill="1" applyBorder="1" applyAlignment="1">
      <alignment horizontal="left" wrapText="1"/>
    </xf>
    <xf numFmtId="0" fontId="5" fillId="2" borderId="35" xfId="0" quotePrefix="1" applyFont="1" applyFill="1" applyBorder="1" applyAlignment="1">
      <alignment horizontal="left" wrapText="1"/>
    </xf>
    <xf numFmtId="0" fontId="5" fillId="2" borderId="42" xfId="0" quotePrefix="1" applyFont="1" applyFill="1" applyBorder="1" applyAlignment="1">
      <alignment horizontal="left" wrapText="1"/>
    </xf>
    <xf numFmtId="0" fontId="5" fillId="2" borderId="44" xfId="0" quotePrefix="1" applyFont="1" applyFill="1" applyBorder="1" applyAlignment="1">
      <alignment horizontal="left" wrapText="1"/>
    </xf>
    <xf numFmtId="0" fontId="5" fillId="2" borderId="41" xfId="0" quotePrefix="1" applyFont="1" applyFill="1" applyBorder="1" applyAlignment="1">
      <alignment horizontal="left" wrapText="1"/>
    </xf>
    <xf numFmtId="49" fontId="6" fillId="2" borderId="131" xfId="0" applyNumberFormat="1" applyFont="1" applyFill="1" applyBorder="1" applyAlignment="1">
      <alignment horizontal="left" wrapText="1"/>
    </xf>
    <xf numFmtId="49" fontId="5" fillId="2" borderId="37" xfId="0" applyNumberFormat="1" applyFont="1" applyFill="1" applyBorder="1" applyAlignment="1">
      <alignment horizontal="left" wrapText="1"/>
    </xf>
    <xf numFmtId="49" fontId="5" fillId="2" borderId="35" xfId="0" applyNumberFormat="1" applyFont="1" applyFill="1" applyBorder="1" applyAlignment="1">
      <alignment horizontal="left" wrapText="1"/>
    </xf>
    <xf numFmtId="49" fontId="5" fillId="2" borderId="42" xfId="0" applyNumberFormat="1" applyFont="1" applyFill="1" applyBorder="1" applyAlignment="1">
      <alignment horizontal="left" wrapText="1"/>
    </xf>
    <xf numFmtId="49" fontId="5" fillId="2" borderId="44" xfId="0" applyNumberFormat="1" applyFont="1" applyFill="1" applyBorder="1" applyAlignment="1">
      <alignment horizontal="left" wrapText="1"/>
    </xf>
    <xf numFmtId="49" fontId="5" fillId="2" borderId="41" xfId="0" applyNumberFormat="1" applyFont="1" applyFill="1" applyBorder="1" applyAlignment="1">
      <alignment horizontal="left" wrapText="1"/>
    </xf>
    <xf numFmtId="0" fontId="5" fillId="2" borderId="42" xfId="0" applyFont="1" applyFill="1" applyBorder="1" applyAlignment="1">
      <alignment horizontal="left" wrapText="1"/>
    </xf>
    <xf numFmtId="49" fontId="5" fillId="2" borderId="43" xfId="0" applyNumberFormat="1" applyFont="1" applyFill="1" applyBorder="1" applyAlignment="1">
      <alignment horizontal="left" wrapText="1"/>
    </xf>
    <xf numFmtId="49" fontId="5" fillId="2" borderId="43" xfId="0" quotePrefix="1" applyNumberFormat="1" applyFont="1" applyFill="1" applyBorder="1" applyAlignment="1">
      <alignment horizontal="left" wrapText="1"/>
    </xf>
    <xf numFmtId="0" fontId="20" fillId="2" borderId="0" xfId="0" applyFont="1" applyFill="1" applyAlignment="1">
      <alignment horizontal="center"/>
    </xf>
    <xf numFmtId="0" fontId="20" fillId="30" borderId="12" xfId="0" quotePrefix="1" applyFont="1" applyFill="1" applyBorder="1" applyAlignment="1">
      <alignment horizontal="left" vertical="center" wrapText="1"/>
    </xf>
    <xf numFmtId="0" fontId="20" fillId="30" borderId="12" xfId="0" applyFont="1" applyFill="1" applyBorder="1" applyAlignment="1">
      <alignment horizontal="left" vertical="center" wrapText="1"/>
    </xf>
    <xf numFmtId="0" fontId="12" fillId="0" borderId="4" xfId="0" applyFont="1" applyBorder="1" applyAlignment="1" applyProtection="1">
      <alignment horizontal="center" vertical="center"/>
      <protection locked="0" hidden="1"/>
    </xf>
    <xf numFmtId="0" fontId="20" fillId="2" borderId="0" xfId="0" applyFont="1" applyFill="1" applyAlignment="1">
      <alignment horizontal="left"/>
    </xf>
    <xf numFmtId="49" fontId="5" fillId="2" borderId="131" xfId="0" applyNumberFormat="1" applyFont="1" applyFill="1" applyBorder="1" applyAlignment="1">
      <alignment horizontal="left" wrapText="1"/>
    </xf>
    <xf numFmtId="0" fontId="0" fillId="0" borderId="44" xfId="0" applyBorder="1" applyAlignment="1">
      <alignment horizontal="left" wrapText="1"/>
    </xf>
    <xf numFmtId="0" fontId="7" fillId="30" borderId="12" xfId="0" quotePrefix="1" applyFont="1" applyFill="1" applyBorder="1" applyAlignment="1">
      <alignment horizontal="left" vertical="center" wrapText="1"/>
    </xf>
    <xf numFmtId="0" fontId="7" fillId="30" borderId="12" xfId="0" applyFont="1" applyFill="1" applyBorder="1" applyAlignment="1">
      <alignment horizontal="left" vertical="center" wrapText="1"/>
    </xf>
    <xf numFmtId="49" fontId="18" fillId="2" borderId="12" xfId="0" applyNumberFormat="1" applyFont="1" applyFill="1" applyBorder="1" applyAlignment="1">
      <alignment horizontal="left" wrapText="1"/>
    </xf>
    <xf numFmtId="0" fontId="20" fillId="10" borderId="12" xfId="0" quotePrefix="1" applyFont="1" applyFill="1" applyBorder="1" applyAlignment="1">
      <alignment horizontal="left" vertical="center" wrapText="1"/>
    </xf>
    <xf numFmtId="0" fontId="20" fillId="10" borderId="12" xfId="0" applyFont="1" applyFill="1" applyBorder="1" applyAlignment="1">
      <alignment horizontal="left" vertical="center" wrapText="1"/>
    </xf>
    <xf numFmtId="0" fontId="20" fillId="5" borderId="1" xfId="0" quotePrefix="1" applyFont="1" applyFill="1" applyBorder="1" applyAlignment="1">
      <alignment horizontal="left" vertical="center" wrapText="1"/>
    </xf>
    <xf numFmtId="0" fontId="20" fillId="5" borderId="1" xfId="0" applyFont="1" applyFill="1" applyBorder="1" applyAlignment="1">
      <alignment horizontal="left" vertical="center" wrapText="1"/>
    </xf>
    <xf numFmtId="0" fontId="5" fillId="0" borderId="30" xfId="0" applyFont="1" applyBorder="1" applyAlignment="1">
      <alignment horizontal="center"/>
    </xf>
    <xf numFmtId="0" fontId="16" fillId="0" borderId="31" xfId="0" applyFont="1" applyBorder="1"/>
    <xf numFmtId="0" fontId="16" fillId="0" borderId="32" xfId="0" applyFont="1" applyBorder="1"/>
    <xf numFmtId="0" fontId="12" fillId="0" borderId="45" xfId="0" applyFont="1" applyBorder="1" applyAlignment="1">
      <alignment horizontal="center" vertical="center"/>
    </xf>
    <xf numFmtId="0" fontId="12" fillId="0" borderId="45" xfId="0" applyFont="1" applyBorder="1" applyAlignment="1" applyProtection="1">
      <alignment horizontal="center" vertical="center"/>
      <protection locked="0" hidden="1"/>
    </xf>
    <xf numFmtId="0" fontId="168" fillId="30" borderId="12" xfId="0" quotePrefix="1" applyFont="1" applyFill="1" applyBorder="1" applyAlignment="1">
      <alignment horizontal="left" vertical="center" wrapText="1"/>
    </xf>
    <xf numFmtId="0" fontId="168" fillId="30" borderId="12" xfId="0" applyFont="1" applyFill="1" applyBorder="1" applyAlignment="1">
      <alignment horizontal="left" vertical="center" wrapText="1"/>
    </xf>
    <xf numFmtId="0" fontId="20" fillId="0" borderId="0" xfId="0" applyFont="1" applyAlignment="1">
      <alignment horizontal="left"/>
    </xf>
    <xf numFmtId="0" fontId="169" fillId="30" borderId="12" xfId="0" quotePrefix="1" applyFont="1" applyFill="1" applyBorder="1" applyAlignment="1">
      <alignment horizontal="left" vertical="center" wrapText="1"/>
    </xf>
    <xf numFmtId="0" fontId="169" fillId="30" borderId="12" xfId="0" applyFont="1" applyFill="1" applyBorder="1" applyAlignment="1">
      <alignment horizontal="left" vertical="center" wrapText="1"/>
    </xf>
    <xf numFmtId="0" fontId="20" fillId="0" borderId="0" xfId="0" applyFont="1" applyAlignment="1">
      <alignment horizontal="center"/>
    </xf>
    <xf numFmtId="0" fontId="4" fillId="28" borderId="0" xfId="0" applyFont="1" applyFill="1" applyAlignment="1">
      <alignment horizontal="center" vertical="center"/>
    </xf>
    <xf numFmtId="0" fontId="168" fillId="15" borderId="1" xfId="0" quotePrefix="1" applyFont="1" applyFill="1" applyBorder="1" applyAlignment="1">
      <alignment horizontal="left" vertical="center" wrapText="1"/>
    </xf>
    <xf numFmtId="0" fontId="168" fillId="15" borderId="1" xfId="0" applyFont="1" applyFill="1" applyBorder="1" applyAlignment="1">
      <alignment horizontal="left" vertical="center" wrapText="1"/>
    </xf>
    <xf numFmtId="0" fontId="4" fillId="0" borderId="31" xfId="0" applyFont="1" applyBorder="1"/>
    <xf numFmtId="0" fontId="4" fillId="0" borderId="32" xfId="0" applyFont="1" applyBorder="1"/>
    <xf numFmtId="0" fontId="4" fillId="0" borderId="4" xfId="0" applyFont="1" applyBorder="1" applyAlignment="1">
      <alignment horizontal="center"/>
    </xf>
    <xf numFmtId="0" fontId="5" fillId="0" borderId="131" xfId="0" quotePrefix="1" applyFont="1" applyBorder="1" applyAlignment="1">
      <alignment horizontal="left" wrapText="1"/>
    </xf>
    <xf numFmtId="0" fontId="5" fillId="0" borderId="37" xfId="0" quotePrefix="1" applyFont="1" applyBorder="1" applyAlignment="1">
      <alignment horizontal="left" wrapText="1"/>
    </xf>
    <xf numFmtId="0" fontId="5" fillId="0" borderId="35" xfId="0" quotePrefix="1" applyFont="1" applyBorder="1" applyAlignment="1">
      <alignment horizontal="left" wrapText="1"/>
    </xf>
    <xf numFmtId="0" fontId="5" fillId="0" borderId="44" xfId="0" quotePrefix="1" applyFont="1" applyBorder="1" applyAlignment="1">
      <alignment horizontal="left" wrapText="1"/>
    </xf>
    <xf numFmtId="0" fontId="5" fillId="0" borderId="41" xfId="0" quotePrefix="1" applyFont="1" applyBorder="1" applyAlignment="1">
      <alignment horizontal="left" wrapText="1"/>
    </xf>
    <xf numFmtId="0" fontId="20" fillId="15" borderId="1" xfId="0" quotePrefix="1" applyFont="1" applyFill="1" applyBorder="1" applyAlignment="1">
      <alignment horizontal="left" vertical="center" wrapText="1"/>
    </xf>
    <xf numFmtId="0" fontId="20" fillId="15" borderId="1" xfId="0" applyFont="1" applyFill="1" applyBorder="1" applyAlignment="1">
      <alignment horizontal="left" vertical="center" wrapText="1"/>
    </xf>
    <xf numFmtId="0" fontId="16" fillId="0" borderId="2" xfId="0" applyFont="1" applyBorder="1" applyAlignment="1">
      <alignment horizontal="center"/>
    </xf>
    <xf numFmtId="0" fontId="168" fillId="15" borderId="12" xfId="0" quotePrefix="1" applyFont="1" applyFill="1" applyBorder="1" applyAlignment="1">
      <alignment horizontal="left" vertical="center" wrapText="1"/>
    </xf>
    <xf numFmtId="0" fontId="168" fillId="15" borderId="12" xfId="0" applyFont="1" applyFill="1" applyBorder="1" applyAlignment="1">
      <alignment horizontal="left" vertical="center" wrapText="1"/>
    </xf>
    <xf numFmtId="0" fontId="167" fillId="15" borderId="12" xfId="0" quotePrefix="1" applyFont="1" applyFill="1" applyBorder="1" applyAlignment="1">
      <alignment horizontal="left" vertical="center" wrapText="1"/>
    </xf>
    <xf numFmtId="0" fontId="167" fillId="15" borderId="12" xfId="0" applyFont="1" applyFill="1" applyBorder="1" applyAlignment="1">
      <alignment horizontal="left" vertical="center" wrapText="1"/>
    </xf>
    <xf numFmtId="0" fontId="20" fillId="2" borderId="44" xfId="0" applyFont="1" applyFill="1" applyBorder="1" applyAlignment="1">
      <alignment horizontal="left"/>
    </xf>
    <xf numFmtId="0" fontId="20" fillId="15" borderId="12" xfId="0" quotePrefix="1" applyFont="1" applyFill="1" applyBorder="1" applyAlignment="1">
      <alignment horizontal="left" vertical="center" wrapText="1"/>
    </xf>
    <xf numFmtId="0" fontId="20" fillId="15" borderId="12" xfId="0" applyFont="1" applyFill="1" applyBorder="1" applyAlignment="1">
      <alignment horizontal="left" vertical="center" wrapText="1"/>
    </xf>
    <xf numFmtId="49" fontId="6" fillId="0" borderId="131" xfId="0" applyNumberFormat="1" applyFont="1" applyBorder="1" applyAlignment="1">
      <alignment horizontal="left" wrapText="1"/>
    </xf>
    <xf numFmtId="0" fontId="7" fillId="15" borderId="12" xfId="0" quotePrefix="1" applyFont="1" applyFill="1" applyBorder="1" applyAlignment="1">
      <alignment horizontal="left" vertical="center" wrapText="1"/>
    </xf>
    <xf numFmtId="0" fontId="7" fillId="15" borderId="12" xfId="0" applyFont="1" applyFill="1" applyBorder="1" applyAlignment="1">
      <alignment horizontal="left" vertical="center" wrapText="1"/>
    </xf>
    <xf numFmtId="49" fontId="18" fillId="0" borderId="12" xfId="0" applyNumberFormat="1" applyFont="1" applyBorder="1" applyAlignment="1">
      <alignment horizontal="left" wrapText="1"/>
    </xf>
    <xf numFmtId="0" fontId="169" fillId="15" borderId="12" xfId="0" quotePrefix="1" applyFont="1" applyFill="1" applyBorder="1" applyAlignment="1">
      <alignment horizontal="left" vertical="center" wrapText="1"/>
    </xf>
    <xf numFmtId="0" fontId="169" fillId="15" borderId="12" xfId="0" applyFont="1" applyFill="1" applyBorder="1" applyAlignment="1">
      <alignment horizontal="left" vertical="center" wrapText="1"/>
    </xf>
    <xf numFmtId="0" fontId="151" fillId="10" borderId="0" xfId="0" applyFont="1" applyFill="1" applyAlignment="1">
      <alignment horizontal="center" vertical="center" wrapText="1"/>
    </xf>
    <xf numFmtId="0" fontId="167" fillId="15" borderId="12" xfId="0" quotePrefix="1" applyFont="1" applyFill="1" applyBorder="1" applyAlignment="1">
      <alignment horizontal="center" vertical="center" wrapText="1"/>
    </xf>
    <xf numFmtId="0" fontId="167" fillId="15" borderId="12" xfId="0" applyFont="1" applyFill="1" applyBorder="1" applyAlignment="1">
      <alignment horizontal="center" vertical="center" wrapText="1"/>
    </xf>
    <xf numFmtId="49" fontId="5" fillId="13" borderId="43" xfId="0" applyNumberFormat="1" applyFont="1" applyFill="1" applyBorder="1" applyAlignment="1">
      <alignment horizontal="left" wrapText="1"/>
    </xf>
    <xf numFmtId="0" fontId="0" fillId="13" borderId="1" xfId="0" applyFill="1" applyBorder="1" applyAlignment="1">
      <alignment horizontal="left" wrapText="1"/>
    </xf>
    <xf numFmtId="0" fontId="0" fillId="13" borderId="65" xfId="0" applyFill="1" applyBorder="1" applyAlignment="1">
      <alignment horizontal="left" wrapText="1"/>
    </xf>
    <xf numFmtId="49" fontId="5" fillId="13" borderId="43" xfId="0" quotePrefix="1" applyNumberFormat="1" applyFont="1" applyFill="1" applyBorder="1" applyAlignment="1">
      <alignment horizontal="left" wrapText="1"/>
    </xf>
    <xf numFmtId="49" fontId="5" fillId="13" borderId="39" xfId="0" quotePrefix="1" applyNumberFormat="1" applyFont="1" applyFill="1" applyBorder="1" applyAlignment="1">
      <alignment horizontal="left"/>
    </xf>
    <xf numFmtId="49" fontId="5" fillId="13" borderId="79" xfId="0" applyNumberFormat="1" applyFont="1" applyFill="1" applyBorder="1" applyAlignment="1">
      <alignment horizontal="left"/>
    </xf>
    <xf numFmtId="0" fontId="5" fillId="13" borderId="39" xfId="0" applyFont="1" applyFill="1" applyBorder="1" applyAlignment="1">
      <alignment horizontal="left" wrapText="1"/>
    </xf>
    <xf numFmtId="0" fontId="5" fillId="13" borderId="38" xfId="0" applyFont="1" applyFill="1" applyBorder="1" applyAlignment="1">
      <alignment horizontal="left" wrapText="1"/>
    </xf>
    <xf numFmtId="0" fontId="5" fillId="13" borderId="42" xfId="0" quotePrefix="1" applyFont="1" applyFill="1" applyBorder="1" applyAlignment="1">
      <alignment horizontal="left" wrapText="1"/>
    </xf>
    <xf numFmtId="0" fontId="0" fillId="13" borderId="44" xfId="0" applyFill="1" applyBorder="1" applyAlignment="1">
      <alignment horizontal="left" wrapText="1"/>
    </xf>
    <xf numFmtId="0" fontId="0" fillId="13" borderId="41" xfId="0" applyFill="1" applyBorder="1" applyAlignment="1">
      <alignment horizontal="left" wrapText="1"/>
    </xf>
    <xf numFmtId="49" fontId="5" fillId="13" borderId="131" xfId="0" applyNumberFormat="1" applyFont="1" applyFill="1" applyBorder="1" applyAlignment="1">
      <alignment horizontal="left" wrapText="1"/>
    </xf>
    <xf numFmtId="49" fontId="5" fillId="13" borderId="37" xfId="0" applyNumberFormat="1" applyFont="1" applyFill="1" applyBorder="1" applyAlignment="1">
      <alignment horizontal="left" wrapText="1"/>
    </xf>
    <xf numFmtId="49" fontId="5" fillId="13" borderId="35" xfId="0" applyNumberFormat="1" applyFont="1" applyFill="1" applyBorder="1" applyAlignment="1">
      <alignment horizontal="left" wrapText="1"/>
    </xf>
    <xf numFmtId="49" fontId="5" fillId="13" borderId="42" xfId="0" applyNumberFormat="1" applyFont="1" applyFill="1" applyBorder="1" applyAlignment="1">
      <alignment horizontal="left" wrapText="1"/>
    </xf>
    <xf numFmtId="49" fontId="5" fillId="13" borderId="44" xfId="0" applyNumberFormat="1" applyFont="1" applyFill="1" applyBorder="1" applyAlignment="1">
      <alignment horizontal="left" wrapText="1"/>
    </xf>
    <xf numFmtId="49" fontId="5" fillId="13" borderId="41" xfId="0" applyNumberFormat="1" applyFont="1" applyFill="1" applyBorder="1" applyAlignment="1">
      <alignment horizontal="left" wrapText="1"/>
    </xf>
    <xf numFmtId="0" fontId="5" fillId="13" borderId="42" xfId="0" applyFont="1" applyFill="1" applyBorder="1" applyAlignment="1">
      <alignment horizontal="left" wrapText="1"/>
    </xf>
    <xf numFmtId="0" fontId="18" fillId="13" borderId="0" xfId="0" applyFont="1" applyFill="1" applyAlignment="1">
      <alignment horizontal="center"/>
    </xf>
    <xf numFmtId="0" fontId="19" fillId="13" borderId="0" xfId="0" applyFont="1" applyFill="1" applyAlignment="1">
      <alignment horizontal="center"/>
    </xf>
    <xf numFmtId="0" fontId="20" fillId="13" borderId="0" xfId="0" applyFont="1" applyFill="1" applyAlignment="1">
      <alignment horizontal="left"/>
    </xf>
    <xf numFmtId="0" fontId="167" fillId="13" borderId="1" xfId="0" quotePrefix="1" applyFont="1" applyFill="1" applyBorder="1" applyAlignment="1">
      <alignment horizontal="left" vertical="center" wrapText="1"/>
    </xf>
    <xf numFmtId="0" fontId="167" fillId="13" borderId="1" xfId="0" applyFont="1" applyFill="1" applyBorder="1" applyAlignment="1">
      <alignment horizontal="left" vertical="center" wrapText="1"/>
    </xf>
    <xf numFmtId="0" fontId="5" fillId="13" borderId="30" xfId="0" applyFont="1" applyFill="1" applyBorder="1" applyAlignment="1">
      <alignment horizontal="center"/>
    </xf>
    <xf numFmtId="0" fontId="16" fillId="13" borderId="31" xfId="0" applyFont="1" applyFill="1" applyBorder="1"/>
    <xf numFmtId="0" fontId="16" fillId="13" borderId="32" xfId="0" applyFont="1" applyFill="1" applyBorder="1"/>
    <xf numFmtId="0" fontId="12" fillId="13" borderId="45" xfId="0" applyFont="1" applyFill="1" applyBorder="1" applyAlignment="1">
      <alignment horizontal="center" vertical="center"/>
    </xf>
    <xf numFmtId="0" fontId="16" fillId="13" borderId="4" xfId="0" applyFont="1" applyFill="1" applyBorder="1" applyAlignment="1">
      <alignment horizontal="center"/>
    </xf>
    <xf numFmtId="0" fontId="12" fillId="13" borderId="45" xfId="0" applyFont="1" applyFill="1" applyBorder="1" applyAlignment="1" applyProtection="1">
      <alignment horizontal="center" vertical="center"/>
      <protection locked="0" hidden="1"/>
    </xf>
    <xf numFmtId="0" fontId="12" fillId="13" borderId="2" xfId="0" applyFont="1" applyFill="1" applyBorder="1" applyAlignment="1" applyProtection="1">
      <alignment horizontal="center" vertical="center"/>
      <protection locked="0" hidden="1"/>
    </xf>
    <xf numFmtId="0" fontId="18" fillId="13" borderId="0" xfId="0" quotePrefix="1" applyFont="1" applyFill="1" applyAlignment="1">
      <alignment horizontal="center"/>
    </xf>
    <xf numFmtId="0" fontId="167" fillId="15" borderId="1" xfId="0" quotePrefix="1" applyFont="1" applyFill="1" applyBorder="1" applyAlignment="1">
      <alignment horizontal="left" vertical="center" wrapText="1"/>
    </xf>
    <xf numFmtId="0" fontId="167" fillId="15" borderId="1" xfId="0" applyFont="1" applyFill="1" applyBorder="1" applyAlignment="1">
      <alignment horizontal="left" vertical="center" wrapText="1"/>
    </xf>
    <xf numFmtId="0" fontId="168" fillId="15" borderId="12" xfId="0" quotePrefix="1" applyFont="1" applyFill="1" applyBorder="1" applyAlignment="1">
      <alignment horizontal="center" vertical="center" wrapText="1"/>
    </xf>
    <xf numFmtId="0" fontId="168" fillId="15" borderId="12" xfId="0" applyFont="1" applyFill="1" applyBorder="1" applyAlignment="1">
      <alignment horizontal="center" vertical="center" wrapText="1"/>
    </xf>
    <xf numFmtId="0" fontId="187" fillId="0" borderId="0" xfId="0" applyFont="1" applyAlignment="1">
      <alignment horizontal="center"/>
    </xf>
    <xf numFmtId="0" fontId="169" fillId="29" borderId="12" xfId="0" quotePrefix="1" applyFont="1" applyFill="1" applyBorder="1" applyAlignment="1">
      <alignment horizontal="left" vertical="center" wrapText="1"/>
    </xf>
    <xf numFmtId="0" fontId="169" fillId="29" borderId="12" xfId="0" applyFont="1" applyFill="1" applyBorder="1" applyAlignment="1">
      <alignment horizontal="left" vertical="center" wrapText="1"/>
    </xf>
    <xf numFmtId="49" fontId="5" fillId="10" borderId="39" xfId="0" quotePrefix="1" applyNumberFormat="1" applyFont="1" applyFill="1" applyBorder="1" applyAlignment="1">
      <alignment horizontal="left"/>
    </xf>
    <xf numFmtId="49" fontId="5" fillId="10" borderId="79" xfId="0" applyNumberFormat="1" applyFont="1" applyFill="1" applyBorder="1" applyAlignment="1">
      <alignment horizontal="left"/>
    </xf>
    <xf numFmtId="0" fontId="5" fillId="10" borderId="39" xfId="0" applyFont="1" applyFill="1" applyBorder="1" applyAlignment="1">
      <alignment horizontal="left" wrapText="1"/>
    </xf>
    <xf numFmtId="0" fontId="5" fillId="10" borderId="38" xfId="0" applyFont="1" applyFill="1" applyBorder="1" applyAlignment="1">
      <alignment horizontal="left" wrapText="1"/>
    </xf>
    <xf numFmtId="0" fontId="5" fillId="10" borderId="42" xfId="0" quotePrefix="1" applyFont="1" applyFill="1" applyBorder="1" applyAlignment="1">
      <alignment horizontal="left" wrapText="1"/>
    </xf>
    <xf numFmtId="0" fontId="0" fillId="10" borderId="44" xfId="0" applyFill="1" applyBorder="1" applyAlignment="1">
      <alignment horizontal="left" wrapText="1"/>
    </xf>
    <xf numFmtId="0" fontId="0" fillId="10" borderId="41" xfId="0" applyFill="1" applyBorder="1" applyAlignment="1">
      <alignment horizontal="left" wrapText="1"/>
    </xf>
    <xf numFmtId="49" fontId="5" fillId="10" borderId="131" xfId="0" applyNumberFormat="1" applyFont="1" applyFill="1" applyBorder="1" applyAlignment="1">
      <alignment horizontal="left" wrapText="1"/>
    </xf>
    <xf numFmtId="49" fontId="5" fillId="10" borderId="37" xfId="0" applyNumberFormat="1" applyFont="1" applyFill="1" applyBorder="1" applyAlignment="1">
      <alignment horizontal="left" wrapText="1"/>
    </xf>
    <xf numFmtId="49" fontId="5" fillId="10" borderId="35" xfId="0" applyNumberFormat="1" applyFont="1" applyFill="1" applyBorder="1" applyAlignment="1">
      <alignment horizontal="left" wrapText="1"/>
    </xf>
    <xf numFmtId="49" fontId="5" fillId="10" borderId="42" xfId="0" applyNumberFormat="1" applyFont="1" applyFill="1" applyBorder="1" applyAlignment="1">
      <alignment horizontal="left" wrapText="1"/>
    </xf>
    <xf numFmtId="49" fontId="5" fillId="10" borderId="44" xfId="0" applyNumberFormat="1" applyFont="1" applyFill="1" applyBorder="1" applyAlignment="1">
      <alignment horizontal="left" wrapText="1"/>
    </xf>
    <xf numFmtId="49" fontId="5" fillId="10" borderId="41" xfId="0" applyNumberFormat="1" applyFont="1" applyFill="1" applyBorder="1" applyAlignment="1">
      <alignment horizontal="left" wrapText="1"/>
    </xf>
    <xf numFmtId="0" fontId="5" fillId="10" borderId="42" xfId="0" applyFont="1" applyFill="1" applyBorder="1" applyAlignment="1">
      <alignment horizontal="left" wrapText="1"/>
    </xf>
    <xf numFmtId="49" fontId="5" fillId="10" borderId="43" xfId="0" applyNumberFormat="1" applyFont="1" applyFill="1" applyBorder="1" applyAlignment="1">
      <alignment horizontal="left" wrapText="1"/>
    </xf>
    <xf numFmtId="0" fontId="0" fillId="10" borderId="1" xfId="0" applyFill="1" applyBorder="1" applyAlignment="1">
      <alignment horizontal="left" wrapText="1"/>
    </xf>
    <xf numFmtId="0" fontId="0" fillId="10" borderId="65" xfId="0" applyFill="1" applyBorder="1" applyAlignment="1">
      <alignment horizontal="left" wrapText="1"/>
    </xf>
    <xf numFmtId="49" fontId="5" fillId="10" borderId="43" xfId="0" quotePrefix="1" applyNumberFormat="1" applyFont="1" applyFill="1" applyBorder="1" applyAlignment="1">
      <alignment horizontal="left" wrapText="1"/>
    </xf>
    <xf numFmtId="0" fontId="18" fillId="10" borderId="0" xfId="0" quotePrefix="1" applyFont="1" applyFill="1" applyAlignment="1">
      <alignment horizontal="center"/>
    </xf>
    <xf numFmtId="0" fontId="18" fillId="10" borderId="0" xfId="0" applyFont="1" applyFill="1" applyAlignment="1">
      <alignment horizontal="center"/>
    </xf>
    <xf numFmtId="0" fontId="19" fillId="10" borderId="0" xfId="0" applyFont="1" applyFill="1" applyAlignment="1">
      <alignment horizontal="center"/>
    </xf>
    <xf numFmtId="0" fontId="20" fillId="10" borderId="0" xfId="0" applyFont="1" applyFill="1" applyAlignment="1">
      <alignment horizontal="left"/>
    </xf>
    <xf numFmtId="0" fontId="167" fillId="10" borderId="1" xfId="0" quotePrefix="1" applyFont="1" applyFill="1" applyBorder="1" applyAlignment="1">
      <alignment horizontal="left" vertical="center" wrapText="1"/>
    </xf>
    <xf numFmtId="0" fontId="167" fillId="10" borderId="1" xfId="0" applyFont="1" applyFill="1" applyBorder="1" applyAlignment="1">
      <alignment horizontal="left" vertical="center" wrapText="1"/>
    </xf>
    <xf numFmtId="0" fontId="5" fillId="10" borderId="30" xfId="0" applyFont="1" applyFill="1" applyBorder="1" applyAlignment="1">
      <alignment horizontal="center"/>
    </xf>
    <xf numFmtId="0" fontId="16" fillId="10" borderId="31" xfId="0" applyFont="1" applyFill="1" applyBorder="1"/>
    <xf numFmtId="0" fontId="16" fillId="10" borderId="32" xfId="0" applyFont="1" applyFill="1" applyBorder="1"/>
    <xf numFmtId="0" fontId="12" fillId="10" borderId="45" xfId="0" applyFont="1" applyFill="1" applyBorder="1" applyAlignment="1">
      <alignment horizontal="center" vertical="center"/>
    </xf>
    <xf numFmtId="0" fontId="16" fillId="10" borderId="4" xfId="0" applyFont="1" applyFill="1" applyBorder="1" applyAlignment="1">
      <alignment horizontal="center"/>
    </xf>
    <xf numFmtId="0" fontId="12" fillId="10" borderId="45" xfId="0" applyFont="1" applyFill="1" applyBorder="1" applyAlignment="1" applyProtection="1">
      <alignment horizontal="center" vertical="center"/>
      <protection locked="0" hidden="1"/>
    </xf>
    <xf numFmtId="0" fontId="12" fillId="10" borderId="2" xfId="0" applyFont="1" applyFill="1" applyBorder="1" applyAlignment="1" applyProtection="1">
      <alignment horizontal="center" vertical="center"/>
      <protection locked="0" hidden="1"/>
    </xf>
    <xf numFmtId="49" fontId="18" fillId="10" borderId="12" xfId="0" applyNumberFormat="1" applyFont="1" applyFill="1" applyBorder="1" applyAlignment="1">
      <alignment horizontal="left" wrapText="1"/>
    </xf>
    <xf numFmtId="0" fontId="168" fillId="10" borderId="12" xfId="0" quotePrefix="1" applyFont="1" applyFill="1" applyBorder="1" applyAlignment="1">
      <alignment horizontal="left" vertical="center" wrapText="1"/>
    </xf>
    <xf numFmtId="0" fontId="168" fillId="10" borderId="12" xfId="0" applyFont="1" applyFill="1" applyBorder="1" applyAlignment="1">
      <alignment horizontal="left" vertical="center" wrapText="1"/>
    </xf>
    <xf numFmtId="0" fontId="5" fillId="10" borderId="43" xfId="0" applyFont="1" applyFill="1" applyBorder="1" applyAlignment="1">
      <alignment horizontal="center"/>
    </xf>
    <xf numFmtId="0" fontId="16" fillId="10" borderId="1" xfId="0" applyFont="1" applyFill="1" applyBorder="1"/>
    <xf numFmtId="0" fontId="16" fillId="10" borderId="65" xfId="0" applyFont="1" applyFill="1" applyBorder="1"/>
    <xf numFmtId="0" fontId="12" fillId="10" borderId="2" xfId="0" applyFont="1" applyFill="1" applyBorder="1" applyAlignment="1">
      <alignment horizontal="center" vertical="center"/>
    </xf>
    <xf numFmtId="0" fontId="12" fillId="10" borderId="4" xfId="0" applyFont="1" applyFill="1" applyBorder="1" applyAlignment="1" applyProtection="1">
      <alignment horizontal="center" vertical="center"/>
      <protection locked="0" hidden="1"/>
    </xf>
    <xf numFmtId="0" fontId="188" fillId="29" borderId="12" xfId="0" quotePrefix="1" applyFont="1" applyFill="1" applyBorder="1" applyAlignment="1">
      <alignment horizontal="left" vertical="center" wrapText="1"/>
    </xf>
    <xf numFmtId="0" fontId="189" fillId="29" borderId="12" xfId="0" quotePrefix="1" applyFont="1" applyFill="1" applyBorder="1" applyAlignment="1">
      <alignment horizontal="left" vertical="center" wrapText="1"/>
    </xf>
    <xf numFmtId="0" fontId="189" fillId="29" borderId="12" xfId="0" applyFont="1" applyFill="1" applyBorder="1" applyAlignment="1">
      <alignment horizontal="left" vertical="center" wrapText="1"/>
    </xf>
    <xf numFmtId="0" fontId="20" fillId="2" borderId="0" xfId="0" applyFont="1" applyFill="1" applyAlignment="1">
      <alignment horizontal="left" vertical="center"/>
    </xf>
    <xf numFmtId="0" fontId="190" fillId="29" borderId="12" xfId="0" quotePrefix="1" applyFont="1" applyFill="1" applyBorder="1" applyAlignment="1">
      <alignment horizontal="left" vertical="center" wrapText="1"/>
    </xf>
    <xf numFmtId="0" fontId="190" fillId="29" borderId="12" xfId="0" applyFont="1" applyFill="1" applyBorder="1" applyAlignment="1">
      <alignment horizontal="left" vertical="center" wrapText="1"/>
    </xf>
    <xf numFmtId="0" fontId="0" fillId="0" borderId="44" xfId="0" applyBorder="1" applyAlignment="1">
      <alignment horizontal="left" vertical="center" wrapText="1"/>
    </xf>
    <xf numFmtId="0" fontId="0" fillId="0" borderId="41" xfId="0" applyBorder="1" applyAlignment="1">
      <alignment horizontal="left" vertical="center" wrapText="1"/>
    </xf>
    <xf numFmtId="49" fontId="5" fillId="10" borderId="1" xfId="0" applyNumberFormat="1" applyFont="1" applyFill="1" applyBorder="1" applyAlignment="1">
      <alignment horizontal="left" wrapText="1"/>
    </xf>
    <xf numFmtId="49" fontId="5" fillId="10" borderId="65" xfId="0" applyNumberFormat="1" applyFont="1" applyFill="1" applyBorder="1" applyAlignment="1">
      <alignment horizontal="left" wrapText="1"/>
    </xf>
    <xf numFmtId="49" fontId="5" fillId="10" borderId="65" xfId="0" quotePrefix="1" applyNumberFormat="1" applyFont="1" applyFill="1" applyBorder="1" applyAlignment="1">
      <alignment horizontal="left" wrapText="1"/>
    </xf>
    <xf numFmtId="49" fontId="5" fillId="10" borderId="79" xfId="0" quotePrefix="1" applyNumberFormat="1" applyFont="1" applyFill="1" applyBorder="1" applyAlignment="1">
      <alignment horizontal="left"/>
    </xf>
    <xf numFmtId="49" fontId="5" fillId="10" borderId="38" xfId="0" quotePrefix="1" applyNumberFormat="1" applyFont="1" applyFill="1" applyBorder="1" applyAlignment="1">
      <alignment horizontal="left"/>
    </xf>
    <xf numFmtId="0" fontId="5" fillId="10" borderId="42" xfId="0" quotePrefix="1" applyFont="1" applyFill="1" applyBorder="1" applyAlignment="1">
      <alignment horizontal="left" vertical="center" wrapText="1"/>
    </xf>
    <xf numFmtId="0" fontId="5" fillId="10" borderId="44" xfId="0" quotePrefix="1" applyFont="1" applyFill="1" applyBorder="1" applyAlignment="1">
      <alignment horizontal="left" vertical="center" wrapText="1"/>
    </xf>
    <xf numFmtId="0" fontId="5" fillId="10" borderId="41" xfId="0" quotePrefix="1" applyFont="1" applyFill="1" applyBorder="1" applyAlignment="1">
      <alignment horizontal="left" vertical="center" wrapText="1"/>
    </xf>
    <xf numFmtId="0" fontId="5" fillId="10" borderId="41" xfId="0" applyFont="1" applyFill="1" applyBorder="1" applyAlignment="1">
      <alignment horizontal="left" wrapText="1"/>
    </xf>
    <xf numFmtId="0" fontId="20" fillId="10" borderId="0" xfId="0" applyFont="1" applyFill="1" applyAlignment="1">
      <alignment horizontal="center"/>
    </xf>
    <xf numFmtId="0" fontId="5" fillId="10" borderId="1" xfId="0" applyFont="1" applyFill="1" applyBorder="1" applyAlignment="1">
      <alignment horizontal="center"/>
    </xf>
    <xf numFmtId="0" fontId="5" fillId="10" borderId="65" xfId="0" applyFont="1" applyFill="1" applyBorder="1" applyAlignment="1">
      <alignment horizontal="center"/>
    </xf>
    <xf numFmtId="0" fontId="12" fillId="10" borderId="4" xfId="0" applyFont="1" applyFill="1" applyBorder="1" applyAlignment="1">
      <alignment horizontal="center" vertical="center"/>
    </xf>
    <xf numFmtId="0" fontId="124" fillId="13" borderId="0" xfId="0" applyFont="1" applyFill="1" applyAlignment="1">
      <alignment horizontal="center" vertical="center"/>
    </xf>
    <xf numFmtId="0" fontId="100" fillId="0" borderId="0" xfId="0" applyFont="1" applyAlignment="1">
      <alignment horizontal="justify" vertical="center" wrapText="1"/>
    </xf>
    <xf numFmtId="0" fontId="100" fillId="11" borderId="44" xfId="0" applyFont="1" applyFill="1" applyBorder="1" applyAlignment="1">
      <alignment horizontal="justify" vertical="center" wrapText="1"/>
    </xf>
    <xf numFmtId="0" fontId="100" fillId="0" borderId="0" xfId="0" applyFont="1" applyAlignment="1">
      <alignment horizontal="left" vertical="center"/>
    </xf>
    <xf numFmtId="0" fontId="149" fillId="11" borderId="0" xfId="0" applyFont="1" applyFill="1" applyAlignment="1">
      <alignment horizontal="center" vertical="center"/>
    </xf>
    <xf numFmtId="0" fontId="118" fillId="0" borderId="0" xfId="0" applyFont="1" applyAlignment="1">
      <alignment horizontal="justify" vertical="center" wrapText="1"/>
    </xf>
    <xf numFmtId="49" fontId="5" fillId="2" borderId="0" xfId="0" quotePrefix="1" applyNumberFormat="1" applyFont="1" applyFill="1" applyAlignment="1">
      <alignment horizontal="left"/>
    </xf>
    <xf numFmtId="49" fontId="5" fillId="2" borderId="0" xfId="0" applyNumberFormat="1" applyFont="1" applyFill="1" applyAlignment="1">
      <alignment horizontal="left"/>
    </xf>
    <xf numFmtId="0" fontId="5" fillId="2" borderId="0" xfId="0" quotePrefix="1" applyFont="1" applyFill="1" applyAlignment="1">
      <alignment horizontal="left" wrapText="1"/>
    </xf>
    <xf numFmtId="0" fontId="0" fillId="0" borderId="0" xfId="0" applyAlignment="1">
      <alignment wrapText="1"/>
    </xf>
    <xf numFmtId="0" fontId="117" fillId="13" borderId="0" xfId="0" applyFont="1" applyFill="1" applyAlignment="1">
      <alignment horizontal="center" vertical="center"/>
    </xf>
    <xf numFmtId="0" fontId="20" fillId="29" borderId="12" xfId="0" quotePrefix="1" applyFont="1" applyFill="1" applyBorder="1" applyAlignment="1">
      <alignment horizontal="left" vertical="center" wrapText="1"/>
    </xf>
    <xf numFmtId="0" fontId="20" fillId="29" borderId="12" xfId="0" applyFont="1" applyFill="1" applyBorder="1" applyAlignment="1">
      <alignment horizontal="left" vertical="center" wrapText="1"/>
    </xf>
    <xf numFmtId="0" fontId="168" fillId="29" borderId="12" xfId="0" quotePrefix="1" applyFont="1" applyFill="1" applyBorder="1" applyAlignment="1">
      <alignment horizontal="left" vertical="center" wrapText="1"/>
    </xf>
    <xf numFmtId="0" fontId="168" fillId="29" borderId="12" xfId="0" applyFont="1" applyFill="1" applyBorder="1" applyAlignment="1">
      <alignment horizontal="left" vertical="center" wrapText="1"/>
    </xf>
    <xf numFmtId="0" fontId="35" fillId="29" borderId="12" xfId="0" quotePrefix="1" applyFont="1" applyFill="1" applyBorder="1" applyAlignment="1">
      <alignment horizontal="left" vertical="center" wrapText="1"/>
    </xf>
    <xf numFmtId="0" fontId="35" fillId="29" borderId="12" xfId="0" applyFont="1" applyFill="1" applyBorder="1" applyAlignment="1">
      <alignment horizontal="left" vertical="center" wrapText="1"/>
    </xf>
    <xf numFmtId="0" fontId="186" fillId="29" borderId="12" xfId="0" quotePrefix="1" applyFont="1" applyFill="1" applyBorder="1" applyAlignment="1">
      <alignment horizontal="left" vertical="center" wrapText="1"/>
    </xf>
    <xf numFmtId="0" fontId="186" fillId="29" borderId="12" xfId="0" applyFont="1" applyFill="1" applyBorder="1" applyAlignment="1">
      <alignment horizontal="left" vertical="center" wrapText="1"/>
    </xf>
    <xf numFmtId="0" fontId="29" fillId="0" borderId="0" xfId="0" applyFont="1" applyAlignment="1">
      <alignment horizontal="justify" vertical="center" wrapText="1"/>
    </xf>
    <xf numFmtId="0" fontId="4" fillId="0" borderId="0" xfId="0" applyFont="1" applyAlignment="1">
      <alignment horizontal="justify" vertical="center" wrapText="1"/>
    </xf>
    <xf numFmtId="0" fontId="36" fillId="29" borderId="12" xfId="0" quotePrefix="1" applyFont="1" applyFill="1" applyBorder="1" applyAlignment="1">
      <alignment horizontal="left" vertical="center" wrapText="1"/>
    </xf>
    <xf numFmtId="0" fontId="36" fillId="29" borderId="12" xfId="0" applyFont="1" applyFill="1" applyBorder="1" applyAlignment="1">
      <alignment horizontal="left" vertical="center" wrapText="1"/>
    </xf>
    <xf numFmtId="49" fontId="5" fillId="2" borderId="0" xfId="0" applyNumberFormat="1" applyFont="1" applyFill="1" applyAlignment="1">
      <alignment horizontal="left" wrapText="1"/>
    </xf>
    <xf numFmtId="0" fontId="0" fillId="0" borderId="0" xfId="0" applyAlignment="1">
      <alignment horizontal="left" wrapText="1"/>
    </xf>
    <xf numFmtId="49" fontId="5" fillId="2" borderId="0" xfId="0" quotePrefix="1" applyNumberFormat="1" applyFont="1" applyFill="1" applyAlignment="1">
      <alignment horizontal="left" wrapText="1"/>
    </xf>
    <xf numFmtId="49" fontId="12" fillId="2" borderId="0" xfId="0" applyNumberFormat="1" applyFont="1" applyFill="1" applyAlignment="1">
      <alignment horizontal="center"/>
    </xf>
    <xf numFmtId="0" fontId="167" fillId="29" borderId="12" xfId="0" quotePrefix="1" applyFont="1" applyFill="1" applyBorder="1" applyAlignment="1">
      <alignment horizontal="left" vertical="center" wrapText="1"/>
    </xf>
    <xf numFmtId="0" fontId="167" fillId="29" borderId="12" xfId="0" applyFont="1" applyFill="1" applyBorder="1" applyAlignment="1">
      <alignment horizontal="left" vertical="center" wrapText="1"/>
    </xf>
    <xf numFmtId="0" fontId="5" fillId="10" borderId="131" xfId="0" quotePrefix="1" applyFont="1" applyFill="1" applyBorder="1" applyAlignment="1">
      <alignment horizontal="left" vertical="center" wrapText="1"/>
    </xf>
    <xf numFmtId="0" fontId="5" fillId="10" borderId="37" xfId="0" quotePrefix="1" applyFont="1" applyFill="1" applyBorder="1" applyAlignment="1">
      <alignment horizontal="left" vertical="center" wrapText="1"/>
    </xf>
    <xf numFmtId="0" fontId="5" fillId="10" borderId="35" xfId="0" quotePrefix="1" applyFont="1" applyFill="1" applyBorder="1" applyAlignment="1">
      <alignment horizontal="left" vertical="center" wrapText="1"/>
    </xf>
    <xf numFmtId="0" fontId="20" fillId="10" borderId="0" xfId="0" applyFont="1" applyFill="1" applyAlignment="1">
      <alignment horizontal="left" vertical="center"/>
    </xf>
    <xf numFmtId="0" fontId="169" fillId="10" borderId="12" xfId="0" quotePrefix="1" applyFont="1" applyFill="1" applyBorder="1" applyAlignment="1">
      <alignment horizontal="left" vertical="center" wrapText="1"/>
    </xf>
    <xf numFmtId="0" fontId="169" fillId="10" borderId="12" xfId="0" applyFont="1" applyFill="1" applyBorder="1" applyAlignment="1">
      <alignment horizontal="left" vertical="center" wrapText="1"/>
    </xf>
    <xf numFmtId="0" fontId="168" fillId="28" borderId="12" xfId="0" quotePrefix="1" applyFont="1" applyFill="1" applyBorder="1" applyAlignment="1">
      <alignment horizontal="left" vertical="center" wrapText="1"/>
    </xf>
    <xf numFmtId="0" fontId="168" fillId="28" borderId="12" xfId="0" applyFont="1" applyFill="1" applyBorder="1" applyAlignment="1">
      <alignment horizontal="left" vertical="center" wrapText="1"/>
    </xf>
    <xf numFmtId="49" fontId="5" fillId="2" borderId="28" xfId="0" applyNumberFormat="1" applyFont="1" applyFill="1" applyBorder="1" applyAlignment="1">
      <alignment horizontal="left" wrapText="1"/>
    </xf>
    <xf numFmtId="0" fontId="0" fillId="0" borderId="29" xfId="0" applyBorder="1" applyAlignment="1">
      <alignment horizontal="left" wrapText="1"/>
    </xf>
    <xf numFmtId="49" fontId="5" fillId="2" borderId="28" xfId="0" quotePrefix="1" applyNumberFormat="1" applyFont="1" applyFill="1" applyBorder="1" applyAlignment="1">
      <alignment horizontal="left" wrapText="1"/>
    </xf>
    <xf numFmtId="0" fontId="167" fillId="28" borderId="1" xfId="0" quotePrefix="1" applyFont="1" applyFill="1" applyBorder="1" applyAlignment="1">
      <alignment horizontal="left" vertical="center" wrapText="1"/>
    </xf>
    <xf numFmtId="0" fontId="167" fillId="28" borderId="1" xfId="0" applyFont="1" applyFill="1" applyBorder="1" applyAlignment="1">
      <alignment horizontal="left" vertical="center" wrapText="1"/>
    </xf>
    <xf numFmtId="0" fontId="168" fillId="10" borderId="1" xfId="0" quotePrefix="1" applyFont="1" applyFill="1" applyBorder="1" applyAlignment="1">
      <alignment horizontal="left" vertical="center" wrapText="1"/>
    </xf>
    <xf numFmtId="0" fontId="168" fillId="10" borderId="1" xfId="0" applyFont="1" applyFill="1" applyBorder="1" applyAlignment="1">
      <alignment horizontal="left" vertical="center" wrapText="1"/>
    </xf>
    <xf numFmtId="0" fontId="4" fillId="10" borderId="31" xfId="0" applyFont="1" applyFill="1" applyBorder="1"/>
    <xf numFmtId="0" fontId="4" fillId="10" borderId="32" xfId="0" applyFont="1" applyFill="1" applyBorder="1"/>
    <xf numFmtId="0" fontId="4" fillId="10" borderId="4" xfId="0" applyFont="1" applyFill="1" applyBorder="1" applyAlignment="1">
      <alignment horizontal="center"/>
    </xf>
    <xf numFmtId="0" fontId="168" fillId="28" borderId="1" xfId="0" quotePrefix="1" applyFont="1" applyFill="1" applyBorder="1" applyAlignment="1">
      <alignment horizontal="left" vertical="center" wrapText="1"/>
    </xf>
    <xf numFmtId="0" fontId="168" fillId="28" borderId="1" xfId="0" applyFont="1" applyFill="1" applyBorder="1" applyAlignment="1">
      <alignment horizontal="left" vertical="center" wrapText="1"/>
    </xf>
    <xf numFmtId="0" fontId="167" fillId="10" borderId="12" xfId="0" quotePrefix="1" applyFont="1" applyFill="1" applyBorder="1" applyAlignment="1">
      <alignment horizontal="left" vertical="center" wrapText="1"/>
    </xf>
    <xf numFmtId="0" fontId="167" fillId="10" borderId="12" xfId="0" applyFont="1" applyFill="1" applyBorder="1" applyAlignment="1">
      <alignment horizontal="left" vertical="center" wrapText="1"/>
    </xf>
    <xf numFmtId="0" fontId="169" fillId="28" borderId="12" xfId="0" quotePrefix="1" applyFont="1" applyFill="1" applyBorder="1" applyAlignment="1">
      <alignment horizontal="left" vertical="center" wrapText="1"/>
    </xf>
    <xf numFmtId="0" fontId="169" fillId="28" borderId="12" xfId="0" applyFont="1" applyFill="1" applyBorder="1" applyAlignment="1">
      <alignment horizontal="left" vertical="center" wrapText="1"/>
    </xf>
    <xf numFmtId="49" fontId="5" fillId="0" borderId="0" xfId="0" applyNumberFormat="1" applyFont="1" applyAlignment="1">
      <alignment horizontal="left" wrapText="1"/>
    </xf>
    <xf numFmtId="49" fontId="5" fillId="0" borderId="0" xfId="0" quotePrefix="1" applyNumberFormat="1" applyFont="1" applyAlignment="1">
      <alignment horizontal="left" wrapText="1"/>
    </xf>
    <xf numFmtId="0" fontId="20" fillId="0" borderId="0" xfId="0" quotePrefix="1" applyFont="1" applyAlignment="1">
      <alignment horizontal="left" vertical="center" wrapText="1"/>
    </xf>
    <xf numFmtId="0" fontId="20" fillId="0" borderId="0" xfId="0" applyFont="1" applyAlignment="1">
      <alignment horizontal="left" vertical="center" wrapText="1"/>
    </xf>
    <xf numFmtId="0" fontId="16" fillId="0" borderId="0" xfId="0" applyFont="1"/>
    <xf numFmtId="0" fontId="12" fillId="0" borderId="0" xfId="0" applyFont="1" applyAlignment="1">
      <alignment horizontal="center" vertical="center"/>
    </xf>
    <xf numFmtId="0" fontId="12" fillId="0" borderId="0" xfId="0" applyFont="1" applyAlignment="1" applyProtection="1">
      <alignment horizontal="center" vertical="center"/>
      <protection locked="0" hidden="1"/>
    </xf>
    <xf numFmtId="49" fontId="5" fillId="0" borderId="0" xfId="0" quotePrefix="1" applyNumberFormat="1" applyFont="1" applyAlignment="1">
      <alignment horizontal="left"/>
    </xf>
    <xf numFmtId="0" fontId="5" fillId="0" borderId="0" xfId="0" applyFont="1" applyAlignment="1">
      <alignment horizontal="left" wrapText="1"/>
    </xf>
    <xf numFmtId="0" fontId="5" fillId="0" borderId="0" xfId="0" quotePrefix="1" applyFont="1" applyAlignment="1">
      <alignment horizontal="left" wrapText="1"/>
    </xf>
    <xf numFmtId="49" fontId="18" fillId="0" borderId="21" xfId="0" applyNumberFormat="1" applyFont="1" applyBorder="1" applyAlignment="1">
      <alignment horizontal="left" wrapText="1"/>
    </xf>
    <xf numFmtId="0" fontId="20" fillId="21" borderId="1" xfId="0" quotePrefix="1" applyFont="1" applyFill="1" applyBorder="1" applyAlignment="1">
      <alignment horizontal="left" vertical="center" wrapText="1"/>
    </xf>
    <xf numFmtId="0" fontId="20" fillId="21" borderId="1" xfId="0" applyFont="1" applyFill="1" applyBorder="1" applyAlignment="1">
      <alignment horizontal="left" vertical="center" wrapText="1"/>
    </xf>
    <xf numFmtId="0" fontId="20" fillId="0" borderId="44" xfId="0" applyFont="1" applyBorder="1" applyAlignment="1">
      <alignment horizontal="left"/>
    </xf>
    <xf numFmtId="0" fontId="20" fillId="0" borderId="61" xfId="0" quotePrefix="1" applyFont="1" applyBorder="1" applyAlignment="1">
      <alignment horizontal="left" vertical="center" wrapText="1"/>
    </xf>
    <xf numFmtId="0" fontId="20" fillId="0" borderId="36" xfId="0" quotePrefix="1" applyFont="1" applyBorder="1" applyAlignment="1">
      <alignment horizontal="left" vertical="center" wrapText="1"/>
    </xf>
    <xf numFmtId="0" fontId="20" fillId="0" borderId="63" xfId="0" quotePrefix="1" applyFont="1" applyBorder="1" applyAlignment="1">
      <alignment horizontal="left" vertical="center" wrapText="1"/>
    </xf>
    <xf numFmtId="0" fontId="5" fillId="0" borderId="40" xfId="0" applyFont="1" applyBorder="1" applyAlignment="1">
      <alignment horizontal="center"/>
    </xf>
    <xf numFmtId="0" fontId="5" fillId="0" borderId="23" xfId="0" applyFont="1" applyBorder="1" applyAlignment="1">
      <alignment horizontal="center"/>
    </xf>
    <xf numFmtId="0" fontId="5" fillId="0" borderId="27" xfId="0" applyFont="1" applyBorder="1" applyAlignment="1">
      <alignment horizontal="center"/>
    </xf>
    <xf numFmtId="0" fontId="12" fillId="0" borderId="24" xfId="0" applyFont="1" applyBorder="1" applyAlignment="1">
      <alignment horizontal="center" vertical="center"/>
    </xf>
    <xf numFmtId="0" fontId="12" fillId="0" borderId="4" xfId="0" applyFont="1" applyBorder="1" applyAlignment="1">
      <alignment horizontal="center" vertical="center"/>
    </xf>
    <xf numFmtId="0" fontId="12" fillId="0" borderId="24" xfId="0" applyFont="1" applyBorder="1" applyAlignment="1" applyProtection="1">
      <alignment horizontal="center" vertical="center"/>
      <protection locked="0" hidden="1"/>
    </xf>
    <xf numFmtId="0" fontId="20" fillId="28" borderId="12" xfId="0" quotePrefix="1" applyFont="1" applyFill="1" applyBorder="1" applyAlignment="1">
      <alignment horizontal="left" vertical="center" wrapText="1"/>
    </xf>
    <xf numFmtId="0" fontId="20" fillId="28" borderId="12" xfId="0" applyFont="1" applyFill="1" applyBorder="1" applyAlignment="1">
      <alignment horizontal="left" vertical="center" wrapText="1"/>
    </xf>
    <xf numFmtId="0" fontId="16" fillId="10" borderId="29" xfId="0" applyFont="1" applyFill="1" applyBorder="1"/>
    <xf numFmtId="0" fontId="16" fillId="10" borderId="65" xfId="0" applyFont="1" applyFill="1" applyBorder="1" applyAlignment="1">
      <alignment horizontal="center"/>
    </xf>
    <xf numFmtId="0" fontId="168" fillId="28" borderId="1" xfId="0" quotePrefix="1" applyFont="1" applyFill="1" applyBorder="1" applyAlignment="1">
      <alignment horizontal="center" vertical="center" wrapText="1"/>
    </xf>
    <xf numFmtId="0" fontId="168" fillId="28" borderId="1" xfId="0" applyFont="1" applyFill="1" applyBorder="1" applyAlignment="1">
      <alignment horizontal="center" vertical="center" wrapText="1"/>
    </xf>
    <xf numFmtId="0" fontId="20" fillId="10" borderId="1" xfId="0" quotePrefix="1" applyFont="1" applyFill="1" applyBorder="1" applyAlignment="1">
      <alignment horizontal="left" vertical="center" wrapText="1"/>
    </xf>
    <xf numFmtId="0" fontId="20" fillId="10" borderId="1" xfId="0" applyFont="1" applyFill="1" applyBorder="1" applyAlignment="1">
      <alignment horizontal="left" vertical="center" wrapText="1"/>
    </xf>
    <xf numFmtId="0" fontId="16" fillId="10" borderId="2" xfId="0" applyFont="1" applyFill="1" applyBorder="1" applyAlignment="1">
      <alignment horizontal="center"/>
    </xf>
    <xf numFmtId="0" fontId="188" fillId="28" borderId="1" xfId="0" quotePrefix="1" applyFont="1" applyFill="1" applyBorder="1" applyAlignment="1">
      <alignment horizontal="left" vertical="center" wrapText="1"/>
    </xf>
    <xf numFmtId="0" fontId="188" fillId="28" borderId="1" xfId="0" applyFont="1" applyFill="1" applyBorder="1" applyAlignment="1">
      <alignment horizontal="left" vertical="center" wrapText="1"/>
    </xf>
    <xf numFmtId="0" fontId="167" fillId="28" borderId="12" xfId="0" quotePrefix="1" applyFont="1" applyFill="1" applyBorder="1" applyAlignment="1">
      <alignment horizontal="left" vertical="center" wrapText="1"/>
    </xf>
    <xf numFmtId="0" fontId="167" fillId="28" borderId="12" xfId="0" applyFont="1" applyFill="1" applyBorder="1" applyAlignment="1">
      <alignment horizontal="left" vertical="center" wrapText="1"/>
    </xf>
    <xf numFmtId="0" fontId="5" fillId="10" borderId="131" xfId="0" quotePrefix="1" applyFont="1" applyFill="1" applyBorder="1" applyAlignment="1">
      <alignment horizontal="left" wrapText="1"/>
    </xf>
    <xf numFmtId="0" fontId="5" fillId="10" borderId="37" xfId="0" quotePrefix="1" applyFont="1" applyFill="1" applyBorder="1" applyAlignment="1">
      <alignment horizontal="left" wrapText="1"/>
    </xf>
    <xf numFmtId="0" fontId="5" fillId="10" borderId="35" xfId="0" quotePrefix="1" applyFont="1" applyFill="1" applyBorder="1" applyAlignment="1">
      <alignment horizontal="left" wrapText="1"/>
    </xf>
    <xf numFmtId="0" fontId="5" fillId="10" borderId="44" xfId="0" quotePrefix="1" applyFont="1" applyFill="1" applyBorder="1" applyAlignment="1">
      <alignment horizontal="left" wrapText="1"/>
    </xf>
    <xf numFmtId="0" fontId="5" fillId="10" borderId="41" xfId="0" quotePrefix="1" applyFont="1" applyFill="1" applyBorder="1" applyAlignment="1">
      <alignment horizontal="left" wrapText="1"/>
    </xf>
    <xf numFmtId="0" fontId="20" fillId="28" borderId="1" xfId="0" quotePrefix="1" applyFont="1" applyFill="1" applyBorder="1" applyAlignment="1">
      <alignment horizontal="left" vertical="center" wrapText="1"/>
    </xf>
    <xf numFmtId="0" fontId="20" fillId="28" borderId="1" xfId="0" applyFont="1" applyFill="1" applyBorder="1" applyAlignment="1">
      <alignment horizontal="left" vertical="center" wrapText="1"/>
    </xf>
    <xf numFmtId="0" fontId="167" fillId="21" borderId="12" xfId="0" quotePrefix="1" applyFont="1" applyFill="1" applyBorder="1" applyAlignment="1">
      <alignment horizontal="left" vertical="center" wrapText="1"/>
    </xf>
    <xf numFmtId="0" fontId="167" fillId="21" borderId="12" xfId="0" applyFont="1" applyFill="1" applyBorder="1" applyAlignment="1">
      <alignment horizontal="left" vertical="center" wrapText="1"/>
    </xf>
    <xf numFmtId="0" fontId="4" fillId="0" borderId="1" xfId="0" applyFont="1" applyBorder="1"/>
    <xf numFmtId="0" fontId="4" fillId="0" borderId="65" xfId="0" applyFont="1" applyBorder="1"/>
    <xf numFmtId="0" fontId="151" fillId="15" borderId="0" xfId="0" applyFont="1" applyFill="1" applyAlignment="1">
      <alignment horizontal="center" vertical="center" wrapText="1"/>
    </xf>
    <xf numFmtId="0" fontId="4" fillId="10" borderId="1" xfId="0" applyFont="1" applyFill="1" applyBorder="1"/>
    <xf numFmtId="0" fontId="4" fillId="10" borderId="65" xfId="0" applyFont="1" applyFill="1" applyBorder="1"/>
    <xf numFmtId="0" fontId="20" fillId="21" borderId="12" xfId="0" quotePrefix="1" applyFont="1" applyFill="1" applyBorder="1" applyAlignment="1">
      <alignment horizontal="left" vertical="center" wrapText="1"/>
    </xf>
    <xf numFmtId="0" fontId="20" fillId="21" borderId="12" xfId="0" applyFont="1" applyFill="1" applyBorder="1" applyAlignment="1">
      <alignment horizontal="left" vertical="center" wrapText="1"/>
    </xf>
    <xf numFmtId="0" fontId="4" fillId="0" borderId="2" xfId="0" applyFont="1" applyBorder="1" applyAlignment="1">
      <alignment horizontal="center"/>
    </xf>
    <xf numFmtId="0" fontId="168" fillId="21" borderId="12" xfId="0" quotePrefix="1" applyFont="1" applyFill="1" applyBorder="1" applyAlignment="1">
      <alignment horizontal="left" vertical="center" wrapText="1"/>
    </xf>
    <xf numFmtId="0" fontId="168" fillId="21" borderId="12" xfId="0" applyFont="1" applyFill="1" applyBorder="1" applyAlignment="1">
      <alignment horizontal="left" vertical="center" wrapText="1"/>
    </xf>
    <xf numFmtId="0" fontId="7" fillId="10" borderId="12" xfId="0" quotePrefix="1" applyFont="1" applyFill="1" applyBorder="1" applyAlignment="1">
      <alignment horizontal="left" vertical="center" wrapText="1"/>
    </xf>
    <xf numFmtId="0" fontId="7" fillId="10" borderId="12" xfId="0" applyFont="1" applyFill="1" applyBorder="1" applyAlignment="1">
      <alignment horizontal="left" vertical="center" wrapText="1"/>
    </xf>
    <xf numFmtId="0" fontId="188" fillId="28" borderId="12" xfId="0" quotePrefix="1" applyFont="1" applyFill="1" applyBorder="1" applyAlignment="1">
      <alignment horizontal="left" vertical="center" wrapText="1"/>
    </xf>
    <xf numFmtId="0" fontId="188" fillId="28" borderId="12" xfId="0" applyFont="1" applyFill="1" applyBorder="1" applyAlignment="1">
      <alignment horizontal="left" vertical="center" wrapText="1"/>
    </xf>
    <xf numFmtId="0" fontId="213" fillId="22" borderId="0" xfId="0" applyFont="1" applyFill="1" applyAlignment="1">
      <alignment horizontal="center" vertical="center"/>
    </xf>
    <xf numFmtId="0" fontId="12" fillId="4" borderId="45" xfId="0" applyFont="1" applyFill="1" applyBorder="1" applyAlignment="1" applyProtection="1">
      <alignment horizontal="center" vertical="center"/>
      <protection locked="0" hidden="1"/>
    </xf>
    <xf numFmtId="0" fontId="12" fillId="4" borderId="4" xfId="0" applyFont="1" applyFill="1" applyBorder="1" applyAlignment="1" applyProtection="1">
      <alignment horizontal="center" vertical="center"/>
      <protection locked="0" hidden="1"/>
    </xf>
    <xf numFmtId="0" fontId="12" fillId="4" borderId="2" xfId="0" applyFont="1" applyFill="1" applyBorder="1" applyAlignment="1" applyProtection="1">
      <alignment horizontal="center" vertical="center"/>
      <protection locked="0" hidden="1"/>
    </xf>
  </cellXfs>
  <cellStyles count="7">
    <cellStyle name="20% - Énfasis1" xfId="6" builtinId="30"/>
    <cellStyle name="Euro" xfId="1"/>
    <cellStyle name="Millares" xfId="2" builtinId="3"/>
    <cellStyle name="Moneda" xfId="3" builtinId="4"/>
    <cellStyle name="Normal" xfId="0" builtinId="0"/>
    <cellStyle name="Normal 4" xfId="4"/>
    <cellStyle name="Porcentaje" xfId="5" builtinId="5"/>
  </cellStyles>
  <dxfs count="0"/>
  <tableStyles count="0" defaultTableStyle="TableStyleMedium9" defaultPivotStyle="PivotStyleLight16"/>
  <colors>
    <mruColors>
      <color rgb="FFFF99CC"/>
      <color rgb="FFFFCCFF"/>
      <color rgb="FFFFFF66"/>
      <color rgb="FFCCFF99"/>
      <color rgb="FF2F0BB5"/>
      <color rgb="FFFF00FF"/>
      <color rgb="FFFFCC99"/>
      <color rgb="FF00FFFF"/>
      <color rgb="FF99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12</xdr:col>
      <xdr:colOff>0</xdr:colOff>
      <xdr:row>0</xdr:row>
      <xdr:rowOff>0</xdr:rowOff>
    </xdr:from>
    <xdr:to>
      <xdr:col>12</xdr:col>
      <xdr:colOff>0</xdr:colOff>
      <xdr:row>0</xdr:row>
      <xdr:rowOff>0</xdr:rowOff>
    </xdr:to>
    <xdr:sp macro="" textlink="">
      <xdr:nvSpPr>
        <xdr:cNvPr id="14359" name="Rectangle 3">
          <a:extLst>
            <a:ext uri="{FF2B5EF4-FFF2-40B4-BE49-F238E27FC236}">
              <a16:creationId xmlns:a16="http://schemas.microsoft.com/office/drawing/2014/main" id="{00000000-0008-0000-0200-000017380000}"/>
            </a:ext>
          </a:extLst>
        </xdr:cNvPr>
        <xdr:cNvSpPr>
          <a:spLocks noChangeArrowheads="1"/>
        </xdr:cNvSpPr>
      </xdr:nvSpPr>
      <xdr:spPr bwMode="auto">
        <a:xfrm>
          <a:off x="9677400" y="0"/>
          <a:ext cx="0" cy="0"/>
        </a:xfrm>
        <a:prstGeom prst="rect">
          <a:avLst/>
        </a:prstGeom>
        <a:solidFill>
          <a:srgbClr val="FFFFCC"/>
        </a:solidFill>
        <a:ln w="9525">
          <a:solidFill>
            <a:srgbClr val="000000"/>
          </a:solidFill>
          <a:miter lim="800000"/>
          <a:headEnd/>
          <a:tailEnd/>
        </a:ln>
      </xdr:spPr>
    </xdr:sp>
    <xdr:clientData/>
  </xdr:twoCellAnchor>
  <xdr:twoCellAnchor>
    <xdr:from>
      <xdr:col>12</xdr:col>
      <xdr:colOff>0</xdr:colOff>
      <xdr:row>0</xdr:row>
      <xdr:rowOff>0</xdr:rowOff>
    </xdr:from>
    <xdr:to>
      <xdr:col>12</xdr:col>
      <xdr:colOff>0</xdr:colOff>
      <xdr:row>0</xdr:row>
      <xdr:rowOff>0</xdr:rowOff>
    </xdr:to>
    <xdr:sp macro="" textlink="">
      <xdr:nvSpPr>
        <xdr:cNvPr id="2052" name="Rectangle 4">
          <a:extLst>
            <a:ext uri="{FF2B5EF4-FFF2-40B4-BE49-F238E27FC236}">
              <a16:creationId xmlns:a16="http://schemas.microsoft.com/office/drawing/2014/main" id="{00000000-0008-0000-0200-000004080000}"/>
            </a:ext>
          </a:extLst>
        </xdr:cNvPr>
        <xdr:cNvSpPr>
          <a:spLocks noChangeArrowheads="1"/>
        </xdr:cNvSpPr>
      </xdr:nvSpPr>
      <xdr:spPr bwMode="auto">
        <a:xfrm>
          <a:off x="6953250" y="638175"/>
          <a:ext cx="466725" cy="209550"/>
        </a:xfrm>
        <a:prstGeom prst="rect">
          <a:avLst/>
        </a:prstGeom>
        <a:solidFill>
          <a:srgbClr val="C0C0C0"/>
        </a:solidFill>
        <a:ln w="9525">
          <a:solidFill>
            <a:srgbClr val="000000"/>
          </a:solidFill>
          <a:miter lim="800000"/>
          <a:headEnd/>
          <a:tailEnd/>
        </a:ln>
      </xdr:spPr>
      <xdr:txBody>
        <a:bodyPr vertOverflow="clip" wrap="square" lIns="27432" tIns="22860" rIns="0" bIns="0" anchor="t" upright="1"/>
        <a:lstStyle/>
        <a:p>
          <a:pPr algn="l" rtl="0">
            <a:defRPr sz="1000"/>
          </a:pPr>
          <a:endParaRPr lang="es-CL" sz="1000" b="1" i="0" strike="noStrike">
            <a:solidFill>
              <a:srgbClr val="FF9900"/>
            </a:solidFill>
            <a:latin typeface="Arial"/>
            <a:cs typeface="Arial"/>
          </a:endParaRPr>
        </a:p>
        <a:p>
          <a:pPr algn="l" rtl="0">
            <a:defRPr sz="1000"/>
          </a:pPr>
          <a:endParaRPr lang="es-CL" sz="1000" b="1" i="0" strike="noStrike">
            <a:solidFill>
              <a:srgbClr val="FF9900"/>
            </a:solidFill>
            <a:latin typeface="Arial"/>
            <a:cs typeface="Arial"/>
          </a:endParaRP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13</xdr:col>
      <xdr:colOff>721653</xdr:colOff>
      <xdr:row>0</xdr:row>
      <xdr:rowOff>0</xdr:rowOff>
    </xdr:from>
    <xdr:ext cx="1126197" cy="342900"/>
    <xdr:sp macro="" textlink="">
      <xdr:nvSpPr>
        <xdr:cNvPr id="2" name="Rectángulo 1">
          <a:extLst>
            <a:ext uri="{FF2B5EF4-FFF2-40B4-BE49-F238E27FC236}">
              <a16:creationId xmlns:a16="http://schemas.microsoft.com/office/drawing/2014/main" id="{00000000-0008-0000-0500-000002000000}"/>
            </a:ext>
          </a:extLst>
        </xdr:cNvPr>
        <xdr:cNvSpPr/>
      </xdr:nvSpPr>
      <xdr:spPr>
        <a:xfrm>
          <a:off x="12075453" y="0"/>
          <a:ext cx="1126197" cy="342900"/>
        </a:xfrm>
        <a:prstGeom prst="rect">
          <a:avLst/>
        </a:prstGeom>
        <a:noFill/>
      </xdr:spPr>
      <xdr:txBody>
        <a:bodyPr wrap="none" lIns="91440" tIns="45720" rIns="91440" bIns="45720">
          <a:noAutofit/>
        </a:bodyPr>
        <a:lstStyle/>
        <a:p>
          <a:pPr algn="ctr"/>
          <a:r>
            <a:rPr lang="es-ES" sz="1600" b="0" cap="none" spc="0">
              <a:ln w="0"/>
              <a:solidFill>
                <a:schemeClr val="tx1"/>
              </a:solidFill>
              <a:effectLst>
                <a:outerShdw blurRad="38100" dist="19050" dir="2700000" algn="tl" rotWithShape="0">
                  <a:schemeClr val="dk1">
                    <a:alpha val="40000"/>
                  </a:schemeClr>
                </a:outerShdw>
              </a:effectLst>
            </a:rPr>
            <a:t>Pag.</a:t>
          </a:r>
          <a:r>
            <a:rPr lang="es-ES" sz="1600" b="0" cap="none" spc="0" baseline="0">
              <a:ln w="0"/>
              <a:solidFill>
                <a:schemeClr val="tx1"/>
              </a:solidFill>
              <a:effectLst>
                <a:outerShdw blurRad="38100" dist="19050" dir="2700000" algn="tl" rotWithShape="0">
                  <a:schemeClr val="dk1">
                    <a:alpha val="40000"/>
                  </a:schemeClr>
                </a:outerShdw>
              </a:effectLst>
            </a:rPr>
            <a:t> 1/2</a:t>
          </a:r>
          <a:endParaRPr lang="es-ES" sz="4400" b="0" cap="none" spc="0">
            <a:ln w="0"/>
            <a:solidFill>
              <a:schemeClr val="tx1"/>
            </a:solidFill>
            <a:effectLst>
              <a:outerShdw blurRad="38100" dist="19050" dir="2700000" algn="tl" rotWithShape="0">
                <a:schemeClr val="dk1">
                  <a:alpha val="40000"/>
                </a:schemeClr>
              </a:outerShdw>
            </a:effectLst>
          </a:endParaRPr>
        </a:p>
      </xdr:txBody>
    </xdr:sp>
    <xdr:clientData/>
  </xdr:oneCellAnchor>
  <xdr:oneCellAnchor>
    <xdr:from>
      <xdr:col>13</xdr:col>
      <xdr:colOff>712128</xdr:colOff>
      <xdr:row>40</xdr:row>
      <xdr:rowOff>28575</xdr:rowOff>
    </xdr:from>
    <xdr:ext cx="1126197" cy="361950"/>
    <xdr:sp macro="" textlink="">
      <xdr:nvSpPr>
        <xdr:cNvPr id="3" name="Rectángulo 2">
          <a:extLst>
            <a:ext uri="{FF2B5EF4-FFF2-40B4-BE49-F238E27FC236}">
              <a16:creationId xmlns:a16="http://schemas.microsoft.com/office/drawing/2014/main" id="{00000000-0008-0000-0500-000003000000}"/>
            </a:ext>
          </a:extLst>
        </xdr:cNvPr>
        <xdr:cNvSpPr/>
      </xdr:nvSpPr>
      <xdr:spPr>
        <a:xfrm>
          <a:off x="12065928" y="8753475"/>
          <a:ext cx="1126197" cy="361950"/>
        </a:xfrm>
        <a:prstGeom prst="rect">
          <a:avLst/>
        </a:prstGeom>
        <a:noFill/>
      </xdr:spPr>
      <xdr:txBody>
        <a:bodyPr wrap="none" lIns="91440" tIns="45720" rIns="91440" bIns="45720">
          <a:noAutofit/>
        </a:bodyPr>
        <a:lstStyle/>
        <a:p>
          <a:pPr algn="ctr"/>
          <a:r>
            <a:rPr lang="es-ES" sz="1600" b="0" cap="none" spc="0">
              <a:ln w="0"/>
              <a:solidFill>
                <a:schemeClr val="tx1"/>
              </a:solidFill>
              <a:effectLst>
                <a:outerShdw blurRad="38100" dist="19050" dir="2700000" algn="tl" rotWithShape="0">
                  <a:schemeClr val="dk1">
                    <a:alpha val="40000"/>
                  </a:schemeClr>
                </a:outerShdw>
              </a:effectLst>
            </a:rPr>
            <a:t>Pag.</a:t>
          </a:r>
          <a:r>
            <a:rPr lang="es-ES" sz="1600" b="0" cap="none" spc="0" baseline="0">
              <a:ln w="0"/>
              <a:solidFill>
                <a:schemeClr val="tx1"/>
              </a:solidFill>
              <a:effectLst>
                <a:outerShdw blurRad="38100" dist="19050" dir="2700000" algn="tl" rotWithShape="0">
                  <a:schemeClr val="dk1">
                    <a:alpha val="40000"/>
                  </a:schemeClr>
                </a:outerShdw>
              </a:effectLst>
            </a:rPr>
            <a:t> 2/2</a:t>
          </a:r>
          <a:endParaRPr lang="es-ES" sz="4400" b="0" cap="none" spc="0">
            <a:ln w="0"/>
            <a:solidFill>
              <a:schemeClr val="tx1"/>
            </a:solidFill>
            <a:effectLst>
              <a:outerShdw blurRad="38100" dist="19050" dir="2700000" algn="tl" rotWithShape="0">
                <a:schemeClr val="dk1">
                  <a:alpha val="40000"/>
                </a:schemeClr>
              </a:outerShdw>
            </a:effectLst>
          </a:endParaRP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15</xdr:col>
      <xdr:colOff>469398</xdr:colOff>
      <xdr:row>2</xdr:row>
      <xdr:rowOff>83635</xdr:rowOff>
    </xdr:from>
    <xdr:ext cx="870944" cy="342786"/>
    <xdr:sp macro="" textlink="">
      <xdr:nvSpPr>
        <xdr:cNvPr id="2" name="Rectángulo 1">
          <a:extLst>
            <a:ext uri="{FF2B5EF4-FFF2-40B4-BE49-F238E27FC236}">
              <a16:creationId xmlns:a16="http://schemas.microsoft.com/office/drawing/2014/main" id="{00000000-0008-0000-1000-000002000000}"/>
            </a:ext>
          </a:extLst>
        </xdr:cNvPr>
        <xdr:cNvSpPr/>
      </xdr:nvSpPr>
      <xdr:spPr>
        <a:xfrm>
          <a:off x="13471023" y="559885"/>
          <a:ext cx="870944" cy="342786"/>
        </a:xfrm>
        <a:prstGeom prst="rect">
          <a:avLst/>
        </a:prstGeom>
        <a:noFill/>
      </xdr:spPr>
      <xdr:txBody>
        <a:bodyPr wrap="none" lIns="91440" tIns="45720" rIns="91440" bIns="45720">
          <a:spAutoFit/>
        </a:bodyPr>
        <a:lstStyle/>
        <a:p>
          <a:pPr algn="ctr"/>
          <a:r>
            <a:rPr lang="es-ES" sz="1600" b="0" cap="none" spc="0">
              <a:ln w="0"/>
              <a:solidFill>
                <a:schemeClr val="tx1"/>
              </a:solidFill>
              <a:effectLst>
                <a:outerShdw blurRad="38100" dist="19050" dir="2700000" algn="tl" rotWithShape="0">
                  <a:schemeClr val="dk1">
                    <a:alpha val="40000"/>
                  </a:schemeClr>
                </a:outerShdw>
              </a:effectLst>
            </a:rPr>
            <a:t>Pag.</a:t>
          </a:r>
          <a:r>
            <a:rPr lang="es-ES" sz="1600" b="0" cap="none" spc="0" baseline="0">
              <a:ln w="0"/>
              <a:solidFill>
                <a:schemeClr val="tx1"/>
              </a:solidFill>
              <a:effectLst>
                <a:outerShdw blurRad="38100" dist="19050" dir="2700000" algn="tl" rotWithShape="0">
                  <a:schemeClr val="dk1">
                    <a:alpha val="40000"/>
                  </a:schemeClr>
                </a:outerShdw>
              </a:effectLst>
            </a:rPr>
            <a:t> 1/3</a:t>
          </a:r>
          <a:endParaRPr lang="es-ES" sz="1600" b="0" cap="none" spc="0">
            <a:ln w="0"/>
            <a:solidFill>
              <a:schemeClr val="tx1"/>
            </a:solidFill>
            <a:effectLst>
              <a:outerShdw blurRad="38100" dist="19050" dir="2700000" algn="tl" rotWithShape="0">
                <a:schemeClr val="dk1">
                  <a:alpha val="40000"/>
                </a:schemeClr>
              </a:outerShdw>
            </a:effectLst>
          </a:endParaRP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12</xdr:col>
      <xdr:colOff>1193715</xdr:colOff>
      <xdr:row>0</xdr:row>
      <xdr:rowOff>232081</xdr:rowOff>
    </xdr:from>
    <xdr:ext cx="873030" cy="342786"/>
    <xdr:sp macro="" textlink="">
      <xdr:nvSpPr>
        <xdr:cNvPr id="3" name="Rectángulo 2">
          <a:extLst>
            <a:ext uri="{FF2B5EF4-FFF2-40B4-BE49-F238E27FC236}">
              <a16:creationId xmlns:a16="http://schemas.microsoft.com/office/drawing/2014/main" id="{00000000-0008-0000-1300-000003000000}"/>
            </a:ext>
          </a:extLst>
        </xdr:cNvPr>
        <xdr:cNvSpPr/>
      </xdr:nvSpPr>
      <xdr:spPr>
        <a:xfrm>
          <a:off x="11033220" y="232081"/>
          <a:ext cx="873030" cy="342786"/>
        </a:xfrm>
        <a:prstGeom prst="rect">
          <a:avLst/>
        </a:prstGeom>
        <a:noFill/>
      </xdr:spPr>
      <xdr:txBody>
        <a:bodyPr wrap="square" lIns="91440" tIns="45720" rIns="91440" bIns="45720">
          <a:spAutoFit/>
        </a:bodyPr>
        <a:lstStyle/>
        <a:p>
          <a:pPr algn="ctr"/>
          <a:r>
            <a:rPr lang="es-ES" sz="1600" b="0" cap="none" spc="0">
              <a:ln w="0"/>
              <a:solidFill>
                <a:schemeClr val="tx1"/>
              </a:solidFill>
              <a:effectLst>
                <a:outerShdw blurRad="38100" dist="19050" dir="2700000" algn="tl" rotWithShape="0">
                  <a:schemeClr val="dk1">
                    <a:alpha val="40000"/>
                  </a:schemeClr>
                </a:outerShdw>
              </a:effectLst>
            </a:rPr>
            <a:t>Pag.</a:t>
          </a:r>
          <a:r>
            <a:rPr lang="es-ES" sz="1600" b="0" cap="none" spc="0" baseline="0">
              <a:ln w="0"/>
              <a:solidFill>
                <a:schemeClr val="tx1"/>
              </a:solidFill>
              <a:effectLst>
                <a:outerShdw blurRad="38100" dist="19050" dir="2700000" algn="tl" rotWithShape="0">
                  <a:schemeClr val="dk1">
                    <a:alpha val="40000"/>
                  </a:schemeClr>
                </a:outerShdw>
              </a:effectLst>
            </a:rPr>
            <a:t> 1/5</a:t>
          </a:r>
          <a:endParaRPr lang="es-ES" sz="1600" b="0" cap="none" spc="0">
            <a:ln w="0"/>
            <a:solidFill>
              <a:schemeClr val="tx1"/>
            </a:solidFill>
            <a:effectLst>
              <a:outerShdw blurRad="38100" dist="19050" dir="2700000" algn="tl" rotWithShape="0">
                <a:schemeClr val="dk1">
                  <a:alpha val="40000"/>
                </a:schemeClr>
              </a:outerShdw>
            </a:effectLst>
          </a:endParaRPr>
        </a:p>
      </xdr:txBody>
    </xdr:sp>
    <xdr:clientData/>
  </xdr:oneCellAnchor>
  <xdr:oneCellAnchor>
    <xdr:from>
      <xdr:col>12</xdr:col>
      <xdr:colOff>1157412</xdr:colOff>
      <xdr:row>42</xdr:row>
      <xdr:rowOff>114906</xdr:rowOff>
    </xdr:from>
    <xdr:ext cx="873030" cy="342786"/>
    <xdr:sp macro="" textlink="">
      <xdr:nvSpPr>
        <xdr:cNvPr id="4" name="Rectángulo 3">
          <a:extLst>
            <a:ext uri="{FF2B5EF4-FFF2-40B4-BE49-F238E27FC236}">
              <a16:creationId xmlns:a16="http://schemas.microsoft.com/office/drawing/2014/main" id="{00000000-0008-0000-1300-000004000000}"/>
            </a:ext>
          </a:extLst>
        </xdr:cNvPr>
        <xdr:cNvSpPr/>
      </xdr:nvSpPr>
      <xdr:spPr>
        <a:xfrm>
          <a:off x="10996917" y="8157241"/>
          <a:ext cx="873030" cy="342786"/>
        </a:xfrm>
        <a:prstGeom prst="rect">
          <a:avLst/>
        </a:prstGeom>
        <a:noFill/>
      </xdr:spPr>
      <xdr:txBody>
        <a:bodyPr wrap="square" lIns="91440" tIns="45720" rIns="91440" bIns="45720">
          <a:spAutoFit/>
        </a:bodyPr>
        <a:lstStyle/>
        <a:p>
          <a:pPr algn="ctr"/>
          <a:r>
            <a:rPr lang="es-ES" sz="1600" b="0" cap="none" spc="0">
              <a:ln w="0"/>
              <a:solidFill>
                <a:schemeClr val="tx1"/>
              </a:solidFill>
              <a:effectLst>
                <a:outerShdw blurRad="38100" dist="19050" dir="2700000" algn="tl" rotWithShape="0">
                  <a:schemeClr val="dk1">
                    <a:alpha val="40000"/>
                  </a:schemeClr>
                </a:outerShdw>
              </a:effectLst>
            </a:rPr>
            <a:t>Pag.</a:t>
          </a:r>
          <a:r>
            <a:rPr lang="es-ES" sz="1600" b="0" cap="none" spc="0" baseline="0">
              <a:ln w="0"/>
              <a:solidFill>
                <a:schemeClr val="tx1"/>
              </a:solidFill>
              <a:effectLst>
                <a:outerShdw blurRad="38100" dist="19050" dir="2700000" algn="tl" rotWithShape="0">
                  <a:schemeClr val="dk1">
                    <a:alpha val="40000"/>
                  </a:schemeClr>
                </a:outerShdw>
              </a:effectLst>
            </a:rPr>
            <a:t> 2/5</a:t>
          </a:r>
          <a:endParaRPr lang="es-ES" sz="1600" b="0" cap="none" spc="0">
            <a:ln w="0"/>
            <a:solidFill>
              <a:schemeClr val="tx1"/>
            </a:solidFill>
            <a:effectLst>
              <a:outerShdw blurRad="38100" dist="19050" dir="2700000" algn="tl" rotWithShape="0">
                <a:schemeClr val="dk1">
                  <a:alpha val="40000"/>
                </a:schemeClr>
              </a:outerShdw>
            </a:effectLst>
          </a:endParaRPr>
        </a:p>
      </xdr:txBody>
    </xdr:sp>
    <xdr:clientData/>
  </xdr:oneCellAnchor>
  <xdr:oneCellAnchor>
    <xdr:from>
      <xdr:col>12</xdr:col>
      <xdr:colOff>1175024</xdr:colOff>
      <xdr:row>63</xdr:row>
      <xdr:rowOff>132519</xdr:rowOff>
    </xdr:from>
    <xdr:ext cx="873030" cy="342786"/>
    <xdr:sp macro="" textlink="">
      <xdr:nvSpPr>
        <xdr:cNvPr id="5" name="Rectángulo 4">
          <a:extLst>
            <a:ext uri="{FF2B5EF4-FFF2-40B4-BE49-F238E27FC236}">
              <a16:creationId xmlns:a16="http://schemas.microsoft.com/office/drawing/2014/main" id="{00000000-0008-0000-1300-000005000000}"/>
            </a:ext>
          </a:extLst>
        </xdr:cNvPr>
        <xdr:cNvSpPr/>
      </xdr:nvSpPr>
      <xdr:spPr>
        <a:xfrm>
          <a:off x="11014529" y="15255703"/>
          <a:ext cx="873030" cy="342786"/>
        </a:xfrm>
        <a:prstGeom prst="rect">
          <a:avLst/>
        </a:prstGeom>
        <a:noFill/>
      </xdr:spPr>
      <xdr:txBody>
        <a:bodyPr wrap="square" lIns="91440" tIns="45720" rIns="91440" bIns="45720">
          <a:spAutoFit/>
        </a:bodyPr>
        <a:lstStyle/>
        <a:p>
          <a:pPr algn="ctr"/>
          <a:r>
            <a:rPr lang="es-ES" sz="1600" b="0" cap="none" spc="0">
              <a:ln w="0"/>
              <a:solidFill>
                <a:schemeClr val="tx1"/>
              </a:solidFill>
              <a:effectLst>
                <a:outerShdw blurRad="38100" dist="19050" dir="2700000" algn="tl" rotWithShape="0">
                  <a:schemeClr val="dk1">
                    <a:alpha val="40000"/>
                  </a:schemeClr>
                </a:outerShdw>
              </a:effectLst>
            </a:rPr>
            <a:t>Pag.</a:t>
          </a:r>
          <a:r>
            <a:rPr lang="es-ES" sz="1600" b="0" cap="none" spc="0" baseline="0">
              <a:ln w="0"/>
              <a:solidFill>
                <a:schemeClr val="tx1"/>
              </a:solidFill>
              <a:effectLst>
                <a:outerShdw blurRad="38100" dist="19050" dir="2700000" algn="tl" rotWithShape="0">
                  <a:schemeClr val="dk1">
                    <a:alpha val="40000"/>
                  </a:schemeClr>
                </a:outerShdw>
              </a:effectLst>
            </a:rPr>
            <a:t> 3/5</a:t>
          </a:r>
          <a:endParaRPr lang="es-ES" sz="1600" b="0" cap="none" spc="0">
            <a:ln w="0"/>
            <a:solidFill>
              <a:schemeClr val="tx1"/>
            </a:solidFill>
            <a:effectLst>
              <a:outerShdw blurRad="38100" dist="19050" dir="2700000" algn="tl" rotWithShape="0">
                <a:schemeClr val="dk1">
                  <a:alpha val="40000"/>
                </a:schemeClr>
              </a:outerShdw>
            </a:effectLst>
          </a:endParaRPr>
        </a:p>
      </xdr:txBody>
    </xdr:sp>
    <xdr:clientData/>
  </xdr:oneCellAnchor>
  <xdr:oneCellAnchor>
    <xdr:from>
      <xdr:col>12</xdr:col>
      <xdr:colOff>1174664</xdr:colOff>
      <xdr:row>97</xdr:row>
      <xdr:rowOff>24329</xdr:rowOff>
    </xdr:from>
    <xdr:ext cx="873030" cy="342786"/>
    <xdr:sp macro="" textlink="">
      <xdr:nvSpPr>
        <xdr:cNvPr id="6" name="Rectángulo 5">
          <a:extLst>
            <a:ext uri="{FF2B5EF4-FFF2-40B4-BE49-F238E27FC236}">
              <a16:creationId xmlns:a16="http://schemas.microsoft.com/office/drawing/2014/main" id="{00000000-0008-0000-1300-000006000000}"/>
            </a:ext>
          </a:extLst>
        </xdr:cNvPr>
        <xdr:cNvSpPr/>
      </xdr:nvSpPr>
      <xdr:spPr>
        <a:xfrm>
          <a:off x="11014169" y="23414494"/>
          <a:ext cx="873030" cy="342786"/>
        </a:xfrm>
        <a:prstGeom prst="rect">
          <a:avLst/>
        </a:prstGeom>
        <a:noFill/>
      </xdr:spPr>
      <xdr:txBody>
        <a:bodyPr wrap="square" lIns="91440" tIns="45720" rIns="91440" bIns="45720">
          <a:spAutoFit/>
        </a:bodyPr>
        <a:lstStyle/>
        <a:p>
          <a:pPr algn="ctr"/>
          <a:r>
            <a:rPr lang="es-ES" sz="1600" b="0" cap="none" spc="0">
              <a:ln w="0"/>
              <a:solidFill>
                <a:schemeClr val="tx1"/>
              </a:solidFill>
              <a:effectLst>
                <a:outerShdw blurRad="38100" dist="19050" dir="2700000" algn="tl" rotWithShape="0">
                  <a:schemeClr val="dk1">
                    <a:alpha val="40000"/>
                  </a:schemeClr>
                </a:outerShdw>
              </a:effectLst>
            </a:rPr>
            <a:t>Pag.</a:t>
          </a:r>
          <a:r>
            <a:rPr lang="es-ES" sz="1600" b="0" cap="none" spc="0" baseline="0">
              <a:ln w="0"/>
              <a:solidFill>
                <a:schemeClr val="tx1"/>
              </a:solidFill>
              <a:effectLst>
                <a:outerShdw blurRad="38100" dist="19050" dir="2700000" algn="tl" rotWithShape="0">
                  <a:schemeClr val="dk1">
                    <a:alpha val="40000"/>
                  </a:schemeClr>
                </a:outerShdw>
              </a:effectLst>
            </a:rPr>
            <a:t> 4/5</a:t>
          </a:r>
          <a:endParaRPr lang="es-ES" sz="1600" b="0" cap="none" spc="0">
            <a:ln w="0"/>
            <a:solidFill>
              <a:schemeClr val="tx1"/>
            </a:solidFill>
            <a:effectLst>
              <a:outerShdw blurRad="38100" dist="19050" dir="2700000" algn="tl" rotWithShape="0">
                <a:schemeClr val="dk1">
                  <a:alpha val="40000"/>
                </a:schemeClr>
              </a:outerShdw>
            </a:effectLst>
          </a:endParaRPr>
        </a:p>
      </xdr:txBody>
    </xdr:sp>
    <xdr:clientData/>
  </xdr:oneCellAnchor>
  <xdr:oneCellAnchor>
    <xdr:from>
      <xdr:col>12</xdr:col>
      <xdr:colOff>1174304</xdr:colOff>
      <xdr:row>131</xdr:row>
      <xdr:rowOff>59913</xdr:rowOff>
    </xdr:from>
    <xdr:ext cx="873030" cy="342786"/>
    <xdr:sp macro="" textlink="">
      <xdr:nvSpPr>
        <xdr:cNvPr id="7" name="Rectángulo 6">
          <a:extLst>
            <a:ext uri="{FF2B5EF4-FFF2-40B4-BE49-F238E27FC236}">
              <a16:creationId xmlns:a16="http://schemas.microsoft.com/office/drawing/2014/main" id="{00000000-0008-0000-1300-000007000000}"/>
            </a:ext>
          </a:extLst>
        </xdr:cNvPr>
        <xdr:cNvSpPr/>
      </xdr:nvSpPr>
      <xdr:spPr>
        <a:xfrm>
          <a:off x="11013809" y="32130408"/>
          <a:ext cx="873030" cy="342786"/>
        </a:xfrm>
        <a:prstGeom prst="rect">
          <a:avLst/>
        </a:prstGeom>
        <a:noFill/>
      </xdr:spPr>
      <xdr:txBody>
        <a:bodyPr wrap="square" lIns="91440" tIns="45720" rIns="91440" bIns="45720">
          <a:spAutoFit/>
        </a:bodyPr>
        <a:lstStyle/>
        <a:p>
          <a:pPr algn="ctr"/>
          <a:r>
            <a:rPr lang="es-ES" sz="1600" b="0" cap="none" spc="0">
              <a:ln w="0"/>
              <a:solidFill>
                <a:schemeClr val="tx1"/>
              </a:solidFill>
              <a:effectLst>
                <a:outerShdw blurRad="38100" dist="19050" dir="2700000" algn="tl" rotWithShape="0">
                  <a:schemeClr val="dk1">
                    <a:alpha val="40000"/>
                  </a:schemeClr>
                </a:outerShdw>
              </a:effectLst>
            </a:rPr>
            <a:t>Pag.</a:t>
          </a:r>
          <a:r>
            <a:rPr lang="es-ES" sz="1600" b="0" cap="none" spc="0" baseline="0">
              <a:ln w="0"/>
              <a:solidFill>
                <a:schemeClr val="tx1"/>
              </a:solidFill>
              <a:effectLst>
                <a:outerShdw blurRad="38100" dist="19050" dir="2700000" algn="tl" rotWithShape="0">
                  <a:schemeClr val="dk1">
                    <a:alpha val="40000"/>
                  </a:schemeClr>
                </a:outerShdw>
              </a:effectLst>
            </a:rPr>
            <a:t> 5/5</a:t>
          </a:r>
          <a:endParaRPr lang="es-ES" sz="1600" b="0" cap="none" spc="0">
            <a:ln w="0"/>
            <a:solidFill>
              <a:schemeClr val="tx1"/>
            </a:solidFill>
            <a:effectLst>
              <a:outerShdw blurRad="38100" dist="19050" dir="2700000" algn="tl" rotWithShape="0">
                <a:schemeClr val="dk1">
                  <a:alpha val="40000"/>
                </a:schemeClr>
              </a:outerShdw>
            </a:effectLst>
          </a:endParaRP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17</xdr:col>
      <xdr:colOff>98141</xdr:colOff>
      <xdr:row>349</xdr:row>
      <xdr:rowOff>0</xdr:rowOff>
    </xdr:from>
    <xdr:ext cx="7791685" cy="937629"/>
    <xdr:sp macro="" textlink="">
      <xdr:nvSpPr>
        <xdr:cNvPr id="2" name="Rectángulo 1">
          <a:extLst>
            <a:ext uri="{FF2B5EF4-FFF2-40B4-BE49-F238E27FC236}">
              <a16:creationId xmlns:a16="http://schemas.microsoft.com/office/drawing/2014/main" id="{00000000-0008-0000-1500-000002000000}"/>
            </a:ext>
          </a:extLst>
        </xdr:cNvPr>
        <xdr:cNvSpPr/>
      </xdr:nvSpPr>
      <xdr:spPr>
        <a:xfrm rot="20373046">
          <a:off x="14465852" y="60082111"/>
          <a:ext cx="7791685" cy="937629"/>
        </a:xfrm>
        <a:prstGeom prst="rect">
          <a:avLst/>
        </a:prstGeom>
        <a:noFill/>
      </xdr:spPr>
      <xdr:txBody>
        <a:bodyPr wrap="none" lIns="91440" tIns="45720" rIns="91440" bIns="45720">
          <a:spAutoFit/>
        </a:bodyPr>
        <a:lstStyle/>
        <a:p>
          <a:pPr algn="ctr"/>
          <a:r>
            <a:rPr lang="es-ES" sz="5400" b="1" cap="none" spc="0">
              <a:ln w="9525">
                <a:solidFill>
                  <a:sysClr val="windowText" lastClr="000000"/>
                </a:solidFill>
                <a:prstDash val="solid"/>
              </a:ln>
              <a:solidFill>
                <a:sysClr val="windowText" lastClr="000000"/>
              </a:solidFill>
              <a:effectLst>
                <a:outerShdw blurRad="12700" dist="38100" dir="2700000" algn="tl" rotWithShape="0">
                  <a:schemeClr val="accent5">
                    <a:lumMod val="60000"/>
                    <a:lumOff val="40000"/>
                  </a:schemeClr>
                </a:outerShdw>
              </a:effectLst>
            </a:rPr>
            <a:t>YA</a:t>
          </a:r>
          <a:r>
            <a:rPr lang="es-ES" sz="5400" b="1" cap="none" spc="0" baseline="0">
              <a:ln w="9525">
                <a:solidFill>
                  <a:sysClr val="windowText" lastClr="000000"/>
                </a:solidFill>
                <a:prstDash val="solid"/>
              </a:ln>
              <a:solidFill>
                <a:sysClr val="windowText" lastClr="000000"/>
              </a:solidFill>
              <a:effectLst>
                <a:outerShdw blurRad="12700" dist="38100" dir="2700000" algn="tl" rotWithShape="0">
                  <a:schemeClr val="accent5">
                    <a:lumMod val="60000"/>
                    <a:lumOff val="40000"/>
                  </a:schemeClr>
                </a:outerShdw>
              </a:effectLst>
            </a:rPr>
            <a:t> NO VA ESTE PROYECTO</a:t>
          </a:r>
          <a:endParaRPr lang="es-ES" sz="5400" b="1" cap="none" spc="0">
            <a:ln w="9525">
              <a:solidFill>
                <a:sysClr val="windowText" lastClr="000000"/>
              </a:solidFill>
              <a:prstDash val="solid"/>
            </a:ln>
            <a:solidFill>
              <a:sysClr val="windowText" lastClr="000000"/>
            </a:solidFill>
            <a:effectLst>
              <a:outerShdw blurRad="12700" dist="38100" dir="2700000" algn="tl" rotWithShape="0">
                <a:schemeClr val="accent5">
                  <a:lumMod val="60000"/>
                  <a:lumOff val="40000"/>
                </a:schemeClr>
              </a:outerShdw>
            </a:effectLst>
          </a:endParaRPr>
        </a:p>
      </xdr:txBody>
    </xdr:sp>
    <xdr:clientData/>
  </xdr:oneCellAnchor>
  <xdr:oneCellAnchor>
    <xdr:from>
      <xdr:col>0</xdr:col>
      <xdr:colOff>0</xdr:colOff>
      <xdr:row>377</xdr:row>
      <xdr:rowOff>769435</xdr:rowOff>
    </xdr:from>
    <xdr:ext cx="7791685" cy="937629"/>
    <xdr:sp macro="" textlink="">
      <xdr:nvSpPr>
        <xdr:cNvPr id="3" name="Rectángulo 2">
          <a:extLst>
            <a:ext uri="{FF2B5EF4-FFF2-40B4-BE49-F238E27FC236}">
              <a16:creationId xmlns:a16="http://schemas.microsoft.com/office/drawing/2014/main" id="{00000000-0008-0000-1500-000003000000}"/>
            </a:ext>
          </a:extLst>
        </xdr:cNvPr>
        <xdr:cNvSpPr/>
      </xdr:nvSpPr>
      <xdr:spPr>
        <a:xfrm rot="20373046">
          <a:off x="0" y="31163710"/>
          <a:ext cx="7791685" cy="937629"/>
        </a:xfrm>
        <a:prstGeom prst="rect">
          <a:avLst/>
        </a:prstGeom>
        <a:noFill/>
      </xdr:spPr>
      <xdr:txBody>
        <a:bodyPr wrap="none" lIns="91440" tIns="45720" rIns="91440" bIns="45720">
          <a:spAutoFit/>
        </a:bodyPr>
        <a:lstStyle/>
        <a:p>
          <a:pPr algn="ctr"/>
          <a:r>
            <a:rPr lang="es-ES" sz="5400" b="1" cap="none" spc="0">
              <a:ln w="9525">
                <a:solidFill>
                  <a:sysClr val="windowText" lastClr="000000"/>
                </a:solidFill>
                <a:prstDash val="solid"/>
              </a:ln>
              <a:solidFill>
                <a:sysClr val="windowText" lastClr="000000"/>
              </a:solidFill>
              <a:effectLst>
                <a:outerShdw blurRad="12700" dist="38100" dir="2700000" algn="tl" rotWithShape="0">
                  <a:schemeClr val="accent5">
                    <a:lumMod val="60000"/>
                    <a:lumOff val="40000"/>
                  </a:schemeClr>
                </a:outerShdw>
              </a:effectLst>
            </a:rPr>
            <a:t>YA</a:t>
          </a:r>
          <a:r>
            <a:rPr lang="es-ES" sz="5400" b="1" cap="none" spc="0" baseline="0">
              <a:ln w="9525">
                <a:solidFill>
                  <a:sysClr val="windowText" lastClr="000000"/>
                </a:solidFill>
                <a:prstDash val="solid"/>
              </a:ln>
              <a:solidFill>
                <a:sysClr val="windowText" lastClr="000000"/>
              </a:solidFill>
              <a:effectLst>
                <a:outerShdw blurRad="12700" dist="38100" dir="2700000" algn="tl" rotWithShape="0">
                  <a:schemeClr val="accent5">
                    <a:lumMod val="60000"/>
                    <a:lumOff val="40000"/>
                  </a:schemeClr>
                </a:outerShdw>
              </a:effectLst>
            </a:rPr>
            <a:t> NO VA ESTE PROYECTO</a:t>
          </a:r>
          <a:endParaRPr lang="es-ES" sz="5400" b="1" cap="none" spc="0">
            <a:ln w="9525">
              <a:solidFill>
                <a:sysClr val="windowText" lastClr="000000"/>
              </a:solidFill>
              <a:prstDash val="solid"/>
            </a:ln>
            <a:solidFill>
              <a:sysClr val="windowText" lastClr="000000"/>
            </a:solidFill>
            <a:effectLst>
              <a:outerShdw blurRad="12700" dist="38100" dir="2700000" algn="tl" rotWithShape="0">
                <a:schemeClr val="accent5">
                  <a:lumMod val="60000"/>
                  <a:lumOff val="40000"/>
                </a:schemeClr>
              </a:outerShdw>
            </a:effectLst>
          </a:endParaRPr>
        </a:p>
      </xdr:txBody>
    </xdr:sp>
    <xdr:clientData/>
  </xdr:oneCellAnchor>
  <xdr:oneCellAnchor>
    <xdr:from>
      <xdr:col>0</xdr:col>
      <xdr:colOff>0</xdr:colOff>
      <xdr:row>430</xdr:row>
      <xdr:rowOff>962026</xdr:rowOff>
    </xdr:from>
    <xdr:ext cx="7791685" cy="937629"/>
    <xdr:sp macro="" textlink="">
      <xdr:nvSpPr>
        <xdr:cNvPr id="4" name="Rectángulo 3">
          <a:extLst>
            <a:ext uri="{FF2B5EF4-FFF2-40B4-BE49-F238E27FC236}">
              <a16:creationId xmlns:a16="http://schemas.microsoft.com/office/drawing/2014/main" id="{00000000-0008-0000-1500-000004000000}"/>
            </a:ext>
          </a:extLst>
        </xdr:cNvPr>
        <xdr:cNvSpPr/>
      </xdr:nvSpPr>
      <xdr:spPr>
        <a:xfrm rot="20373046">
          <a:off x="0" y="45224701"/>
          <a:ext cx="7791685" cy="937629"/>
        </a:xfrm>
        <a:prstGeom prst="rect">
          <a:avLst/>
        </a:prstGeom>
        <a:noFill/>
      </xdr:spPr>
      <xdr:txBody>
        <a:bodyPr wrap="none" lIns="91440" tIns="45720" rIns="91440" bIns="45720">
          <a:spAutoFit/>
        </a:bodyPr>
        <a:lstStyle/>
        <a:p>
          <a:pPr algn="ctr"/>
          <a:r>
            <a:rPr lang="es-ES" sz="5400" b="1" cap="none" spc="0">
              <a:ln w="9525">
                <a:solidFill>
                  <a:sysClr val="windowText" lastClr="000000"/>
                </a:solidFill>
                <a:prstDash val="solid"/>
              </a:ln>
              <a:solidFill>
                <a:sysClr val="windowText" lastClr="000000"/>
              </a:solidFill>
              <a:effectLst>
                <a:outerShdw blurRad="12700" dist="38100" dir="2700000" algn="tl" rotWithShape="0">
                  <a:schemeClr val="accent5">
                    <a:lumMod val="60000"/>
                    <a:lumOff val="40000"/>
                  </a:schemeClr>
                </a:outerShdw>
              </a:effectLst>
            </a:rPr>
            <a:t>YA</a:t>
          </a:r>
          <a:r>
            <a:rPr lang="es-ES" sz="5400" b="1" cap="none" spc="0" baseline="0">
              <a:ln w="9525">
                <a:solidFill>
                  <a:sysClr val="windowText" lastClr="000000"/>
                </a:solidFill>
                <a:prstDash val="solid"/>
              </a:ln>
              <a:solidFill>
                <a:sysClr val="windowText" lastClr="000000"/>
              </a:solidFill>
              <a:effectLst>
                <a:outerShdw blurRad="12700" dist="38100" dir="2700000" algn="tl" rotWithShape="0">
                  <a:schemeClr val="accent5">
                    <a:lumMod val="60000"/>
                    <a:lumOff val="40000"/>
                  </a:schemeClr>
                </a:outerShdw>
              </a:effectLst>
            </a:rPr>
            <a:t> NO VA ESTE PROYECTO</a:t>
          </a:r>
          <a:endParaRPr lang="es-ES" sz="5400" b="1" cap="none" spc="0">
            <a:ln w="9525">
              <a:solidFill>
                <a:sysClr val="windowText" lastClr="000000"/>
              </a:solidFill>
              <a:prstDash val="solid"/>
            </a:ln>
            <a:solidFill>
              <a:sysClr val="windowText" lastClr="000000"/>
            </a:solidFill>
            <a:effectLst>
              <a:outerShdw blurRad="12700" dist="38100" dir="2700000" algn="tl" rotWithShape="0">
                <a:schemeClr val="accent5">
                  <a:lumMod val="60000"/>
                  <a:lumOff val="40000"/>
                </a:schemeClr>
              </a:outerShdw>
            </a:effectLst>
          </a:endParaRP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0</xdr:col>
      <xdr:colOff>0</xdr:colOff>
      <xdr:row>698</xdr:row>
      <xdr:rowOff>769435</xdr:rowOff>
    </xdr:from>
    <xdr:ext cx="7791685" cy="937629"/>
    <xdr:sp macro="" textlink="">
      <xdr:nvSpPr>
        <xdr:cNvPr id="2" name="Rectángulo 1">
          <a:extLst>
            <a:ext uri="{FF2B5EF4-FFF2-40B4-BE49-F238E27FC236}">
              <a16:creationId xmlns:a16="http://schemas.microsoft.com/office/drawing/2014/main" id="{00000000-0008-0000-1600-000002000000}"/>
            </a:ext>
          </a:extLst>
        </xdr:cNvPr>
        <xdr:cNvSpPr/>
      </xdr:nvSpPr>
      <xdr:spPr>
        <a:xfrm rot="20373046">
          <a:off x="0" y="268079035"/>
          <a:ext cx="7791685" cy="937629"/>
        </a:xfrm>
        <a:prstGeom prst="rect">
          <a:avLst/>
        </a:prstGeom>
        <a:noFill/>
      </xdr:spPr>
      <xdr:txBody>
        <a:bodyPr wrap="none" lIns="91440" tIns="45720" rIns="91440" bIns="45720">
          <a:spAutoFit/>
        </a:bodyPr>
        <a:lstStyle/>
        <a:p>
          <a:pPr algn="ctr"/>
          <a:r>
            <a:rPr lang="es-ES" sz="5400" b="1" cap="none" spc="0">
              <a:ln w="9525">
                <a:solidFill>
                  <a:sysClr val="windowText" lastClr="000000"/>
                </a:solidFill>
                <a:prstDash val="solid"/>
              </a:ln>
              <a:solidFill>
                <a:sysClr val="windowText" lastClr="000000"/>
              </a:solidFill>
              <a:effectLst>
                <a:outerShdw blurRad="12700" dist="38100" dir="2700000" algn="tl" rotWithShape="0">
                  <a:schemeClr val="accent5">
                    <a:lumMod val="60000"/>
                    <a:lumOff val="40000"/>
                  </a:schemeClr>
                </a:outerShdw>
              </a:effectLst>
            </a:rPr>
            <a:t>YA</a:t>
          </a:r>
          <a:r>
            <a:rPr lang="es-ES" sz="5400" b="1" cap="none" spc="0" baseline="0">
              <a:ln w="9525">
                <a:solidFill>
                  <a:sysClr val="windowText" lastClr="000000"/>
                </a:solidFill>
                <a:prstDash val="solid"/>
              </a:ln>
              <a:solidFill>
                <a:sysClr val="windowText" lastClr="000000"/>
              </a:solidFill>
              <a:effectLst>
                <a:outerShdw blurRad="12700" dist="38100" dir="2700000" algn="tl" rotWithShape="0">
                  <a:schemeClr val="accent5">
                    <a:lumMod val="60000"/>
                    <a:lumOff val="40000"/>
                  </a:schemeClr>
                </a:outerShdw>
              </a:effectLst>
            </a:rPr>
            <a:t> NO VA ESTE PROYECTO</a:t>
          </a:r>
          <a:endParaRPr lang="es-ES" sz="5400" b="1" cap="none" spc="0">
            <a:ln w="9525">
              <a:solidFill>
                <a:sysClr val="windowText" lastClr="000000"/>
              </a:solidFill>
              <a:prstDash val="solid"/>
            </a:ln>
            <a:solidFill>
              <a:sysClr val="windowText" lastClr="000000"/>
            </a:solidFill>
            <a:effectLst>
              <a:outerShdw blurRad="12700" dist="38100" dir="2700000" algn="tl" rotWithShape="0">
                <a:schemeClr val="accent5">
                  <a:lumMod val="60000"/>
                  <a:lumOff val="40000"/>
                </a:schemeClr>
              </a:outerShdw>
            </a:effectLst>
          </a:endParaRPr>
        </a:p>
      </xdr:txBody>
    </xdr:sp>
    <xdr:clientData/>
  </xdr:oneCellAnchor>
  <xdr:oneCellAnchor>
    <xdr:from>
      <xdr:col>0</xdr:col>
      <xdr:colOff>0</xdr:colOff>
      <xdr:row>751</xdr:row>
      <xdr:rowOff>962026</xdr:rowOff>
    </xdr:from>
    <xdr:ext cx="7791685" cy="937629"/>
    <xdr:sp macro="" textlink="">
      <xdr:nvSpPr>
        <xdr:cNvPr id="3" name="Rectángulo 2">
          <a:extLst>
            <a:ext uri="{FF2B5EF4-FFF2-40B4-BE49-F238E27FC236}">
              <a16:creationId xmlns:a16="http://schemas.microsoft.com/office/drawing/2014/main" id="{00000000-0008-0000-1600-000003000000}"/>
            </a:ext>
          </a:extLst>
        </xdr:cNvPr>
        <xdr:cNvSpPr/>
      </xdr:nvSpPr>
      <xdr:spPr>
        <a:xfrm rot="20373046">
          <a:off x="0" y="282301951"/>
          <a:ext cx="7791685" cy="937629"/>
        </a:xfrm>
        <a:prstGeom prst="rect">
          <a:avLst/>
        </a:prstGeom>
        <a:noFill/>
      </xdr:spPr>
      <xdr:txBody>
        <a:bodyPr wrap="none" lIns="91440" tIns="45720" rIns="91440" bIns="45720">
          <a:spAutoFit/>
        </a:bodyPr>
        <a:lstStyle/>
        <a:p>
          <a:pPr algn="ctr"/>
          <a:r>
            <a:rPr lang="es-ES" sz="5400" b="1" cap="none" spc="0">
              <a:ln w="9525">
                <a:solidFill>
                  <a:sysClr val="windowText" lastClr="000000"/>
                </a:solidFill>
                <a:prstDash val="solid"/>
              </a:ln>
              <a:solidFill>
                <a:sysClr val="windowText" lastClr="000000"/>
              </a:solidFill>
              <a:effectLst>
                <a:outerShdw blurRad="12700" dist="38100" dir="2700000" algn="tl" rotWithShape="0">
                  <a:schemeClr val="accent5">
                    <a:lumMod val="60000"/>
                    <a:lumOff val="40000"/>
                  </a:schemeClr>
                </a:outerShdw>
              </a:effectLst>
            </a:rPr>
            <a:t>YA</a:t>
          </a:r>
          <a:r>
            <a:rPr lang="es-ES" sz="5400" b="1" cap="none" spc="0" baseline="0">
              <a:ln w="9525">
                <a:solidFill>
                  <a:sysClr val="windowText" lastClr="000000"/>
                </a:solidFill>
                <a:prstDash val="solid"/>
              </a:ln>
              <a:solidFill>
                <a:sysClr val="windowText" lastClr="000000"/>
              </a:solidFill>
              <a:effectLst>
                <a:outerShdw blurRad="12700" dist="38100" dir="2700000" algn="tl" rotWithShape="0">
                  <a:schemeClr val="accent5">
                    <a:lumMod val="60000"/>
                    <a:lumOff val="40000"/>
                  </a:schemeClr>
                </a:outerShdw>
              </a:effectLst>
            </a:rPr>
            <a:t> NO VA ESTE PROYECTO</a:t>
          </a:r>
          <a:endParaRPr lang="es-ES" sz="5400" b="1" cap="none" spc="0">
            <a:ln w="9525">
              <a:solidFill>
                <a:sysClr val="windowText" lastClr="000000"/>
              </a:solidFill>
              <a:prstDash val="solid"/>
            </a:ln>
            <a:solidFill>
              <a:sysClr val="windowText" lastClr="000000"/>
            </a:solidFill>
            <a:effectLst>
              <a:outerShdw blurRad="12700" dist="38100" dir="2700000" algn="tl" rotWithShape="0">
                <a:schemeClr val="accent5">
                  <a:lumMod val="60000"/>
                  <a:lumOff val="40000"/>
                </a:schemeClr>
              </a:outerShdw>
            </a:effectLst>
          </a:endParaRPr>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0</xdr:col>
      <xdr:colOff>28577</xdr:colOff>
      <xdr:row>2285</xdr:row>
      <xdr:rowOff>959935</xdr:rowOff>
    </xdr:from>
    <xdr:ext cx="7791685" cy="937629"/>
    <xdr:sp macro="" textlink="">
      <xdr:nvSpPr>
        <xdr:cNvPr id="2" name="Rectángulo 1">
          <a:extLst>
            <a:ext uri="{FF2B5EF4-FFF2-40B4-BE49-F238E27FC236}">
              <a16:creationId xmlns:a16="http://schemas.microsoft.com/office/drawing/2014/main" id="{00000000-0008-0000-1800-000002000000}"/>
            </a:ext>
          </a:extLst>
        </xdr:cNvPr>
        <xdr:cNvSpPr/>
      </xdr:nvSpPr>
      <xdr:spPr>
        <a:xfrm rot="19486943">
          <a:off x="28577" y="139863010"/>
          <a:ext cx="7791685" cy="937629"/>
        </a:xfrm>
        <a:prstGeom prst="rect">
          <a:avLst/>
        </a:prstGeom>
        <a:noFill/>
      </xdr:spPr>
      <xdr:txBody>
        <a:bodyPr wrap="none" lIns="91440" tIns="45720" rIns="91440" bIns="45720">
          <a:spAutoFit/>
        </a:bodyPr>
        <a:lstStyle/>
        <a:p>
          <a:pPr algn="ctr"/>
          <a:r>
            <a:rPr lang="es-ES" sz="5400" b="1" cap="none" spc="0">
              <a:ln w="13462">
                <a:solidFill>
                  <a:schemeClr val="bg1"/>
                </a:solidFill>
                <a:prstDash val="solid"/>
              </a:ln>
              <a:solidFill>
                <a:schemeClr val="tx1">
                  <a:lumMod val="85000"/>
                  <a:lumOff val="15000"/>
                </a:schemeClr>
              </a:solidFill>
              <a:effectLst>
                <a:outerShdw dist="38100" dir="2700000" algn="bl" rotWithShape="0">
                  <a:schemeClr val="accent5"/>
                </a:outerShdw>
              </a:effectLst>
            </a:rPr>
            <a:t>ESTE</a:t>
          </a:r>
          <a:r>
            <a:rPr lang="es-ES" sz="5400" b="1" cap="none" spc="0" baseline="0">
              <a:ln w="13462">
                <a:solidFill>
                  <a:schemeClr val="bg1"/>
                </a:solidFill>
                <a:prstDash val="solid"/>
              </a:ln>
              <a:solidFill>
                <a:schemeClr val="tx1">
                  <a:lumMod val="85000"/>
                  <a:lumOff val="15000"/>
                </a:schemeClr>
              </a:solidFill>
              <a:effectLst>
                <a:outerShdw dist="38100" dir="2700000" algn="bl" rotWithShape="0">
                  <a:schemeClr val="accent5"/>
                </a:outerShdw>
              </a:effectLst>
            </a:rPr>
            <a:t> PROYECTO YA NO VA</a:t>
          </a:r>
          <a:endParaRPr lang="es-ES" sz="5400" b="1" cap="none" spc="0">
            <a:ln w="13462">
              <a:solidFill>
                <a:schemeClr val="bg1"/>
              </a:solidFill>
              <a:prstDash val="solid"/>
            </a:ln>
            <a:solidFill>
              <a:schemeClr val="tx1">
                <a:lumMod val="85000"/>
                <a:lumOff val="15000"/>
              </a:schemeClr>
            </a:solidFill>
            <a:effectLst>
              <a:outerShdw dist="38100" dir="2700000" algn="bl" rotWithShape="0">
                <a:schemeClr val="accent5"/>
              </a:outerShdw>
            </a:effectLst>
          </a:endParaRPr>
        </a:p>
      </xdr:txBody>
    </xdr:sp>
    <xdr:clientData/>
  </xdr:oneCellAnchor>
  <xdr:oneCellAnchor>
    <xdr:from>
      <xdr:col>0</xdr:col>
      <xdr:colOff>0</xdr:colOff>
      <xdr:row>2257</xdr:row>
      <xdr:rowOff>95249</xdr:rowOff>
    </xdr:from>
    <xdr:ext cx="7791685" cy="937629"/>
    <xdr:sp macro="" textlink="">
      <xdr:nvSpPr>
        <xdr:cNvPr id="3" name="Rectángulo 2">
          <a:extLst>
            <a:ext uri="{FF2B5EF4-FFF2-40B4-BE49-F238E27FC236}">
              <a16:creationId xmlns:a16="http://schemas.microsoft.com/office/drawing/2014/main" id="{00000000-0008-0000-1800-000003000000}"/>
            </a:ext>
          </a:extLst>
        </xdr:cNvPr>
        <xdr:cNvSpPr/>
      </xdr:nvSpPr>
      <xdr:spPr>
        <a:xfrm rot="19486943">
          <a:off x="0" y="133169024"/>
          <a:ext cx="7791685" cy="937629"/>
        </a:xfrm>
        <a:prstGeom prst="rect">
          <a:avLst/>
        </a:prstGeom>
        <a:noFill/>
      </xdr:spPr>
      <xdr:txBody>
        <a:bodyPr wrap="none" lIns="91440" tIns="45720" rIns="91440" bIns="45720">
          <a:spAutoFit/>
        </a:bodyPr>
        <a:lstStyle/>
        <a:p>
          <a:pPr algn="ctr"/>
          <a:r>
            <a:rPr lang="es-ES" sz="5400" b="1" cap="none" spc="0">
              <a:ln w="13462">
                <a:solidFill>
                  <a:schemeClr val="bg1"/>
                </a:solidFill>
                <a:prstDash val="solid"/>
              </a:ln>
              <a:solidFill>
                <a:schemeClr val="tx1">
                  <a:lumMod val="85000"/>
                  <a:lumOff val="15000"/>
                </a:schemeClr>
              </a:solidFill>
              <a:effectLst>
                <a:outerShdw dist="38100" dir="2700000" algn="bl" rotWithShape="0">
                  <a:schemeClr val="accent5"/>
                </a:outerShdw>
              </a:effectLst>
            </a:rPr>
            <a:t>ESTE</a:t>
          </a:r>
          <a:r>
            <a:rPr lang="es-ES" sz="5400" b="1" cap="none" spc="0" baseline="0">
              <a:ln w="13462">
                <a:solidFill>
                  <a:schemeClr val="bg1"/>
                </a:solidFill>
                <a:prstDash val="solid"/>
              </a:ln>
              <a:solidFill>
                <a:schemeClr val="tx1">
                  <a:lumMod val="85000"/>
                  <a:lumOff val="15000"/>
                </a:schemeClr>
              </a:solidFill>
              <a:effectLst>
                <a:outerShdw dist="38100" dir="2700000" algn="bl" rotWithShape="0">
                  <a:schemeClr val="accent5"/>
                </a:outerShdw>
              </a:effectLst>
            </a:rPr>
            <a:t> PROYECTO YA NO VA</a:t>
          </a:r>
          <a:endParaRPr lang="es-ES" sz="5400" b="1" cap="none" spc="0">
            <a:ln w="13462">
              <a:solidFill>
                <a:schemeClr val="bg1"/>
              </a:solidFill>
              <a:prstDash val="solid"/>
            </a:ln>
            <a:solidFill>
              <a:schemeClr val="tx1">
                <a:lumMod val="85000"/>
                <a:lumOff val="15000"/>
              </a:schemeClr>
            </a:solidFill>
            <a:effectLst>
              <a:outerShdw dist="38100" dir="2700000" algn="bl" rotWithShape="0">
                <a:schemeClr val="accent5"/>
              </a:outerShdw>
            </a:effectLst>
          </a:endParaRPr>
        </a:p>
      </xdr:txBody>
    </xdr:sp>
    <xdr:clientData/>
  </xdr:oneCellAnchor>
  <xdr:oneCellAnchor>
    <xdr:from>
      <xdr:col>0</xdr:col>
      <xdr:colOff>0</xdr:colOff>
      <xdr:row>10</xdr:row>
      <xdr:rowOff>148607</xdr:rowOff>
    </xdr:from>
    <xdr:ext cx="8838189" cy="937629"/>
    <xdr:sp macro="" textlink="">
      <xdr:nvSpPr>
        <xdr:cNvPr id="4" name="Rectángulo 3">
          <a:extLst>
            <a:ext uri="{FF2B5EF4-FFF2-40B4-BE49-F238E27FC236}">
              <a16:creationId xmlns:a16="http://schemas.microsoft.com/office/drawing/2014/main" id="{00000000-0008-0000-1800-000004000000}"/>
            </a:ext>
          </a:extLst>
        </xdr:cNvPr>
        <xdr:cNvSpPr/>
      </xdr:nvSpPr>
      <xdr:spPr>
        <a:xfrm rot="19590321">
          <a:off x="0" y="2504252"/>
          <a:ext cx="8838189" cy="937629"/>
        </a:xfrm>
        <a:prstGeom prst="rect">
          <a:avLst/>
        </a:prstGeom>
        <a:noFill/>
      </xdr:spPr>
      <xdr:txBody>
        <a:bodyPr wrap="none" lIns="91440" tIns="45720" rIns="91440" bIns="45720">
          <a:spAutoFit/>
        </a:bodyPr>
        <a:lstStyle/>
        <a:p>
          <a:pPr algn="ctr"/>
          <a:r>
            <a:rPr lang="es-ES" sz="5400" b="0" cap="none" spc="0">
              <a:ln w="0"/>
              <a:solidFill>
                <a:schemeClr val="tx1"/>
              </a:solidFill>
              <a:effectLst>
                <a:outerShdw blurRad="38100" dist="19050" dir="2700000" algn="tl" rotWithShape="0">
                  <a:schemeClr val="dk1">
                    <a:alpha val="40000"/>
                  </a:schemeClr>
                </a:outerShdw>
              </a:effectLst>
            </a:rPr>
            <a:t>YA</a:t>
          </a:r>
          <a:r>
            <a:rPr lang="es-ES" sz="5400" b="0" cap="none" spc="0" baseline="0">
              <a:ln w="0"/>
              <a:solidFill>
                <a:schemeClr val="tx1"/>
              </a:solidFill>
              <a:effectLst>
                <a:outerShdw blurRad="38100" dist="19050" dir="2700000" algn="tl" rotWithShape="0">
                  <a:schemeClr val="dk1">
                    <a:alpha val="40000"/>
                  </a:schemeClr>
                </a:outerShdw>
              </a:effectLst>
            </a:rPr>
            <a:t> NO SEVA HACER ESTE PROY</a:t>
          </a:r>
          <a:endParaRPr lang="es-ES" sz="5400" b="0" cap="none" spc="0">
            <a:ln w="0"/>
            <a:solidFill>
              <a:schemeClr val="tx1"/>
            </a:solidFill>
            <a:effectLst>
              <a:outerShdw blurRad="38100" dist="19050" dir="2700000" algn="tl" rotWithShape="0">
                <a:schemeClr val="dk1">
                  <a:alpha val="40000"/>
                </a:schemeClr>
              </a:outerShdw>
            </a:effectLst>
          </a:endParaRPr>
        </a:p>
      </xdr:txBody>
    </xdr:sp>
    <xdr:clientData/>
  </xdr:oneCellAnchor>
  <xdr:oneCellAnchor>
    <xdr:from>
      <xdr:col>16</xdr:col>
      <xdr:colOff>553066</xdr:colOff>
      <xdr:row>63</xdr:row>
      <xdr:rowOff>141605</xdr:rowOff>
    </xdr:from>
    <xdr:ext cx="8838189" cy="937629"/>
    <xdr:sp macro="" textlink="">
      <xdr:nvSpPr>
        <xdr:cNvPr id="5" name="Rectángulo 4">
          <a:extLst>
            <a:ext uri="{FF2B5EF4-FFF2-40B4-BE49-F238E27FC236}">
              <a16:creationId xmlns:a16="http://schemas.microsoft.com/office/drawing/2014/main" id="{00000000-0008-0000-1800-000005000000}"/>
            </a:ext>
          </a:extLst>
        </xdr:cNvPr>
        <xdr:cNvSpPr/>
      </xdr:nvSpPr>
      <xdr:spPr>
        <a:xfrm rot="19590321">
          <a:off x="14635727" y="16508218"/>
          <a:ext cx="8838189" cy="937629"/>
        </a:xfrm>
        <a:prstGeom prst="rect">
          <a:avLst/>
        </a:prstGeom>
        <a:noFill/>
      </xdr:spPr>
      <xdr:txBody>
        <a:bodyPr wrap="none" lIns="91440" tIns="45720" rIns="91440" bIns="45720">
          <a:spAutoFit/>
        </a:bodyPr>
        <a:lstStyle/>
        <a:p>
          <a:pPr algn="ctr"/>
          <a:r>
            <a:rPr lang="es-ES" sz="5400" b="0" cap="none" spc="0">
              <a:ln w="0"/>
              <a:solidFill>
                <a:schemeClr val="tx1"/>
              </a:solidFill>
              <a:effectLst>
                <a:outerShdw blurRad="38100" dist="19050" dir="2700000" algn="tl" rotWithShape="0">
                  <a:schemeClr val="dk1">
                    <a:alpha val="40000"/>
                  </a:schemeClr>
                </a:outerShdw>
              </a:effectLst>
            </a:rPr>
            <a:t>YA</a:t>
          </a:r>
          <a:r>
            <a:rPr lang="es-ES" sz="5400" b="0" cap="none" spc="0" baseline="0">
              <a:ln w="0"/>
              <a:solidFill>
                <a:schemeClr val="tx1"/>
              </a:solidFill>
              <a:effectLst>
                <a:outerShdw blurRad="38100" dist="19050" dir="2700000" algn="tl" rotWithShape="0">
                  <a:schemeClr val="dk1">
                    <a:alpha val="40000"/>
                  </a:schemeClr>
                </a:outerShdw>
              </a:effectLst>
            </a:rPr>
            <a:t> NO SEVA HACER ESTE PROY</a:t>
          </a:r>
          <a:endParaRPr lang="es-ES" sz="5400" b="0" cap="none" spc="0">
            <a:ln w="0"/>
            <a:solidFill>
              <a:schemeClr val="tx1"/>
            </a:solidFill>
            <a:effectLst>
              <a:outerShdw blurRad="38100" dist="19050" dir="2700000" algn="tl" rotWithShape="0">
                <a:schemeClr val="dk1">
                  <a:alpha val="40000"/>
                </a:schemeClr>
              </a:outerShdw>
            </a:effectLst>
          </a:endParaRPr>
        </a:p>
      </xdr:txBody>
    </xdr:sp>
    <xdr:clientData/>
  </xdr:oneCellAnchor>
  <xdr:oneCellAnchor>
    <xdr:from>
      <xdr:col>13</xdr:col>
      <xdr:colOff>553063</xdr:colOff>
      <xdr:row>195</xdr:row>
      <xdr:rowOff>70934</xdr:rowOff>
    </xdr:from>
    <xdr:ext cx="8838189" cy="937629"/>
    <xdr:sp macro="" textlink="">
      <xdr:nvSpPr>
        <xdr:cNvPr id="6" name="Rectángulo 5">
          <a:extLst>
            <a:ext uri="{FF2B5EF4-FFF2-40B4-BE49-F238E27FC236}">
              <a16:creationId xmlns:a16="http://schemas.microsoft.com/office/drawing/2014/main" id="{00000000-0008-0000-1800-000006000000}"/>
            </a:ext>
          </a:extLst>
        </xdr:cNvPr>
        <xdr:cNvSpPr/>
      </xdr:nvSpPr>
      <xdr:spPr>
        <a:xfrm rot="19590321">
          <a:off x="12362015" y="49385853"/>
          <a:ext cx="8838189" cy="937629"/>
        </a:xfrm>
        <a:prstGeom prst="rect">
          <a:avLst/>
        </a:prstGeom>
        <a:noFill/>
      </xdr:spPr>
      <xdr:txBody>
        <a:bodyPr wrap="none" lIns="91440" tIns="45720" rIns="91440" bIns="45720">
          <a:spAutoFit/>
        </a:bodyPr>
        <a:lstStyle/>
        <a:p>
          <a:pPr algn="ctr"/>
          <a:r>
            <a:rPr lang="es-ES" sz="5400" b="0" cap="none" spc="0">
              <a:ln w="0"/>
              <a:solidFill>
                <a:schemeClr val="tx1"/>
              </a:solidFill>
              <a:effectLst>
                <a:outerShdw blurRad="38100" dist="19050" dir="2700000" algn="tl" rotWithShape="0">
                  <a:schemeClr val="dk1">
                    <a:alpha val="40000"/>
                  </a:schemeClr>
                </a:outerShdw>
              </a:effectLst>
            </a:rPr>
            <a:t>YA</a:t>
          </a:r>
          <a:r>
            <a:rPr lang="es-ES" sz="5400" b="0" cap="none" spc="0" baseline="0">
              <a:ln w="0"/>
              <a:solidFill>
                <a:schemeClr val="tx1"/>
              </a:solidFill>
              <a:effectLst>
                <a:outerShdw blurRad="38100" dist="19050" dir="2700000" algn="tl" rotWithShape="0">
                  <a:schemeClr val="dk1">
                    <a:alpha val="40000"/>
                  </a:schemeClr>
                </a:outerShdw>
              </a:effectLst>
            </a:rPr>
            <a:t> NO SEVA HACER ESTE PROY</a:t>
          </a:r>
          <a:endParaRPr lang="es-ES" sz="5400" b="0" cap="none" spc="0">
            <a:ln w="0"/>
            <a:solidFill>
              <a:schemeClr val="tx1"/>
            </a:solidFill>
            <a:effectLst>
              <a:outerShdw blurRad="38100" dist="19050" dir="2700000" algn="tl" rotWithShape="0">
                <a:schemeClr val="dk1">
                  <a:alpha val="40000"/>
                </a:schemeClr>
              </a:outerShdw>
            </a:effectLst>
          </a:endParaRPr>
        </a:p>
      </xdr:txBody>
    </xdr:sp>
    <xdr:clientData/>
  </xdr:oneCellAnchor>
  <xdr:oneCellAnchor>
    <xdr:from>
      <xdr:col>11</xdr:col>
      <xdr:colOff>660911</xdr:colOff>
      <xdr:row>227</xdr:row>
      <xdr:rowOff>21776</xdr:rowOff>
    </xdr:from>
    <xdr:ext cx="8838189" cy="937629"/>
    <xdr:sp macro="" textlink="">
      <xdr:nvSpPr>
        <xdr:cNvPr id="7" name="Rectángulo 6">
          <a:extLst>
            <a:ext uri="{FF2B5EF4-FFF2-40B4-BE49-F238E27FC236}">
              <a16:creationId xmlns:a16="http://schemas.microsoft.com/office/drawing/2014/main" id="{00000000-0008-0000-1800-000007000000}"/>
            </a:ext>
          </a:extLst>
        </xdr:cNvPr>
        <xdr:cNvSpPr/>
      </xdr:nvSpPr>
      <xdr:spPr>
        <a:xfrm rot="19590321">
          <a:off x="10954056" y="55031211"/>
          <a:ext cx="8838189" cy="937629"/>
        </a:xfrm>
        <a:prstGeom prst="rect">
          <a:avLst/>
        </a:prstGeom>
        <a:noFill/>
      </xdr:spPr>
      <xdr:txBody>
        <a:bodyPr wrap="none" lIns="91440" tIns="45720" rIns="91440" bIns="45720">
          <a:spAutoFit/>
        </a:bodyPr>
        <a:lstStyle/>
        <a:p>
          <a:pPr algn="ctr"/>
          <a:r>
            <a:rPr lang="es-ES" sz="5400" b="0" cap="none" spc="0">
              <a:ln w="0"/>
              <a:solidFill>
                <a:schemeClr val="tx1"/>
              </a:solidFill>
              <a:effectLst>
                <a:outerShdw blurRad="38100" dist="19050" dir="2700000" algn="tl" rotWithShape="0">
                  <a:schemeClr val="dk1">
                    <a:alpha val="40000"/>
                  </a:schemeClr>
                </a:outerShdw>
              </a:effectLst>
            </a:rPr>
            <a:t>YA</a:t>
          </a:r>
          <a:r>
            <a:rPr lang="es-ES" sz="5400" b="0" cap="none" spc="0" baseline="0">
              <a:ln w="0"/>
              <a:solidFill>
                <a:schemeClr val="tx1"/>
              </a:solidFill>
              <a:effectLst>
                <a:outerShdw blurRad="38100" dist="19050" dir="2700000" algn="tl" rotWithShape="0">
                  <a:schemeClr val="dk1">
                    <a:alpha val="40000"/>
                  </a:schemeClr>
                </a:outerShdw>
              </a:effectLst>
            </a:rPr>
            <a:t> NO SEVA HACER ESTE PROY</a:t>
          </a:r>
          <a:endParaRPr lang="es-ES" sz="5400" b="0" cap="none" spc="0">
            <a:ln w="0"/>
            <a:solidFill>
              <a:schemeClr val="tx1"/>
            </a:solidFill>
            <a:effectLst>
              <a:outerShdw blurRad="38100" dist="19050" dir="2700000" algn="tl" rotWithShape="0">
                <a:schemeClr val="dk1">
                  <a:alpha val="40000"/>
                </a:schemeClr>
              </a:outerShdw>
            </a:effectLst>
          </a:endParaRPr>
        </a:p>
      </xdr:txBody>
    </xdr:sp>
    <xdr:clientData/>
  </xdr:oneCellAnchor>
  <xdr:oneCellAnchor>
    <xdr:from>
      <xdr:col>15</xdr:col>
      <xdr:colOff>512097</xdr:colOff>
      <xdr:row>283</xdr:row>
      <xdr:rowOff>230504</xdr:rowOff>
    </xdr:from>
    <xdr:ext cx="8838189" cy="937629"/>
    <xdr:sp macro="" textlink="">
      <xdr:nvSpPr>
        <xdr:cNvPr id="8" name="Rectángulo 7">
          <a:extLst>
            <a:ext uri="{FF2B5EF4-FFF2-40B4-BE49-F238E27FC236}">
              <a16:creationId xmlns:a16="http://schemas.microsoft.com/office/drawing/2014/main" id="{00000000-0008-0000-1800-000008000000}"/>
            </a:ext>
          </a:extLst>
        </xdr:cNvPr>
        <xdr:cNvSpPr/>
      </xdr:nvSpPr>
      <xdr:spPr>
        <a:xfrm rot="19590321">
          <a:off x="13836855" y="72118649"/>
          <a:ext cx="8838189" cy="937629"/>
        </a:xfrm>
        <a:prstGeom prst="rect">
          <a:avLst/>
        </a:prstGeom>
        <a:noFill/>
      </xdr:spPr>
      <xdr:txBody>
        <a:bodyPr wrap="none" lIns="91440" tIns="45720" rIns="91440" bIns="45720">
          <a:spAutoFit/>
        </a:bodyPr>
        <a:lstStyle/>
        <a:p>
          <a:pPr algn="ctr"/>
          <a:r>
            <a:rPr lang="es-ES" sz="5400" b="0" cap="none" spc="0">
              <a:ln w="0"/>
              <a:solidFill>
                <a:schemeClr val="tx1"/>
              </a:solidFill>
              <a:effectLst>
                <a:outerShdw blurRad="38100" dist="19050" dir="2700000" algn="tl" rotWithShape="0">
                  <a:schemeClr val="dk1">
                    <a:alpha val="40000"/>
                  </a:schemeClr>
                </a:outerShdw>
              </a:effectLst>
            </a:rPr>
            <a:t>YA</a:t>
          </a:r>
          <a:r>
            <a:rPr lang="es-ES" sz="5400" b="0" cap="none" spc="0" baseline="0">
              <a:ln w="0"/>
              <a:solidFill>
                <a:schemeClr val="tx1"/>
              </a:solidFill>
              <a:effectLst>
                <a:outerShdw blurRad="38100" dist="19050" dir="2700000" algn="tl" rotWithShape="0">
                  <a:schemeClr val="dk1">
                    <a:alpha val="40000"/>
                  </a:schemeClr>
                </a:outerShdw>
              </a:effectLst>
            </a:rPr>
            <a:t> NO SEVA HACER ESTE PROY</a:t>
          </a:r>
          <a:endParaRPr lang="es-ES" sz="5400" b="0" cap="none" spc="0">
            <a:ln w="0"/>
            <a:solidFill>
              <a:schemeClr val="tx1"/>
            </a:solidFill>
            <a:effectLst>
              <a:outerShdw blurRad="38100" dist="19050" dir="2700000" algn="tl" rotWithShape="0">
                <a:schemeClr val="dk1">
                  <a:alpha val="40000"/>
                </a:schemeClr>
              </a:outerShdw>
            </a:effectLst>
          </a:endParaRP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win10/Desktop/PRESUPUESTOS/PRESUPUEST%202021%20ORIG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reto del presupuesto "/>
      <sheetName val="RESUMEN DE INGRESOS "/>
      <sheetName val="Ingresos"/>
      <sheetName val="concent, de egresos. carta"/>
      <sheetName val="CONCENTRACION DE EGRESOS"/>
      <sheetName val="PAG, FOND, PROP"/>
      <sheetName val="FONDOS PROPIOS"/>
      <sheetName val="25% FODES "/>
      <sheetName val=" 75% FODES AG3 "/>
      <sheetName val="INVER.FODES 75% AG 4"/>
      <sheetName val="AG 4 0402  2% FODES"/>
      <sheetName val="Pres.Servicio Deuda Publica"/>
      <sheetName val="FOND GENE.109"/>
      <sheetName val="Saldos de ctas. Bancarias"/>
      <sheetName val="Media Simple 5 años ingresos"/>
      <sheetName val=" Metodo de regresion Lineal"/>
      <sheetName val="Proy. de recur.Humanos"/>
      <sheetName val="Concen. de  Recursos Huma"/>
      <sheetName val="LIQUID, PROY"/>
      <sheetName val="proy, original"/>
      <sheetName val="Detalle de proy. diversos 2020"/>
      <sheetName val="PROY,0301"/>
      <sheetName val="PROY. 2% FODE"/>
      <sheetName val="PROY,0302"/>
      <sheetName val="PROY,0401"/>
      <sheetName val="Hoja2"/>
      <sheetName val="Hoja3"/>
      <sheetName val="Hoja4"/>
    </sheetNames>
    <sheetDataSet>
      <sheetData sheetId="0"/>
      <sheetData sheetId="1"/>
      <sheetData sheetId="2"/>
      <sheetData sheetId="3"/>
      <sheetData sheetId="4">
        <row r="10">
          <cell r="G10">
            <v>75090</v>
          </cell>
          <cell r="H10">
            <v>79425</v>
          </cell>
          <cell r="I10">
            <v>12790</v>
          </cell>
          <cell r="J10">
            <v>44357.5</v>
          </cell>
        </row>
        <row r="11">
          <cell r="G11">
            <v>7509</v>
          </cell>
          <cell r="H11">
            <v>7942.5</v>
          </cell>
          <cell r="I11">
            <v>1279</v>
          </cell>
          <cell r="J11">
            <v>4435.75</v>
          </cell>
        </row>
        <row r="19">
          <cell r="G19">
            <v>1699.9949999999999</v>
          </cell>
          <cell r="H19">
            <v>5107.625</v>
          </cell>
          <cell r="I19">
            <v>1087.1499999999999</v>
          </cell>
          <cell r="J19">
            <v>4246.3874999999998</v>
          </cell>
        </row>
        <row r="20">
          <cell r="G20">
            <v>2858.9749999999999</v>
          </cell>
          <cell r="H20">
            <v>4927.0625</v>
          </cell>
          <cell r="I20">
            <v>991.22500000000002</v>
          </cell>
          <cell r="J20">
            <v>3437.7062499999993</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theme/theme1.xml><?xml version="1.0" encoding="utf-8"?>
<a:theme xmlns:a="http://schemas.openxmlformats.org/drawingml/2006/main" name="Tema de Office">
  <a:themeElements>
    <a:clrScheme name="Personalizado 1">
      <a:dk1>
        <a:sysClr val="windowText" lastClr="000000"/>
      </a:dk1>
      <a:lt1>
        <a:sysClr val="window" lastClr="FFFFFF"/>
      </a:lt1>
      <a:dk2>
        <a:srgbClr val="1F497D"/>
      </a:dk2>
      <a:lt2>
        <a:srgbClr val="EEECE1"/>
      </a:lt2>
      <a:accent1>
        <a:srgbClr val="C3D69B"/>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3.xml"/><Relationship Id="rId1" Type="http://schemas.openxmlformats.org/officeDocument/2006/relationships/printerSettings" Target="../printerSettings/printerSettings17.bin"/><Relationship Id="rId4" Type="http://schemas.openxmlformats.org/officeDocument/2006/relationships/comments" Target="../comments14.xml"/></Relationships>
</file>

<file path=xl/worksheets/_rels/sheet18.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4.xml"/><Relationship Id="rId1" Type="http://schemas.openxmlformats.org/officeDocument/2006/relationships/printerSettings" Target="../printerSettings/printerSettings20.bin"/><Relationship Id="rId4" Type="http://schemas.openxmlformats.org/officeDocument/2006/relationships/comments" Target="../comments16.xml"/></Relationships>
</file>

<file path=xl/worksheets/_rels/sheet21.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2.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F0BB5"/>
  </sheetPr>
  <dimension ref="A1:P183"/>
  <sheetViews>
    <sheetView topLeftCell="A2" zoomScale="96" zoomScaleNormal="96" workbookViewId="0">
      <selection activeCell="I26" sqref="I26"/>
    </sheetView>
  </sheetViews>
  <sheetFormatPr baseColWidth="10" defaultRowHeight="12.75"/>
  <cols>
    <col min="1" max="1" width="11" customWidth="1"/>
    <col min="2" max="2" width="8.5703125" customWidth="1"/>
    <col min="3" max="3" width="14.7109375" customWidth="1"/>
    <col min="4" max="4" width="14.42578125" customWidth="1"/>
    <col min="5" max="5" width="16.5703125" customWidth="1"/>
    <col min="7" max="7" width="11.85546875" customWidth="1"/>
    <col min="8" max="8" width="22.5703125" customWidth="1"/>
    <col min="10" max="10" width="13.42578125" bestFit="1" customWidth="1"/>
  </cols>
  <sheetData>
    <row r="1" spans="1:7" ht="15">
      <c r="A1" s="1929"/>
      <c r="B1" s="1929"/>
      <c r="C1" s="1929"/>
      <c r="D1" s="68"/>
      <c r="E1" s="68"/>
      <c r="F1" s="68"/>
      <c r="G1" s="68"/>
    </row>
    <row r="2" spans="1:7" ht="25.5" customHeight="1">
      <c r="A2" s="1930" t="s">
        <v>394</v>
      </c>
      <c r="B2" s="1930"/>
      <c r="C2" s="1930"/>
      <c r="D2" s="1930"/>
      <c r="E2" s="1930"/>
      <c r="F2" s="1930"/>
      <c r="G2" s="1930"/>
    </row>
    <row r="3" spans="1:7" ht="21" customHeight="1">
      <c r="A3" s="1931" t="s">
        <v>395</v>
      </c>
      <c r="B3" s="1931"/>
      <c r="C3" s="1931"/>
      <c r="D3" s="1931"/>
      <c r="E3" s="1931"/>
      <c r="F3" s="1931"/>
      <c r="G3" s="1931"/>
    </row>
    <row r="4" spans="1:7" ht="20.25" customHeight="1">
      <c r="A4" s="1932" t="s">
        <v>396</v>
      </c>
      <c r="B4" s="1932"/>
      <c r="C4" s="1932"/>
      <c r="D4" s="1932"/>
      <c r="E4" s="1932"/>
      <c r="F4" s="1932"/>
      <c r="G4" s="1932"/>
    </row>
    <row r="5" spans="1:7" ht="15">
      <c r="A5" s="1933" t="s">
        <v>397</v>
      </c>
      <c r="B5" s="1933"/>
      <c r="C5" s="1933"/>
      <c r="D5" s="1933"/>
      <c r="E5" s="1933"/>
      <c r="F5" s="1933"/>
      <c r="G5" s="1933"/>
    </row>
    <row r="6" spans="1:7" ht="35.25" customHeight="1">
      <c r="A6" s="1934" t="s">
        <v>1492</v>
      </c>
      <c r="B6" s="1935"/>
      <c r="C6" s="1935"/>
      <c r="D6" s="1935"/>
      <c r="E6" s="1935"/>
      <c r="F6" s="1935"/>
      <c r="G6" s="1935"/>
    </row>
    <row r="7" spans="1:7" ht="31.5" customHeight="1">
      <c r="A7" s="1936" t="s">
        <v>398</v>
      </c>
      <c r="B7" s="1936"/>
      <c r="C7" s="1936"/>
      <c r="D7" s="1936"/>
      <c r="E7" s="1936"/>
      <c r="F7" s="1936"/>
      <c r="G7" s="1936"/>
    </row>
    <row r="8" spans="1:7" ht="21">
      <c r="A8" s="1937" t="s">
        <v>1227</v>
      </c>
      <c r="B8" s="1931"/>
      <c r="C8" s="1931"/>
      <c r="D8" s="1931"/>
      <c r="E8" s="1931"/>
      <c r="F8" s="1931"/>
      <c r="G8" s="1931"/>
    </row>
    <row r="9" spans="1:7" ht="21">
      <c r="A9" s="1931" t="s">
        <v>399</v>
      </c>
      <c r="B9" s="1931"/>
      <c r="C9" s="1931"/>
      <c r="D9" s="1931"/>
      <c r="E9" s="1931"/>
      <c r="F9" s="1931"/>
      <c r="G9" s="1931"/>
    </row>
    <row r="10" spans="1:7" ht="21">
      <c r="A10" s="1931" t="s">
        <v>400</v>
      </c>
      <c r="B10" s="1931"/>
      <c r="C10" s="1931"/>
      <c r="D10" s="1931"/>
      <c r="E10" s="1931"/>
      <c r="F10" s="1931"/>
      <c r="G10" s="1931"/>
    </row>
    <row r="11" spans="1:7" ht="15">
      <c r="A11" s="68"/>
      <c r="B11" s="68"/>
      <c r="C11" s="68"/>
      <c r="D11" s="68"/>
      <c r="E11" s="68"/>
      <c r="F11" s="68"/>
      <c r="G11" s="68"/>
    </row>
    <row r="12" spans="1:7" ht="20.25" customHeight="1">
      <c r="A12" s="1354" t="s">
        <v>401</v>
      </c>
      <c r="B12" s="1938" t="s">
        <v>499</v>
      </c>
      <c r="C12" s="1939"/>
      <c r="D12" s="1939"/>
      <c r="E12" s="1939"/>
      <c r="F12" s="1940" t="s">
        <v>402</v>
      </c>
      <c r="G12" s="1940"/>
    </row>
    <row r="13" spans="1:7" ht="15">
      <c r="A13" s="1149">
        <v>11</v>
      </c>
      <c r="B13" s="1941" t="s">
        <v>249</v>
      </c>
      <c r="C13" s="1941"/>
      <c r="D13" s="1941"/>
      <c r="E13" s="1941"/>
      <c r="F13" s="1942">
        <f>SUM(Ingresos!L9,Ingresos!L15,Ingresos!L16)</f>
        <v>48858.18</v>
      </c>
      <c r="G13" s="1943"/>
    </row>
    <row r="14" spans="1:7" ht="15">
      <c r="A14" s="1149">
        <v>12</v>
      </c>
      <c r="B14" s="1941" t="s">
        <v>403</v>
      </c>
      <c r="C14" s="1941"/>
      <c r="D14" s="1941"/>
      <c r="E14" s="1941"/>
      <c r="F14" s="1943">
        <f>SUM(Ingresos!L17,Ingresos!L18,Ingresos!L19,Ingresos!L21,Ingresos!L22,Ingresos!L23,Ingresos!L24,Ingresos!L25,Ingresos!L26,Ingresos!L27,Ingresos!L28,Ingresos!L29,Ingresos!L30,Ingresos!L31)</f>
        <v>135970.01</v>
      </c>
      <c r="G14" s="1943"/>
    </row>
    <row r="15" spans="1:7" ht="15">
      <c r="A15" s="1149">
        <v>14</v>
      </c>
      <c r="B15" s="1941" t="s">
        <v>404</v>
      </c>
      <c r="C15" s="1941"/>
      <c r="D15" s="1941"/>
      <c r="E15" s="1941"/>
      <c r="F15" s="1943">
        <f>SUM(Ingresos!L32,Ingresos!L33)</f>
        <v>10494.92</v>
      </c>
      <c r="G15" s="1943"/>
    </row>
    <row r="16" spans="1:7" ht="15">
      <c r="A16" s="1149">
        <v>15</v>
      </c>
      <c r="B16" s="1941" t="s">
        <v>405</v>
      </c>
      <c r="C16" s="1941"/>
      <c r="D16" s="1941"/>
      <c r="E16" s="1941"/>
      <c r="F16" s="1942">
        <f>SUM(Ingresos!L35,Ingresos!L36,Ingresos!L37,Ingresos!L39:L40)</f>
        <v>38027.46</v>
      </c>
      <c r="G16" s="1943"/>
    </row>
    <row r="17" spans="1:7" ht="15">
      <c r="A17" s="1149">
        <v>16</v>
      </c>
      <c r="B17" s="1941" t="s">
        <v>138</v>
      </c>
      <c r="C17" s="1941"/>
      <c r="D17" s="1941"/>
      <c r="E17" s="1941"/>
      <c r="F17" s="1943">
        <f>SUM(Ingresos!L41)</f>
        <v>406864.85</v>
      </c>
      <c r="G17" s="1943"/>
    </row>
    <row r="18" spans="1:7" ht="15">
      <c r="A18" s="1149">
        <v>22</v>
      </c>
      <c r="B18" s="1941" t="s">
        <v>406</v>
      </c>
      <c r="C18" s="1941"/>
      <c r="D18" s="1941"/>
      <c r="E18" s="1941"/>
      <c r="F18" s="1943">
        <f>SUM(Ingresos!M44)</f>
        <v>1627459.3900000001</v>
      </c>
      <c r="G18" s="1943"/>
    </row>
    <row r="19" spans="1:7" ht="15" hidden="1">
      <c r="A19" s="1149">
        <v>31</v>
      </c>
      <c r="B19" s="1941" t="s">
        <v>407</v>
      </c>
      <c r="C19" s="1941"/>
      <c r="D19" s="1941"/>
      <c r="E19" s="1941"/>
      <c r="F19" s="1943"/>
      <c r="G19" s="1943"/>
    </row>
    <row r="20" spans="1:7" ht="15">
      <c r="A20" s="1149">
        <v>32</v>
      </c>
      <c r="B20" s="1941" t="s">
        <v>275</v>
      </c>
      <c r="C20" s="1941"/>
      <c r="D20" s="1941"/>
      <c r="E20" s="1941"/>
      <c r="F20" s="1943">
        <f>SUM(Ingresos!L47,Ingresos!L48,Ingresos!L49)</f>
        <v>1622506.99</v>
      </c>
      <c r="G20" s="1943"/>
    </row>
    <row r="21" spans="1:7" ht="18">
      <c r="A21" s="1944" t="s">
        <v>408</v>
      </c>
      <c r="B21" s="1944"/>
      <c r="C21" s="1944"/>
      <c r="D21" s="1944"/>
      <c r="E21" s="1944"/>
      <c r="F21" s="1945">
        <f>SUM(F13:F20)</f>
        <v>3890181.8</v>
      </c>
      <c r="G21" s="1945"/>
    </row>
    <row r="22" spans="1:7" ht="15">
      <c r="A22" s="68"/>
      <c r="B22" s="68"/>
      <c r="C22" s="68"/>
      <c r="D22" s="68"/>
      <c r="E22" s="68"/>
      <c r="F22" s="68"/>
      <c r="G22" s="68"/>
    </row>
    <row r="23" spans="1:7" ht="15">
      <c r="A23" s="1946" t="s">
        <v>1228</v>
      </c>
      <c r="B23" s="1947"/>
      <c r="C23" s="1947"/>
      <c r="D23" s="1947"/>
      <c r="E23" s="1947"/>
      <c r="F23" s="1947"/>
      <c r="G23" s="1947"/>
    </row>
    <row r="24" spans="1:7" ht="15">
      <c r="A24" s="1947" t="s">
        <v>399</v>
      </c>
      <c r="B24" s="1947"/>
      <c r="C24" s="1947"/>
      <c r="D24" s="1947"/>
      <c r="E24" s="1947"/>
      <c r="F24" s="1947"/>
      <c r="G24" s="1947"/>
    </row>
    <row r="25" spans="1:7" ht="15">
      <c r="A25" s="1947" t="s">
        <v>400</v>
      </c>
      <c r="B25" s="1947"/>
      <c r="C25" s="1947"/>
      <c r="D25" s="1947"/>
      <c r="E25" s="1947"/>
      <c r="F25" s="1947"/>
      <c r="G25" s="1947"/>
    </row>
    <row r="26" spans="1:7" ht="15">
      <c r="A26" s="70"/>
      <c r="B26" s="70"/>
      <c r="C26" s="70"/>
      <c r="D26" s="70"/>
      <c r="E26" s="70"/>
      <c r="F26" s="68"/>
      <c r="G26" s="68"/>
    </row>
    <row r="27" spans="1:7" ht="15">
      <c r="A27" s="1354" t="s">
        <v>401</v>
      </c>
      <c r="B27" s="1939" t="s">
        <v>500</v>
      </c>
      <c r="C27" s="1939"/>
      <c r="D27" s="1939"/>
      <c r="E27" s="1939"/>
      <c r="F27" s="1948" t="s">
        <v>311</v>
      </c>
      <c r="G27" s="1940"/>
    </row>
    <row r="28" spans="1:7" ht="15">
      <c r="A28" s="1149">
        <v>51</v>
      </c>
      <c r="B28" s="1949" t="s">
        <v>409</v>
      </c>
      <c r="C28" s="1949"/>
      <c r="D28" s="1949"/>
      <c r="E28" s="1949"/>
      <c r="F28" s="1943">
        <f>SUM('concent, de egresos. carta'!Y22)</f>
        <v>894738.95250000001</v>
      </c>
      <c r="G28" s="1943"/>
    </row>
    <row r="29" spans="1:7" ht="15">
      <c r="A29" s="1149">
        <v>54</v>
      </c>
      <c r="B29" s="1949" t="s">
        <v>410</v>
      </c>
      <c r="C29" s="1949"/>
      <c r="D29" s="1949"/>
      <c r="E29" s="1949"/>
      <c r="F29" s="1950">
        <f>SUM('concent, de egresos. carta'!Y66)</f>
        <v>815050.75</v>
      </c>
      <c r="G29" s="1951"/>
    </row>
    <row r="30" spans="1:7" ht="15">
      <c r="A30" s="1149">
        <v>55</v>
      </c>
      <c r="B30" s="1949" t="s">
        <v>411</v>
      </c>
      <c r="C30" s="1949"/>
      <c r="D30" s="1949"/>
      <c r="E30" s="1949"/>
      <c r="F30" s="1950">
        <f>SUM('concent, de egresos. carta'!Y73)</f>
        <v>6850</v>
      </c>
      <c r="G30" s="1951"/>
    </row>
    <row r="31" spans="1:7" ht="15">
      <c r="A31" s="1149">
        <v>56</v>
      </c>
      <c r="B31" s="1949" t="s">
        <v>412</v>
      </c>
      <c r="C31" s="1949"/>
      <c r="D31" s="1949"/>
      <c r="E31" s="1949"/>
      <c r="F31" s="1950">
        <f>SUM('concent, de egresos. carta'!Y77)</f>
        <v>698311.53</v>
      </c>
      <c r="G31" s="1951"/>
    </row>
    <row r="32" spans="1:7" ht="15">
      <c r="A32" s="1149">
        <v>61</v>
      </c>
      <c r="B32" s="1949" t="s">
        <v>413</v>
      </c>
      <c r="C32" s="1949"/>
      <c r="D32" s="1949"/>
      <c r="E32" s="1949"/>
      <c r="F32" s="1950">
        <f>SUM('concent, de egresos. carta'!Y92)</f>
        <v>1475230.5699999998</v>
      </c>
      <c r="G32" s="1951"/>
    </row>
    <row r="33" spans="1:14" ht="15" hidden="1">
      <c r="A33" s="1149">
        <v>62</v>
      </c>
      <c r="B33" s="1952" t="s">
        <v>273</v>
      </c>
      <c r="C33" s="1953"/>
      <c r="D33" s="1953"/>
      <c r="E33" s="1954"/>
      <c r="F33" s="1950"/>
      <c r="G33" s="1951"/>
    </row>
    <row r="34" spans="1:14" ht="15" hidden="1">
      <c r="A34" s="1149">
        <v>71</v>
      </c>
      <c r="B34" s="1949" t="s">
        <v>414</v>
      </c>
      <c r="C34" s="1949"/>
      <c r="D34" s="1949"/>
      <c r="E34" s="1949"/>
      <c r="F34" s="1950">
        <f>SUM('concent, de egresos. carta'!Y94)</f>
        <v>0</v>
      </c>
      <c r="G34" s="1951"/>
    </row>
    <row r="35" spans="1:14" ht="15" hidden="1">
      <c r="A35" s="1149">
        <v>72</v>
      </c>
      <c r="B35" s="1949" t="s">
        <v>275</v>
      </c>
      <c r="C35" s="1949"/>
      <c r="D35" s="1949"/>
      <c r="E35" s="1949"/>
      <c r="F35" s="1950">
        <f>SUM('CONCENTRACION DE EGRESOS'!W95)</f>
        <v>0</v>
      </c>
      <c r="G35" s="1951"/>
      <c r="J35" s="488"/>
    </row>
    <row r="36" spans="1:14" ht="18">
      <c r="A36" s="1955" t="s">
        <v>415</v>
      </c>
      <c r="B36" s="1944"/>
      <c r="C36" s="1944"/>
      <c r="D36" s="1944"/>
      <c r="E36" s="1944"/>
      <c r="F36" s="1945">
        <f>SUM(F28:F35)</f>
        <v>3890181.8024999998</v>
      </c>
      <c r="G36" s="1945"/>
      <c r="H36" s="717">
        <f>F21-F36+M36</f>
        <v>-2.4999999441206455E-3</v>
      </c>
    </row>
    <row r="37" spans="1:14" ht="12" customHeight="1">
      <c r="A37" s="68"/>
      <c r="B37" s="68"/>
      <c r="C37" s="68"/>
      <c r="D37" s="68"/>
      <c r="E37" s="68"/>
      <c r="F37" s="68"/>
      <c r="G37" s="68"/>
    </row>
    <row r="38" spans="1:14" ht="30" customHeight="1">
      <c r="A38" s="1927" t="s">
        <v>416</v>
      </c>
      <c r="B38" s="1927"/>
      <c r="C38" s="1927"/>
      <c r="D38" s="1927"/>
      <c r="E38" s="1927"/>
      <c r="F38" s="1927"/>
      <c r="G38" s="1927"/>
    </row>
    <row r="39" spans="1:14" ht="22.5" customHeight="1">
      <c r="A39" s="1956" t="s">
        <v>417</v>
      </c>
      <c r="B39" s="1956"/>
      <c r="C39" s="1956"/>
      <c r="D39" s="1956"/>
      <c r="E39" s="1956"/>
      <c r="F39" s="1956"/>
      <c r="G39" s="1956"/>
    </row>
    <row r="40" spans="1:14" ht="27" customHeight="1">
      <c r="A40" s="1957" t="s">
        <v>418</v>
      </c>
      <c r="B40" s="1957"/>
      <c r="C40" s="1957"/>
      <c r="D40" s="1957"/>
      <c r="E40" s="1957"/>
      <c r="F40" s="1957"/>
      <c r="G40" s="1957"/>
    </row>
    <row r="41" spans="1:14" ht="9" customHeight="1">
      <c r="A41" s="71"/>
      <c r="B41" s="69"/>
      <c r="C41" s="69"/>
      <c r="D41" s="69"/>
      <c r="E41" s="69"/>
      <c r="F41" s="69"/>
      <c r="G41" s="69"/>
    </row>
    <row r="42" spans="1:14" ht="62.25" customHeight="1">
      <c r="A42" s="1928" t="s">
        <v>419</v>
      </c>
      <c r="B42" s="1928"/>
      <c r="C42" s="1928"/>
      <c r="D42" s="1928"/>
      <c r="E42" s="1928"/>
      <c r="F42" s="1928"/>
      <c r="G42" s="1928"/>
    </row>
    <row r="43" spans="1:14" ht="94.5" customHeight="1">
      <c r="A43" s="1926" t="s">
        <v>1434</v>
      </c>
      <c r="B43" s="1927"/>
      <c r="C43" s="1927"/>
      <c r="D43" s="1927"/>
      <c r="E43" s="1927"/>
      <c r="F43" s="1927"/>
      <c r="G43" s="1927"/>
    </row>
    <row r="44" spans="1:14" ht="24.75" customHeight="1">
      <c r="A44" s="1958" t="s">
        <v>876</v>
      </c>
      <c r="B44" s="1958"/>
      <c r="C44" s="1958"/>
      <c r="D44" s="1958"/>
      <c r="E44" s="1958"/>
      <c r="F44" s="1958"/>
      <c r="G44" s="1958"/>
      <c r="H44" s="1923"/>
      <c r="I44" s="1923"/>
      <c r="J44" s="1923"/>
      <c r="K44" s="1923"/>
      <c r="L44" s="1923"/>
      <c r="M44" s="1923"/>
      <c r="N44" s="1923"/>
    </row>
    <row r="45" spans="1:14" ht="75.75" customHeight="1">
      <c r="A45" s="1926" t="s">
        <v>478</v>
      </c>
      <c r="B45" s="1927"/>
      <c r="C45" s="1927"/>
      <c r="D45" s="1927"/>
      <c r="E45" s="1927"/>
      <c r="F45" s="1927"/>
      <c r="G45" s="1927"/>
    </row>
    <row r="46" spans="1:14" ht="27" customHeight="1">
      <c r="A46" s="1958" t="s">
        <v>877</v>
      </c>
      <c r="B46" s="1958"/>
      <c r="C46" s="1958"/>
      <c r="D46" s="1958"/>
      <c r="E46" s="1958"/>
      <c r="F46" s="1958"/>
      <c r="G46" s="1958"/>
      <c r="H46" s="1923"/>
      <c r="I46" s="1923"/>
      <c r="J46" s="1923"/>
      <c r="K46" s="1923"/>
      <c r="L46" s="1923"/>
      <c r="M46" s="1923"/>
      <c r="N46" s="1923"/>
    </row>
    <row r="47" spans="1:14" ht="53.25" customHeight="1">
      <c r="A47" s="1926" t="s">
        <v>420</v>
      </c>
      <c r="B47" s="1927"/>
      <c r="C47" s="1927"/>
      <c r="D47" s="1927"/>
      <c r="E47" s="1927"/>
      <c r="F47" s="1927"/>
      <c r="G47" s="1927"/>
    </row>
    <row r="48" spans="1:14" ht="27.75" customHeight="1">
      <c r="A48" s="1958" t="s">
        <v>878</v>
      </c>
      <c r="B48" s="1958"/>
      <c r="C48" s="1958"/>
      <c r="D48" s="1958"/>
      <c r="E48" s="1958"/>
      <c r="F48" s="1958"/>
      <c r="G48" s="1958"/>
      <c r="H48" s="1923"/>
      <c r="I48" s="1923"/>
      <c r="J48" s="1923"/>
      <c r="K48" s="1923"/>
      <c r="L48" s="1923"/>
      <c r="M48" s="1923"/>
      <c r="N48" s="1923"/>
    </row>
    <row r="49" spans="1:14" ht="49.5" customHeight="1">
      <c r="A49" s="1926" t="s">
        <v>421</v>
      </c>
      <c r="B49" s="1927"/>
      <c r="C49" s="1927"/>
      <c r="D49" s="1927"/>
      <c r="E49" s="1927"/>
      <c r="F49" s="1927"/>
      <c r="G49" s="1927"/>
    </row>
    <row r="50" spans="1:14" ht="24.75" customHeight="1">
      <c r="A50" s="1958" t="s">
        <v>879</v>
      </c>
      <c r="B50" s="1958"/>
      <c r="C50" s="1958"/>
      <c r="D50" s="1958"/>
      <c r="E50" s="1958"/>
      <c r="F50" s="1958"/>
      <c r="G50" s="1958"/>
      <c r="H50" s="1923"/>
      <c r="I50" s="1923"/>
      <c r="J50" s="1923"/>
      <c r="K50" s="1923"/>
      <c r="L50" s="1923"/>
      <c r="M50" s="1923"/>
      <c r="N50" s="1923"/>
    </row>
    <row r="51" spans="1:14" ht="63.75" customHeight="1">
      <c r="A51" s="1926" t="s">
        <v>896</v>
      </c>
      <c r="B51" s="1927"/>
      <c r="C51" s="1927"/>
      <c r="D51" s="1927"/>
      <c r="E51" s="1927"/>
      <c r="F51" s="1927"/>
      <c r="G51" s="1927"/>
    </row>
    <row r="52" spans="1:14" ht="30" customHeight="1">
      <c r="A52" s="1927" t="s">
        <v>422</v>
      </c>
      <c r="B52" s="1927"/>
      <c r="C52" s="1927"/>
      <c r="D52" s="1927"/>
      <c r="E52" s="1927"/>
      <c r="F52" s="1927"/>
      <c r="G52" s="1927"/>
    </row>
    <row r="53" spans="1:14" ht="17.25" customHeight="1">
      <c r="A53" s="1927" t="s">
        <v>423</v>
      </c>
      <c r="B53" s="1927"/>
      <c r="C53" s="1927"/>
      <c r="D53" s="1927"/>
      <c r="E53" s="1927"/>
      <c r="F53" s="1927"/>
      <c r="G53" s="1927"/>
    </row>
    <row r="54" spans="1:14" ht="30.75" customHeight="1">
      <c r="A54" s="1927" t="s">
        <v>424</v>
      </c>
      <c r="B54" s="1927"/>
      <c r="C54" s="1927"/>
      <c r="D54" s="1927"/>
      <c r="E54" s="1927"/>
      <c r="F54" s="1927"/>
      <c r="G54" s="1927"/>
    </row>
    <row r="55" spans="1:14" ht="29.25" customHeight="1">
      <c r="A55" s="1926" t="s">
        <v>425</v>
      </c>
      <c r="B55" s="1927"/>
      <c r="C55" s="1927"/>
      <c r="D55" s="1927"/>
      <c r="E55" s="1927"/>
      <c r="F55" s="1927"/>
      <c r="G55" s="1927"/>
    </row>
    <row r="56" spans="1:14" ht="30" customHeight="1">
      <c r="A56" s="1958" t="s">
        <v>880</v>
      </c>
      <c r="B56" s="1958"/>
      <c r="C56" s="1958"/>
      <c r="D56" s="1958"/>
      <c r="E56" s="1958"/>
      <c r="F56" s="1958"/>
      <c r="G56" s="1958"/>
      <c r="H56" s="1923"/>
      <c r="I56" s="1923"/>
      <c r="J56" s="1923"/>
      <c r="K56" s="1923"/>
      <c r="L56" s="1923"/>
      <c r="M56" s="1923"/>
      <c r="N56" s="1923"/>
    </row>
    <row r="57" spans="1:14" ht="45" customHeight="1">
      <c r="A57" s="1926" t="s">
        <v>426</v>
      </c>
      <c r="B57" s="1927"/>
      <c r="C57" s="1927"/>
      <c r="D57" s="1927"/>
      <c r="E57" s="1927"/>
      <c r="F57" s="1927"/>
      <c r="G57" s="1927"/>
    </row>
    <row r="58" spans="1:14" ht="30.75" customHeight="1">
      <c r="A58" s="1958" t="s">
        <v>881</v>
      </c>
      <c r="B58" s="1958"/>
      <c r="C58" s="1958"/>
      <c r="D58" s="1958"/>
      <c r="E58" s="1958"/>
      <c r="F58" s="1958"/>
      <c r="G58" s="1958"/>
      <c r="H58" s="1923"/>
      <c r="I58" s="1923"/>
      <c r="J58" s="1923"/>
      <c r="K58" s="1923"/>
      <c r="L58" s="1923"/>
      <c r="M58" s="1923"/>
      <c r="N58" s="1923"/>
    </row>
    <row r="59" spans="1:14" ht="63.75" customHeight="1">
      <c r="A59" s="1926" t="s">
        <v>427</v>
      </c>
      <c r="B59" s="1927"/>
      <c r="C59" s="1927"/>
      <c r="D59" s="1927"/>
      <c r="E59" s="1927"/>
      <c r="F59" s="1927"/>
      <c r="G59" s="1927"/>
    </row>
    <row r="60" spans="1:14" ht="26.25" customHeight="1">
      <c r="A60" s="1958" t="s">
        <v>882</v>
      </c>
      <c r="B60" s="1958"/>
      <c r="C60" s="1958"/>
      <c r="D60" s="1958"/>
      <c r="E60" s="1958"/>
      <c r="F60" s="1958"/>
      <c r="G60" s="1958"/>
      <c r="H60" s="1923"/>
      <c r="I60" s="1923"/>
      <c r="J60" s="1923"/>
      <c r="K60" s="1923"/>
      <c r="L60" s="1923"/>
      <c r="M60" s="1923"/>
      <c r="N60" s="1923"/>
    </row>
    <row r="61" spans="1:14" ht="27.75" customHeight="1">
      <c r="A61" s="1926" t="s">
        <v>428</v>
      </c>
      <c r="B61" s="1927"/>
      <c r="C61" s="1927"/>
      <c r="D61" s="1927"/>
      <c r="E61" s="1927"/>
      <c r="F61" s="1927"/>
      <c r="G61" s="1927"/>
    </row>
    <row r="62" spans="1:14" ht="27" customHeight="1">
      <c r="A62" s="1958" t="s">
        <v>883</v>
      </c>
      <c r="B62" s="1958"/>
      <c r="C62" s="1958"/>
      <c r="D62" s="1958"/>
      <c r="E62" s="1958"/>
      <c r="F62" s="1958"/>
      <c r="G62" s="1958"/>
    </row>
    <row r="63" spans="1:14" ht="75.75" customHeight="1">
      <c r="A63" s="1926" t="s">
        <v>1023</v>
      </c>
      <c r="B63" s="1927"/>
      <c r="C63" s="1927"/>
      <c r="D63" s="1927"/>
      <c r="E63" s="1927"/>
      <c r="F63" s="1927"/>
      <c r="G63" s="1927"/>
    </row>
    <row r="64" spans="1:14" ht="27" customHeight="1">
      <c r="A64" s="1958" t="s">
        <v>884</v>
      </c>
      <c r="B64" s="1958"/>
      <c r="C64" s="1958"/>
      <c r="D64" s="1958"/>
      <c r="E64" s="1958"/>
      <c r="F64" s="1958"/>
      <c r="G64" s="1958"/>
      <c r="H64" s="1923"/>
      <c r="I64" s="1923"/>
      <c r="J64" s="1923"/>
      <c r="K64" s="1923"/>
      <c r="L64" s="1923"/>
      <c r="M64" s="1923"/>
      <c r="N64" s="1923"/>
    </row>
    <row r="65" spans="1:14" ht="60.75" customHeight="1">
      <c r="A65" s="1926" t="s">
        <v>429</v>
      </c>
      <c r="B65" s="1927"/>
      <c r="C65" s="1927"/>
      <c r="D65" s="1927"/>
      <c r="E65" s="1927"/>
      <c r="F65" s="1927"/>
      <c r="G65" s="1927"/>
    </row>
    <row r="66" spans="1:14" ht="27" customHeight="1">
      <c r="A66" s="1958" t="s">
        <v>885</v>
      </c>
      <c r="B66" s="1958"/>
      <c r="C66" s="1958"/>
      <c r="D66" s="1958"/>
      <c r="E66" s="1958"/>
      <c r="F66" s="1958"/>
      <c r="G66" s="1958"/>
      <c r="H66" s="1923"/>
      <c r="I66" s="1923"/>
      <c r="J66" s="1923"/>
      <c r="K66" s="1923"/>
      <c r="L66" s="1923"/>
      <c r="M66" s="1923"/>
      <c r="N66" s="1923"/>
    </row>
    <row r="67" spans="1:14" ht="43.5" customHeight="1">
      <c r="A67" s="1926" t="s">
        <v>430</v>
      </c>
      <c r="B67" s="1927"/>
      <c r="C67" s="1927"/>
      <c r="D67" s="1927"/>
      <c r="E67" s="1927"/>
      <c r="F67" s="1927"/>
      <c r="G67" s="1927"/>
    </row>
    <row r="68" spans="1:14" ht="26.25" customHeight="1">
      <c r="A68" s="1958" t="s">
        <v>886</v>
      </c>
      <c r="B68" s="1958"/>
      <c r="C68" s="1958"/>
      <c r="D68" s="1958"/>
      <c r="E68" s="1958"/>
      <c r="F68" s="1958"/>
      <c r="G68" s="1958"/>
    </row>
    <row r="69" spans="1:14" ht="60" customHeight="1">
      <c r="A69" s="1926" t="s">
        <v>431</v>
      </c>
      <c r="B69" s="1927"/>
      <c r="C69" s="1927"/>
      <c r="D69" s="1927"/>
      <c r="E69" s="1927"/>
      <c r="F69" s="1927"/>
      <c r="G69" s="1927"/>
    </row>
    <row r="70" spans="1:14" ht="27" customHeight="1">
      <c r="A70" s="1958" t="s">
        <v>887</v>
      </c>
      <c r="B70" s="1958"/>
      <c r="C70" s="1958"/>
      <c r="D70" s="1958"/>
      <c r="E70" s="1958"/>
      <c r="F70" s="1958"/>
      <c r="G70" s="1958"/>
    </row>
    <row r="71" spans="1:14" ht="59.25" customHeight="1">
      <c r="A71" s="1926" t="s">
        <v>432</v>
      </c>
      <c r="B71" s="1927"/>
      <c r="C71" s="1927"/>
      <c r="D71" s="1927"/>
      <c r="E71" s="1927"/>
      <c r="F71" s="1927"/>
      <c r="G71" s="1927"/>
    </row>
    <row r="72" spans="1:14" ht="42.75" customHeight="1">
      <c r="A72" s="1927" t="s">
        <v>433</v>
      </c>
      <c r="B72" s="1927"/>
      <c r="C72" s="1927"/>
      <c r="D72" s="1927"/>
      <c r="E72" s="1927"/>
      <c r="F72" s="1927"/>
      <c r="G72" s="1927"/>
    </row>
    <row r="73" spans="1:14" ht="33.75" customHeight="1">
      <c r="A73" s="1980" t="s">
        <v>897</v>
      </c>
      <c r="B73" s="1980"/>
      <c r="C73" s="1980"/>
      <c r="D73" s="1980"/>
      <c r="E73" s="1980"/>
      <c r="F73" s="1980"/>
      <c r="G73" s="1980"/>
    </row>
    <row r="74" spans="1:14" ht="30.75" customHeight="1">
      <c r="A74" s="1922" t="s">
        <v>898</v>
      </c>
      <c r="B74" s="1922"/>
      <c r="C74" s="1922"/>
      <c r="D74" s="1922"/>
      <c r="E74" s="1922"/>
      <c r="F74" s="1922"/>
      <c r="G74" s="1922"/>
    </row>
    <row r="75" spans="1:14" ht="44.25" customHeight="1">
      <c r="A75" s="1922" t="s">
        <v>899</v>
      </c>
      <c r="B75" s="1922"/>
      <c r="C75" s="1922"/>
      <c r="D75" s="1922"/>
      <c r="E75" s="1922"/>
      <c r="F75" s="1922"/>
      <c r="G75" s="1922"/>
    </row>
    <row r="76" spans="1:14" ht="27.75" customHeight="1">
      <c r="A76" s="1981" t="s">
        <v>847</v>
      </c>
      <c r="B76" s="1981"/>
      <c r="C76" s="1981"/>
      <c r="D76" s="1981"/>
      <c r="E76" s="1981"/>
      <c r="F76" s="1981"/>
      <c r="G76" s="1981"/>
    </row>
    <row r="77" spans="1:14" ht="45" customHeight="1">
      <c r="A77" s="1922" t="s">
        <v>900</v>
      </c>
      <c r="B77" s="1922"/>
      <c r="C77" s="1922"/>
      <c r="D77" s="1922"/>
      <c r="E77" s="1922"/>
      <c r="F77" s="1922"/>
      <c r="G77" s="1922"/>
    </row>
    <row r="78" spans="1:14" ht="27" customHeight="1">
      <c r="A78" s="1925" t="s">
        <v>848</v>
      </c>
      <c r="B78" s="1925"/>
      <c r="C78" s="1925"/>
      <c r="D78" s="1925"/>
      <c r="E78" s="1925"/>
      <c r="F78" s="1925"/>
      <c r="G78" s="1925"/>
    </row>
    <row r="79" spans="1:14" ht="108.75" customHeight="1">
      <c r="A79" s="1924" t="s">
        <v>1024</v>
      </c>
      <c r="B79" s="1924"/>
      <c r="C79" s="1924"/>
      <c r="D79" s="1924"/>
      <c r="E79" s="1924"/>
      <c r="F79" s="1924"/>
      <c r="G79" s="1924"/>
    </row>
    <row r="80" spans="1:14" ht="27.75" customHeight="1">
      <c r="A80" s="1925" t="s">
        <v>849</v>
      </c>
      <c r="B80" s="1925"/>
      <c r="C80" s="1925"/>
      <c r="D80" s="1925"/>
      <c r="E80" s="1925"/>
      <c r="F80" s="1925"/>
      <c r="G80" s="1925"/>
    </row>
    <row r="81" spans="1:7" ht="27.75" customHeight="1">
      <c r="A81" s="1922" t="s">
        <v>850</v>
      </c>
      <c r="B81" s="1922"/>
      <c r="C81" s="1922"/>
      <c r="D81" s="1922"/>
      <c r="E81" s="1922"/>
      <c r="F81" s="1922"/>
      <c r="G81" s="1922"/>
    </row>
    <row r="82" spans="1:7" ht="27" customHeight="1">
      <c r="A82" s="1921" t="s">
        <v>851</v>
      </c>
      <c r="B82" s="1921"/>
      <c r="C82" s="1921"/>
      <c r="D82" s="1921"/>
      <c r="E82" s="1921"/>
      <c r="F82" s="1921"/>
      <c r="G82" s="1921"/>
    </row>
    <row r="83" spans="1:7" ht="45" customHeight="1">
      <c r="A83" s="1922" t="s">
        <v>852</v>
      </c>
      <c r="B83" s="1922"/>
      <c r="C83" s="1922"/>
      <c r="D83" s="1922"/>
      <c r="E83" s="1922"/>
      <c r="F83" s="1922"/>
      <c r="G83" s="1922"/>
    </row>
    <row r="84" spans="1:7" ht="59.25" customHeight="1">
      <c r="A84" s="1922" t="s">
        <v>901</v>
      </c>
      <c r="B84" s="1922"/>
      <c r="C84" s="1922"/>
      <c r="D84" s="1922"/>
      <c r="E84" s="1922"/>
      <c r="F84" s="1922"/>
      <c r="G84" s="1922"/>
    </row>
    <row r="85" spans="1:7" ht="30" customHeight="1">
      <c r="A85" s="1922" t="s">
        <v>853</v>
      </c>
      <c r="B85" s="1922"/>
      <c r="C85" s="1922"/>
      <c r="D85" s="1922"/>
      <c r="E85" s="1922"/>
      <c r="F85" s="1922"/>
      <c r="G85" s="1922"/>
    </row>
    <row r="86" spans="1:7" ht="26.25" customHeight="1">
      <c r="A86" s="1921" t="s">
        <v>854</v>
      </c>
      <c r="B86" s="1921"/>
      <c r="C86" s="1921"/>
      <c r="D86" s="1921"/>
      <c r="E86" s="1921"/>
      <c r="F86" s="1921"/>
      <c r="G86" s="1921"/>
    </row>
    <row r="87" spans="1:7" ht="63.75" customHeight="1">
      <c r="A87" s="1922" t="s">
        <v>902</v>
      </c>
      <c r="B87" s="1922"/>
      <c r="C87" s="1922"/>
      <c r="D87" s="1922"/>
      <c r="E87" s="1922"/>
      <c r="F87" s="1922"/>
      <c r="G87" s="1922"/>
    </row>
    <row r="88" spans="1:7" ht="60" customHeight="1">
      <c r="A88" s="1922" t="s">
        <v>855</v>
      </c>
      <c r="B88" s="1922"/>
      <c r="C88" s="1922"/>
      <c r="D88" s="1922"/>
      <c r="E88" s="1922"/>
      <c r="F88" s="1922"/>
      <c r="G88" s="1922"/>
    </row>
    <row r="89" spans="1:7" ht="27" customHeight="1">
      <c r="A89" s="1921" t="s">
        <v>856</v>
      </c>
      <c r="B89" s="1921"/>
      <c r="C89" s="1921"/>
      <c r="D89" s="1921"/>
      <c r="E89" s="1921"/>
      <c r="F89" s="1921"/>
      <c r="G89" s="1921"/>
    </row>
    <row r="90" spans="1:7" ht="60" customHeight="1">
      <c r="A90" s="1922" t="s">
        <v>903</v>
      </c>
      <c r="B90" s="1922"/>
      <c r="C90" s="1922"/>
      <c r="D90" s="1922"/>
      <c r="E90" s="1922"/>
      <c r="F90" s="1922"/>
      <c r="G90" s="1922"/>
    </row>
    <row r="91" spans="1:7" ht="27" customHeight="1">
      <c r="A91" s="1923" t="s">
        <v>866</v>
      </c>
      <c r="B91" s="1923"/>
      <c r="C91" s="1923"/>
      <c r="D91" s="1923"/>
      <c r="E91" s="1923"/>
      <c r="F91" s="1923"/>
      <c r="G91" s="1923"/>
    </row>
    <row r="92" spans="1:7" ht="119.25" customHeight="1">
      <c r="A92" s="1926" t="s">
        <v>867</v>
      </c>
      <c r="B92" s="1927"/>
      <c r="C92" s="1927"/>
      <c r="D92" s="1927"/>
      <c r="E92" s="1927"/>
      <c r="F92" s="1927"/>
      <c r="G92" s="1927"/>
    </row>
    <row r="93" spans="1:7" ht="43.5" customHeight="1">
      <c r="A93" s="1926" t="s">
        <v>468</v>
      </c>
      <c r="B93" s="1927"/>
      <c r="C93" s="1927"/>
      <c r="D93" s="1927"/>
      <c r="E93" s="1927"/>
      <c r="F93" s="1927"/>
      <c r="G93" s="1927"/>
    </row>
    <row r="94" spans="1:7" ht="43.5" customHeight="1">
      <c r="A94" s="1926" t="s">
        <v>434</v>
      </c>
      <c r="B94" s="1926"/>
      <c r="C94" s="1926"/>
      <c r="D94" s="1926"/>
      <c r="E94" s="1926"/>
      <c r="F94" s="1926"/>
      <c r="G94" s="1926"/>
    </row>
    <row r="95" spans="1:7" ht="44.25" customHeight="1">
      <c r="A95" s="1927" t="s">
        <v>435</v>
      </c>
      <c r="B95" s="1927"/>
      <c r="C95" s="1927"/>
      <c r="D95" s="1927"/>
      <c r="E95" s="1927"/>
      <c r="F95" s="1927"/>
      <c r="G95" s="1927"/>
    </row>
    <row r="96" spans="1:7" ht="29.25" customHeight="1">
      <c r="A96" s="1927" t="s">
        <v>436</v>
      </c>
      <c r="B96" s="1927"/>
      <c r="C96" s="1927"/>
      <c r="D96" s="1927"/>
      <c r="E96" s="1927"/>
      <c r="F96" s="1927"/>
      <c r="G96" s="1927"/>
    </row>
    <row r="97" spans="1:14" ht="30.75" customHeight="1">
      <c r="A97" s="1927" t="s">
        <v>469</v>
      </c>
      <c r="B97" s="1927"/>
      <c r="C97" s="1927"/>
      <c r="D97" s="1927"/>
      <c r="E97" s="1927"/>
      <c r="F97" s="1927"/>
      <c r="G97" s="1927"/>
    </row>
    <row r="98" spans="1:14" ht="26.25" customHeight="1">
      <c r="A98" s="1923" t="s">
        <v>865</v>
      </c>
      <c r="B98" s="1923"/>
      <c r="C98" s="1923"/>
      <c r="D98" s="1923"/>
      <c r="E98" s="1923"/>
      <c r="F98" s="1923"/>
      <c r="G98" s="1923"/>
      <c r="H98" s="1923"/>
      <c r="I98" s="1923"/>
      <c r="J98" s="1923"/>
      <c r="K98" s="1923"/>
      <c r="L98" s="1923"/>
      <c r="M98" s="1923"/>
      <c r="N98" s="1923"/>
    </row>
    <row r="99" spans="1:14" ht="73.5" customHeight="1">
      <c r="A99" s="1926" t="s">
        <v>892</v>
      </c>
      <c r="B99" s="1927"/>
      <c r="C99" s="1927"/>
      <c r="D99" s="1927"/>
      <c r="E99" s="1927"/>
      <c r="F99" s="1927"/>
      <c r="G99" s="1927"/>
      <c r="L99" s="350"/>
    </row>
    <row r="100" spans="1:14" ht="27" customHeight="1">
      <c r="A100" s="1923" t="s">
        <v>864</v>
      </c>
      <c r="B100" s="1923"/>
      <c r="C100" s="1923"/>
      <c r="D100" s="1923"/>
      <c r="E100" s="1923"/>
      <c r="F100" s="1923"/>
      <c r="G100" s="1923"/>
      <c r="H100" s="1923"/>
      <c r="I100" s="1923"/>
      <c r="J100" s="1923"/>
      <c r="K100" s="1923"/>
      <c r="L100" s="1923"/>
      <c r="M100" s="1923"/>
      <c r="N100" s="1923"/>
    </row>
    <row r="101" spans="1:14" ht="89.25" customHeight="1">
      <c r="A101" s="1928" t="s">
        <v>868</v>
      </c>
      <c r="B101" s="1928"/>
      <c r="C101" s="1928"/>
      <c r="D101" s="1928"/>
      <c r="E101" s="1928"/>
      <c r="F101" s="1928"/>
      <c r="G101" s="1928"/>
    </row>
    <row r="102" spans="1:14" ht="27.75" customHeight="1">
      <c r="A102" s="1923" t="s">
        <v>863</v>
      </c>
      <c r="B102" s="1923"/>
      <c r="C102" s="1923"/>
      <c r="D102" s="1923"/>
      <c r="E102" s="1923"/>
      <c r="F102" s="1923"/>
      <c r="G102" s="1923"/>
    </row>
    <row r="103" spans="1:14" ht="60" customHeight="1">
      <c r="A103" s="1926" t="s">
        <v>869</v>
      </c>
      <c r="B103" s="1927"/>
      <c r="C103" s="1927"/>
      <c r="D103" s="1927"/>
      <c r="E103" s="1927"/>
      <c r="F103" s="1927"/>
      <c r="G103" s="1927"/>
    </row>
    <row r="104" spans="1:14" ht="27" customHeight="1">
      <c r="A104" s="1923" t="s">
        <v>24</v>
      </c>
      <c r="B104" s="1923"/>
      <c r="C104" s="1923"/>
      <c r="D104" s="1923"/>
      <c r="E104" s="1923"/>
      <c r="F104" s="1923"/>
      <c r="G104" s="1923"/>
    </row>
    <row r="105" spans="1:14" ht="27.75" customHeight="1">
      <c r="A105" s="1923" t="s">
        <v>0</v>
      </c>
      <c r="B105" s="1923"/>
      <c r="C105" s="1923"/>
      <c r="D105" s="1923"/>
      <c r="E105" s="1923"/>
      <c r="F105" s="1923"/>
      <c r="G105" s="1923"/>
    </row>
    <row r="106" spans="1:14" ht="42.75" customHeight="1">
      <c r="A106" s="1926" t="s">
        <v>870</v>
      </c>
      <c r="B106" s="1926"/>
      <c r="C106" s="1926"/>
      <c r="D106" s="1926"/>
      <c r="E106" s="1926"/>
      <c r="F106" s="1926"/>
      <c r="G106" s="1926"/>
    </row>
    <row r="107" spans="1:14" ht="27" customHeight="1">
      <c r="A107" s="1958" t="s">
        <v>862</v>
      </c>
      <c r="B107" s="1958"/>
      <c r="C107" s="1958"/>
      <c r="D107" s="1958"/>
      <c r="E107" s="1958"/>
      <c r="F107" s="1958"/>
      <c r="G107" s="1958"/>
    </row>
    <row r="108" spans="1:14" ht="30.75" customHeight="1">
      <c r="A108" s="1926" t="s">
        <v>871</v>
      </c>
      <c r="B108" s="1927"/>
      <c r="C108" s="1927"/>
      <c r="D108" s="1927"/>
      <c r="E108" s="1927"/>
      <c r="F108" s="1927"/>
      <c r="G108" s="1927"/>
    </row>
    <row r="109" spans="1:14" ht="27.75" customHeight="1">
      <c r="A109" s="1959" t="s">
        <v>506</v>
      </c>
      <c r="B109" s="1959"/>
      <c r="C109" s="1959"/>
      <c r="D109" s="1959"/>
      <c r="E109" s="1959"/>
      <c r="F109" s="1959"/>
      <c r="G109" s="1959"/>
    </row>
    <row r="110" spans="1:14" ht="44.25" customHeight="1">
      <c r="A110" s="1959" t="s">
        <v>507</v>
      </c>
      <c r="B110" s="1959"/>
      <c r="C110" s="1959"/>
      <c r="D110" s="1959"/>
      <c r="E110" s="1959"/>
      <c r="F110" s="1959"/>
      <c r="G110" s="1959"/>
    </row>
    <row r="111" spans="1:14" ht="47.25" customHeight="1">
      <c r="A111" s="1959" t="s">
        <v>509</v>
      </c>
      <c r="B111" s="1959"/>
      <c r="C111" s="1959"/>
      <c r="D111" s="1959"/>
      <c r="E111" s="1959"/>
      <c r="F111" s="1959"/>
      <c r="G111" s="1959"/>
    </row>
    <row r="112" spans="1:14" ht="73.5" customHeight="1">
      <c r="A112" s="1959" t="s">
        <v>510</v>
      </c>
      <c r="B112" s="1959"/>
      <c r="C112" s="1959"/>
      <c r="D112" s="1959"/>
      <c r="E112" s="1959"/>
      <c r="F112" s="1959"/>
      <c r="G112" s="1959"/>
    </row>
    <row r="113" spans="1:15" ht="91.5" customHeight="1">
      <c r="A113" s="1960" t="s">
        <v>25</v>
      </c>
      <c r="B113" s="1959"/>
      <c r="C113" s="1959"/>
      <c r="D113" s="1959"/>
      <c r="E113" s="1959"/>
      <c r="F113" s="1959"/>
      <c r="G113" s="1959"/>
    </row>
    <row r="114" spans="1:15" ht="31.5" customHeight="1">
      <c r="A114" s="1960" t="s">
        <v>504</v>
      </c>
      <c r="B114" s="1959"/>
      <c r="C114" s="1959"/>
      <c r="D114" s="1959"/>
      <c r="E114" s="1959"/>
      <c r="F114" s="1959"/>
      <c r="G114" s="1959"/>
    </row>
    <row r="115" spans="1:15" ht="42.75" customHeight="1">
      <c r="A115" s="1960" t="s">
        <v>505</v>
      </c>
      <c r="B115" s="1959"/>
      <c r="C115" s="1959"/>
      <c r="D115" s="1959"/>
      <c r="E115" s="1959"/>
      <c r="F115" s="1959"/>
      <c r="G115" s="1959"/>
    </row>
    <row r="116" spans="1:15" ht="45.75" customHeight="1">
      <c r="A116" s="1959" t="s">
        <v>508</v>
      </c>
      <c r="B116" s="1959"/>
      <c r="C116" s="1959"/>
      <c r="D116" s="1959"/>
      <c r="E116" s="1959"/>
      <c r="F116" s="1959"/>
      <c r="G116" s="1959"/>
    </row>
    <row r="117" spans="1:15" ht="73.5" customHeight="1">
      <c r="A117" s="1961" t="s">
        <v>904</v>
      </c>
      <c r="B117" s="1962"/>
      <c r="C117" s="1962"/>
      <c r="D117" s="1962"/>
      <c r="E117" s="1962"/>
      <c r="F117" s="1962"/>
      <c r="G117" s="1962"/>
      <c r="O117" s="987"/>
    </row>
    <row r="118" spans="1:15" ht="27" customHeight="1">
      <c r="A118" s="1958" t="s">
        <v>861</v>
      </c>
      <c r="B118" s="1958"/>
      <c r="C118" s="1958"/>
      <c r="D118" s="1958"/>
      <c r="E118" s="1958"/>
      <c r="F118" s="1958"/>
      <c r="G118" s="1958"/>
    </row>
    <row r="119" spans="1:15" ht="75" customHeight="1">
      <c r="A119" s="1926" t="s">
        <v>872</v>
      </c>
      <c r="B119" s="1927"/>
      <c r="C119" s="1927"/>
      <c r="D119" s="1927"/>
      <c r="E119" s="1927"/>
      <c r="F119" s="1927"/>
      <c r="G119" s="1927"/>
    </row>
    <row r="120" spans="1:15" ht="17.25" customHeight="1">
      <c r="A120" s="1959" t="s">
        <v>26</v>
      </c>
      <c r="B120" s="1959"/>
      <c r="C120" s="1959"/>
      <c r="D120" s="1959"/>
      <c r="E120" s="1959"/>
      <c r="F120" s="1959"/>
      <c r="G120" s="1959"/>
    </row>
    <row r="121" spans="1:15" ht="14.25" customHeight="1">
      <c r="A121" s="1959" t="s">
        <v>27</v>
      </c>
      <c r="B121" s="1959"/>
      <c r="C121" s="1959"/>
      <c r="D121" s="1959"/>
      <c r="E121" s="1959"/>
      <c r="F121" s="1959"/>
      <c r="G121" s="1959"/>
    </row>
    <row r="122" spans="1:15" ht="31.5" customHeight="1">
      <c r="A122" s="1959" t="s">
        <v>28</v>
      </c>
      <c r="B122" s="1959"/>
      <c r="C122" s="1959"/>
      <c r="D122" s="1959"/>
      <c r="E122" s="1959"/>
      <c r="F122" s="1959"/>
      <c r="G122" s="1959"/>
    </row>
    <row r="123" spans="1:15" ht="27" customHeight="1">
      <c r="A123" s="1923" t="s">
        <v>860</v>
      </c>
      <c r="B123" s="1923"/>
      <c r="C123" s="1923"/>
      <c r="D123" s="1923"/>
      <c r="E123" s="1923"/>
      <c r="F123" s="1923"/>
      <c r="G123" s="1923"/>
      <c r="H123" s="1923"/>
      <c r="I123" s="1923"/>
      <c r="J123" s="1923"/>
      <c r="K123" s="1923"/>
      <c r="L123" s="1923"/>
      <c r="M123" s="1923"/>
      <c r="N123" s="1923"/>
    </row>
    <row r="124" spans="1:15" ht="66" customHeight="1">
      <c r="A124" s="1926" t="s">
        <v>873</v>
      </c>
      <c r="B124" s="1927"/>
      <c r="C124" s="1927"/>
      <c r="D124" s="1927"/>
      <c r="E124" s="1927"/>
      <c r="F124" s="1927"/>
      <c r="G124" s="1927"/>
    </row>
    <row r="125" spans="1:15" ht="102.75" customHeight="1">
      <c r="A125" s="1926" t="s">
        <v>470</v>
      </c>
      <c r="B125" s="1927"/>
      <c r="C125" s="1927"/>
      <c r="D125" s="1927"/>
      <c r="E125" s="1927"/>
      <c r="F125" s="1927"/>
      <c r="G125" s="1927"/>
    </row>
    <row r="126" spans="1:15" ht="26.25" customHeight="1">
      <c r="A126" s="1923" t="s">
        <v>859</v>
      </c>
      <c r="B126" s="1923"/>
      <c r="C126" s="1923"/>
      <c r="D126" s="1923"/>
      <c r="E126" s="1923"/>
      <c r="F126" s="1923"/>
      <c r="G126" s="1923"/>
    </row>
    <row r="127" spans="1:15" ht="60.75" customHeight="1">
      <c r="A127" s="1926" t="s">
        <v>874</v>
      </c>
      <c r="B127" s="1927"/>
      <c r="C127" s="1927"/>
      <c r="D127" s="1927"/>
      <c r="E127" s="1927"/>
      <c r="F127" s="1927"/>
      <c r="G127" s="1927"/>
    </row>
    <row r="128" spans="1:15" ht="31.5" customHeight="1">
      <c r="A128" s="1927" t="s">
        <v>391</v>
      </c>
      <c r="B128" s="1927"/>
      <c r="C128" s="1927"/>
      <c r="D128" s="1927"/>
      <c r="E128" s="1927"/>
      <c r="F128" s="1927"/>
      <c r="G128" s="1927"/>
    </row>
    <row r="129" spans="1:14" ht="15">
      <c r="A129" s="69"/>
      <c r="B129" s="69"/>
      <c r="C129" s="69"/>
      <c r="D129" s="68"/>
      <c r="E129" s="68"/>
      <c r="F129" s="68"/>
      <c r="G129" s="68"/>
    </row>
    <row r="130" spans="1:14" ht="15">
      <c r="A130" s="1963"/>
      <c r="B130" s="1964"/>
      <c r="C130" s="1965"/>
      <c r="D130" s="1940" t="s">
        <v>1</v>
      </c>
      <c r="E130" s="1940"/>
      <c r="F130" s="1948" t="s">
        <v>2</v>
      </c>
      <c r="G130" s="1940" t="s">
        <v>3</v>
      </c>
    </row>
    <row r="131" spans="1:14" ht="30.75" customHeight="1">
      <c r="A131" s="1966" t="s">
        <v>4</v>
      </c>
      <c r="B131" s="1967"/>
      <c r="C131" s="1968"/>
      <c r="D131" s="1969">
        <v>5</v>
      </c>
      <c r="E131" s="1969"/>
      <c r="F131" s="1969">
        <v>1.5</v>
      </c>
      <c r="G131" s="1969"/>
    </row>
    <row r="132" spans="1:14" ht="30.75" customHeight="1">
      <c r="A132" s="1966" t="s">
        <v>5</v>
      </c>
      <c r="B132" s="1967"/>
      <c r="C132" s="1968"/>
      <c r="D132" s="1969">
        <v>5</v>
      </c>
      <c r="E132" s="1969"/>
      <c r="F132" s="1969">
        <v>1.6</v>
      </c>
      <c r="G132" s="1969"/>
    </row>
    <row r="133" spans="1:14" ht="30.75" customHeight="1">
      <c r="A133" s="1966" t="s">
        <v>6</v>
      </c>
      <c r="B133" s="1967"/>
      <c r="C133" s="1968"/>
      <c r="D133" s="1969">
        <v>5</v>
      </c>
      <c r="E133" s="1969"/>
      <c r="F133" s="1969">
        <v>1.5</v>
      </c>
      <c r="G133" s="1969"/>
    </row>
    <row r="134" spans="1:14" ht="30.75" customHeight="1">
      <c r="A134" s="1966" t="s">
        <v>7</v>
      </c>
      <c r="B134" s="1967"/>
      <c r="C134" s="1968"/>
      <c r="D134" s="1969">
        <v>5</v>
      </c>
      <c r="E134" s="1969"/>
      <c r="F134" s="1969">
        <v>3</v>
      </c>
      <c r="G134" s="1969"/>
    </row>
    <row r="135" spans="1:14" ht="30.75" customHeight="1">
      <c r="A135" s="1966" t="s">
        <v>8</v>
      </c>
      <c r="B135" s="1967"/>
      <c r="C135" s="1968"/>
      <c r="D135" s="1969">
        <v>5</v>
      </c>
      <c r="E135" s="1969"/>
      <c r="F135" s="1970" t="s">
        <v>9</v>
      </c>
      <c r="G135" s="1971"/>
    </row>
    <row r="136" spans="1:14" ht="45" customHeight="1">
      <c r="A136" s="1972" t="s">
        <v>888</v>
      </c>
      <c r="B136" s="1973"/>
      <c r="C136" s="1973"/>
      <c r="D136" s="1969">
        <v>0</v>
      </c>
      <c r="E136" s="1969"/>
      <c r="F136" s="1969">
        <v>0</v>
      </c>
      <c r="G136" s="1969"/>
    </row>
    <row r="137" spans="1:14" ht="31.5" customHeight="1">
      <c r="A137" s="1987" t="s">
        <v>10</v>
      </c>
      <c r="B137" s="1927"/>
      <c r="C137" s="1927"/>
      <c r="D137" s="1927"/>
      <c r="E137" s="1927"/>
      <c r="F137" s="1927"/>
      <c r="G137" s="1927"/>
    </row>
    <row r="138" spans="1:14" ht="27.75" customHeight="1">
      <c r="A138" s="1923" t="s">
        <v>858</v>
      </c>
      <c r="B138" s="1923"/>
      <c r="C138" s="1923"/>
      <c r="D138" s="1923"/>
      <c r="E138" s="1923"/>
      <c r="F138" s="1923"/>
      <c r="G138" s="1923"/>
    </row>
    <row r="139" spans="1:14" ht="106.5" customHeight="1">
      <c r="A139" s="1988" t="s">
        <v>1487</v>
      </c>
      <c r="B139" s="1922"/>
      <c r="C139" s="1922"/>
      <c r="D139" s="1922"/>
      <c r="E139" s="1922"/>
      <c r="F139" s="1922"/>
      <c r="G139" s="1922"/>
    </row>
    <row r="140" spans="1:14" ht="27" customHeight="1">
      <c r="A140" s="1923" t="s">
        <v>857</v>
      </c>
      <c r="B140" s="1923"/>
      <c r="C140" s="1923"/>
      <c r="D140" s="1923"/>
      <c r="E140" s="1923"/>
      <c r="F140" s="1923"/>
      <c r="G140" s="1923"/>
    </row>
    <row r="141" spans="1:14" ht="75.75" customHeight="1">
      <c r="A141" s="1977" t="s">
        <v>875</v>
      </c>
      <c r="B141" s="1978"/>
      <c r="C141" s="1978"/>
      <c r="D141" s="1978"/>
      <c r="E141" s="1978"/>
      <c r="F141" s="1978"/>
      <c r="G141" s="1978"/>
    </row>
    <row r="142" spans="1:14" ht="33" customHeight="1">
      <c r="A142" s="1977" t="s">
        <v>1435</v>
      </c>
      <c r="B142" s="1978"/>
      <c r="C142" s="1978"/>
      <c r="D142" s="1978"/>
      <c r="E142" s="1978"/>
      <c r="F142" s="1978"/>
      <c r="G142" s="1978"/>
    </row>
    <row r="143" spans="1:14" ht="10.5" customHeight="1">
      <c r="A143" s="63"/>
      <c r="B143" s="69"/>
      <c r="C143" s="69"/>
      <c r="D143" s="68"/>
      <c r="E143" s="68"/>
      <c r="F143" s="68"/>
      <c r="G143" s="68"/>
    </row>
    <row r="144" spans="1:14" ht="38.25" customHeight="1">
      <c r="A144" s="1979" t="s">
        <v>1488</v>
      </c>
      <c r="B144" s="1957"/>
      <c r="C144" s="1957"/>
      <c r="D144" s="1957"/>
      <c r="E144" s="1957"/>
      <c r="F144" s="1957"/>
      <c r="G144" s="1957"/>
      <c r="H144" s="1979"/>
      <c r="I144" s="1957"/>
      <c r="J144" s="1957"/>
      <c r="K144" s="1957"/>
      <c r="L144" s="1957"/>
      <c r="M144" s="1957"/>
      <c r="N144" s="1957"/>
    </row>
    <row r="145" spans="1:16" ht="15">
      <c r="A145" s="68"/>
      <c r="B145" s="68"/>
      <c r="C145" s="68"/>
      <c r="D145" s="68"/>
      <c r="E145" s="68"/>
      <c r="F145" s="68"/>
      <c r="G145" s="68"/>
    </row>
    <row r="146" spans="1:16" ht="15">
      <c r="A146" s="21"/>
      <c r="B146" s="21"/>
      <c r="C146" s="21"/>
      <c r="D146" s="21"/>
      <c r="E146" s="21"/>
      <c r="F146" s="21"/>
      <c r="G146" s="21"/>
    </row>
    <row r="147" spans="1:16" ht="27.75" customHeight="1" thickBot="1">
      <c r="A147" s="72"/>
      <c r="B147" s="66"/>
      <c r="C147" s="66"/>
      <c r="D147" s="42"/>
      <c r="E147" s="66"/>
      <c r="F147" s="66"/>
      <c r="G147" s="66"/>
    </row>
    <row r="148" spans="1:16" ht="15">
      <c r="A148" s="1975" t="s">
        <v>11</v>
      </c>
      <c r="B148" s="1975"/>
      <c r="C148" s="1975"/>
      <c r="D148" s="37"/>
      <c r="E148" s="1976" t="s">
        <v>12</v>
      </c>
      <c r="F148" s="1976"/>
      <c r="G148" s="1976"/>
    </row>
    <row r="149" spans="1:16" ht="15">
      <c r="A149" s="1975" t="s">
        <v>13</v>
      </c>
      <c r="B149" s="1975"/>
      <c r="C149" s="1975"/>
      <c r="D149" s="37"/>
      <c r="E149" s="1975" t="s">
        <v>14</v>
      </c>
      <c r="F149" s="1975"/>
      <c r="G149" s="1975"/>
    </row>
    <row r="150" spans="1:16" ht="15">
      <c r="A150" s="37"/>
      <c r="B150" s="37"/>
      <c r="C150" s="37"/>
      <c r="D150" s="37"/>
      <c r="E150" s="37"/>
      <c r="F150" s="21"/>
      <c r="G150" s="21"/>
    </row>
    <row r="151" spans="1:16" ht="15">
      <c r="A151" s="37"/>
      <c r="B151" s="37"/>
      <c r="C151" s="37"/>
      <c r="D151" s="37"/>
      <c r="E151" s="37"/>
      <c r="F151" s="21"/>
      <c r="G151" s="21"/>
    </row>
    <row r="152" spans="1:16" ht="20.25" customHeight="1">
      <c r="A152" s="37"/>
      <c r="B152" s="37"/>
      <c r="C152" s="37"/>
      <c r="D152" s="37"/>
      <c r="E152" s="37"/>
      <c r="F152" s="21"/>
      <c r="G152" s="21"/>
    </row>
    <row r="153" spans="1:16" ht="62.25" customHeight="1" thickBot="1">
      <c r="A153" s="74"/>
      <c r="B153" s="66"/>
      <c r="C153" s="66"/>
      <c r="D153" s="37"/>
      <c r="E153" s="74"/>
      <c r="F153" s="66"/>
      <c r="G153" s="66"/>
    </row>
    <row r="154" spans="1:16" ht="33" customHeight="1">
      <c r="A154" s="1982" t="s">
        <v>918</v>
      </c>
      <c r="B154" s="1983"/>
      <c r="C154" s="1983"/>
      <c r="D154" s="37"/>
      <c r="E154" s="1975" t="s">
        <v>541</v>
      </c>
      <c r="F154" s="1975"/>
      <c r="G154" s="1975"/>
      <c r="I154" s="1975"/>
      <c r="J154" s="1976"/>
      <c r="K154" s="1976"/>
      <c r="N154" s="1975"/>
      <c r="O154" s="1975"/>
      <c r="P154" s="1975"/>
    </row>
    <row r="155" spans="1:16" ht="15">
      <c r="A155" s="1984" t="s">
        <v>544</v>
      </c>
      <c r="B155" s="1985"/>
      <c r="C155" s="1985"/>
      <c r="D155" s="37"/>
      <c r="E155" s="1986" t="s">
        <v>15</v>
      </c>
      <c r="F155" s="1986"/>
      <c r="G155" s="1986"/>
    </row>
    <row r="156" spans="1:16" ht="15">
      <c r="A156" s="37"/>
      <c r="B156" s="37"/>
      <c r="C156" s="37"/>
      <c r="D156" s="37"/>
      <c r="E156" s="37"/>
      <c r="F156" s="21"/>
      <c r="G156" s="21"/>
    </row>
    <row r="157" spans="1:16" ht="13.5" customHeight="1">
      <c r="A157" s="37"/>
      <c r="B157" s="37"/>
      <c r="C157" s="37"/>
      <c r="D157" s="37"/>
      <c r="E157" s="37"/>
      <c r="F157" s="21"/>
      <c r="G157" s="21"/>
    </row>
    <row r="158" spans="1:16" ht="15">
      <c r="A158" s="37"/>
      <c r="B158" s="37"/>
      <c r="C158" s="37"/>
      <c r="D158" s="37"/>
      <c r="E158" s="37"/>
      <c r="F158" s="21"/>
      <c r="G158" s="21"/>
    </row>
    <row r="159" spans="1:16" ht="35.25" customHeight="1" thickBot="1">
      <c r="A159" s="75"/>
      <c r="B159" s="74"/>
      <c r="C159" s="74"/>
      <c r="D159" s="37"/>
      <c r="E159" s="74"/>
      <c r="F159" s="66"/>
      <c r="G159" s="66"/>
    </row>
    <row r="160" spans="1:16" ht="15">
      <c r="A160" s="1975" t="s">
        <v>919</v>
      </c>
      <c r="B160" s="1976"/>
      <c r="C160" s="1976"/>
      <c r="D160" s="37"/>
      <c r="E160" s="1975" t="s">
        <v>920</v>
      </c>
      <c r="F160" s="1976"/>
      <c r="G160" s="1976"/>
    </row>
    <row r="161" spans="1:7" ht="15">
      <c r="A161" s="1975" t="s">
        <v>16</v>
      </c>
      <c r="B161" s="1976"/>
      <c r="C161" s="1976"/>
      <c r="D161" s="37"/>
      <c r="E161" s="1975" t="s">
        <v>17</v>
      </c>
      <c r="F161" s="1975"/>
      <c r="G161" s="1975"/>
    </row>
    <row r="162" spans="1:7" ht="15">
      <c r="A162" s="37"/>
      <c r="B162" s="37"/>
      <c r="C162" s="37"/>
      <c r="D162" s="37"/>
      <c r="E162" s="37"/>
      <c r="F162" s="21"/>
      <c r="G162" s="21"/>
    </row>
    <row r="163" spans="1:7" ht="15" customHeight="1">
      <c r="A163" s="37"/>
      <c r="B163" s="37"/>
      <c r="C163" s="37"/>
      <c r="D163" s="37"/>
      <c r="E163" s="37"/>
      <c r="F163" s="21"/>
      <c r="G163" s="21"/>
    </row>
    <row r="164" spans="1:7" ht="15">
      <c r="A164" s="37"/>
      <c r="B164" s="37"/>
      <c r="C164" s="37"/>
      <c r="D164" s="37"/>
      <c r="E164" s="37"/>
      <c r="F164" s="21"/>
      <c r="G164" s="21"/>
    </row>
    <row r="165" spans="1:7" ht="50.25" customHeight="1" thickBot="1">
      <c r="A165" s="76"/>
      <c r="B165" s="76"/>
      <c r="C165" s="76"/>
      <c r="D165" s="77"/>
      <c r="E165" s="76"/>
      <c r="F165" s="76"/>
      <c r="G165" s="76"/>
    </row>
    <row r="166" spans="1:7" ht="15">
      <c r="A166" s="1975" t="s">
        <v>921</v>
      </c>
      <c r="B166" s="1976"/>
      <c r="C166" s="1976"/>
      <c r="D166" s="37"/>
      <c r="E166" s="1974" t="s">
        <v>922</v>
      </c>
      <c r="F166" s="1974"/>
      <c r="G166" s="1974"/>
    </row>
    <row r="167" spans="1:7" ht="15">
      <c r="A167" s="1975" t="s">
        <v>18</v>
      </c>
      <c r="B167" s="1975"/>
      <c r="C167" s="1975"/>
      <c r="D167" s="37"/>
      <c r="E167" s="1975" t="s">
        <v>19</v>
      </c>
      <c r="F167" s="1975"/>
      <c r="G167" s="1975"/>
    </row>
    <row r="168" spans="1:7" ht="15">
      <c r="A168" s="37"/>
      <c r="B168" s="37"/>
      <c r="C168" s="37"/>
      <c r="D168" s="37"/>
      <c r="E168" s="37"/>
      <c r="F168" s="21"/>
      <c r="G168" s="21"/>
    </row>
    <row r="169" spans="1:7" ht="17.25" customHeight="1">
      <c r="A169" s="37"/>
      <c r="B169" s="37"/>
      <c r="C169" s="37"/>
      <c r="D169" s="37"/>
      <c r="E169" s="37"/>
      <c r="F169" s="21"/>
      <c r="G169" s="21"/>
    </row>
    <row r="170" spans="1:7" ht="19.5" customHeight="1">
      <c r="A170" s="37"/>
      <c r="B170" s="37"/>
      <c r="C170" s="37"/>
      <c r="D170" s="37"/>
      <c r="E170" s="37"/>
      <c r="F170" s="21"/>
      <c r="G170" s="21"/>
    </row>
    <row r="171" spans="1:7" ht="36.75" customHeight="1" thickBot="1">
      <c r="A171" s="73"/>
      <c r="B171" s="74"/>
      <c r="C171" s="74"/>
      <c r="D171" s="37"/>
      <c r="E171" s="74"/>
      <c r="F171" s="66"/>
      <c r="G171" s="66"/>
    </row>
    <row r="172" spans="1:7" ht="15">
      <c r="A172" s="1974" t="s">
        <v>542</v>
      </c>
      <c r="B172" s="1974"/>
      <c r="C172" s="1974"/>
      <c r="D172" s="37"/>
      <c r="E172" s="1974" t="s">
        <v>543</v>
      </c>
      <c r="F172" s="1974"/>
      <c r="G172" s="1974"/>
    </row>
    <row r="173" spans="1:7" ht="15">
      <c r="A173" s="1975" t="s">
        <v>20</v>
      </c>
      <c r="B173" s="1976"/>
      <c r="C173" s="1976"/>
      <c r="D173" s="37"/>
      <c r="E173" s="77" t="s">
        <v>21</v>
      </c>
      <c r="F173" s="77"/>
      <c r="G173" s="77"/>
    </row>
    <row r="174" spans="1:7" ht="15">
      <c r="A174" s="37"/>
      <c r="B174" s="37"/>
      <c r="C174" s="37"/>
      <c r="D174" s="37"/>
      <c r="E174" s="37"/>
      <c r="F174" s="21"/>
      <c r="G174" s="21"/>
    </row>
    <row r="175" spans="1:7" ht="23.25" customHeight="1">
      <c r="A175" s="37"/>
      <c r="B175" s="37"/>
      <c r="C175" s="37"/>
      <c r="D175" s="37"/>
      <c r="E175" s="37"/>
      <c r="F175" s="21"/>
      <c r="G175" s="21"/>
    </row>
    <row r="176" spans="1:7" ht="15">
      <c r="A176" s="37"/>
      <c r="B176" s="37"/>
      <c r="C176" s="37"/>
      <c r="D176" s="37"/>
      <c r="E176" s="37"/>
      <c r="F176" s="21"/>
      <c r="G176" s="21"/>
    </row>
    <row r="177" spans="1:7" ht="14.25" customHeight="1" thickBot="1">
      <c r="A177" s="73"/>
      <c r="B177" s="74"/>
      <c r="C177" s="74"/>
      <c r="D177" s="37"/>
      <c r="E177" s="74"/>
      <c r="F177" s="66"/>
      <c r="G177" s="66"/>
    </row>
    <row r="178" spans="1:7" ht="15">
      <c r="A178" s="1975" t="s">
        <v>923</v>
      </c>
      <c r="B178" s="1975"/>
      <c r="C178" s="1975"/>
      <c r="D178" s="37"/>
      <c r="E178" s="1974" t="s">
        <v>924</v>
      </c>
      <c r="F178" s="1974"/>
      <c r="G178" s="1974"/>
    </row>
    <row r="179" spans="1:7" ht="15">
      <c r="A179" s="1975" t="s">
        <v>22</v>
      </c>
      <c r="B179" s="1975"/>
      <c r="C179" s="1975"/>
      <c r="D179" s="37"/>
      <c r="E179" s="77" t="s">
        <v>23</v>
      </c>
      <c r="F179" s="77"/>
      <c r="G179" s="77"/>
    </row>
    <row r="180" spans="1:7" ht="15">
      <c r="A180" s="37"/>
      <c r="B180" s="37"/>
      <c r="C180" s="37"/>
      <c r="D180" s="37"/>
      <c r="E180" s="37"/>
      <c r="F180" s="21"/>
      <c r="G180" s="21"/>
    </row>
    <row r="181" spans="1:7" ht="26.25" customHeight="1">
      <c r="A181" s="37"/>
      <c r="B181" s="37"/>
      <c r="C181" s="37"/>
      <c r="D181" s="37"/>
      <c r="E181" s="37"/>
      <c r="F181" s="21"/>
      <c r="G181" s="21"/>
    </row>
    <row r="182" spans="1:7" ht="15">
      <c r="A182" s="37"/>
      <c r="B182" s="37"/>
      <c r="C182" s="37"/>
      <c r="D182" s="37"/>
      <c r="E182" s="37"/>
      <c r="F182" s="21"/>
      <c r="G182" s="21"/>
    </row>
    <row r="183" spans="1:7">
      <c r="A183" s="38"/>
    </row>
  </sheetData>
  <mergeCells count="208">
    <mergeCell ref="I154:K154"/>
    <mergeCell ref="N154:P154"/>
    <mergeCell ref="H144:N144"/>
    <mergeCell ref="H44:N44"/>
    <mergeCell ref="H46:N46"/>
    <mergeCell ref="H48:N48"/>
    <mergeCell ref="H50:N50"/>
    <mergeCell ref="H56:N56"/>
    <mergeCell ref="H58:N58"/>
    <mergeCell ref="H60:N60"/>
    <mergeCell ref="H64:N64"/>
    <mergeCell ref="H66:N66"/>
    <mergeCell ref="A88:G88"/>
    <mergeCell ref="A73:G73"/>
    <mergeCell ref="A74:G74"/>
    <mergeCell ref="A75:G75"/>
    <mergeCell ref="A76:G76"/>
    <mergeCell ref="A77:G77"/>
    <mergeCell ref="A78:G78"/>
    <mergeCell ref="A166:C166"/>
    <mergeCell ref="A167:C167"/>
    <mergeCell ref="E167:G167"/>
    <mergeCell ref="E166:G166"/>
    <mergeCell ref="A149:C149"/>
    <mergeCell ref="E149:G149"/>
    <mergeCell ref="A154:C154"/>
    <mergeCell ref="E154:G154"/>
    <mergeCell ref="A155:C155"/>
    <mergeCell ref="E155:G155"/>
    <mergeCell ref="A160:C160"/>
    <mergeCell ref="E160:G160"/>
    <mergeCell ref="A161:C161"/>
    <mergeCell ref="E161:G161"/>
    <mergeCell ref="A137:G137"/>
    <mergeCell ref="A138:G138"/>
    <mergeCell ref="A139:G139"/>
    <mergeCell ref="A172:C172"/>
    <mergeCell ref="E172:G172"/>
    <mergeCell ref="A173:C173"/>
    <mergeCell ref="A178:C178"/>
    <mergeCell ref="A179:C179"/>
    <mergeCell ref="E178:G178"/>
    <mergeCell ref="A140:G140"/>
    <mergeCell ref="A141:G141"/>
    <mergeCell ref="A142:G142"/>
    <mergeCell ref="A144:G144"/>
    <mergeCell ref="A148:C148"/>
    <mergeCell ref="E148:G148"/>
    <mergeCell ref="A134:C134"/>
    <mergeCell ref="D134:E134"/>
    <mergeCell ref="F134:G134"/>
    <mergeCell ref="A135:C135"/>
    <mergeCell ref="D135:E135"/>
    <mergeCell ref="F135:G135"/>
    <mergeCell ref="A136:C136"/>
    <mergeCell ref="D136:E136"/>
    <mergeCell ref="F136:G136"/>
    <mergeCell ref="A131:C131"/>
    <mergeCell ref="D131:E131"/>
    <mergeCell ref="F131:G131"/>
    <mergeCell ref="A132:C132"/>
    <mergeCell ref="D132:E132"/>
    <mergeCell ref="F132:G132"/>
    <mergeCell ref="A133:C133"/>
    <mergeCell ref="D133:E133"/>
    <mergeCell ref="F133:G133"/>
    <mergeCell ref="A123:G123"/>
    <mergeCell ref="A124:G124"/>
    <mergeCell ref="A125:G125"/>
    <mergeCell ref="A126:G126"/>
    <mergeCell ref="A127:G127"/>
    <mergeCell ref="A128:G128"/>
    <mergeCell ref="A130:C130"/>
    <mergeCell ref="D130:E130"/>
    <mergeCell ref="F130:G130"/>
    <mergeCell ref="A118:G118"/>
    <mergeCell ref="A119:G119"/>
    <mergeCell ref="A120:G120"/>
    <mergeCell ref="A121:G121"/>
    <mergeCell ref="A122:G122"/>
    <mergeCell ref="A114:G114"/>
    <mergeCell ref="A115:G115"/>
    <mergeCell ref="A116:G116"/>
    <mergeCell ref="A117:G117"/>
    <mergeCell ref="A105:G105"/>
    <mergeCell ref="A106:G106"/>
    <mergeCell ref="A107:G107"/>
    <mergeCell ref="A108:G108"/>
    <mergeCell ref="A109:G109"/>
    <mergeCell ref="A111:G111"/>
    <mergeCell ref="A112:G112"/>
    <mergeCell ref="A110:G110"/>
    <mergeCell ref="A113:G113"/>
    <mergeCell ref="A53:G53"/>
    <mergeCell ref="A54:G54"/>
    <mergeCell ref="A104:G104"/>
    <mergeCell ref="A55:G55"/>
    <mergeCell ref="A56:G56"/>
    <mergeCell ref="A57:G57"/>
    <mergeCell ref="A58:G58"/>
    <mergeCell ref="A59:G59"/>
    <mergeCell ref="A60:G60"/>
    <mergeCell ref="A61:G61"/>
    <mergeCell ref="A62:G62"/>
    <mergeCell ref="A63:G63"/>
    <mergeCell ref="A64:G64"/>
    <mergeCell ref="A65:G65"/>
    <mergeCell ref="A66:G66"/>
    <mergeCell ref="A67:G67"/>
    <mergeCell ref="A68:G68"/>
    <mergeCell ref="A69:G69"/>
    <mergeCell ref="A70:G70"/>
    <mergeCell ref="A71:G71"/>
    <mergeCell ref="A72:G72"/>
    <mergeCell ref="A91:G91"/>
    <mergeCell ref="A92:G92"/>
    <mergeCell ref="A93:G93"/>
    <mergeCell ref="A44:G44"/>
    <mergeCell ref="A45:G45"/>
    <mergeCell ref="A46:G46"/>
    <mergeCell ref="A47:G47"/>
    <mergeCell ref="A48:G48"/>
    <mergeCell ref="A49:G49"/>
    <mergeCell ref="A50:G50"/>
    <mergeCell ref="A51:G51"/>
    <mergeCell ref="A52:G52"/>
    <mergeCell ref="B35:E35"/>
    <mergeCell ref="F35:G35"/>
    <mergeCell ref="A36:E36"/>
    <mergeCell ref="F36:G36"/>
    <mergeCell ref="A38:G38"/>
    <mergeCell ref="A39:G39"/>
    <mergeCell ref="A40:G40"/>
    <mergeCell ref="A42:G42"/>
    <mergeCell ref="A43:G43"/>
    <mergeCell ref="B29:E29"/>
    <mergeCell ref="F29:G29"/>
    <mergeCell ref="B30:E30"/>
    <mergeCell ref="F30:G30"/>
    <mergeCell ref="B31:E31"/>
    <mergeCell ref="F31:G31"/>
    <mergeCell ref="B32:E32"/>
    <mergeCell ref="F32:G32"/>
    <mergeCell ref="B34:E34"/>
    <mergeCell ref="F34:G34"/>
    <mergeCell ref="B33:E33"/>
    <mergeCell ref="F33:G33"/>
    <mergeCell ref="A21:E21"/>
    <mergeCell ref="F21:G21"/>
    <mergeCell ref="A23:G23"/>
    <mergeCell ref="A24:G24"/>
    <mergeCell ref="A25:G25"/>
    <mergeCell ref="B27:E27"/>
    <mergeCell ref="F27:G27"/>
    <mergeCell ref="B28:E28"/>
    <mergeCell ref="F28:G28"/>
    <mergeCell ref="B16:E16"/>
    <mergeCell ref="F16:G16"/>
    <mergeCell ref="B17:E17"/>
    <mergeCell ref="F17:G17"/>
    <mergeCell ref="B18:E18"/>
    <mergeCell ref="F18:G18"/>
    <mergeCell ref="B19:E19"/>
    <mergeCell ref="F19:G19"/>
    <mergeCell ref="B20:E20"/>
    <mergeCell ref="F20:G20"/>
    <mergeCell ref="A10:G10"/>
    <mergeCell ref="B12:E12"/>
    <mergeCell ref="F12:G12"/>
    <mergeCell ref="B13:E13"/>
    <mergeCell ref="F13:G13"/>
    <mergeCell ref="B14:E14"/>
    <mergeCell ref="F14:G14"/>
    <mergeCell ref="B15:E15"/>
    <mergeCell ref="F15:G15"/>
    <mergeCell ref="A1:C1"/>
    <mergeCell ref="A2:G2"/>
    <mergeCell ref="A3:G3"/>
    <mergeCell ref="A4:G4"/>
    <mergeCell ref="A5:G5"/>
    <mergeCell ref="A6:G6"/>
    <mergeCell ref="A7:G7"/>
    <mergeCell ref="A8:G8"/>
    <mergeCell ref="A9:G9"/>
    <mergeCell ref="A89:G89"/>
    <mergeCell ref="A90:G90"/>
    <mergeCell ref="H123:N123"/>
    <mergeCell ref="H100:N100"/>
    <mergeCell ref="H98:N98"/>
    <mergeCell ref="A79:G79"/>
    <mergeCell ref="A80:G80"/>
    <mergeCell ref="A81:G81"/>
    <mergeCell ref="A82:G82"/>
    <mergeCell ref="A83:G83"/>
    <mergeCell ref="A84:G84"/>
    <mergeCell ref="A85:G85"/>
    <mergeCell ref="A86:G86"/>
    <mergeCell ref="A87:G87"/>
    <mergeCell ref="A94:G94"/>
    <mergeCell ref="A95:G95"/>
    <mergeCell ref="A96:G96"/>
    <mergeCell ref="A97:G97"/>
    <mergeCell ref="A98:G98"/>
    <mergeCell ref="A99:G99"/>
    <mergeCell ref="A100:G100"/>
    <mergeCell ref="A101:G101"/>
    <mergeCell ref="A102:G102"/>
    <mergeCell ref="A103:G103"/>
  </mergeCells>
  <phoneticPr fontId="11" type="noConversion"/>
  <pageMargins left="1.0236220472440944" right="0.15748031496062992" top="0.91" bottom="0.94488188976377963" header="0.15748031496062992" footer="0"/>
  <pageSetup scale="93" orientation="portrait" verticalDpi="300" r:id="rId1"/>
  <headerFooter alignWithMargins="0">
    <oddFooter>&amp;C&amp;P&amp;R</oddFooter>
  </headerFooter>
  <rowBreaks count="8" manualBreakCount="8">
    <brk id="39" max="16383" man="1"/>
    <brk id="55" max="16383" man="1"/>
    <brk id="69" max="16383" man="1"/>
    <brk id="85" max="16383" man="1"/>
    <brk id="99" max="16383" man="1"/>
    <brk id="114" max="15" man="1"/>
    <brk id="127" max="16383" man="1"/>
    <brk id="149" max="16383" man="1"/>
  </rowBreaks>
  <colBreaks count="1" manualBreakCount="1">
    <brk id="7" max="1048575" man="1"/>
  </colBreak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P104"/>
  <sheetViews>
    <sheetView zoomScale="87" zoomScaleNormal="87" workbookViewId="0">
      <selection activeCell="M35" sqref="M35"/>
    </sheetView>
  </sheetViews>
  <sheetFormatPr baseColWidth="10" defaultRowHeight="12.75"/>
  <cols>
    <col min="1" max="1" width="3.85546875" customWidth="1"/>
    <col min="2" max="2" width="4.7109375" customWidth="1"/>
    <col min="3" max="3" width="5" customWidth="1"/>
    <col min="4" max="4" width="4.42578125" customWidth="1"/>
    <col min="5" max="5" width="6.140625" customWidth="1"/>
    <col min="6" max="6" width="8" style="152" customWidth="1"/>
    <col min="7" max="7" width="42.85546875" style="32" customWidth="1"/>
    <col min="8" max="8" width="16.7109375" customWidth="1"/>
    <col min="9" max="9" width="16.140625" style="488" customWidth="1"/>
    <col min="10" max="10" width="20.7109375" style="488" customWidth="1"/>
    <col min="11" max="11" width="13" customWidth="1"/>
    <col min="12" max="12" width="15.28515625" customWidth="1"/>
    <col min="13" max="13" width="15.140625" customWidth="1"/>
    <col min="14" max="14" width="14.42578125" customWidth="1"/>
    <col min="16" max="16" width="13.5703125" bestFit="1" customWidth="1"/>
  </cols>
  <sheetData>
    <row r="1" spans="1:13" ht="18.75">
      <c r="A1" s="2217" t="s">
        <v>111</v>
      </c>
      <c r="B1" s="2217"/>
      <c r="C1" s="2217"/>
      <c r="D1" s="2217"/>
      <c r="E1" s="2217"/>
      <c r="F1" s="2217"/>
      <c r="G1" s="2217"/>
      <c r="H1" s="2217"/>
    </row>
    <row r="2" spans="1:13" ht="18.75">
      <c r="A2" s="2217" t="s">
        <v>110</v>
      </c>
      <c r="B2" s="2217"/>
      <c r="C2" s="2217"/>
      <c r="D2" s="2217"/>
      <c r="E2" s="2217"/>
      <c r="F2" s="2217"/>
      <c r="G2" s="2217"/>
      <c r="H2" s="2217"/>
    </row>
    <row r="3" spans="1:13" ht="18.75">
      <c r="A3" s="2185" t="s">
        <v>1214</v>
      </c>
      <c r="B3" s="2185"/>
      <c r="C3" s="2185"/>
      <c r="D3" s="2185"/>
      <c r="E3" s="2185"/>
      <c r="F3" s="2185"/>
      <c r="G3" s="2185"/>
      <c r="H3" s="2185"/>
    </row>
    <row r="4" spans="1:13" ht="18.75">
      <c r="A4" s="2185" t="s">
        <v>32</v>
      </c>
      <c r="B4" s="2185"/>
      <c r="C4" s="2185"/>
      <c r="D4" s="2185"/>
      <c r="E4" s="2185"/>
      <c r="F4" s="2185"/>
      <c r="G4" s="2185"/>
      <c r="H4" s="2185"/>
    </row>
    <row r="5" spans="1:13" ht="4.5" customHeight="1">
      <c r="A5" s="2218" t="s">
        <v>47</v>
      </c>
      <c r="B5" s="2218"/>
      <c r="C5" s="2218"/>
      <c r="D5" s="2218"/>
      <c r="E5" s="2218"/>
      <c r="F5" s="2218"/>
      <c r="G5" s="2218"/>
      <c r="H5" s="2218"/>
    </row>
    <row r="6" spans="1:13">
      <c r="A6" s="2218"/>
      <c r="B6" s="2218"/>
      <c r="C6" s="2218"/>
      <c r="D6" s="2218"/>
      <c r="E6" s="2218"/>
      <c r="F6" s="2218"/>
      <c r="G6" s="2218"/>
      <c r="H6" s="2218"/>
    </row>
    <row r="7" spans="1:13" ht="26.25" customHeight="1">
      <c r="A7" s="2187" t="s">
        <v>1019</v>
      </c>
      <c r="B7" s="2188"/>
      <c r="C7" s="2188"/>
      <c r="D7" s="2188"/>
      <c r="E7" s="2188"/>
      <c r="F7" s="2188"/>
      <c r="G7" s="2188"/>
      <c r="H7" s="2188"/>
    </row>
    <row r="8" spans="1:13" ht="15">
      <c r="A8" s="2189" t="s">
        <v>29</v>
      </c>
      <c r="B8" s="2189"/>
      <c r="C8" s="2189"/>
      <c r="D8" s="2189"/>
      <c r="E8" s="2189"/>
      <c r="F8" s="2189"/>
      <c r="G8" s="2196" t="s">
        <v>44</v>
      </c>
      <c r="H8" s="2191" t="s">
        <v>51</v>
      </c>
      <c r="I8" s="217"/>
      <c r="J8" s="217"/>
    </row>
    <row r="9" spans="1:13" ht="60" customHeight="1">
      <c r="A9" s="1444" t="s">
        <v>39</v>
      </c>
      <c r="B9" s="1445" t="s">
        <v>216</v>
      </c>
      <c r="C9" s="1444" t="s">
        <v>41</v>
      </c>
      <c r="D9" s="1444" t="s">
        <v>45</v>
      </c>
      <c r="E9" s="1446" t="s">
        <v>392</v>
      </c>
      <c r="F9" s="1444" t="s">
        <v>43</v>
      </c>
      <c r="G9" s="2196"/>
      <c r="H9" s="2191"/>
      <c r="I9" s="1872" t="s">
        <v>1513</v>
      </c>
      <c r="J9" s="1873" t="s">
        <v>1512</v>
      </c>
      <c r="K9" s="1907" t="s">
        <v>1519</v>
      </c>
      <c r="L9" s="1895" t="s">
        <v>1514</v>
      </c>
      <c r="M9" s="1917" t="s">
        <v>1523</v>
      </c>
    </row>
    <row r="10" spans="1:13" ht="19.5" customHeight="1">
      <c r="A10" s="163" t="s">
        <v>381</v>
      </c>
      <c r="B10" s="163" t="s">
        <v>69</v>
      </c>
      <c r="C10" s="163" t="s">
        <v>59</v>
      </c>
      <c r="D10" s="167">
        <v>1</v>
      </c>
      <c r="E10" s="168">
        <v>111</v>
      </c>
      <c r="F10" s="564" t="s">
        <v>55</v>
      </c>
      <c r="G10" s="640" t="s">
        <v>1301</v>
      </c>
      <c r="H10" s="88">
        <f>SUM('concent, de egresos. carta'!R10)</f>
        <v>16200</v>
      </c>
      <c r="I10" s="1874"/>
      <c r="J10" s="1874">
        <f>H10-I10</f>
        <v>16200</v>
      </c>
      <c r="K10" s="1876"/>
      <c r="L10" s="1877">
        <f>J10-K10</f>
        <v>16200</v>
      </c>
      <c r="M10" s="717">
        <f t="shared" ref="M10:M34" si="0">I10+K10</f>
        <v>0</v>
      </c>
    </row>
    <row r="11" spans="1:13" ht="19.5" customHeight="1">
      <c r="A11" s="163" t="s">
        <v>381</v>
      </c>
      <c r="B11" s="163" t="s">
        <v>69</v>
      </c>
      <c r="C11" s="163" t="s">
        <v>59</v>
      </c>
      <c r="D11" s="167">
        <v>1</v>
      </c>
      <c r="E11" s="168">
        <v>111</v>
      </c>
      <c r="F11" s="181">
        <v>51103</v>
      </c>
      <c r="G11" s="567" t="s">
        <v>114</v>
      </c>
      <c r="H11" s="88">
        <f>SUM('concent, de egresos. carta'!R11)</f>
        <v>1350</v>
      </c>
      <c r="I11" s="1874"/>
      <c r="J11" s="1874">
        <f t="shared" ref="J11:J33" si="1">H11-I11</f>
        <v>1350</v>
      </c>
      <c r="K11" s="1876"/>
      <c r="L11" s="1877">
        <f t="shared" ref="L11:L33" si="2">J11-K11</f>
        <v>1350</v>
      </c>
      <c r="M11" s="717">
        <f t="shared" si="0"/>
        <v>0</v>
      </c>
    </row>
    <row r="12" spans="1:13" ht="19.5" customHeight="1">
      <c r="A12" s="163" t="s">
        <v>381</v>
      </c>
      <c r="B12" s="163" t="s">
        <v>69</v>
      </c>
      <c r="C12" s="163" t="s">
        <v>59</v>
      </c>
      <c r="D12" s="167">
        <v>1</v>
      </c>
      <c r="E12" s="168">
        <v>111</v>
      </c>
      <c r="F12" s="181">
        <v>51207</v>
      </c>
      <c r="G12" s="567" t="s">
        <v>205</v>
      </c>
      <c r="H12" s="88">
        <f>SUM('concent, de egresos. carta'!R16)</f>
        <v>1350</v>
      </c>
      <c r="I12" s="1874"/>
      <c r="J12" s="1874">
        <f t="shared" si="1"/>
        <v>1350</v>
      </c>
      <c r="K12" s="1876"/>
      <c r="L12" s="1877">
        <f t="shared" si="2"/>
        <v>1350</v>
      </c>
      <c r="M12" s="717">
        <f t="shared" si="0"/>
        <v>0</v>
      </c>
    </row>
    <row r="13" spans="1:13" ht="19.5" customHeight="1">
      <c r="A13" s="163" t="s">
        <v>381</v>
      </c>
      <c r="B13" s="163" t="s">
        <v>69</v>
      </c>
      <c r="C13" s="163" t="s">
        <v>59</v>
      </c>
      <c r="D13" s="167">
        <v>1</v>
      </c>
      <c r="E13" s="168">
        <v>111</v>
      </c>
      <c r="F13" s="326" t="s">
        <v>121</v>
      </c>
      <c r="G13" s="633" t="s">
        <v>122</v>
      </c>
      <c r="H13" s="88">
        <f>SUM('concent, de egresos. carta'!R19)</f>
        <v>1020</v>
      </c>
      <c r="I13" s="1874"/>
      <c r="J13" s="1874">
        <f t="shared" si="1"/>
        <v>1020</v>
      </c>
      <c r="K13" s="1876"/>
      <c r="L13" s="1877">
        <f t="shared" si="2"/>
        <v>1020</v>
      </c>
      <c r="M13" s="717">
        <f t="shared" si="0"/>
        <v>0</v>
      </c>
    </row>
    <row r="14" spans="1:13" ht="19.5" customHeight="1">
      <c r="A14" s="163" t="s">
        <v>381</v>
      </c>
      <c r="B14" s="163" t="s">
        <v>69</v>
      </c>
      <c r="C14" s="163" t="s">
        <v>59</v>
      </c>
      <c r="D14" s="167">
        <v>1</v>
      </c>
      <c r="E14" s="168">
        <v>111</v>
      </c>
      <c r="F14" s="326" t="s">
        <v>123</v>
      </c>
      <c r="G14" s="633" t="s">
        <v>124</v>
      </c>
      <c r="H14" s="88">
        <f>SUM('concent, de egresos. carta'!R20)</f>
        <v>1255.5</v>
      </c>
      <c r="I14" s="1874"/>
      <c r="J14" s="1874">
        <f t="shared" si="1"/>
        <v>1255.5</v>
      </c>
      <c r="K14" s="1876"/>
      <c r="L14" s="1877">
        <f t="shared" si="2"/>
        <v>1255.5</v>
      </c>
      <c r="M14" s="717">
        <f t="shared" si="0"/>
        <v>0</v>
      </c>
    </row>
    <row r="15" spans="1:13" ht="19.5" customHeight="1">
      <c r="A15" s="163" t="s">
        <v>381</v>
      </c>
      <c r="B15" s="163" t="s">
        <v>69</v>
      </c>
      <c r="C15" s="163" t="s">
        <v>59</v>
      </c>
      <c r="D15" s="167">
        <v>1</v>
      </c>
      <c r="E15" s="168">
        <v>111</v>
      </c>
      <c r="F15" s="151" t="s">
        <v>209</v>
      </c>
      <c r="G15" s="640" t="s">
        <v>117</v>
      </c>
      <c r="H15" s="88">
        <f>2000+19250+9000+7000+7700+7000+7000+7000+7000+7000+7700+7500+7500+3000+750+3000+3000+1500+1500+10650+8949.18+4850+7000+7000</f>
        <v>153849.18</v>
      </c>
      <c r="I15" s="1874"/>
      <c r="J15" s="1874">
        <f t="shared" si="1"/>
        <v>153849.18</v>
      </c>
      <c r="K15" s="1876"/>
      <c r="L15" s="1877">
        <f t="shared" si="2"/>
        <v>153849.18</v>
      </c>
      <c r="M15" s="717">
        <f t="shared" si="0"/>
        <v>0</v>
      </c>
    </row>
    <row r="16" spans="1:13" ht="18" hidden="1" customHeight="1">
      <c r="A16" s="163" t="s">
        <v>381</v>
      </c>
      <c r="B16" s="163" t="s">
        <v>69</v>
      </c>
      <c r="C16" s="163" t="s">
        <v>59</v>
      </c>
      <c r="D16" s="167">
        <v>1</v>
      </c>
      <c r="E16" s="168">
        <v>111</v>
      </c>
      <c r="F16" s="564" t="s">
        <v>530</v>
      </c>
      <c r="G16" s="640" t="s">
        <v>808</v>
      </c>
      <c r="H16" s="88"/>
      <c r="I16" s="1874"/>
      <c r="J16" s="1874">
        <f t="shared" si="1"/>
        <v>0</v>
      </c>
      <c r="K16" s="1876"/>
      <c r="L16" s="1877">
        <f t="shared" si="2"/>
        <v>0</v>
      </c>
      <c r="M16" s="717">
        <f t="shared" si="0"/>
        <v>0</v>
      </c>
    </row>
    <row r="17" spans="1:16" ht="19.5" hidden="1" customHeight="1">
      <c r="A17" s="163" t="s">
        <v>381</v>
      </c>
      <c r="B17" s="163" t="s">
        <v>69</v>
      </c>
      <c r="C17" s="163" t="s">
        <v>59</v>
      </c>
      <c r="D17" s="167">
        <v>1</v>
      </c>
      <c r="E17" s="168">
        <v>111</v>
      </c>
      <c r="F17" s="564" t="s">
        <v>563</v>
      </c>
      <c r="G17" s="640" t="s">
        <v>564</v>
      </c>
      <c r="H17" s="88"/>
      <c r="I17" s="1874"/>
      <c r="J17" s="1874">
        <f t="shared" si="1"/>
        <v>0</v>
      </c>
      <c r="K17" s="1876"/>
      <c r="L17" s="1877">
        <f t="shared" si="2"/>
        <v>0</v>
      </c>
      <c r="M17" s="717">
        <f t="shared" si="0"/>
        <v>0</v>
      </c>
    </row>
    <row r="18" spans="1:16" ht="19.5" customHeight="1">
      <c r="A18" s="163" t="s">
        <v>381</v>
      </c>
      <c r="B18" s="163" t="s">
        <v>69</v>
      </c>
      <c r="C18" s="163" t="s">
        <v>59</v>
      </c>
      <c r="D18" s="167">
        <v>1</v>
      </c>
      <c r="E18" s="168">
        <v>111</v>
      </c>
      <c r="F18" s="148" t="s">
        <v>498</v>
      </c>
      <c r="G18" s="640" t="s">
        <v>163</v>
      </c>
      <c r="H18" s="88">
        <f>600+300+1000+500+800+800+800+800+800+500+200+200+200+300+1300+1300</f>
        <v>10400</v>
      </c>
      <c r="I18" s="1874">
        <v>4000</v>
      </c>
      <c r="J18" s="1874">
        <f t="shared" si="1"/>
        <v>6400</v>
      </c>
      <c r="K18" s="1876"/>
      <c r="L18" s="1877">
        <f t="shared" si="2"/>
        <v>6400</v>
      </c>
      <c r="M18" s="717">
        <f t="shared" si="0"/>
        <v>4000</v>
      </c>
    </row>
    <row r="19" spans="1:16" ht="19.5" hidden="1" customHeight="1">
      <c r="A19" s="163" t="s">
        <v>381</v>
      </c>
      <c r="B19" s="163" t="s">
        <v>69</v>
      </c>
      <c r="C19" s="163" t="s">
        <v>59</v>
      </c>
      <c r="D19" s="167">
        <v>1</v>
      </c>
      <c r="E19" s="168">
        <v>111</v>
      </c>
      <c r="F19" s="565" t="s">
        <v>642</v>
      </c>
      <c r="G19" s="640" t="s">
        <v>809</v>
      </c>
      <c r="H19" s="88"/>
      <c r="I19" s="1874"/>
      <c r="J19" s="1874">
        <f t="shared" si="1"/>
        <v>0</v>
      </c>
      <c r="K19" s="1876"/>
      <c r="L19" s="1877">
        <f t="shared" si="2"/>
        <v>0</v>
      </c>
      <c r="M19" s="717">
        <f t="shared" si="0"/>
        <v>0</v>
      </c>
    </row>
    <row r="20" spans="1:16" ht="19.5" customHeight="1">
      <c r="A20" s="163" t="s">
        <v>381</v>
      </c>
      <c r="B20" s="163" t="s">
        <v>69</v>
      </c>
      <c r="C20" s="163" t="s">
        <v>59</v>
      </c>
      <c r="D20" s="167">
        <v>1</v>
      </c>
      <c r="E20" s="168">
        <v>111</v>
      </c>
      <c r="F20" s="169">
        <v>54111</v>
      </c>
      <c r="G20" s="640" t="s">
        <v>167</v>
      </c>
      <c r="H20" s="490">
        <f>4900+7000+11550+9500+10000+9800+9800+9800+9800+9800+10000+9100+9100+4000+1500+4300+4300+2100+1500+11150.82+11150.82+7000+7000+7500</f>
        <v>181651.64</v>
      </c>
      <c r="I20" s="1874">
        <v>10000</v>
      </c>
      <c r="J20" s="1874">
        <f t="shared" si="1"/>
        <v>171651.64</v>
      </c>
      <c r="K20" s="1908"/>
      <c r="L20" s="1877">
        <f t="shared" si="2"/>
        <v>171651.64</v>
      </c>
      <c r="M20" s="717">
        <f t="shared" si="0"/>
        <v>10000</v>
      </c>
    </row>
    <row r="21" spans="1:16" ht="19.5" customHeight="1">
      <c r="A21" s="163" t="s">
        <v>381</v>
      </c>
      <c r="B21" s="163" t="s">
        <v>69</v>
      </c>
      <c r="C21" s="163" t="s">
        <v>59</v>
      </c>
      <c r="D21" s="167">
        <v>1</v>
      </c>
      <c r="E21" s="168">
        <v>111</v>
      </c>
      <c r="F21" s="169">
        <v>54112</v>
      </c>
      <c r="G21" s="640" t="s">
        <v>168</v>
      </c>
      <c r="H21" s="88">
        <f>500+900+500+500+900+900+900+900+900+500+800+800+500+200+500+500+300+900+4500+4500+500+1200+1200</f>
        <v>23800</v>
      </c>
      <c r="I21" s="1874">
        <v>10000</v>
      </c>
      <c r="J21" s="1874">
        <f t="shared" si="1"/>
        <v>13800</v>
      </c>
      <c r="K21" s="1876"/>
      <c r="L21" s="1877">
        <f t="shared" si="2"/>
        <v>13800</v>
      </c>
      <c r="M21" s="717">
        <f t="shared" si="0"/>
        <v>10000</v>
      </c>
    </row>
    <row r="22" spans="1:16" ht="19.5" customHeight="1">
      <c r="A22" s="163" t="s">
        <v>381</v>
      </c>
      <c r="B22" s="163" t="s">
        <v>69</v>
      </c>
      <c r="C22" s="163" t="s">
        <v>59</v>
      </c>
      <c r="D22" s="167">
        <v>1</v>
      </c>
      <c r="E22" s="168">
        <v>111</v>
      </c>
      <c r="F22" s="169">
        <v>54118</v>
      </c>
      <c r="G22" s="640" t="s">
        <v>467</v>
      </c>
      <c r="H22" s="490">
        <f>500+500+500+500+400+300+300+300+300+300+400+300+300+250+200+250+250+200+200+900+900+250+700+700</f>
        <v>9700</v>
      </c>
      <c r="I22" s="1884">
        <v>2000</v>
      </c>
      <c r="J22" s="1874">
        <f t="shared" si="1"/>
        <v>7700</v>
      </c>
      <c r="K22" s="1876"/>
      <c r="L22" s="1877">
        <f t="shared" si="2"/>
        <v>7700</v>
      </c>
      <c r="M22" s="717">
        <f t="shared" si="0"/>
        <v>2000</v>
      </c>
    </row>
    <row r="23" spans="1:16" ht="19.5" customHeight="1">
      <c r="A23" s="163" t="s">
        <v>381</v>
      </c>
      <c r="B23" s="163" t="s">
        <v>69</v>
      </c>
      <c r="C23" s="163" t="s">
        <v>59</v>
      </c>
      <c r="D23" s="167">
        <v>1</v>
      </c>
      <c r="E23" s="168">
        <v>111</v>
      </c>
      <c r="F23" s="169">
        <v>54199</v>
      </c>
      <c r="G23" s="640" t="s">
        <v>810</v>
      </c>
      <c r="H23" s="88">
        <f>300+500+300+200+200+200+200+200+200+200+500+500+350+350+350+150+150+900+900+350+600+600</f>
        <v>8200</v>
      </c>
      <c r="I23" s="1874"/>
      <c r="J23" s="1874">
        <f t="shared" si="1"/>
        <v>8200</v>
      </c>
      <c r="K23" s="1876"/>
      <c r="L23" s="1877">
        <f t="shared" si="2"/>
        <v>8200</v>
      </c>
      <c r="M23" s="717">
        <f t="shared" si="0"/>
        <v>0</v>
      </c>
    </row>
    <row r="24" spans="1:16" ht="19.5" customHeight="1">
      <c r="A24" s="163" t="s">
        <v>381</v>
      </c>
      <c r="B24" s="163" t="s">
        <v>69</v>
      </c>
      <c r="C24" s="163" t="s">
        <v>59</v>
      </c>
      <c r="D24" s="167">
        <v>1</v>
      </c>
      <c r="E24" s="168">
        <v>111</v>
      </c>
      <c r="F24" s="169">
        <v>54304</v>
      </c>
      <c r="G24" s="641" t="s">
        <v>386</v>
      </c>
      <c r="H24" s="88">
        <f>700+1200+300+700+200+200+800+800+900+900+900+500+500+2100+2100+1000+700+700</f>
        <v>15200</v>
      </c>
      <c r="I24" s="1874">
        <v>3492.82</v>
      </c>
      <c r="J24" s="1874">
        <f t="shared" si="1"/>
        <v>11707.18</v>
      </c>
      <c r="K24" s="1876"/>
      <c r="L24" s="1877">
        <f t="shared" si="2"/>
        <v>11707.18</v>
      </c>
      <c r="M24" s="717">
        <f t="shared" si="0"/>
        <v>3492.82</v>
      </c>
      <c r="P24" s="488"/>
    </row>
    <row r="25" spans="1:16" ht="19.5" customHeight="1">
      <c r="A25" s="163" t="s">
        <v>381</v>
      </c>
      <c r="B25" s="163" t="s">
        <v>69</v>
      </c>
      <c r="C25" s="163" t="s">
        <v>59</v>
      </c>
      <c r="D25" s="167">
        <v>1</v>
      </c>
      <c r="E25" s="168">
        <v>111</v>
      </c>
      <c r="F25" s="169">
        <v>54316</v>
      </c>
      <c r="G25" s="640" t="s">
        <v>188</v>
      </c>
      <c r="H25" s="88">
        <v>9750</v>
      </c>
      <c r="I25" s="1874">
        <v>1000</v>
      </c>
      <c r="J25" s="1874">
        <f t="shared" si="1"/>
        <v>8750</v>
      </c>
      <c r="K25" s="1876"/>
      <c r="L25" s="1877">
        <f t="shared" si="2"/>
        <v>8750</v>
      </c>
      <c r="M25" s="717">
        <f t="shared" si="0"/>
        <v>1000</v>
      </c>
    </row>
    <row r="26" spans="1:16" ht="19.5" hidden="1" customHeight="1">
      <c r="A26" s="163" t="s">
        <v>381</v>
      </c>
      <c r="B26" s="163" t="s">
        <v>69</v>
      </c>
      <c r="C26" s="163" t="s">
        <v>59</v>
      </c>
      <c r="D26" s="167">
        <v>1</v>
      </c>
      <c r="E26" s="168">
        <v>111</v>
      </c>
      <c r="F26" s="169">
        <v>54317</v>
      </c>
      <c r="G26" s="641" t="s">
        <v>189</v>
      </c>
      <c r="H26" s="88"/>
      <c r="I26" s="1874"/>
      <c r="J26" s="1874">
        <f t="shared" si="1"/>
        <v>0</v>
      </c>
      <c r="K26" s="1876"/>
      <c r="L26" s="1877">
        <f t="shared" si="2"/>
        <v>0</v>
      </c>
      <c r="M26" s="717">
        <f t="shared" si="0"/>
        <v>0</v>
      </c>
    </row>
    <row r="27" spans="1:16" ht="12" hidden="1" customHeight="1">
      <c r="A27" s="163" t="s">
        <v>381</v>
      </c>
      <c r="B27" s="163" t="s">
        <v>69</v>
      </c>
      <c r="C27" s="163" t="s">
        <v>59</v>
      </c>
      <c r="D27" s="167">
        <v>1</v>
      </c>
      <c r="E27" s="168">
        <v>111</v>
      </c>
      <c r="F27" s="169">
        <v>54599</v>
      </c>
      <c r="G27" s="641" t="s">
        <v>811</v>
      </c>
      <c r="H27" s="863"/>
      <c r="I27" s="1874"/>
      <c r="J27" s="1874">
        <f t="shared" si="1"/>
        <v>0</v>
      </c>
      <c r="K27" s="1876"/>
      <c r="L27" s="1877">
        <f t="shared" si="2"/>
        <v>0</v>
      </c>
      <c r="M27" s="717">
        <f t="shared" si="0"/>
        <v>0</v>
      </c>
    </row>
    <row r="28" spans="1:16" ht="19.5" customHeight="1">
      <c r="A28" s="163" t="s">
        <v>381</v>
      </c>
      <c r="B28" s="163" t="s">
        <v>69</v>
      </c>
      <c r="C28" s="163" t="s">
        <v>59</v>
      </c>
      <c r="D28" s="167">
        <v>1</v>
      </c>
      <c r="E28" s="168">
        <v>111</v>
      </c>
      <c r="F28" s="148" t="s">
        <v>387</v>
      </c>
      <c r="G28" s="642" t="s">
        <v>141</v>
      </c>
      <c r="H28" s="863">
        <f>60000+20000+15000+31614.95+20000+20000+114000</f>
        <v>280614.95</v>
      </c>
      <c r="I28" s="1874">
        <v>10000</v>
      </c>
      <c r="J28" s="1874">
        <f t="shared" si="1"/>
        <v>270614.95</v>
      </c>
      <c r="K28" s="1909">
        <v>75662.03</v>
      </c>
      <c r="L28" s="1877">
        <f t="shared" si="2"/>
        <v>194952.92</v>
      </c>
      <c r="M28" s="717">
        <f t="shared" si="0"/>
        <v>85662.03</v>
      </c>
    </row>
    <row r="29" spans="1:16" ht="19.5" customHeight="1">
      <c r="A29" s="163" t="s">
        <v>381</v>
      </c>
      <c r="B29" s="163" t="s">
        <v>69</v>
      </c>
      <c r="C29" s="163" t="s">
        <v>59</v>
      </c>
      <c r="D29" s="167">
        <v>1</v>
      </c>
      <c r="E29" s="168">
        <v>111</v>
      </c>
      <c r="F29" s="196">
        <v>61599</v>
      </c>
      <c r="G29" s="643" t="s">
        <v>151</v>
      </c>
      <c r="H29" s="863">
        <f>75000-20105.5</f>
        <v>54894.5</v>
      </c>
      <c r="I29" s="1874">
        <v>23000</v>
      </c>
      <c r="J29" s="1874">
        <f t="shared" si="1"/>
        <v>31894.5</v>
      </c>
      <c r="K29" s="1876"/>
      <c r="L29" s="1877">
        <f t="shared" si="2"/>
        <v>31894.5</v>
      </c>
      <c r="M29" s="717">
        <f t="shared" si="0"/>
        <v>23000</v>
      </c>
    </row>
    <row r="30" spans="1:16" ht="13.5" hidden="1" customHeight="1">
      <c r="A30" s="163" t="s">
        <v>381</v>
      </c>
      <c r="B30" s="163" t="s">
        <v>69</v>
      </c>
      <c r="C30" s="163" t="s">
        <v>59</v>
      </c>
      <c r="D30" s="167">
        <v>1</v>
      </c>
      <c r="E30" s="168">
        <v>111</v>
      </c>
      <c r="F30" s="152">
        <v>61201</v>
      </c>
      <c r="G30" s="639" t="s">
        <v>148</v>
      </c>
      <c r="H30" s="863"/>
      <c r="I30" s="1874"/>
      <c r="J30" s="1874">
        <f t="shared" si="1"/>
        <v>0</v>
      </c>
      <c r="K30" s="1876"/>
      <c r="L30" s="1877">
        <f t="shared" si="2"/>
        <v>0</v>
      </c>
      <c r="M30" s="717">
        <f t="shared" si="0"/>
        <v>0</v>
      </c>
    </row>
    <row r="31" spans="1:16" ht="19.5" customHeight="1">
      <c r="A31" s="163" t="s">
        <v>381</v>
      </c>
      <c r="B31" s="163" t="s">
        <v>69</v>
      </c>
      <c r="C31" s="163" t="s">
        <v>59</v>
      </c>
      <c r="D31" s="167">
        <v>1</v>
      </c>
      <c r="E31" s="168">
        <v>111</v>
      </c>
      <c r="F31" s="169">
        <v>61601</v>
      </c>
      <c r="G31" s="640" t="s">
        <v>152</v>
      </c>
      <c r="H31" s="88">
        <f>32138.47+47500+23750+26026.91+61750+38000-10000</f>
        <v>219165.38</v>
      </c>
      <c r="I31" s="1874">
        <v>60000</v>
      </c>
      <c r="J31" s="1874">
        <f t="shared" si="1"/>
        <v>159165.38</v>
      </c>
      <c r="K31" s="1876"/>
      <c r="L31" s="1877">
        <f t="shared" si="2"/>
        <v>159165.38</v>
      </c>
      <c r="M31" s="717">
        <f t="shared" si="0"/>
        <v>60000</v>
      </c>
    </row>
    <row r="32" spans="1:16" ht="19.5" customHeight="1">
      <c r="A32" s="163" t="s">
        <v>381</v>
      </c>
      <c r="B32" s="163" t="s">
        <v>69</v>
      </c>
      <c r="C32" s="163" t="s">
        <v>59</v>
      </c>
      <c r="D32" s="167">
        <v>1</v>
      </c>
      <c r="E32" s="168">
        <v>111</v>
      </c>
      <c r="F32" s="169">
        <v>61606</v>
      </c>
      <c r="G32" s="640" t="s">
        <v>388</v>
      </c>
      <c r="H32" s="88">
        <f>11400+19000+19000+23750+35000</f>
        <v>108150</v>
      </c>
      <c r="I32" s="1874">
        <v>25000</v>
      </c>
      <c r="J32" s="1874">
        <f t="shared" si="1"/>
        <v>83150</v>
      </c>
      <c r="K32" s="1876"/>
      <c r="L32" s="1877">
        <f t="shared" si="2"/>
        <v>83150</v>
      </c>
      <c r="M32" s="717">
        <f t="shared" si="0"/>
        <v>25000</v>
      </c>
    </row>
    <row r="33" spans="1:14" ht="19.5" customHeight="1">
      <c r="A33" s="163" t="s">
        <v>381</v>
      </c>
      <c r="B33" s="163" t="s">
        <v>69</v>
      </c>
      <c r="C33" s="163" t="s">
        <v>59</v>
      </c>
      <c r="D33" s="167">
        <v>1</v>
      </c>
      <c r="E33" s="168">
        <v>111</v>
      </c>
      <c r="F33" s="169">
        <v>61608</v>
      </c>
      <c r="G33" s="640" t="s">
        <v>156</v>
      </c>
      <c r="H33" s="490">
        <f>500+2000+1250+1000+6000+1000+1000+1000+1000+1693.47+2500+1250+1369.83+3250+600+1000+1000+1000+1250+1000+1000+1000+1000+500+150+500+500+250+250+29.6+1500+1500+750+1500+2000+1000</f>
        <v>44092.9</v>
      </c>
      <c r="I33" s="1874">
        <v>15000</v>
      </c>
      <c r="J33" s="1874">
        <f t="shared" si="1"/>
        <v>29092.9</v>
      </c>
      <c r="K33" s="1876"/>
      <c r="L33" s="1877">
        <f t="shared" si="2"/>
        <v>29092.9</v>
      </c>
      <c r="M33" s="717">
        <f t="shared" si="0"/>
        <v>15000</v>
      </c>
    </row>
    <row r="34" spans="1:14" ht="15" hidden="1">
      <c r="A34" s="163" t="s">
        <v>381</v>
      </c>
      <c r="B34" s="163" t="s">
        <v>69</v>
      </c>
      <c r="C34" s="163" t="s">
        <v>59</v>
      </c>
      <c r="D34" s="167">
        <v>1</v>
      </c>
      <c r="E34" s="168">
        <v>111</v>
      </c>
      <c r="F34" s="169">
        <v>61699</v>
      </c>
      <c r="G34" s="640" t="s">
        <v>389</v>
      </c>
      <c r="H34" s="88"/>
      <c r="I34" s="1874"/>
      <c r="J34" s="1874"/>
      <c r="K34" s="1876"/>
      <c r="L34" s="1876"/>
      <c r="M34" s="717">
        <f t="shared" si="0"/>
        <v>0</v>
      </c>
    </row>
    <row r="35" spans="1:14" ht="15.75" customHeight="1" thickBot="1">
      <c r="A35" s="2214" t="s">
        <v>46</v>
      </c>
      <c r="B35" s="2215"/>
      <c r="C35" s="2215"/>
      <c r="D35" s="2215"/>
      <c r="E35" s="2215"/>
      <c r="F35" s="2215"/>
      <c r="G35" s="2216"/>
      <c r="H35" s="1447">
        <f t="shared" ref="H35:M35" si="3">SUM(H10:H34)</f>
        <v>1140644.0499999998</v>
      </c>
      <c r="I35" s="1885">
        <f t="shared" si="3"/>
        <v>163492.82</v>
      </c>
      <c r="J35" s="1885">
        <f t="shared" si="3"/>
        <v>977151.23</v>
      </c>
      <c r="K35" s="1882">
        <f t="shared" si="3"/>
        <v>75662.03</v>
      </c>
      <c r="L35" s="1882">
        <f t="shared" si="3"/>
        <v>901489.20000000007</v>
      </c>
      <c r="M35" s="1919">
        <f t="shared" si="3"/>
        <v>239154.85</v>
      </c>
      <c r="N35" s="717">
        <f>I35+K35</f>
        <v>239154.85</v>
      </c>
    </row>
    <row r="36" spans="1:14" ht="15.75" thickTop="1">
      <c r="A36" s="185"/>
      <c r="B36" s="185"/>
      <c r="C36" s="185"/>
      <c r="D36" s="29"/>
      <c r="E36" s="197"/>
      <c r="H36" s="174"/>
    </row>
    <row r="37" spans="1:14" ht="15">
      <c r="A37" s="185"/>
      <c r="B37" s="185"/>
      <c r="C37" s="185"/>
      <c r="D37" s="29"/>
      <c r="E37" s="197"/>
      <c r="H37" s="174"/>
    </row>
    <row r="38" spans="1:14" ht="15">
      <c r="A38" s="185"/>
      <c r="B38" s="185"/>
      <c r="C38" s="185"/>
      <c r="D38" s="29"/>
      <c r="E38" s="197"/>
      <c r="H38" s="174"/>
      <c r="I38" s="1868">
        <v>163492.82</v>
      </c>
    </row>
    <row r="39" spans="1:14" ht="15">
      <c r="A39" s="185"/>
      <c r="B39" s="185"/>
      <c r="C39" s="185"/>
      <c r="D39" s="29"/>
      <c r="E39" s="197"/>
      <c r="H39" s="174"/>
    </row>
    <row r="40" spans="1:14" ht="15">
      <c r="A40" s="185"/>
      <c r="B40" s="185"/>
      <c r="C40" s="185"/>
      <c r="D40" s="29"/>
      <c r="E40" s="197"/>
      <c r="H40" s="174"/>
    </row>
    <row r="41" spans="1:14" ht="15">
      <c r="A41" s="185"/>
      <c r="B41" s="185"/>
      <c r="C41" s="185"/>
      <c r="D41" s="29"/>
      <c r="E41" s="197"/>
      <c r="H41" s="174"/>
    </row>
    <row r="42" spans="1:14" ht="15">
      <c r="A42" s="185"/>
      <c r="B42" s="185"/>
      <c r="C42" s="185"/>
      <c r="D42" s="29"/>
      <c r="E42" s="197"/>
      <c r="H42" s="174"/>
    </row>
    <row r="43" spans="1:14" ht="15">
      <c r="A43" s="185"/>
      <c r="B43" s="185"/>
      <c r="C43" s="185"/>
      <c r="D43" s="29"/>
      <c r="E43" s="197"/>
      <c r="H43" s="174"/>
    </row>
    <row r="44" spans="1:14" ht="15">
      <c r="A44" s="185"/>
      <c r="B44" s="185"/>
      <c r="C44" s="185"/>
      <c r="D44" s="29"/>
      <c r="E44" s="197"/>
      <c r="H44" s="174"/>
    </row>
    <row r="45" spans="1:14" ht="15">
      <c r="A45" s="185"/>
      <c r="B45" s="185"/>
      <c r="C45" s="185"/>
      <c r="D45" s="29"/>
      <c r="E45" s="197"/>
      <c r="H45" s="174"/>
    </row>
    <row r="46" spans="1:14" ht="15">
      <c r="A46" s="185"/>
      <c r="B46" s="185"/>
      <c r="C46" s="185"/>
      <c r="D46" s="29"/>
      <c r="E46" s="197"/>
      <c r="H46" s="174"/>
    </row>
    <row r="47" spans="1:14" ht="15">
      <c r="A47" s="185"/>
      <c r="B47" s="185"/>
      <c r="C47" s="185"/>
      <c r="D47" s="29"/>
      <c r="E47" s="197"/>
    </row>
    <row r="48" spans="1:14" ht="15">
      <c r="A48" s="185"/>
      <c r="B48" s="185"/>
      <c r="C48" s="185"/>
      <c r="D48" s="29"/>
      <c r="E48" s="197"/>
    </row>
    <row r="49" spans="1:8" ht="15">
      <c r="A49" s="185"/>
      <c r="B49" s="185"/>
      <c r="C49" s="185"/>
      <c r="D49" s="29"/>
      <c r="E49" s="197"/>
      <c r="H49" s="174"/>
    </row>
    <row r="50" spans="1:8" ht="15">
      <c r="A50" s="185"/>
      <c r="B50" s="185"/>
      <c r="C50" s="185"/>
      <c r="D50" s="29"/>
      <c r="E50" s="197"/>
      <c r="H50" s="174"/>
    </row>
    <row r="51" spans="1:8" ht="15">
      <c r="A51" s="185"/>
      <c r="B51" s="185"/>
      <c r="C51" s="185"/>
      <c r="D51" s="29"/>
      <c r="E51" s="197"/>
      <c r="H51" s="174"/>
    </row>
    <row r="52" spans="1:8" ht="15">
      <c r="A52" s="185"/>
      <c r="B52" s="185"/>
      <c r="C52" s="185"/>
      <c r="D52" s="29"/>
      <c r="E52" s="197"/>
      <c r="H52" s="174"/>
    </row>
    <row r="53" spans="1:8" ht="15">
      <c r="A53" s="185"/>
      <c r="B53" s="185"/>
      <c r="C53" s="185"/>
      <c r="D53" s="29"/>
      <c r="E53" s="197"/>
      <c r="H53" s="174"/>
    </row>
    <row r="54" spans="1:8" ht="15">
      <c r="A54" s="185"/>
      <c r="B54" s="185"/>
      <c r="C54" s="185"/>
      <c r="D54" s="29"/>
      <c r="E54" s="197"/>
      <c r="H54" s="174"/>
    </row>
    <row r="55" spans="1:8" ht="15">
      <c r="A55" s="185"/>
      <c r="B55" s="185"/>
      <c r="C55" s="185"/>
      <c r="D55" s="29"/>
      <c r="E55" s="197"/>
      <c r="H55" s="174"/>
    </row>
    <row r="56" spans="1:8" ht="15">
      <c r="A56" s="185"/>
      <c r="B56" s="185"/>
      <c r="C56" s="185"/>
      <c r="D56" s="29"/>
      <c r="E56" s="197"/>
      <c r="H56" s="174"/>
    </row>
    <row r="57" spans="1:8" ht="15">
      <c r="A57" s="185"/>
      <c r="B57" s="185"/>
      <c r="C57" s="185"/>
      <c r="D57" s="29"/>
      <c r="E57" s="197"/>
      <c r="H57" s="174"/>
    </row>
    <row r="58" spans="1:8" ht="15">
      <c r="A58" s="185"/>
      <c r="B58" s="185"/>
      <c r="C58" s="185"/>
      <c r="D58" s="29"/>
      <c r="E58" s="197"/>
      <c r="H58" s="174"/>
    </row>
    <row r="59" spans="1:8" ht="15">
      <c r="A59" s="185"/>
      <c r="B59" s="185"/>
      <c r="C59" s="185"/>
      <c r="D59" s="29"/>
      <c r="E59" s="197"/>
      <c r="H59" s="174"/>
    </row>
    <row r="60" spans="1:8" ht="15">
      <c r="A60" s="185"/>
      <c r="B60" s="185"/>
      <c r="C60" s="185"/>
      <c r="D60" s="29"/>
      <c r="E60" s="197"/>
      <c r="H60" s="174"/>
    </row>
    <row r="61" spans="1:8" ht="15">
      <c r="A61" s="185"/>
      <c r="B61" s="185"/>
      <c r="C61" s="185"/>
      <c r="D61" s="29"/>
      <c r="E61" s="197"/>
      <c r="H61" s="174"/>
    </row>
    <row r="62" spans="1:8" ht="15">
      <c r="A62" s="185"/>
      <c r="B62" s="185"/>
      <c r="C62" s="185"/>
      <c r="D62" s="29"/>
      <c r="E62" s="197"/>
      <c r="H62" s="174"/>
    </row>
    <row r="63" spans="1:8" ht="15">
      <c r="A63" s="185"/>
      <c r="B63" s="185"/>
      <c r="C63" s="185"/>
      <c r="D63" s="29"/>
      <c r="E63" s="197"/>
      <c r="H63" s="174"/>
    </row>
    <row r="64" spans="1:8" ht="15">
      <c r="A64" s="185"/>
      <c r="B64" s="185"/>
      <c r="C64" s="185"/>
      <c r="D64" s="29"/>
      <c r="E64" s="197"/>
      <c r="H64" s="174"/>
    </row>
    <row r="65" spans="1:10" ht="15">
      <c r="A65" s="185"/>
      <c r="B65" s="185"/>
      <c r="C65" s="185"/>
      <c r="D65" s="29"/>
      <c r="E65" s="197"/>
      <c r="H65" s="174"/>
    </row>
    <row r="66" spans="1:10" ht="15">
      <c r="A66" s="185"/>
      <c r="B66" s="185"/>
      <c r="C66" s="185"/>
      <c r="D66" s="29"/>
      <c r="E66" s="197"/>
      <c r="H66" s="174"/>
    </row>
    <row r="67" spans="1:10" ht="15">
      <c r="A67" s="185"/>
      <c r="B67" s="185"/>
      <c r="C67" s="185"/>
      <c r="D67" s="29"/>
      <c r="E67" s="197"/>
      <c r="H67" s="174"/>
    </row>
    <row r="68" spans="1:10" ht="15">
      <c r="A68" s="30"/>
      <c r="B68" s="30"/>
      <c r="C68" s="30"/>
      <c r="D68" s="29"/>
      <c r="E68" s="30"/>
      <c r="G68" s="644"/>
      <c r="H68" s="90"/>
      <c r="I68" s="217"/>
      <c r="J68" s="217"/>
    </row>
    <row r="69" spans="1:10" ht="15">
      <c r="A69" s="185"/>
      <c r="B69" s="185"/>
      <c r="C69" s="184"/>
      <c r="D69" s="29"/>
      <c r="E69" s="185"/>
      <c r="F69" s="153"/>
      <c r="G69" s="639"/>
      <c r="H69" s="174"/>
    </row>
    <row r="70" spans="1:10" ht="15">
      <c r="A70" s="185"/>
      <c r="B70" s="185"/>
      <c r="C70" s="184"/>
      <c r="D70" s="29"/>
      <c r="E70" s="185"/>
      <c r="F70" s="153"/>
      <c r="G70" s="639"/>
      <c r="H70" s="174"/>
    </row>
    <row r="71" spans="1:10" ht="15">
      <c r="A71" s="185"/>
      <c r="B71" s="185"/>
      <c r="C71" s="184"/>
      <c r="D71" s="29"/>
      <c r="E71" s="185"/>
      <c r="G71" s="175"/>
      <c r="H71" s="174"/>
    </row>
    <row r="72" spans="1:10" ht="15">
      <c r="A72" s="185"/>
      <c r="B72" s="185"/>
      <c r="C72" s="184"/>
      <c r="D72" s="29"/>
      <c r="E72" s="185"/>
      <c r="F72" s="153"/>
      <c r="G72" s="639"/>
      <c r="H72" s="174"/>
    </row>
    <row r="73" spans="1:10" ht="15">
      <c r="A73" s="185"/>
      <c r="B73" s="185"/>
      <c r="C73" s="184"/>
      <c r="D73" s="29"/>
      <c r="E73" s="185"/>
      <c r="F73" s="153"/>
      <c r="G73" s="639"/>
      <c r="H73" s="174"/>
    </row>
    <row r="74" spans="1:10" ht="15">
      <c r="A74" s="185"/>
      <c r="B74" s="185"/>
      <c r="C74" s="184"/>
      <c r="D74" s="29"/>
      <c r="E74" s="185"/>
      <c r="F74" s="153"/>
      <c r="G74" s="639"/>
      <c r="H74" s="174"/>
    </row>
    <row r="75" spans="1:10" ht="15">
      <c r="A75" s="185"/>
      <c r="B75" s="185"/>
      <c r="C75" s="184"/>
      <c r="D75" s="29"/>
      <c r="E75" s="185"/>
      <c r="H75" s="174"/>
    </row>
    <row r="76" spans="1:10" ht="15">
      <c r="A76" s="185"/>
      <c r="B76" s="185"/>
      <c r="C76" s="184"/>
      <c r="D76" s="29"/>
      <c r="E76" s="185"/>
      <c r="H76" s="174"/>
    </row>
    <row r="77" spans="1:10" ht="15">
      <c r="A77" s="185"/>
      <c r="B77" s="185"/>
      <c r="C77" s="184"/>
      <c r="D77" s="29"/>
      <c r="E77" s="185"/>
      <c r="H77" s="174"/>
    </row>
    <row r="78" spans="1:10" ht="15">
      <c r="A78" s="185"/>
      <c r="B78" s="185"/>
      <c r="C78" s="184"/>
      <c r="D78" s="29"/>
      <c r="E78" s="185"/>
      <c r="H78" s="174"/>
    </row>
    <row r="79" spans="1:10" ht="15">
      <c r="A79" s="30"/>
      <c r="B79" s="30"/>
      <c r="C79" s="30"/>
      <c r="D79" s="29"/>
      <c r="E79" s="30"/>
      <c r="G79" s="644"/>
      <c r="H79" s="90"/>
    </row>
    <row r="80" spans="1:10" ht="15">
      <c r="A80" s="185"/>
      <c r="B80" s="184"/>
      <c r="C80" s="184"/>
      <c r="D80" s="29"/>
      <c r="E80" s="185"/>
      <c r="F80" s="153"/>
      <c r="G80" s="639"/>
      <c r="H80" s="174"/>
    </row>
    <row r="81" spans="1:8" ht="15">
      <c r="A81" s="185"/>
      <c r="B81" s="184"/>
      <c r="C81" s="184"/>
      <c r="D81" s="29"/>
      <c r="E81" s="185"/>
      <c r="F81" s="153"/>
      <c r="G81" s="639"/>
      <c r="H81" s="174"/>
    </row>
    <row r="82" spans="1:8" ht="15">
      <c r="A82" s="185"/>
      <c r="B82" s="184"/>
      <c r="C82" s="184"/>
      <c r="D82" s="29"/>
      <c r="E82" s="185"/>
      <c r="F82" s="153"/>
      <c r="G82" s="639"/>
      <c r="H82" s="174"/>
    </row>
    <row r="83" spans="1:8" ht="15">
      <c r="A83" s="185"/>
      <c r="B83" s="184"/>
      <c r="C83" s="184"/>
      <c r="D83" s="29"/>
      <c r="E83" s="185"/>
      <c r="F83" s="153"/>
      <c r="G83" s="639"/>
      <c r="H83" s="174"/>
    </row>
    <row r="84" spans="1:8" ht="15">
      <c r="A84" s="185"/>
      <c r="B84" s="184"/>
      <c r="C84" s="184"/>
      <c r="D84" s="29"/>
      <c r="E84" s="185"/>
      <c r="H84" s="174"/>
    </row>
    <row r="85" spans="1:8" ht="15">
      <c r="A85" s="185"/>
      <c r="B85" s="184"/>
      <c r="C85" s="184"/>
      <c r="D85" s="29"/>
      <c r="E85" s="185"/>
      <c r="H85" s="174"/>
    </row>
    <row r="86" spans="1:8" ht="15">
      <c r="A86" s="30"/>
      <c r="B86" s="30"/>
      <c r="C86" s="30"/>
      <c r="D86" s="29"/>
      <c r="E86" s="30"/>
      <c r="G86" s="644"/>
      <c r="H86" s="90"/>
    </row>
    <row r="87" spans="1:8" ht="15">
      <c r="A87" s="185"/>
      <c r="B87" s="184"/>
      <c r="C87" s="184"/>
      <c r="D87" s="29"/>
      <c r="E87" s="185"/>
      <c r="F87" s="153"/>
      <c r="G87" s="639"/>
      <c r="H87" s="174"/>
    </row>
    <row r="88" spans="1:8" ht="15">
      <c r="A88" s="185"/>
      <c r="B88" s="184"/>
      <c r="C88" s="184"/>
      <c r="D88" s="29"/>
      <c r="E88" s="185"/>
      <c r="F88" s="153"/>
      <c r="G88" s="639"/>
      <c r="H88" s="174"/>
    </row>
    <row r="89" spans="1:8" ht="15">
      <c r="A89" s="185"/>
      <c r="B89" s="184"/>
      <c r="C89" s="184"/>
      <c r="D89" s="29"/>
      <c r="E89" s="185"/>
      <c r="H89" s="174"/>
    </row>
    <row r="90" spans="1:8" ht="15">
      <c r="A90" s="185"/>
      <c r="B90" s="184"/>
      <c r="C90" s="184"/>
      <c r="D90" s="29"/>
      <c r="E90" s="185"/>
      <c r="F90" s="153"/>
      <c r="G90" s="639"/>
      <c r="H90" s="174"/>
    </row>
    <row r="91" spans="1:8" ht="15">
      <c r="A91" s="185"/>
      <c r="B91" s="184"/>
      <c r="C91" s="184"/>
      <c r="D91" s="29"/>
      <c r="E91" s="185"/>
      <c r="F91" s="153"/>
      <c r="G91" s="639"/>
      <c r="H91" s="174"/>
    </row>
    <row r="92" spans="1:8" ht="15">
      <c r="A92" s="185"/>
      <c r="B92" s="184"/>
      <c r="C92" s="184"/>
      <c r="D92" s="29"/>
      <c r="E92" s="185"/>
      <c r="H92" s="174"/>
    </row>
    <row r="93" spans="1:8" ht="15">
      <c r="A93" s="185"/>
      <c r="B93" s="184"/>
      <c r="C93" s="184"/>
      <c r="D93" s="29"/>
      <c r="E93" s="185"/>
      <c r="H93" s="174"/>
    </row>
    <row r="94" spans="1:8" ht="15">
      <c r="A94" s="185"/>
      <c r="B94" s="184"/>
      <c r="C94" s="184"/>
      <c r="D94" s="29"/>
      <c r="E94" s="185"/>
      <c r="H94" s="174"/>
    </row>
    <row r="95" spans="1:8" ht="15">
      <c r="A95" s="185"/>
      <c r="B95" s="184"/>
      <c r="C95" s="184"/>
      <c r="D95" s="29"/>
      <c r="E95" s="185"/>
      <c r="H95" s="174"/>
    </row>
    <row r="96" spans="1:8" ht="15">
      <c r="A96" s="185"/>
      <c r="B96" s="184"/>
      <c r="C96" s="184"/>
      <c r="D96" s="29"/>
      <c r="E96" s="185"/>
      <c r="H96" s="174"/>
    </row>
    <row r="97" spans="1:8" ht="15">
      <c r="A97" s="185"/>
      <c r="B97" s="184"/>
      <c r="C97" s="184"/>
      <c r="D97" s="29"/>
      <c r="E97" s="185"/>
      <c r="H97" s="174"/>
    </row>
    <row r="98" spans="1:8" ht="15">
      <c r="A98" s="185"/>
      <c r="B98" s="184"/>
      <c r="C98" s="184"/>
      <c r="D98" s="29"/>
      <c r="E98" s="185"/>
      <c r="H98" s="174"/>
    </row>
    <row r="99" spans="1:8" ht="15">
      <c r="A99" s="185"/>
      <c r="B99" s="184"/>
      <c r="C99" s="184"/>
      <c r="D99" s="29"/>
      <c r="E99" s="185"/>
      <c r="H99" s="174"/>
    </row>
    <row r="100" spans="1:8" ht="15">
      <c r="A100" s="185"/>
      <c r="B100" s="184"/>
      <c r="C100" s="184"/>
      <c r="D100" s="29"/>
      <c r="E100" s="185"/>
      <c r="H100" s="174"/>
    </row>
    <row r="101" spans="1:8" ht="15">
      <c r="A101" s="185"/>
      <c r="B101" s="184"/>
      <c r="C101" s="184"/>
      <c r="D101" s="29"/>
      <c r="E101" s="185"/>
      <c r="H101" s="174"/>
    </row>
    <row r="102" spans="1:8" ht="15">
      <c r="A102" s="185"/>
      <c r="B102" s="184"/>
      <c r="C102" s="184"/>
      <c r="D102" s="29"/>
      <c r="E102" s="185"/>
      <c r="G102" s="175"/>
      <c r="H102" s="174"/>
    </row>
    <row r="103" spans="1:8" ht="15">
      <c r="A103" s="30"/>
      <c r="B103" s="30"/>
      <c r="C103" s="30"/>
      <c r="D103" s="85"/>
      <c r="E103" s="30"/>
      <c r="G103" s="644"/>
      <c r="H103" s="90"/>
    </row>
    <row r="104" spans="1:8" ht="15">
      <c r="A104" s="30"/>
      <c r="B104" s="30"/>
      <c r="C104" s="30"/>
      <c r="D104" s="85"/>
      <c r="E104" s="30"/>
      <c r="G104" s="645"/>
      <c r="H104" s="90"/>
    </row>
  </sheetData>
  <mergeCells count="10">
    <mergeCell ref="A1:H1"/>
    <mergeCell ref="A2:H2"/>
    <mergeCell ref="A3:H3"/>
    <mergeCell ref="A4:H4"/>
    <mergeCell ref="A5:H6"/>
    <mergeCell ref="A7:H7"/>
    <mergeCell ref="A8:F8"/>
    <mergeCell ref="G8:G9"/>
    <mergeCell ref="H8:H9"/>
    <mergeCell ref="A35:G35"/>
  </mergeCells>
  <phoneticPr fontId="11" type="noConversion"/>
  <pageMargins left="0.96" right="0.12" top="0.28999999999999998" bottom="1" header="0" footer="0"/>
  <pageSetup orientation="portrait" verticalDpi="300" r:id="rId1"/>
  <headerFooter alignWithMargins="0"/>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M96"/>
  <sheetViews>
    <sheetView zoomScale="86" zoomScaleNormal="86" workbookViewId="0">
      <selection activeCell="P29" sqref="P29"/>
    </sheetView>
  </sheetViews>
  <sheetFormatPr baseColWidth="10" defaultRowHeight="12.75"/>
  <cols>
    <col min="1" max="1" width="3.85546875" customWidth="1"/>
    <col min="2" max="2" width="4.7109375" customWidth="1"/>
    <col min="3" max="3" width="5" customWidth="1"/>
    <col min="4" max="4" width="4.42578125" customWidth="1"/>
    <col min="5" max="5" width="6.140625" customWidth="1"/>
    <col min="6" max="6" width="8" style="152" customWidth="1"/>
    <col min="7" max="7" width="42.85546875" style="32" customWidth="1"/>
    <col min="8" max="8" width="16.7109375" customWidth="1"/>
    <col min="9" max="9" width="14.42578125" style="488" customWidth="1"/>
    <col min="10" max="10" width="17.7109375" customWidth="1"/>
    <col min="11" max="12" width="13.7109375" customWidth="1"/>
    <col min="13" max="13" width="15.42578125" customWidth="1"/>
  </cols>
  <sheetData>
    <row r="1" spans="1:13" ht="27" customHeight="1">
      <c r="A1" s="2217" t="s">
        <v>111</v>
      </c>
      <c r="B1" s="2217"/>
      <c r="C1" s="2217"/>
      <c r="D1" s="2217"/>
      <c r="E1" s="2217"/>
      <c r="F1" s="2217"/>
      <c r="G1" s="2217"/>
      <c r="H1" s="2217"/>
    </row>
    <row r="2" spans="1:13" ht="27" customHeight="1">
      <c r="A2" s="2217" t="s">
        <v>110</v>
      </c>
      <c r="B2" s="2217"/>
      <c r="C2" s="2217"/>
      <c r="D2" s="2217"/>
      <c r="E2" s="2217"/>
      <c r="F2" s="2217"/>
      <c r="G2" s="2217"/>
      <c r="H2" s="2217"/>
    </row>
    <row r="3" spans="1:13" ht="27" customHeight="1">
      <c r="A3" s="2185" t="s">
        <v>1214</v>
      </c>
      <c r="B3" s="2185"/>
      <c r="C3" s="2185"/>
      <c r="D3" s="2185"/>
      <c r="E3" s="2185"/>
      <c r="F3" s="2185"/>
      <c r="G3" s="2185"/>
      <c r="H3" s="2185"/>
    </row>
    <row r="4" spans="1:13" ht="27" customHeight="1">
      <c r="A4" s="2185" t="s">
        <v>32</v>
      </c>
      <c r="B4" s="2185"/>
      <c r="C4" s="2185"/>
      <c r="D4" s="2185"/>
      <c r="E4" s="2185"/>
      <c r="F4" s="2185"/>
      <c r="G4" s="2185"/>
      <c r="H4" s="2185"/>
    </row>
    <row r="5" spans="1:13">
      <c r="A5" s="2218" t="s">
        <v>47</v>
      </c>
      <c r="B5" s="2218"/>
      <c r="C5" s="2218"/>
      <c r="D5" s="2218"/>
      <c r="E5" s="2218"/>
      <c r="F5" s="2218"/>
      <c r="G5" s="2218"/>
      <c r="H5" s="2218"/>
    </row>
    <row r="6" spans="1:13">
      <c r="A6" s="2218"/>
      <c r="B6" s="2218"/>
      <c r="C6" s="2218"/>
      <c r="D6" s="2218"/>
      <c r="E6" s="2218"/>
      <c r="F6" s="2218"/>
      <c r="G6" s="2218"/>
      <c r="H6" s="2218"/>
    </row>
    <row r="7" spans="1:13" ht="18">
      <c r="A7" s="2187" t="s">
        <v>1321</v>
      </c>
      <c r="B7" s="2188"/>
      <c r="C7" s="2188"/>
      <c r="D7" s="2188"/>
      <c r="E7" s="2188"/>
      <c r="F7" s="2188"/>
      <c r="G7" s="2188"/>
      <c r="H7" s="2188"/>
    </row>
    <row r="8" spans="1:13" ht="15">
      <c r="A8" s="2189" t="s">
        <v>29</v>
      </c>
      <c r="B8" s="2189"/>
      <c r="C8" s="2189"/>
      <c r="D8" s="2189"/>
      <c r="E8" s="2189"/>
      <c r="F8" s="2189"/>
      <c r="G8" s="2196" t="s">
        <v>44</v>
      </c>
      <c r="H8" s="2191" t="s">
        <v>51</v>
      </c>
    </row>
    <row r="9" spans="1:13" ht="107.25">
      <c r="A9" s="1444" t="s">
        <v>39</v>
      </c>
      <c r="B9" s="1445" t="s">
        <v>216</v>
      </c>
      <c r="C9" s="1444" t="s">
        <v>41</v>
      </c>
      <c r="D9" s="1444" t="s">
        <v>45</v>
      </c>
      <c r="E9" s="1446" t="s">
        <v>392</v>
      </c>
      <c r="F9" s="1444" t="s">
        <v>43</v>
      </c>
      <c r="G9" s="2196"/>
      <c r="H9" s="2191"/>
      <c r="I9" s="1886" t="s">
        <v>1513</v>
      </c>
      <c r="J9" s="1887" t="s">
        <v>1512</v>
      </c>
      <c r="K9" s="1907" t="s">
        <v>1519</v>
      </c>
      <c r="L9" s="1895" t="s">
        <v>1514</v>
      </c>
      <c r="M9" s="1917" t="s">
        <v>1523</v>
      </c>
    </row>
    <row r="10" spans="1:13" ht="21" customHeight="1">
      <c r="A10" s="163" t="s">
        <v>381</v>
      </c>
      <c r="B10" s="163" t="s">
        <v>69</v>
      </c>
      <c r="C10" s="163" t="s">
        <v>61</v>
      </c>
      <c r="D10" s="167">
        <v>1</v>
      </c>
      <c r="E10" s="168">
        <v>111</v>
      </c>
      <c r="F10" s="151" t="s">
        <v>209</v>
      </c>
      <c r="G10" s="640" t="s">
        <v>117</v>
      </c>
      <c r="H10" s="88">
        <f>7500+7000+3000+7400+2800+5250+5500</f>
        <v>38450</v>
      </c>
      <c r="I10" s="1888">
        <v>15000</v>
      </c>
      <c r="J10" s="1888">
        <f>H10-I10</f>
        <v>23450</v>
      </c>
      <c r="K10" s="1889">
        <v>5000</v>
      </c>
      <c r="L10" s="1890">
        <f>J10-K10</f>
        <v>18450</v>
      </c>
      <c r="M10" s="717">
        <f t="shared" ref="M10:M26" si="0">I10+K10</f>
        <v>20000</v>
      </c>
    </row>
    <row r="11" spans="1:13" ht="21" customHeight="1">
      <c r="A11" s="163" t="s">
        <v>381</v>
      </c>
      <c r="B11" s="163" t="s">
        <v>69</v>
      </c>
      <c r="C11" s="163" t="s">
        <v>61</v>
      </c>
      <c r="D11" s="167">
        <v>1</v>
      </c>
      <c r="E11" s="168">
        <v>111</v>
      </c>
      <c r="F11" s="148" t="s">
        <v>498</v>
      </c>
      <c r="G11" s="640" t="s">
        <v>163</v>
      </c>
      <c r="H11" s="88">
        <f>1000+500+1000+500</f>
        <v>3000</v>
      </c>
      <c r="I11" s="1888">
        <v>1000</v>
      </c>
      <c r="J11" s="1888">
        <f t="shared" ref="J11:J26" si="1">H11-I11</f>
        <v>2000</v>
      </c>
      <c r="K11" s="1889"/>
      <c r="L11" s="1890">
        <f t="shared" ref="L11:L26" si="2">J11-K11</f>
        <v>2000</v>
      </c>
      <c r="M11" s="717">
        <f t="shared" si="0"/>
        <v>1000</v>
      </c>
    </row>
    <row r="12" spans="1:13" ht="21" customHeight="1">
      <c r="A12" s="163" t="s">
        <v>381</v>
      </c>
      <c r="B12" s="163" t="s">
        <v>69</v>
      </c>
      <c r="C12" s="163" t="s">
        <v>61</v>
      </c>
      <c r="D12" s="167">
        <v>1</v>
      </c>
      <c r="E12" s="168">
        <v>111</v>
      </c>
      <c r="F12" s="169">
        <v>54111</v>
      </c>
      <c r="G12" s="640" t="s">
        <v>167</v>
      </c>
      <c r="H12" s="490">
        <f>11000+9500+4600+9000+5500+7000+7500</f>
        <v>54100</v>
      </c>
      <c r="I12" s="1888">
        <v>13000</v>
      </c>
      <c r="J12" s="1888">
        <f t="shared" si="1"/>
        <v>41100</v>
      </c>
      <c r="K12" s="1889">
        <v>20000</v>
      </c>
      <c r="L12" s="1890">
        <f t="shared" si="2"/>
        <v>21100</v>
      </c>
      <c r="M12" s="717">
        <f t="shared" si="0"/>
        <v>33000</v>
      </c>
    </row>
    <row r="13" spans="1:13" ht="21" customHeight="1">
      <c r="A13" s="163" t="s">
        <v>381</v>
      </c>
      <c r="B13" s="163" t="s">
        <v>69</v>
      </c>
      <c r="C13" s="163" t="s">
        <v>61</v>
      </c>
      <c r="D13" s="167">
        <v>1</v>
      </c>
      <c r="E13" s="168">
        <v>111</v>
      </c>
      <c r="F13" s="169">
        <v>54112</v>
      </c>
      <c r="G13" s="640" t="s">
        <v>168</v>
      </c>
      <c r="H13" s="88">
        <f>1500+500+600+500+250+1500+1457.34</f>
        <v>6307.34</v>
      </c>
      <c r="I13" s="1888">
        <v>2500</v>
      </c>
      <c r="J13" s="1888">
        <f t="shared" si="1"/>
        <v>3807.34</v>
      </c>
      <c r="K13" s="1889">
        <v>700</v>
      </c>
      <c r="L13" s="1890">
        <f t="shared" si="2"/>
        <v>3107.34</v>
      </c>
      <c r="M13" s="717">
        <f t="shared" si="0"/>
        <v>3200</v>
      </c>
    </row>
    <row r="14" spans="1:13" ht="21" customHeight="1">
      <c r="A14" s="163" t="s">
        <v>381</v>
      </c>
      <c r="B14" s="163" t="s">
        <v>69</v>
      </c>
      <c r="C14" s="163" t="s">
        <v>61</v>
      </c>
      <c r="D14" s="167">
        <v>1</v>
      </c>
      <c r="E14" s="168">
        <v>111</v>
      </c>
      <c r="F14" s="169">
        <v>54118</v>
      </c>
      <c r="G14" s="640" t="s">
        <v>467</v>
      </c>
      <c r="H14" s="490">
        <f>500+500+500+300+200+500+500</f>
        <v>3000</v>
      </c>
      <c r="I14" s="1888">
        <v>1000</v>
      </c>
      <c r="J14" s="1888">
        <f t="shared" si="1"/>
        <v>2000</v>
      </c>
      <c r="K14" s="1889"/>
      <c r="L14" s="1890">
        <f t="shared" si="2"/>
        <v>2000</v>
      </c>
      <c r="M14" s="717">
        <f t="shared" si="0"/>
        <v>1000</v>
      </c>
    </row>
    <row r="15" spans="1:13" ht="21" customHeight="1">
      <c r="A15" s="163" t="s">
        <v>381</v>
      </c>
      <c r="B15" s="163" t="s">
        <v>69</v>
      </c>
      <c r="C15" s="163" t="s">
        <v>61</v>
      </c>
      <c r="D15" s="167">
        <v>1</v>
      </c>
      <c r="E15" s="168">
        <v>111</v>
      </c>
      <c r="F15" s="169">
        <v>54199</v>
      </c>
      <c r="G15" s="640" t="s">
        <v>810</v>
      </c>
      <c r="H15" s="88">
        <f>903.26+300+500+300+250+300</f>
        <v>2553.2600000000002</v>
      </c>
      <c r="I15" s="1888">
        <v>800</v>
      </c>
      <c r="J15" s="1888">
        <f t="shared" si="1"/>
        <v>1753.2600000000002</v>
      </c>
      <c r="K15" s="1889">
        <v>110</v>
      </c>
      <c r="L15" s="1890">
        <f t="shared" si="2"/>
        <v>1643.2600000000002</v>
      </c>
      <c r="M15" s="717">
        <f t="shared" si="0"/>
        <v>910</v>
      </c>
    </row>
    <row r="16" spans="1:13" ht="21" customHeight="1">
      <c r="A16" s="163" t="s">
        <v>381</v>
      </c>
      <c r="B16" s="163" t="s">
        <v>69</v>
      </c>
      <c r="C16" s="163" t="s">
        <v>61</v>
      </c>
      <c r="D16" s="167">
        <v>1</v>
      </c>
      <c r="E16" s="168">
        <v>111</v>
      </c>
      <c r="F16" s="169">
        <v>54304</v>
      </c>
      <c r="G16" s="641" t="s">
        <v>386</v>
      </c>
      <c r="H16" s="88">
        <f>1000+700+300+500+500+700</f>
        <v>3700</v>
      </c>
      <c r="I16" s="1888">
        <v>1700</v>
      </c>
      <c r="J16" s="1888">
        <f t="shared" si="1"/>
        <v>2000</v>
      </c>
      <c r="K16" s="1889"/>
      <c r="L16" s="1890">
        <f t="shared" si="2"/>
        <v>2000</v>
      </c>
      <c r="M16" s="717">
        <f t="shared" si="0"/>
        <v>1700</v>
      </c>
    </row>
    <row r="17" spans="1:13" ht="21" hidden="1" customHeight="1">
      <c r="A17" s="163" t="s">
        <v>381</v>
      </c>
      <c r="B17" s="163" t="s">
        <v>69</v>
      </c>
      <c r="C17" s="163" t="s">
        <v>1446</v>
      </c>
      <c r="D17" s="167">
        <v>1</v>
      </c>
      <c r="E17" s="168">
        <v>111</v>
      </c>
      <c r="F17" s="169">
        <v>54316</v>
      </c>
      <c r="G17" s="640" t="s">
        <v>188</v>
      </c>
      <c r="H17" s="88"/>
      <c r="I17" s="1888"/>
      <c r="J17" s="1888">
        <f t="shared" si="1"/>
        <v>0</v>
      </c>
      <c r="K17" s="1889">
        <f t="shared" ref="K17:K22" si="3">SUM(H17:J17)</f>
        <v>0</v>
      </c>
      <c r="L17" s="1890">
        <f t="shared" si="2"/>
        <v>0</v>
      </c>
      <c r="M17" s="717">
        <f t="shared" si="0"/>
        <v>0</v>
      </c>
    </row>
    <row r="18" spans="1:13" ht="21" hidden="1" customHeight="1">
      <c r="A18" s="163" t="s">
        <v>381</v>
      </c>
      <c r="B18" s="163" t="s">
        <v>69</v>
      </c>
      <c r="C18" s="163" t="s">
        <v>1447</v>
      </c>
      <c r="D18" s="167">
        <v>1</v>
      </c>
      <c r="E18" s="168">
        <v>111</v>
      </c>
      <c r="F18" s="169">
        <v>54317</v>
      </c>
      <c r="G18" s="641" t="s">
        <v>189</v>
      </c>
      <c r="H18" s="88"/>
      <c r="I18" s="1888"/>
      <c r="J18" s="1888">
        <f t="shared" si="1"/>
        <v>0</v>
      </c>
      <c r="K18" s="1889">
        <f t="shared" si="3"/>
        <v>0</v>
      </c>
      <c r="L18" s="1890">
        <f t="shared" si="2"/>
        <v>0</v>
      </c>
      <c r="M18" s="717">
        <f t="shared" si="0"/>
        <v>0</v>
      </c>
    </row>
    <row r="19" spans="1:13" ht="21" hidden="1" customHeight="1">
      <c r="A19" s="163" t="s">
        <v>381</v>
      </c>
      <c r="B19" s="163" t="s">
        <v>69</v>
      </c>
      <c r="C19" s="163" t="s">
        <v>1448</v>
      </c>
      <c r="D19" s="167">
        <v>1</v>
      </c>
      <c r="E19" s="168">
        <v>111</v>
      </c>
      <c r="F19" s="169">
        <v>54599</v>
      </c>
      <c r="G19" s="641" t="s">
        <v>811</v>
      </c>
      <c r="H19" s="863"/>
      <c r="I19" s="1888"/>
      <c r="J19" s="1888">
        <f t="shared" si="1"/>
        <v>0</v>
      </c>
      <c r="K19" s="1889">
        <f t="shared" si="3"/>
        <v>0</v>
      </c>
      <c r="L19" s="1890">
        <f t="shared" si="2"/>
        <v>0</v>
      </c>
      <c r="M19" s="717">
        <f t="shared" si="0"/>
        <v>0</v>
      </c>
    </row>
    <row r="20" spans="1:13" ht="21" hidden="1" customHeight="1">
      <c r="A20" s="163" t="s">
        <v>381</v>
      </c>
      <c r="B20" s="163" t="s">
        <v>69</v>
      </c>
      <c r="C20" s="163" t="s">
        <v>1449</v>
      </c>
      <c r="D20" s="167">
        <v>1</v>
      </c>
      <c r="E20" s="168">
        <v>111</v>
      </c>
      <c r="F20" s="148" t="s">
        <v>387</v>
      </c>
      <c r="G20" s="642" t="s">
        <v>141</v>
      </c>
      <c r="H20" s="863"/>
      <c r="I20" s="1888"/>
      <c r="J20" s="1888">
        <f t="shared" si="1"/>
        <v>0</v>
      </c>
      <c r="K20" s="1889">
        <f t="shared" si="3"/>
        <v>0</v>
      </c>
      <c r="L20" s="1890">
        <f t="shared" si="2"/>
        <v>0</v>
      </c>
      <c r="M20" s="717">
        <f t="shared" si="0"/>
        <v>0</v>
      </c>
    </row>
    <row r="21" spans="1:13" ht="21" hidden="1" customHeight="1">
      <c r="A21" s="163" t="s">
        <v>381</v>
      </c>
      <c r="B21" s="163" t="s">
        <v>69</v>
      </c>
      <c r="C21" s="163" t="s">
        <v>1450</v>
      </c>
      <c r="D21" s="167">
        <v>1</v>
      </c>
      <c r="E21" s="168">
        <v>111</v>
      </c>
      <c r="F21" s="196">
        <v>61599</v>
      </c>
      <c r="G21" s="643" t="s">
        <v>151</v>
      </c>
      <c r="H21" s="863"/>
      <c r="I21" s="1888"/>
      <c r="J21" s="1888">
        <f t="shared" si="1"/>
        <v>0</v>
      </c>
      <c r="K21" s="1889">
        <f t="shared" si="3"/>
        <v>0</v>
      </c>
      <c r="L21" s="1890">
        <f t="shared" si="2"/>
        <v>0</v>
      </c>
      <c r="M21" s="717">
        <f t="shared" si="0"/>
        <v>0</v>
      </c>
    </row>
    <row r="22" spans="1:13" ht="21" hidden="1" customHeight="1">
      <c r="A22" s="163" t="s">
        <v>381</v>
      </c>
      <c r="B22" s="163" t="s">
        <v>69</v>
      </c>
      <c r="C22" s="163" t="s">
        <v>1451</v>
      </c>
      <c r="D22" s="167">
        <v>1</v>
      </c>
      <c r="E22" s="168">
        <v>111</v>
      </c>
      <c r="F22" s="152">
        <v>61201</v>
      </c>
      <c r="G22" s="639" t="s">
        <v>148</v>
      </c>
      <c r="H22" s="863"/>
      <c r="I22" s="1888"/>
      <c r="J22" s="1888">
        <f t="shared" si="1"/>
        <v>0</v>
      </c>
      <c r="K22" s="1889">
        <f t="shared" si="3"/>
        <v>0</v>
      </c>
      <c r="L22" s="1890">
        <f t="shared" si="2"/>
        <v>0</v>
      </c>
      <c r="M22" s="717">
        <f t="shared" si="0"/>
        <v>0</v>
      </c>
    </row>
    <row r="23" spans="1:13" ht="21" customHeight="1">
      <c r="A23" s="163" t="s">
        <v>381</v>
      </c>
      <c r="B23" s="163" t="s">
        <v>69</v>
      </c>
      <c r="C23" s="163" t="s">
        <v>61</v>
      </c>
      <c r="D23" s="167">
        <v>1</v>
      </c>
      <c r="E23" s="168">
        <v>111</v>
      </c>
      <c r="F23" s="169">
        <v>61601</v>
      </c>
      <c r="G23" s="640" t="s">
        <v>152</v>
      </c>
      <c r="H23" s="88">
        <f>50000+60000+40000+40000+66500+40000+40473.1-13500</f>
        <v>323473.09999999998</v>
      </c>
      <c r="I23" s="1888">
        <v>40000</v>
      </c>
      <c r="J23" s="1888">
        <f t="shared" si="1"/>
        <v>283473.09999999998</v>
      </c>
      <c r="K23" s="1889">
        <v>40000</v>
      </c>
      <c r="L23" s="1890">
        <f t="shared" si="2"/>
        <v>243473.09999999998</v>
      </c>
      <c r="M23" s="717">
        <f t="shared" si="0"/>
        <v>80000</v>
      </c>
    </row>
    <row r="24" spans="1:13" ht="21" customHeight="1">
      <c r="A24" s="168" t="str">
        <f t="shared" ref="A24:E24" si="4">A23</f>
        <v>4</v>
      </c>
      <c r="B24" s="163" t="s">
        <v>69</v>
      </c>
      <c r="C24" s="163" t="s">
        <v>61</v>
      </c>
      <c r="D24" s="168">
        <f t="shared" si="4"/>
        <v>1</v>
      </c>
      <c r="E24" s="179">
        <f t="shared" si="4"/>
        <v>111</v>
      </c>
      <c r="F24" s="181">
        <v>61602</v>
      </c>
      <c r="G24" s="633" t="s">
        <v>153</v>
      </c>
      <c r="H24" s="88">
        <f>64600+57000+19000+31446.45</f>
        <v>172046.45</v>
      </c>
      <c r="I24" s="1888">
        <v>14535.53</v>
      </c>
      <c r="J24" s="1888">
        <f t="shared" si="1"/>
        <v>157510.92000000001</v>
      </c>
      <c r="K24" s="1889">
        <v>1900.82</v>
      </c>
      <c r="L24" s="1890">
        <f t="shared" si="2"/>
        <v>155610.1</v>
      </c>
      <c r="M24" s="717">
        <f>I24+K24</f>
        <v>16436.350000000002</v>
      </c>
    </row>
    <row r="25" spans="1:13" ht="21" customHeight="1">
      <c r="A25" s="163" t="s">
        <v>381</v>
      </c>
      <c r="B25" s="163" t="s">
        <v>69</v>
      </c>
      <c r="C25" s="163" t="s">
        <v>61</v>
      </c>
      <c r="D25" s="167">
        <v>1</v>
      </c>
      <c r="E25" s="168">
        <v>111</v>
      </c>
      <c r="F25" s="169">
        <v>61606</v>
      </c>
      <c r="G25" s="640" t="s">
        <v>388</v>
      </c>
      <c r="H25" s="88">
        <f>47500+1215.29+9204.63</f>
        <v>57919.92</v>
      </c>
      <c r="I25" s="1888"/>
      <c r="J25" s="1888">
        <f t="shared" si="1"/>
        <v>57919.92</v>
      </c>
      <c r="K25" s="1889"/>
      <c r="L25" s="1890">
        <f t="shared" si="2"/>
        <v>57919.92</v>
      </c>
      <c r="M25" s="717">
        <f t="shared" si="0"/>
        <v>0</v>
      </c>
    </row>
    <row r="26" spans="1:13" ht="21" customHeight="1">
      <c r="A26" s="163" t="s">
        <v>381</v>
      </c>
      <c r="B26" s="163" t="s">
        <v>69</v>
      </c>
      <c r="C26" s="163" t="s">
        <v>61</v>
      </c>
      <c r="D26" s="167">
        <v>1</v>
      </c>
      <c r="E26" s="168">
        <v>111</v>
      </c>
      <c r="F26" s="169">
        <v>61608</v>
      </c>
      <c r="G26" s="640" t="s">
        <v>156</v>
      </c>
      <c r="H26" s="490">
        <f>3400+3000+1000+2500+1200+1000+500+1000+13500+2130.16+3500+500+750+866.17</f>
        <v>34846.33</v>
      </c>
      <c r="I26" s="1888">
        <v>15000</v>
      </c>
      <c r="J26" s="1888">
        <f t="shared" si="1"/>
        <v>19846.330000000002</v>
      </c>
      <c r="K26" s="1889"/>
      <c r="L26" s="1890">
        <f t="shared" si="2"/>
        <v>19846.330000000002</v>
      </c>
      <c r="M26" s="717">
        <f t="shared" si="0"/>
        <v>15000</v>
      </c>
    </row>
    <row r="27" spans="1:13" ht="21" customHeight="1" thickBot="1">
      <c r="A27" s="2214" t="s">
        <v>46</v>
      </c>
      <c r="B27" s="2215"/>
      <c r="C27" s="2215"/>
      <c r="D27" s="2215"/>
      <c r="E27" s="2215"/>
      <c r="F27" s="2215"/>
      <c r="G27" s="2216"/>
      <c r="H27" s="1447">
        <f t="shared" ref="H27:M27" si="5">SUM(H10:H26)</f>
        <v>699396.39999999991</v>
      </c>
      <c r="I27" s="1891">
        <f t="shared" si="5"/>
        <v>104535.53</v>
      </c>
      <c r="J27" s="1892">
        <f t="shared" si="5"/>
        <v>594860.87</v>
      </c>
      <c r="K27" s="1893">
        <f t="shared" si="5"/>
        <v>67710.820000000007</v>
      </c>
      <c r="L27" s="1894">
        <f t="shared" si="5"/>
        <v>527150.04999999993</v>
      </c>
      <c r="M27" s="1918">
        <f t="shared" si="5"/>
        <v>172246.35</v>
      </c>
    </row>
    <row r="28" spans="1:13" ht="15.75" thickTop="1">
      <c r="A28" s="185"/>
      <c r="B28" s="185"/>
      <c r="C28" s="185"/>
      <c r="D28" s="29"/>
      <c r="E28" s="197"/>
      <c r="H28" s="174"/>
      <c r="K28" s="177"/>
    </row>
    <row r="29" spans="1:13" ht="15">
      <c r="A29" s="185"/>
      <c r="B29" s="185"/>
      <c r="C29" s="185"/>
      <c r="D29" s="29"/>
      <c r="E29" s="197"/>
      <c r="H29" s="174"/>
      <c r="I29" s="488">
        <v>106535.53</v>
      </c>
      <c r="J29" s="717"/>
      <c r="K29" s="717">
        <f>J27-L27</f>
        <v>67710.820000000065</v>
      </c>
    </row>
    <row r="30" spans="1:13" ht="15">
      <c r="A30" s="185"/>
      <c r="B30" s="185"/>
      <c r="C30" s="185"/>
      <c r="D30" s="29"/>
      <c r="E30" s="197"/>
      <c r="H30" s="174"/>
    </row>
    <row r="31" spans="1:13" ht="15">
      <c r="A31" s="185"/>
      <c r="B31" s="185"/>
      <c r="C31" s="185"/>
      <c r="D31" s="29"/>
      <c r="E31" s="197"/>
      <c r="H31" s="174"/>
    </row>
    <row r="32" spans="1:13" ht="15">
      <c r="A32" s="185"/>
      <c r="B32" s="185"/>
      <c r="C32" s="185"/>
      <c r="D32" s="29"/>
      <c r="E32" s="197"/>
      <c r="H32" s="174"/>
    </row>
    <row r="33" spans="1:8" ht="15">
      <c r="A33" s="185"/>
      <c r="B33" s="185"/>
      <c r="C33" s="185"/>
      <c r="D33" s="29"/>
      <c r="E33" s="197"/>
      <c r="H33" s="174"/>
    </row>
    <row r="34" spans="1:8" ht="15">
      <c r="A34" s="185"/>
      <c r="B34" s="185"/>
      <c r="C34" s="185"/>
      <c r="D34" s="29"/>
      <c r="E34" s="197"/>
      <c r="H34" s="174"/>
    </row>
    <row r="35" spans="1:8" ht="15">
      <c r="A35" s="185"/>
      <c r="B35" s="185"/>
      <c r="C35" s="185"/>
      <c r="D35" s="29"/>
      <c r="E35" s="197"/>
      <c r="H35" s="174"/>
    </row>
    <row r="36" spans="1:8" ht="15">
      <c r="A36" s="185"/>
      <c r="B36" s="185"/>
      <c r="C36" s="185"/>
      <c r="D36" s="29"/>
      <c r="E36" s="197"/>
      <c r="H36" s="174"/>
    </row>
    <row r="37" spans="1:8" ht="15">
      <c r="A37" s="185"/>
      <c r="B37" s="185"/>
      <c r="C37" s="185"/>
      <c r="D37" s="29"/>
      <c r="E37" s="197"/>
      <c r="H37" s="174"/>
    </row>
    <row r="38" spans="1:8" ht="15">
      <c r="A38" s="185"/>
      <c r="B38" s="185"/>
      <c r="C38" s="185"/>
      <c r="D38" s="29"/>
      <c r="E38" s="197"/>
      <c r="H38" s="174"/>
    </row>
    <row r="39" spans="1:8" ht="15">
      <c r="A39" s="185"/>
      <c r="B39" s="185"/>
      <c r="C39" s="185"/>
      <c r="D39" s="29"/>
      <c r="E39" s="197"/>
    </row>
    <row r="40" spans="1:8" ht="15">
      <c r="A40" s="185"/>
      <c r="B40" s="185"/>
      <c r="C40" s="185"/>
      <c r="D40" s="29"/>
      <c r="E40" s="197"/>
    </row>
    <row r="41" spans="1:8" ht="15">
      <c r="A41" s="185"/>
      <c r="B41" s="185"/>
      <c r="C41" s="185"/>
      <c r="D41" s="29"/>
      <c r="E41" s="197"/>
      <c r="H41" s="174"/>
    </row>
    <row r="42" spans="1:8" ht="15">
      <c r="A42" s="185"/>
      <c r="B42" s="185"/>
      <c r="C42" s="185"/>
      <c r="D42" s="29"/>
      <c r="E42" s="197"/>
      <c r="H42" s="174"/>
    </row>
    <row r="43" spans="1:8" ht="15">
      <c r="A43" s="185"/>
      <c r="B43" s="185"/>
      <c r="C43" s="185"/>
      <c r="D43" s="29"/>
      <c r="E43" s="197"/>
      <c r="H43" s="174"/>
    </row>
    <row r="44" spans="1:8" ht="15">
      <c r="A44" s="185"/>
      <c r="B44" s="185"/>
      <c r="C44" s="185"/>
      <c r="D44" s="29"/>
      <c r="E44" s="197"/>
      <c r="H44" s="174"/>
    </row>
    <row r="45" spans="1:8" ht="15">
      <c r="A45" s="185"/>
      <c r="B45" s="185"/>
      <c r="C45" s="185"/>
      <c r="D45" s="29"/>
      <c r="E45" s="197"/>
      <c r="H45" s="174"/>
    </row>
    <row r="46" spans="1:8" ht="15">
      <c r="A46" s="185"/>
      <c r="B46" s="185"/>
      <c r="C46" s="185"/>
      <c r="D46" s="29"/>
      <c r="E46" s="197"/>
      <c r="H46" s="174"/>
    </row>
    <row r="47" spans="1:8" ht="15">
      <c r="A47" s="185"/>
      <c r="B47" s="185"/>
      <c r="C47" s="185"/>
      <c r="D47" s="29"/>
      <c r="E47" s="197"/>
      <c r="H47" s="174"/>
    </row>
    <row r="48" spans="1:8" ht="15">
      <c r="A48" s="185"/>
      <c r="B48" s="185"/>
      <c r="C48" s="185"/>
      <c r="D48" s="29"/>
      <c r="E48" s="197"/>
      <c r="H48" s="174"/>
    </row>
    <row r="49" spans="1:8" ht="15">
      <c r="A49" s="185"/>
      <c r="B49" s="185"/>
      <c r="C49" s="185"/>
      <c r="D49" s="29"/>
      <c r="E49" s="197"/>
      <c r="H49" s="174"/>
    </row>
    <row r="50" spans="1:8" ht="15">
      <c r="A50" s="185"/>
      <c r="B50" s="185"/>
      <c r="C50" s="185"/>
      <c r="D50" s="29"/>
      <c r="E50" s="197"/>
      <c r="H50" s="174"/>
    </row>
    <row r="51" spans="1:8" ht="15">
      <c r="A51" s="185"/>
      <c r="B51" s="185"/>
      <c r="C51" s="185"/>
      <c r="D51" s="29"/>
      <c r="E51" s="197"/>
      <c r="H51" s="174"/>
    </row>
    <row r="52" spans="1:8" ht="15">
      <c r="A52" s="185"/>
      <c r="B52" s="185"/>
      <c r="C52" s="185"/>
      <c r="D52" s="29"/>
      <c r="E52" s="197"/>
      <c r="H52" s="174"/>
    </row>
    <row r="53" spans="1:8" ht="15">
      <c r="A53" s="185"/>
      <c r="B53" s="185"/>
      <c r="C53" s="185"/>
      <c r="D53" s="29"/>
      <c r="E53" s="197"/>
      <c r="H53" s="174"/>
    </row>
    <row r="54" spans="1:8" ht="15">
      <c r="A54" s="185"/>
      <c r="B54" s="185"/>
      <c r="C54" s="185"/>
      <c r="D54" s="29"/>
      <c r="E54" s="197"/>
      <c r="H54" s="174"/>
    </row>
    <row r="55" spans="1:8" ht="15">
      <c r="A55" s="185"/>
      <c r="B55" s="185"/>
      <c r="C55" s="185"/>
      <c r="D55" s="29"/>
      <c r="E55" s="197"/>
      <c r="H55" s="174"/>
    </row>
    <row r="56" spans="1:8" ht="15">
      <c r="A56" s="185"/>
      <c r="B56" s="185"/>
      <c r="C56" s="185"/>
      <c r="D56" s="29"/>
      <c r="E56" s="197"/>
      <c r="H56" s="174"/>
    </row>
    <row r="57" spans="1:8" ht="15">
      <c r="A57" s="185"/>
      <c r="B57" s="185"/>
      <c r="C57" s="185"/>
      <c r="D57" s="29"/>
      <c r="E57" s="197"/>
      <c r="H57" s="174"/>
    </row>
    <row r="58" spans="1:8" ht="15">
      <c r="A58" s="185"/>
      <c r="B58" s="185"/>
      <c r="C58" s="185"/>
      <c r="D58" s="29"/>
      <c r="E58" s="197"/>
      <c r="H58" s="174"/>
    </row>
    <row r="59" spans="1:8" ht="15">
      <c r="A59" s="185"/>
      <c r="B59" s="185"/>
      <c r="C59" s="185"/>
      <c r="D59" s="29"/>
      <c r="E59" s="197"/>
      <c r="H59" s="174"/>
    </row>
    <row r="60" spans="1:8" ht="15">
      <c r="A60" s="30"/>
      <c r="B60" s="30"/>
      <c r="C60" s="30"/>
      <c r="D60" s="29"/>
      <c r="E60" s="30"/>
      <c r="G60" s="644"/>
      <c r="H60" s="90"/>
    </row>
    <row r="61" spans="1:8" ht="15">
      <c r="A61" s="185"/>
      <c r="B61" s="185"/>
      <c r="C61" s="184"/>
      <c r="D61" s="29"/>
      <c r="E61" s="185"/>
      <c r="F61" s="153"/>
      <c r="G61" s="639"/>
      <c r="H61" s="174"/>
    </row>
    <row r="62" spans="1:8" ht="15">
      <c r="A62" s="185"/>
      <c r="B62" s="185"/>
      <c r="C62" s="184"/>
      <c r="D62" s="29"/>
      <c r="E62" s="185"/>
      <c r="F62" s="153"/>
      <c r="G62" s="639"/>
      <c r="H62" s="174"/>
    </row>
    <row r="63" spans="1:8" ht="15">
      <c r="A63" s="185"/>
      <c r="B63" s="185"/>
      <c r="C63" s="184"/>
      <c r="D63" s="29"/>
      <c r="E63" s="185"/>
      <c r="G63" s="175"/>
      <c r="H63" s="174"/>
    </row>
    <row r="64" spans="1:8" ht="15">
      <c r="A64" s="185"/>
      <c r="B64" s="185"/>
      <c r="C64" s="184"/>
      <c r="D64" s="29"/>
      <c r="E64" s="185"/>
      <c r="F64" s="153"/>
      <c r="G64" s="639"/>
      <c r="H64" s="174"/>
    </row>
    <row r="65" spans="1:8" ht="15">
      <c r="A65" s="185"/>
      <c r="B65" s="185"/>
      <c r="C65" s="184"/>
      <c r="D65" s="29"/>
      <c r="E65" s="185"/>
      <c r="F65" s="153"/>
      <c r="G65" s="639"/>
      <c r="H65" s="174"/>
    </row>
    <row r="66" spans="1:8" ht="15">
      <c r="A66" s="185"/>
      <c r="B66" s="185"/>
      <c r="C66" s="184"/>
      <c r="D66" s="29"/>
      <c r="E66" s="185"/>
      <c r="F66" s="153"/>
      <c r="G66" s="639"/>
      <c r="H66" s="174"/>
    </row>
    <row r="67" spans="1:8" ht="15">
      <c r="A67" s="185"/>
      <c r="B67" s="185"/>
      <c r="C67" s="184"/>
      <c r="D67" s="29"/>
      <c r="E67" s="185"/>
      <c r="H67" s="174"/>
    </row>
    <row r="68" spans="1:8" ht="15">
      <c r="A68" s="185"/>
      <c r="B68" s="185"/>
      <c r="C68" s="184"/>
      <c r="D68" s="29"/>
      <c r="E68" s="185"/>
      <c r="H68" s="174"/>
    </row>
    <row r="69" spans="1:8" ht="15">
      <c r="A69" s="185"/>
      <c r="B69" s="185"/>
      <c r="C69" s="184"/>
      <c r="D69" s="29"/>
      <c r="E69" s="185"/>
      <c r="H69" s="174"/>
    </row>
    <row r="70" spans="1:8" ht="15">
      <c r="A70" s="185"/>
      <c r="B70" s="185"/>
      <c r="C70" s="184"/>
      <c r="D70" s="29"/>
      <c r="E70" s="185"/>
      <c r="H70" s="174"/>
    </row>
    <row r="71" spans="1:8" ht="15">
      <c r="A71" s="30"/>
      <c r="B71" s="30"/>
      <c r="C71" s="30"/>
      <c r="D71" s="29"/>
      <c r="E71" s="30"/>
      <c r="G71" s="644"/>
      <c r="H71" s="90"/>
    </row>
    <row r="72" spans="1:8" ht="15">
      <c r="A72" s="185"/>
      <c r="B72" s="184"/>
      <c r="C72" s="184"/>
      <c r="D72" s="29"/>
      <c r="E72" s="185"/>
      <c r="F72" s="153"/>
      <c r="G72" s="639"/>
      <c r="H72" s="174"/>
    </row>
    <row r="73" spans="1:8" ht="15">
      <c r="A73" s="185"/>
      <c r="B73" s="184"/>
      <c r="C73" s="184"/>
      <c r="D73" s="29"/>
      <c r="E73" s="185"/>
      <c r="F73" s="153"/>
      <c r="G73" s="639"/>
      <c r="H73" s="174"/>
    </row>
    <row r="74" spans="1:8" ht="15">
      <c r="A74" s="185"/>
      <c r="B74" s="184"/>
      <c r="C74" s="184"/>
      <c r="D74" s="29"/>
      <c r="E74" s="185"/>
      <c r="F74" s="153"/>
      <c r="G74" s="639"/>
      <c r="H74" s="174"/>
    </row>
    <row r="75" spans="1:8" ht="15">
      <c r="A75" s="185"/>
      <c r="B75" s="184"/>
      <c r="C75" s="184"/>
      <c r="D75" s="29"/>
      <c r="E75" s="185"/>
      <c r="F75" s="153"/>
      <c r="G75" s="639"/>
      <c r="H75" s="174"/>
    </row>
    <row r="76" spans="1:8" ht="15">
      <c r="A76" s="185"/>
      <c r="B76" s="184"/>
      <c r="C76" s="184"/>
      <c r="D76" s="29"/>
      <c r="E76" s="185"/>
      <c r="H76" s="174"/>
    </row>
    <row r="77" spans="1:8" ht="15">
      <c r="A77" s="185"/>
      <c r="B77" s="184"/>
      <c r="C77" s="184"/>
      <c r="D77" s="29"/>
      <c r="E77" s="185"/>
      <c r="H77" s="174"/>
    </row>
    <row r="78" spans="1:8" ht="15">
      <c r="A78" s="30"/>
      <c r="B78" s="30"/>
      <c r="C78" s="30"/>
      <c r="D78" s="29"/>
      <c r="E78" s="30"/>
      <c r="G78" s="644"/>
      <c r="H78" s="90"/>
    </row>
    <row r="79" spans="1:8" ht="15">
      <c r="A79" s="185"/>
      <c r="B79" s="184"/>
      <c r="C79" s="184"/>
      <c r="D79" s="29"/>
      <c r="E79" s="185"/>
      <c r="F79" s="153"/>
      <c r="G79" s="639"/>
      <c r="H79" s="174"/>
    </row>
    <row r="80" spans="1:8" ht="15">
      <c r="A80" s="185"/>
      <c r="B80" s="184"/>
      <c r="C80" s="184"/>
      <c r="D80" s="29"/>
      <c r="E80" s="185"/>
      <c r="F80" s="153"/>
      <c r="G80" s="639"/>
      <c r="H80" s="174"/>
    </row>
    <row r="81" spans="1:8" ht="15">
      <c r="A81" s="185"/>
      <c r="B81" s="184"/>
      <c r="C81" s="184"/>
      <c r="D81" s="29"/>
      <c r="E81" s="185"/>
      <c r="H81" s="174"/>
    </row>
    <row r="82" spans="1:8" ht="15">
      <c r="A82" s="185"/>
      <c r="B82" s="184"/>
      <c r="C82" s="184"/>
      <c r="D82" s="29"/>
      <c r="E82" s="185"/>
      <c r="F82" s="153"/>
      <c r="G82" s="639"/>
      <c r="H82" s="174"/>
    </row>
    <row r="83" spans="1:8" ht="15">
      <c r="A83" s="185"/>
      <c r="B83" s="184"/>
      <c r="C83" s="184"/>
      <c r="D83" s="29"/>
      <c r="E83" s="185"/>
      <c r="F83" s="153"/>
      <c r="G83" s="639"/>
      <c r="H83" s="174"/>
    </row>
    <row r="84" spans="1:8" ht="15">
      <c r="A84" s="185"/>
      <c r="B84" s="184"/>
      <c r="C84" s="184"/>
      <c r="D84" s="29"/>
      <c r="E84" s="185"/>
      <c r="H84" s="174"/>
    </row>
    <row r="85" spans="1:8" ht="15">
      <c r="A85" s="185"/>
      <c r="B85" s="184"/>
      <c r="C85" s="184"/>
      <c r="D85" s="29"/>
      <c r="E85" s="185"/>
      <c r="H85" s="174"/>
    </row>
    <row r="86" spans="1:8" ht="15">
      <c r="A86" s="185"/>
      <c r="B86" s="184"/>
      <c r="C86" s="184"/>
      <c r="D86" s="29"/>
      <c r="E86" s="185"/>
      <c r="H86" s="174"/>
    </row>
    <row r="87" spans="1:8" ht="15">
      <c r="A87" s="185"/>
      <c r="B87" s="184"/>
      <c r="C87" s="184"/>
      <c r="D87" s="29"/>
      <c r="E87" s="185"/>
      <c r="H87" s="174"/>
    </row>
    <row r="88" spans="1:8" ht="15">
      <c r="A88" s="185"/>
      <c r="B88" s="184"/>
      <c r="C88" s="184"/>
      <c r="D88" s="29"/>
      <c r="E88" s="185"/>
      <c r="H88" s="174"/>
    </row>
    <row r="89" spans="1:8" ht="15">
      <c r="A89" s="185"/>
      <c r="B89" s="184"/>
      <c r="C89" s="184"/>
      <c r="D89" s="29"/>
      <c r="E89" s="185"/>
      <c r="H89" s="174"/>
    </row>
    <row r="90" spans="1:8" ht="15">
      <c r="A90" s="185"/>
      <c r="B90" s="184"/>
      <c r="C90" s="184"/>
      <c r="D90" s="29"/>
      <c r="E90" s="185"/>
      <c r="H90" s="174"/>
    </row>
    <row r="91" spans="1:8" ht="15">
      <c r="A91" s="185"/>
      <c r="B91" s="184"/>
      <c r="C91" s="184"/>
      <c r="D91" s="29"/>
      <c r="E91" s="185"/>
      <c r="H91" s="174"/>
    </row>
    <row r="92" spans="1:8" ht="15">
      <c r="A92" s="185"/>
      <c r="B92" s="184"/>
      <c r="C92" s="184"/>
      <c r="D92" s="29"/>
      <c r="E92" s="185"/>
      <c r="H92" s="174"/>
    </row>
    <row r="93" spans="1:8" ht="15">
      <c r="A93" s="185"/>
      <c r="B93" s="184"/>
      <c r="C93" s="184"/>
      <c r="D93" s="29"/>
      <c r="E93" s="185"/>
      <c r="H93" s="174"/>
    </row>
    <row r="94" spans="1:8" ht="15">
      <c r="A94" s="185"/>
      <c r="B94" s="184"/>
      <c r="C94" s="184"/>
      <c r="D94" s="29"/>
      <c r="E94" s="185"/>
      <c r="G94" s="175"/>
      <c r="H94" s="174"/>
    </row>
    <row r="95" spans="1:8" ht="15">
      <c r="A95" s="30"/>
      <c r="B95" s="30"/>
      <c r="C95" s="30"/>
      <c r="D95" s="85"/>
      <c r="E95" s="30"/>
      <c r="G95" s="644"/>
      <c r="H95" s="90"/>
    </row>
    <row r="96" spans="1:8" ht="15">
      <c r="A96" s="30"/>
      <c r="B96" s="30"/>
      <c r="C96" s="30"/>
      <c r="D96" s="85"/>
      <c r="E96" s="30"/>
      <c r="G96" s="645"/>
      <c r="H96" s="90"/>
    </row>
  </sheetData>
  <mergeCells count="10">
    <mergeCell ref="A8:F8"/>
    <mergeCell ref="G8:G9"/>
    <mergeCell ref="H8:H9"/>
    <mergeCell ref="A27:G27"/>
    <mergeCell ref="A1:H1"/>
    <mergeCell ref="A2:H2"/>
    <mergeCell ref="A3:H3"/>
    <mergeCell ref="A4:H4"/>
    <mergeCell ref="A5:H6"/>
    <mergeCell ref="A7:H7"/>
  </mergeCells>
  <pageMargins left="0.83" right="0.12" top="0.75" bottom="0.75" header="0.3" footer="0.3"/>
  <pageSetup paperSize="9" orientation="portrait" horizontalDpi="360" verticalDpi="360"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S32"/>
  <sheetViews>
    <sheetView workbookViewId="0">
      <selection activeCell="A8" sqref="A8:H8"/>
    </sheetView>
  </sheetViews>
  <sheetFormatPr baseColWidth="10" defaultRowHeight="12.75"/>
  <cols>
    <col min="1" max="1" width="4.5703125" customWidth="1"/>
    <col min="2" max="2" width="6.28515625" customWidth="1"/>
    <col min="3" max="3" width="5.140625" customWidth="1"/>
    <col min="4" max="4" width="6.28515625" customWidth="1"/>
    <col min="5" max="5" width="8" customWidth="1"/>
    <col min="6" max="6" width="9" customWidth="1"/>
    <col min="7" max="7" width="43.42578125" customWidth="1"/>
    <col min="8" max="8" width="16.7109375" customWidth="1"/>
    <col min="9" max="9" width="11.85546875" bestFit="1" customWidth="1"/>
  </cols>
  <sheetData>
    <row r="1" spans="1:19" ht="18">
      <c r="A1" s="21"/>
      <c r="B1" s="198"/>
      <c r="C1" s="161"/>
      <c r="D1" s="161"/>
      <c r="E1" s="161"/>
      <c r="F1" s="161"/>
      <c r="G1" s="161"/>
      <c r="H1" s="199"/>
    </row>
    <row r="2" spans="1:19" ht="18.75">
      <c r="A2" s="2217" t="s">
        <v>111</v>
      </c>
      <c r="B2" s="2217"/>
      <c r="C2" s="2217"/>
      <c r="D2" s="2217"/>
      <c r="E2" s="2217"/>
      <c r="F2" s="2217"/>
      <c r="G2" s="2217"/>
      <c r="H2" s="2217"/>
      <c r="I2" s="31"/>
      <c r="J2" s="31"/>
      <c r="K2" s="31"/>
    </row>
    <row r="3" spans="1:19" ht="18.75">
      <c r="A3" s="2217" t="s">
        <v>110</v>
      </c>
      <c r="B3" s="2217"/>
      <c r="C3" s="2217"/>
      <c r="D3" s="2217"/>
      <c r="E3" s="2217"/>
      <c r="F3" s="2217"/>
      <c r="G3" s="2217"/>
      <c r="H3" s="2217"/>
      <c r="I3" s="31"/>
      <c r="J3" s="31"/>
      <c r="K3" s="31"/>
    </row>
    <row r="4" spans="1:19" ht="18.75">
      <c r="A4" s="2185" t="s">
        <v>1013</v>
      </c>
      <c r="B4" s="2217"/>
      <c r="C4" s="2217"/>
      <c r="D4" s="2217"/>
      <c r="E4" s="2217"/>
      <c r="F4" s="2217"/>
      <c r="G4" s="2217"/>
      <c r="H4" s="2217"/>
    </row>
    <row r="5" spans="1:19" ht="18.75">
      <c r="A5" s="2185" t="s">
        <v>32</v>
      </c>
      <c r="B5" s="2164"/>
      <c r="C5" s="2164"/>
      <c r="D5" s="2164"/>
      <c r="E5" s="2164"/>
      <c r="F5" s="2164"/>
      <c r="G5" s="2164"/>
      <c r="H5" s="2164"/>
    </row>
    <row r="6" spans="1:19" ht="18.75" customHeight="1">
      <c r="A6" s="2220" t="s">
        <v>50</v>
      </c>
      <c r="B6" s="2220"/>
      <c r="C6" s="2220"/>
      <c r="D6" s="2220"/>
      <c r="E6" s="2220"/>
      <c r="F6" s="2220"/>
      <c r="G6" s="2220"/>
      <c r="H6" s="2220"/>
    </row>
    <row r="7" spans="1:19" ht="15">
      <c r="A7" s="2224" t="s">
        <v>1524</v>
      </c>
      <c r="B7" s="2224"/>
      <c r="C7" s="2224"/>
      <c r="D7" s="2224"/>
      <c r="E7" s="2224"/>
      <c r="F7" s="2224"/>
      <c r="G7" s="2224"/>
      <c r="H7" s="2224"/>
    </row>
    <row r="8" spans="1:19" ht="15.75" customHeight="1">
      <c r="A8" s="2224" t="s">
        <v>1525</v>
      </c>
      <c r="B8" s="2224"/>
      <c r="C8" s="2224"/>
      <c r="D8" s="2224"/>
      <c r="E8" s="2224"/>
      <c r="F8" s="2224"/>
      <c r="G8" s="2224"/>
      <c r="H8" s="2224"/>
    </row>
    <row r="9" spans="1:19" ht="24" customHeight="1">
      <c r="A9" s="2221" t="s">
        <v>29</v>
      </c>
      <c r="B9" s="2221"/>
      <c r="C9" s="2221"/>
      <c r="D9" s="2221"/>
      <c r="E9" s="2221"/>
      <c r="F9" s="2221"/>
      <c r="G9" s="2222" t="s">
        <v>44</v>
      </c>
      <c r="H9" s="2223" t="s">
        <v>51</v>
      </c>
    </row>
    <row r="10" spans="1:19" ht="59.25" customHeight="1">
      <c r="A10" s="1839" t="s">
        <v>39</v>
      </c>
      <c r="B10" s="1840" t="s">
        <v>216</v>
      </c>
      <c r="C10" s="1839" t="s">
        <v>41</v>
      </c>
      <c r="D10" s="1839" t="s">
        <v>45</v>
      </c>
      <c r="E10" s="1839" t="s">
        <v>42</v>
      </c>
      <c r="F10" s="1839" t="s">
        <v>43</v>
      </c>
      <c r="G10" s="2222"/>
      <c r="H10" s="2223"/>
      <c r="S10" s="658"/>
    </row>
    <row r="11" spans="1:19" ht="20.25" customHeight="1" thickBot="1">
      <c r="A11" s="1841">
        <v>5</v>
      </c>
      <c r="B11" s="1842" t="s">
        <v>68</v>
      </c>
      <c r="C11" s="1842" t="s">
        <v>59</v>
      </c>
      <c r="D11" s="1842" t="s">
        <v>62</v>
      </c>
      <c r="E11" s="1842" t="s">
        <v>65</v>
      </c>
      <c r="F11" s="1843" t="s">
        <v>105</v>
      </c>
      <c r="G11" s="1844" t="s">
        <v>108</v>
      </c>
      <c r="H11" s="1845"/>
    </row>
    <row r="12" spans="1:19" ht="20.25" customHeight="1">
      <c r="A12" s="1846">
        <v>5</v>
      </c>
      <c r="B12" s="1847" t="s">
        <v>68</v>
      </c>
      <c r="C12" s="1847" t="s">
        <v>59</v>
      </c>
      <c r="D12" s="1847" t="s">
        <v>62</v>
      </c>
      <c r="E12" s="1847" t="s">
        <v>65</v>
      </c>
      <c r="F12" s="1848" t="s">
        <v>107</v>
      </c>
      <c r="G12" s="1849" t="s">
        <v>109</v>
      </c>
      <c r="H12" s="1850"/>
      <c r="I12" s="488">
        <v>10668.58</v>
      </c>
    </row>
    <row r="13" spans="1:19" ht="20.25" customHeight="1">
      <c r="A13" s="1846">
        <v>5</v>
      </c>
      <c r="B13" s="1847" t="s">
        <v>68</v>
      </c>
      <c r="C13" s="1847" t="s">
        <v>59</v>
      </c>
      <c r="D13" s="1847" t="s">
        <v>62</v>
      </c>
      <c r="E13" s="1847" t="s">
        <v>65</v>
      </c>
      <c r="F13" s="1848" t="s">
        <v>106</v>
      </c>
      <c r="G13" s="1851" t="s">
        <v>109</v>
      </c>
      <c r="H13" s="1852"/>
      <c r="I13" s="488">
        <v>73774.899999999994</v>
      </c>
    </row>
    <row r="14" spans="1:19" ht="19.5" customHeight="1" thickBot="1">
      <c r="A14" s="2226" t="s">
        <v>889</v>
      </c>
      <c r="B14" s="2227"/>
      <c r="C14" s="2227"/>
      <c r="D14" s="2227"/>
      <c r="E14" s="2227"/>
      <c r="F14" s="2227"/>
      <c r="G14" s="2228"/>
      <c r="H14" s="1853">
        <f>SUM(H11:H13)</f>
        <v>0</v>
      </c>
    </row>
    <row r="15" spans="1:19" ht="24" customHeight="1">
      <c r="A15" s="657"/>
      <c r="B15" s="200"/>
      <c r="C15" s="201"/>
      <c r="D15" s="202"/>
      <c r="E15" s="202"/>
      <c r="F15" s="202"/>
      <c r="G15" s="21"/>
      <c r="H15" s="203"/>
    </row>
    <row r="16" spans="1:19" ht="18">
      <c r="A16" s="2225"/>
      <c r="B16" s="2225"/>
      <c r="C16" s="2225"/>
      <c r="D16" s="2225"/>
      <c r="E16" s="2225"/>
      <c r="F16" s="2225"/>
      <c r="G16" s="21"/>
      <c r="H16" s="203"/>
    </row>
    <row r="17" spans="1:8" ht="15">
      <c r="A17" s="2219"/>
      <c r="B17" s="2219"/>
      <c r="C17" s="2219"/>
      <c r="D17" s="2219"/>
      <c r="E17" s="2219"/>
      <c r="F17" s="2219"/>
      <c r="G17" s="2219"/>
      <c r="H17" s="203"/>
    </row>
    <row r="18" spans="1:8" ht="15">
      <c r="A18" s="2219"/>
      <c r="B18" s="2219"/>
      <c r="C18" s="2219"/>
      <c r="D18" s="2219"/>
      <c r="E18" s="2219"/>
      <c r="F18" s="2219"/>
      <c r="G18" s="2219"/>
      <c r="H18" s="203"/>
    </row>
    <row r="19" spans="1:8" ht="15">
      <c r="A19" s="200"/>
      <c r="B19" s="200"/>
      <c r="C19" s="201"/>
      <c r="D19" s="202"/>
      <c r="E19" s="202"/>
      <c r="F19" s="202"/>
      <c r="G19" s="21"/>
      <c r="H19" s="203"/>
    </row>
    <row r="20" spans="1:8" ht="15">
      <c r="A20" s="200"/>
      <c r="B20" s="200"/>
      <c r="C20" s="201"/>
      <c r="D20" s="202"/>
      <c r="E20" s="202"/>
      <c r="F20" s="202"/>
      <c r="G20" s="21"/>
      <c r="H20" s="203"/>
    </row>
    <row r="21" spans="1:8" ht="18">
      <c r="A21" s="204"/>
      <c r="B21" s="205"/>
      <c r="C21" s="201"/>
      <c r="D21" s="202"/>
      <c r="E21" s="202"/>
      <c r="F21" s="202"/>
      <c r="G21" s="21"/>
      <c r="H21" s="203"/>
    </row>
    <row r="22" spans="1:8" ht="18">
      <c r="A22" s="204"/>
      <c r="B22" s="205"/>
      <c r="C22" s="201"/>
      <c r="D22" s="202"/>
      <c r="E22" s="202"/>
      <c r="F22" s="202"/>
      <c r="G22" s="21"/>
      <c r="H22" s="203"/>
    </row>
    <row r="23" spans="1:8" ht="15">
      <c r="A23" s="206"/>
      <c r="B23" s="160"/>
      <c r="C23" s="201"/>
      <c r="D23" s="202"/>
      <c r="E23" s="202"/>
      <c r="F23" s="202"/>
      <c r="G23" s="21"/>
      <c r="H23" s="203"/>
    </row>
    <row r="24" spans="1:8" ht="15">
      <c r="A24" s="206"/>
      <c r="B24" s="200"/>
      <c r="C24" s="201"/>
      <c r="D24" s="202"/>
      <c r="E24" s="202"/>
      <c r="F24" s="202"/>
      <c r="G24" s="21"/>
      <c r="H24" s="203"/>
    </row>
    <row r="25" spans="1:8" ht="15">
      <c r="A25" s="206"/>
      <c r="B25" s="200"/>
      <c r="C25" s="201"/>
      <c r="D25" s="202"/>
      <c r="E25" s="202"/>
      <c r="F25" s="202"/>
      <c r="G25" s="21"/>
      <c r="H25" s="203"/>
    </row>
    <row r="26" spans="1:8" ht="15">
      <c r="A26" s="206"/>
      <c r="B26" s="200"/>
      <c r="C26" s="201"/>
      <c r="D26" s="202"/>
      <c r="E26" s="202"/>
      <c r="F26" s="202"/>
      <c r="G26" s="21"/>
      <c r="H26" s="203"/>
    </row>
    <row r="27" spans="1:8" ht="15">
      <c r="A27" s="206"/>
      <c r="B27" s="200"/>
      <c r="C27" s="201"/>
      <c r="D27" s="202"/>
      <c r="E27" s="202"/>
      <c r="F27" s="202"/>
      <c r="G27" s="21"/>
      <c r="H27" s="203"/>
    </row>
    <row r="28" spans="1:8" ht="15">
      <c r="A28" s="206"/>
      <c r="B28" s="200"/>
      <c r="C28" s="201"/>
      <c r="D28" s="202"/>
      <c r="E28" s="202"/>
      <c r="F28" s="202"/>
      <c r="G28" s="21"/>
      <c r="H28" s="203"/>
    </row>
    <row r="29" spans="1:8" ht="15">
      <c r="A29" s="206"/>
      <c r="B29" s="200"/>
      <c r="C29" s="201"/>
      <c r="D29" s="202"/>
      <c r="E29" s="202"/>
      <c r="F29" s="202"/>
      <c r="G29" s="21"/>
      <c r="H29" s="203"/>
    </row>
    <row r="30" spans="1:8" ht="15">
      <c r="A30" s="207"/>
      <c r="B30" s="200"/>
      <c r="C30" s="201"/>
      <c r="D30" s="202"/>
      <c r="E30" s="202"/>
      <c r="F30" s="202"/>
      <c r="G30" s="21"/>
      <c r="H30" s="203"/>
    </row>
    <row r="31" spans="1:8" ht="15">
      <c r="A31" s="207"/>
      <c r="B31" s="200"/>
      <c r="C31" s="201"/>
      <c r="D31" s="202"/>
      <c r="E31" s="202"/>
      <c r="F31" s="202"/>
      <c r="G31" s="21"/>
      <c r="H31" s="203"/>
    </row>
    <row r="32" spans="1:8" ht="15">
      <c r="A32" s="47"/>
      <c r="B32" s="200"/>
      <c r="C32" s="201"/>
      <c r="D32" s="202"/>
      <c r="E32" s="202"/>
      <c r="F32" s="202"/>
      <c r="G32" s="21"/>
      <c r="H32" s="203"/>
    </row>
  </sheetData>
  <mergeCells count="14">
    <mergeCell ref="A18:G18"/>
    <mergeCell ref="A2:H2"/>
    <mergeCell ref="A3:H3"/>
    <mergeCell ref="A5:H5"/>
    <mergeCell ref="A6:H6"/>
    <mergeCell ref="A9:F9"/>
    <mergeCell ref="G9:G10"/>
    <mergeCell ref="H9:H10"/>
    <mergeCell ref="A4:H4"/>
    <mergeCell ref="A8:H8"/>
    <mergeCell ref="A16:F16"/>
    <mergeCell ref="A17:G17"/>
    <mergeCell ref="A7:H7"/>
    <mergeCell ref="A14:G14"/>
  </mergeCells>
  <phoneticPr fontId="11" type="noConversion"/>
  <pageMargins left="0.85" right="0.11811023622047245" top="1.1399999999999999" bottom="0.27559055118110237" header="0.11811023622047245" footer="0"/>
  <pageSetup scale="95" orientation="portrait" verticalDpi="300" r:id="rId1"/>
  <headerFooter alignWithMargins="0"/>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2F0BB5"/>
  </sheetPr>
  <dimension ref="A1:R226"/>
  <sheetViews>
    <sheetView topLeftCell="A46" zoomScale="98" zoomScaleNormal="98" workbookViewId="0">
      <selection activeCell="B12" sqref="B12"/>
    </sheetView>
  </sheetViews>
  <sheetFormatPr baseColWidth="10" defaultRowHeight="12.75"/>
  <cols>
    <col min="1" max="1" width="12.42578125" customWidth="1"/>
    <col min="2" max="2" width="73" customWidth="1"/>
    <col min="3" max="3" width="17" customWidth="1"/>
    <col min="4" max="4" width="12" customWidth="1"/>
    <col min="5" max="5" width="14.7109375" customWidth="1"/>
    <col min="6" max="6" width="16.28515625" customWidth="1"/>
    <col min="7" max="8" width="15" customWidth="1"/>
    <col min="9" max="9" width="15.140625" customWidth="1"/>
    <col min="10" max="10" width="13.5703125" customWidth="1"/>
    <col min="11" max="11" width="15.140625" customWidth="1"/>
    <col min="15" max="15" width="13.42578125" customWidth="1"/>
  </cols>
  <sheetData>
    <row r="1" spans="1:18" ht="61.5" customHeight="1" thickBot="1">
      <c r="A1" s="2238" t="s">
        <v>1215</v>
      </c>
      <c r="B1" s="2239"/>
      <c r="C1" s="2239"/>
      <c r="D1" s="2239"/>
      <c r="E1" s="2239"/>
      <c r="F1" s="2239"/>
      <c r="G1" s="2239"/>
      <c r="H1" s="2239"/>
      <c r="I1" s="2239"/>
      <c r="J1" s="2239"/>
      <c r="K1" s="2239"/>
    </row>
    <row r="2" spans="1:18" ht="76.5" customHeight="1" thickBot="1">
      <c r="A2" s="1585" t="s">
        <v>217</v>
      </c>
      <c r="B2" s="1586" t="s">
        <v>218</v>
      </c>
      <c r="C2" s="1663" t="s">
        <v>219</v>
      </c>
      <c r="D2" s="1664" t="s">
        <v>220</v>
      </c>
      <c r="E2" s="1665" t="s">
        <v>221</v>
      </c>
      <c r="F2" s="1666" t="s">
        <v>241</v>
      </c>
      <c r="G2" s="1667" t="s">
        <v>242</v>
      </c>
      <c r="H2" s="1668" t="s">
        <v>1243</v>
      </c>
      <c r="I2" s="1672" t="s">
        <v>1244</v>
      </c>
      <c r="J2" s="1666" t="s">
        <v>222</v>
      </c>
      <c r="K2" s="1587" t="s">
        <v>223</v>
      </c>
      <c r="O2" s="1456" t="s">
        <v>974</v>
      </c>
      <c r="R2" t="s">
        <v>513</v>
      </c>
    </row>
    <row r="3" spans="1:18" s="735" customFormat="1" ht="20.25" customHeight="1" thickBot="1">
      <c r="A3" s="1656" t="e">
        <f>-A</f>
        <v>#NAME?</v>
      </c>
      <c r="B3" s="1676" t="s">
        <v>224</v>
      </c>
      <c r="C3" s="1677"/>
      <c r="D3" s="1678" t="s">
        <v>225</v>
      </c>
      <c r="E3" s="1679"/>
      <c r="F3" s="753">
        <f>C3</f>
        <v>0</v>
      </c>
      <c r="G3" s="1680"/>
      <c r="H3" s="1680"/>
      <c r="I3" s="1681"/>
      <c r="J3" s="529"/>
      <c r="K3" s="732">
        <f>SUM(E3:J3)</f>
        <v>0</v>
      </c>
    </row>
    <row r="4" spans="1:18" s="735" customFormat="1" ht="20.25" customHeight="1" thickBot="1">
      <c r="A4" s="1656"/>
      <c r="B4" s="1657" t="s">
        <v>226</v>
      </c>
      <c r="C4" s="753"/>
      <c r="D4" s="1682" t="s">
        <v>225</v>
      </c>
      <c r="E4" s="753"/>
      <c r="F4" s="753">
        <f>C4</f>
        <v>0</v>
      </c>
      <c r="G4" s="1683"/>
      <c r="H4" s="1683"/>
      <c r="I4" s="1683"/>
      <c r="J4" s="1683"/>
      <c r="K4" s="734">
        <f t="shared" ref="K4:K69" si="0">SUM(E4:J4)</f>
        <v>0</v>
      </c>
    </row>
    <row r="5" spans="1:18" s="735" customFormat="1" ht="20.25" customHeight="1" thickBot="1">
      <c r="A5" s="1655"/>
      <c r="B5" s="1658" t="s">
        <v>452</v>
      </c>
      <c r="C5" s="1648"/>
      <c r="D5" s="1682" t="s">
        <v>225</v>
      </c>
      <c r="E5" s="753"/>
      <c r="F5" s="753"/>
      <c r="G5" s="1683"/>
      <c r="H5" s="1683"/>
      <c r="I5" s="1683"/>
      <c r="J5" s="1683"/>
      <c r="K5" s="734">
        <f t="shared" si="0"/>
        <v>0</v>
      </c>
    </row>
    <row r="6" spans="1:18" s="735" customFormat="1" ht="30" customHeight="1" thickBot="1">
      <c r="A6" s="1655"/>
      <c r="B6" s="1659" t="s">
        <v>1530</v>
      </c>
      <c r="C6" s="1648">
        <v>895.8</v>
      </c>
      <c r="D6" s="1682" t="s">
        <v>225</v>
      </c>
      <c r="E6" s="1684">
        <f>C6</f>
        <v>895.8</v>
      </c>
      <c r="F6" s="753"/>
      <c r="G6" s="1683"/>
      <c r="H6" s="1683"/>
      <c r="I6" s="1683"/>
      <c r="J6" s="1683"/>
      <c r="K6" s="734">
        <f t="shared" si="0"/>
        <v>895.8</v>
      </c>
    </row>
    <row r="7" spans="1:18" s="735" customFormat="1" ht="20.25" customHeight="1" thickBot="1">
      <c r="A7" s="744"/>
      <c r="B7" s="1660" t="s">
        <v>227</v>
      </c>
      <c r="C7" s="1648"/>
      <c r="D7" s="1682"/>
      <c r="E7" s="753"/>
      <c r="F7" s="753"/>
      <c r="G7" s="1683"/>
      <c r="H7" s="1683"/>
      <c r="I7" s="1683"/>
      <c r="J7" s="1683"/>
      <c r="K7" s="734">
        <f t="shared" si="0"/>
        <v>0</v>
      </c>
    </row>
    <row r="8" spans="1:18" s="735" customFormat="1" ht="23.25" customHeight="1" thickBot="1">
      <c r="A8" s="744"/>
      <c r="B8" s="1661" t="s">
        <v>1526</v>
      </c>
      <c r="C8" s="1648">
        <v>9878.15</v>
      </c>
      <c r="D8" s="1682" t="s">
        <v>225</v>
      </c>
      <c r="E8" s="753"/>
      <c r="F8" s="1684">
        <f>C8+C9</f>
        <v>9878.15</v>
      </c>
      <c r="G8" s="1683"/>
      <c r="H8" s="1683"/>
      <c r="I8" s="1683"/>
      <c r="J8" s="1683"/>
      <c r="K8" s="734">
        <f t="shared" si="0"/>
        <v>9878.15</v>
      </c>
    </row>
    <row r="9" spans="1:18" s="735" customFormat="1" ht="30.75" hidden="1" customHeight="1" thickBot="1">
      <c r="A9" s="744"/>
      <c r="B9" s="1661" t="s">
        <v>739</v>
      </c>
      <c r="C9" s="753"/>
      <c r="D9" s="1682"/>
      <c r="E9" s="753"/>
      <c r="F9" s="753"/>
      <c r="G9" s="753"/>
      <c r="H9" s="753"/>
      <c r="I9" s="753"/>
      <c r="J9" s="1683"/>
      <c r="K9" s="734">
        <f t="shared" si="0"/>
        <v>0</v>
      </c>
    </row>
    <row r="10" spans="1:18" s="735" customFormat="1" ht="20.25" customHeight="1" thickBot="1">
      <c r="A10" s="744"/>
      <c r="B10" s="1658" t="s">
        <v>228</v>
      </c>
      <c r="C10" s="753"/>
      <c r="D10" s="1682"/>
      <c r="E10" s="753"/>
      <c r="F10" s="753"/>
      <c r="G10" s="753"/>
      <c r="H10" s="753"/>
      <c r="I10" s="753"/>
      <c r="J10" s="1683"/>
      <c r="K10" s="734">
        <f t="shared" si="0"/>
        <v>0</v>
      </c>
    </row>
    <row r="11" spans="1:18" s="735" customFormat="1" ht="20.25" customHeight="1" thickBot="1">
      <c r="A11" s="744"/>
      <c r="B11" s="1661" t="s">
        <v>1531</v>
      </c>
      <c r="C11" s="753">
        <v>48.82</v>
      </c>
      <c r="D11" s="1682"/>
      <c r="E11" s="753"/>
      <c r="F11" s="1683"/>
      <c r="G11" s="1684">
        <f>SUM(C33:C59)+C11+C12</f>
        <v>8733.4699999999993</v>
      </c>
      <c r="H11" s="1684"/>
      <c r="I11" s="1683"/>
      <c r="J11" s="1683"/>
      <c r="K11" s="734">
        <f t="shared" si="0"/>
        <v>8733.4699999999993</v>
      </c>
    </row>
    <row r="12" spans="1:18" s="735" customFormat="1" ht="20.25" customHeight="1" thickBot="1">
      <c r="A12" s="744"/>
      <c r="B12" s="1661" t="s">
        <v>1532</v>
      </c>
      <c r="C12" s="753">
        <v>3.05</v>
      </c>
      <c r="D12" s="1682"/>
      <c r="E12" s="753"/>
      <c r="F12" s="1683"/>
      <c r="G12" s="1684"/>
      <c r="H12" s="1684"/>
      <c r="I12" s="1683"/>
      <c r="J12" s="1683"/>
      <c r="K12" s="734">
        <f t="shared" si="0"/>
        <v>0</v>
      </c>
    </row>
    <row r="13" spans="1:18" s="735" customFormat="1" ht="20.25" customHeight="1" thickBot="1">
      <c r="A13" s="744"/>
      <c r="B13" s="1662" t="s">
        <v>1240</v>
      </c>
      <c r="C13" s="753"/>
      <c r="D13" s="1682"/>
      <c r="E13" s="753"/>
      <c r="F13" s="1683"/>
      <c r="G13" s="1684"/>
      <c r="H13" s="1684"/>
      <c r="I13" s="1683"/>
      <c r="J13" s="1683"/>
      <c r="K13" s="734">
        <f t="shared" si="0"/>
        <v>0</v>
      </c>
    </row>
    <row r="14" spans="1:18" s="735" customFormat="1" ht="20.25" customHeight="1" thickBot="1">
      <c r="A14" s="744"/>
      <c r="B14" s="1671" t="s">
        <v>1527</v>
      </c>
      <c r="C14" s="753">
        <v>46448.65</v>
      </c>
      <c r="D14" s="1682"/>
      <c r="E14" s="753"/>
      <c r="F14" s="1683"/>
      <c r="G14" s="1684"/>
      <c r="H14" s="1684">
        <f>SUM(C14:C17)</f>
        <v>79110.39</v>
      </c>
      <c r="I14" s="1683"/>
      <c r="J14" s="1683"/>
      <c r="K14" s="734">
        <f t="shared" si="0"/>
        <v>79110.39</v>
      </c>
    </row>
    <row r="15" spans="1:18" s="735" customFormat="1" ht="20.25" customHeight="1" thickBot="1">
      <c r="A15" s="989"/>
      <c r="B15" s="1662" t="s">
        <v>1385</v>
      </c>
      <c r="C15" s="753">
        <v>31446.45</v>
      </c>
      <c r="D15" s="1682"/>
      <c r="E15" s="753"/>
      <c r="F15" s="1683"/>
      <c r="G15" s="1684"/>
      <c r="H15" s="1684"/>
      <c r="I15" s="1683"/>
      <c r="J15" s="1683"/>
      <c r="K15" s="734">
        <f t="shared" si="0"/>
        <v>0</v>
      </c>
    </row>
    <row r="16" spans="1:18" s="735" customFormat="1" ht="20.25" customHeight="1" thickBot="1">
      <c r="A16" s="989"/>
      <c r="B16" s="1671" t="s">
        <v>1391</v>
      </c>
      <c r="C16" s="753">
        <v>1215.29</v>
      </c>
      <c r="D16" s="1682"/>
      <c r="E16" s="753"/>
      <c r="F16" s="1683"/>
      <c r="G16" s="1684"/>
      <c r="H16" s="1684"/>
      <c r="I16" s="1683"/>
      <c r="J16" s="1683"/>
      <c r="K16" s="734">
        <f t="shared" si="0"/>
        <v>0</v>
      </c>
    </row>
    <row r="17" spans="1:15" s="735" customFormat="1" ht="20.25" customHeight="1" thickBot="1">
      <c r="A17" s="1655"/>
      <c r="C17" s="753"/>
      <c r="D17" s="1682"/>
      <c r="E17" s="753"/>
      <c r="F17" s="1683"/>
      <c r="G17" s="1684"/>
      <c r="H17" s="1684"/>
      <c r="I17" s="1683"/>
      <c r="J17" s="1683"/>
      <c r="K17" s="734">
        <f t="shared" si="0"/>
        <v>0</v>
      </c>
    </row>
    <row r="18" spans="1:15" s="735" customFormat="1" ht="20.25" customHeight="1" thickBot="1">
      <c r="A18" s="1655"/>
      <c r="B18" s="1662" t="s">
        <v>1239</v>
      </c>
      <c r="C18" s="753"/>
      <c r="D18" s="1682"/>
      <c r="E18" s="753"/>
      <c r="F18" s="1683"/>
      <c r="G18" s="1684"/>
      <c r="H18" s="1684"/>
      <c r="I18" s="1684">
        <f>SUM(C19:C32)</f>
        <v>406554.77</v>
      </c>
      <c r="J18" s="1683"/>
      <c r="K18" s="734">
        <f t="shared" si="0"/>
        <v>406554.77</v>
      </c>
    </row>
    <row r="19" spans="1:15" s="735" customFormat="1" ht="31.5" customHeight="1" thickBot="1">
      <c r="A19" s="1655"/>
      <c r="B19" s="1662" t="s">
        <v>1528</v>
      </c>
      <c r="C19" s="1685">
        <f>67500-15482.59</f>
        <v>52017.41</v>
      </c>
      <c r="D19" s="1682"/>
      <c r="E19" s="753"/>
      <c r="F19" s="1683"/>
      <c r="G19" s="1684"/>
      <c r="H19" s="1684"/>
      <c r="I19" s="1684"/>
      <c r="J19" s="1683"/>
      <c r="K19" s="734">
        <f t="shared" si="0"/>
        <v>0</v>
      </c>
      <c r="O19" s="1675"/>
    </row>
    <row r="20" spans="1:15" s="735" customFormat="1" ht="31.5" customHeight="1" thickBot="1">
      <c r="A20" s="1655"/>
      <c r="B20" s="1662" t="s">
        <v>1529</v>
      </c>
      <c r="C20" s="1685">
        <v>100994.43</v>
      </c>
      <c r="D20" s="1682"/>
      <c r="E20" s="753"/>
      <c r="F20" s="1683"/>
      <c r="G20" s="1684"/>
      <c r="H20" s="1684"/>
      <c r="I20" s="1684"/>
      <c r="J20" s="1683"/>
      <c r="K20" s="734"/>
    </row>
    <row r="21" spans="1:15" s="735" customFormat="1" ht="33.75" customHeight="1" thickBot="1">
      <c r="A21" s="989"/>
      <c r="B21" s="1661" t="s">
        <v>1373</v>
      </c>
      <c r="C21" s="753">
        <v>208</v>
      </c>
      <c r="D21" s="1682"/>
      <c r="E21" s="753"/>
      <c r="F21" s="1683"/>
      <c r="G21" s="1684"/>
      <c r="H21" s="1684"/>
      <c r="I21" s="1684"/>
      <c r="J21" s="1683"/>
      <c r="K21" s="734">
        <f t="shared" si="0"/>
        <v>0</v>
      </c>
    </row>
    <row r="22" spans="1:15" s="735" customFormat="1" ht="20.25" customHeight="1" thickBot="1">
      <c r="A22" s="989"/>
      <c r="B22" s="1661" t="s">
        <v>1374</v>
      </c>
      <c r="C22" s="753">
        <v>28500</v>
      </c>
      <c r="D22" s="1682"/>
      <c r="E22" s="753"/>
      <c r="F22" s="1683"/>
      <c r="G22" s="1684"/>
      <c r="H22" s="1684"/>
      <c r="I22" s="1684"/>
      <c r="J22" s="1683"/>
      <c r="K22" s="734">
        <f t="shared" si="0"/>
        <v>0</v>
      </c>
    </row>
    <row r="23" spans="1:15" s="735" customFormat="1" ht="20.25" customHeight="1" thickBot="1">
      <c r="A23" s="989"/>
      <c r="B23" s="1661" t="s">
        <v>1375</v>
      </c>
      <c r="C23" s="753">
        <v>29000</v>
      </c>
      <c r="D23" s="1682"/>
      <c r="E23" s="753"/>
      <c r="F23" s="1683"/>
      <c r="G23" s="1684"/>
      <c r="H23" s="1684"/>
      <c r="I23" s="1683"/>
      <c r="J23" s="1683"/>
      <c r="K23" s="734">
        <f t="shared" si="0"/>
        <v>0</v>
      </c>
    </row>
    <row r="24" spans="1:15" s="735" customFormat="1" ht="30.75" customHeight="1" thickBot="1">
      <c r="A24" s="989"/>
      <c r="B24" s="1661" t="s">
        <v>1387</v>
      </c>
      <c r="C24" s="753">
        <v>875</v>
      </c>
      <c r="D24" s="1682"/>
      <c r="E24" s="753"/>
      <c r="F24" s="1683"/>
      <c r="G24" s="1684"/>
      <c r="H24" s="1684"/>
      <c r="I24" s="1683"/>
      <c r="J24" s="1683"/>
      <c r="K24" s="734">
        <f t="shared" si="0"/>
        <v>0</v>
      </c>
      <c r="N24" s="1669"/>
    </row>
    <row r="25" spans="1:15" s="735" customFormat="1" ht="30.75" customHeight="1" thickBot="1">
      <c r="A25" s="989"/>
      <c r="B25" s="1661" t="s">
        <v>1388</v>
      </c>
      <c r="C25" s="753">
        <v>63513.3</v>
      </c>
      <c r="D25" s="1682"/>
      <c r="E25" s="753"/>
      <c r="F25" s="1683"/>
      <c r="G25" s="1684"/>
      <c r="H25" s="1684"/>
      <c r="I25" s="1683"/>
      <c r="J25" s="1683"/>
      <c r="K25" s="734">
        <f t="shared" si="0"/>
        <v>0</v>
      </c>
    </row>
    <row r="26" spans="1:15" s="735" customFormat="1" ht="20.25" customHeight="1" thickBot="1">
      <c r="A26" s="989"/>
      <c r="B26" s="1661" t="s">
        <v>1389</v>
      </c>
      <c r="C26" s="753">
        <v>17100</v>
      </c>
      <c r="D26" s="1682"/>
      <c r="E26" s="753"/>
      <c r="F26" s="1683"/>
      <c r="G26" s="1684"/>
      <c r="H26" s="1684"/>
      <c r="I26" s="1683"/>
      <c r="J26" s="1683"/>
      <c r="K26" s="734">
        <f t="shared" si="0"/>
        <v>0</v>
      </c>
    </row>
    <row r="27" spans="1:15" s="735" customFormat="1" ht="36" customHeight="1" thickBot="1">
      <c r="A27" s="989"/>
      <c r="B27" s="1661" t="s">
        <v>1390</v>
      </c>
      <c r="C27" s="753">
        <v>17328.63</v>
      </c>
      <c r="D27" s="1682"/>
      <c r="E27" s="753"/>
      <c r="F27" s="1683"/>
      <c r="G27" s="1684"/>
      <c r="H27" s="1684"/>
      <c r="I27" s="1683"/>
      <c r="J27" s="1683"/>
      <c r="K27" s="734">
        <f t="shared" si="0"/>
        <v>0</v>
      </c>
    </row>
    <row r="28" spans="1:15" s="735" customFormat="1" ht="27" customHeight="1" thickBot="1">
      <c r="A28" s="989"/>
      <c r="B28" s="1661" t="s">
        <v>1392</v>
      </c>
      <c r="C28" s="753">
        <v>28000</v>
      </c>
      <c r="D28" s="1682"/>
      <c r="E28" s="753"/>
      <c r="F28" s="1683"/>
      <c r="G28" s="1684"/>
      <c r="H28" s="1684"/>
      <c r="I28" s="1683"/>
      <c r="J28" s="1683"/>
      <c r="K28" s="734"/>
    </row>
    <row r="29" spans="1:15" s="735" customFormat="1" ht="36" customHeight="1" thickBot="1">
      <c r="A29" s="989"/>
      <c r="B29" s="1661" t="s">
        <v>1393</v>
      </c>
      <c r="C29" s="753">
        <v>25000</v>
      </c>
      <c r="D29" s="1682"/>
      <c r="E29" s="753"/>
      <c r="F29" s="1683"/>
      <c r="G29" s="1684"/>
      <c r="H29" s="1684"/>
      <c r="I29" s="1683"/>
      <c r="J29" s="1683"/>
      <c r="K29" s="734"/>
      <c r="L29" s="1695" t="s">
        <v>1454</v>
      </c>
    </row>
    <row r="30" spans="1:15" s="735" customFormat="1" ht="36" customHeight="1" thickBot="1">
      <c r="A30" s="989"/>
      <c r="B30" s="1661" t="s">
        <v>1394</v>
      </c>
      <c r="C30" s="753">
        <v>25000</v>
      </c>
      <c r="D30" s="1682"/>
      <c r="E30" s="753"/>
      <c r="F30" s="1683"/>
      <c r="G30" s="1684"/>
      <c r="H30" s="1684"/>
      <c r="I30" s="1683"/>
      <c r="J30" s="1683"/>
      <c r="K30" s="734"/>
    </row>
    <row r="31" spans="1:15" s="735" customFormat="1" ht="36" customHeight="1" thickBot="1">
      <c r="A31" s="989"/>
      <c r="B31" s="1657" t="s">
        <v>1362</v>
      </c>
      <c r="C31" s="753">
        <v>19018</v>
      </c>
      <c r="D31" s="1682"/>
      <c r="E31" s="753"/>
      <c r="F31" s="1683"/>
      <c r="G31" s="1684"/>
      <c r="H31" s="1684"/>
      <c r="I31" s="1683"/>
      <c r="J31" s="1683"/>
      <c r="K31" s="734"/>
    </row>
    <row r="32" spans="1:15" s="735" customFormat="1" ht="36" customHeight="1" thickBot="1">
      <c r="A32" s="989"/>
      <c r="B32" s="1657"/>
      <c r="C32" s="753"/>
      <c r="D32" s="1682"/>
      <c r="E32" s="753"/>
      <c r="F32" s="1683"/>
      <c r="G32" s="1684"/>
      <c r="H32" s="1684"/>
      <c r="I32" s="1683"/>
      <c r="J32" s="1683"/>
      <c r="K32" s="734"/>
    </row>
    <row r="33" spans="1:13" s="735" customFormat="1" ht="20.25" customHeight="1" thickBot="1">
      <c r="A33" s="989"/>
      <c r="B33" s="1661" t="s">
        <v>1343</v>
      </c>
      <c r="C33" s="753">
        <v>92.59</v>
      </c>
      <c r="D33" s="1682" t="s">
        <v>230</v>
      </c>
      <c r="E33" s="753"/>
      <c r="F33" s="753"/>
      <c r="G33" s="753"/>
      <c r="H33" s="753"/>
      <c r="I33" s="753"/>
      <c r="J33" s="1683"/>
      <c r="K33" s="734">
        <f t="shared" si="0"/>
        <v>0</v>
      </c>
    </row>
    <row r="34" spans="1:13" s="735" customFormat="1" ht="20.25" customHeight="1" thickBot="1">
      <c r="A34" s="989"/>
      <c r="B34" s="1661" t="s">
        <v>1344</v>
      </c>
      <c r="C34" s="753">
        <v>1877.33</v>
      </c>
      <c r="D34" s="1682" t="s">
        <v>229</v>
      </c>
      <c r="E34" s="753"/>
      <c r="F34" s="753"/>
      <c r="G34" s="753"/>
      <c r="H34" s="753"/>
      <c r="I34" s="753"/>
      <c r="J34" s="1683"/>
      <c r="K34" s="734">
        <f>SUM(E34:J34)</f>
        <v>0</v>
      </c>
    </row>
    <row r="35" spans="1:13" s="735" customFormat="1" ht="20.25" customHeight="1" thickBot="1">
      <c r="A35" s="989"/>
      <c r="B35" s="1661" t="s">
        <v>1350</v>
      </c>
      <c r="C35" s="753">
        <v>125.75</v>
      </c>
      <c r="D35" s="1682" t="s">
        <v>230</v>
      </c>
      <c r="E35" s="753"/>
      <c r="F35" s="753"/>
      <c r="G35" s="753"/>
      <c r="H35" s="753"/>
      <c r="I35" s="753"/>
      <c r="J35" s="1683"/>
      <c r="K35" s="734">
        <f t="shared" si="0"/>
        <v>0</v>
      </c>
    </row>
    <row r="36" spans="1:13" s="735" customFormat="1" ht="18.75" customHeight="1" thickBot="1">
      <c r="A36" s="989"/>
      <c r="B36" s="1661" t="s">
        <v>1355</v>
      </c>
      <c r="C36" s="753">
        <v>300.25</v>
      </c>
      <c r="D36" s="1682" t="s">
        <v>230</v>
      </c>
      <c r="E36" s="753"/>
      <c r="F36" s="1683"/>
      <c r="G36" s="753"/>
      <c r="H36" s="753"/>
      <c r="I36" s="753"/>
      <c r="J36" s="1683"/>
      <c r="K36" s="734">
        <f t="shared" si="0"/>
        <v>0</v>
      </c>
      <c r="M36" s="747"/>
    </row>
    <row r="37" spans="1:13" s="735" customFormat="1" ht="18.75" customHeight="1" thickBot="1">
      <c r="A37" s="989"/>
      <c r="B37" s="1661" t="s">
        <v>1174</v>
      </c>
      <c r="C37" s="753">
        <v>125.57</v>
      </c>
      <c r="D37" s="1682" t="s">
        <v>230</v>
      </c>
      <c r="E37" s="753"/>
      <c r="F37" s="1683"/>
      <c r="G37" s="753"/>
      <c r="H37" s="753"/>
      <c r="I37" s="753"/>
      <c r="J37" s="1683"/>
      <c r="K37" s="734"/>
    </row>
    <row r="38" spans="1:13" s="735" customFormat="1" ht="20.25" customHeight="1" thickBot="1">
      <c r="A38" s="989"/>
      <c r="B38" s="1661" t="s">
        <v>1356</v>
      </c>
      <c r="C38" s="753">
        <v>493.62</v>
      </c>
      <c r="D38" s="1682" t="s">
        <v>230</v>
      </c>
      <c r="E38" s="753"/>
      <c r="F38" s="1683"/>
      <c r="G38" s="753"/>
      <c r="H38" s="753"/>
      <c r="I38" s="753"/>
      <c r="J38" s="1683"/>
      <c r="K38" s="734">
        <f t="shared" si="0"/>
        <v>0</v>
      </c>
    </row>
    <row r="39" spans="1:13" s="735" customFormat="1" ht="20.25" customHeight="1" thickBot="1">
      <c r="A39" s="989"/>
      <c r="B39" s="1661" t="s">
        <v>1342</v>
      </c>
      <c r="C39" s="753">
        <v>914.13</v>
      </c>
      <c r="D39" s="1682" t="s">
        <v>230</v>
      </c>
      <c r="E39" s="1683"/>
      <c r="F39" s="1683"/>
      <c r="G39" s="753"/>
      <c r="H39" s="753"/>
      <c r="I39" s="753"/>
      <c r="J39" s="1683"/>
      <c r="K39" s="734">
        <f t="shared" si="0"/>
        <v>0</v>
      </c>
    </row>
    <row r="40" spans="1:13" s="735" customFormat="1" ht="20.25" customHeight="1" thickBot="1">
      <c r="A40" s="989"/>
      <c r="B40" s="1661" t="s">
        <v>1357</v>
      </c>
      <c r="C40" s="753">
        <v>456</v>
      </c>
      <c r="D40" s="1682" t="s">
        <v>230</v>
      </c>
      <c r="E40" s="753"/>
      <c r="F40" s="753"/>
      <c r="G40" s="1683"/>
      <c r="H40" s="1683"/>
      <c r="I40" s="1683"/>
      <c r="J40" s="1683"/>
      <c r="K40" s="734">
        <f t="shared" si="0"/>
        <v>0</v>
      </c>
    </row>
    <row r="41" spans="1:13" s="735" customFormat="1" ht="20.25" customHeight="1" thickBot="1">
      <c r="A41" s="989"/>
      <c r="B41" s="1661" t="s">
        <v>1345</v>
      </c>
      <c r="C41" s="753">
        <v>1824</v>
      </c>
      <c r="D41" s="1682" t="s">
        <v>230</v>
      </c>
      <c r="E41" s="753"/>
      <c r="F41" s="753"/>
      <c r="G41" s="1683"/>
      <c r="H41" s="1683"/>
      <c r="I41" s="1683"/>
      <c r="J41" s="1683"/>
      <c r="K41" s="734">
        <f t="shared" si="0"/>
        <v>0</v>
      </c>
    </row>
    <row r="42" spans="1:13" s="735" customFormat="1" ht="20.25" customHeight="1" thickBot="1">
      <c r="A42" s="989"/>
      <c r="B42" s="1661" t="s">
        <v>1347</v>
      </c>
      <c r="C42" s="753">
        <v>119.59</v>
      </c>
      <c r="D42" s="1682" t="s">
        <v>230</v>
      </c>
      <c r="E42" s="753"/>
      <c r="F42" s="753"/>
      <c r="G42" s="1683"/>
      <c r="H42" s="1683"/>
      <c r="I42" s="1683"/>
      <c r="J42" s="1683"/>
      <c r="K42" s="734">
        <f t="shared" si="0"/>
        <v>0</v>
      </c>
    </row>
    <row r="43" spans="1:13" s="735" customFormat="1" ht="20.25" customHeight="1" thickBot="1">
      <c r="A43" s="989"/>
      <c r="B43" s="1661" t="s">
        <v>1348</v>
      </c>
      <c r="C43" s="753">
        <v>127.13</v>
      </c>
      <c r="D43" s="1682" t="s">
        <v>230</v>
      </c>
      <c r="E43" s="753"/>
      <c r="F43" s="753"/>
      <c r="G43" s="1683"/>
      <c r="H43" s="1683"/>
      <c r="I43" s="1683"/>
      <c r="J43" s="1683"/>
      <c r="K43" s="734">
        <f>SUM(E43:J43)</f>
        <v>0</v>
      </c>
    </row>
    <row r="44" spans="1:13" s="735" customFormat="1" ht="30" customHeight="1" thickBot="1">
      <c r="A44" s="989"/>
      <c r="B44" s="1661" t="s">
        <v>1349</v>
      </c>
      <c r="C44" s="753">
        <v>500</v>
      </c>
      <c r="D44" s="1682" t="s">
        <v>230</v>
      </c>
      <c r="E44" s="753"/>
      <c r="F44" s="753"/>
      <c r="G44" s="1683"/>
      <c r="H44" s="1683"/>
      <c r="I44" s="1683"/>
      <c r="J44" s="1683"/>
      <c r="K44" s="734">
        <f t="shared" si="0"/>
        <v>0</v>
      </c>
    </row>
    <row r="45" spans="1:13" s="735" customFormat="1" ht="25.5" customHeight="1" thickBot="1">
      <c r="A45" s="989"/>
      <c r="B45" s="1661" t="s">
        <v>1173</v>
      </c>
      <c r="C45" s="753">
        <v>626.54</v>
      </c>
      <c r="D45" s="1686" t="s">
        <v>229</v>
      </c>
      <c r="E45" s="753"/>
      <c r="F45" s="753"/>
      <c r="G45" s="1683"/>
      <c r="H45" s="1683"/>
      <c r="I45" s="1683"/>
      <c r="J45" s="1683"/>
      <c r="K45" s="734">
        <f t="shared" si="0"/>
        <v>0</v>
      </c>
    </row>
    <row r="46" spans="1:13" s="735" customFormat="1" ht="20.25" customHeight="1" thickBot="1">
      <c r="A46" s="989"/>
      <c r="B46" s="1661" t="s">
        <v>1351</v>
      </c>
      <c r="C46" s="753">
        <v>302.29000000000002</v>
      </c>
      <c r="D46" s="1686" t="s">
        <v>229</v>
      </c>
      <c r="E46" s="753"/>
      <c r="F46" s="753"/>
      <c r="G46" s="1683"/>
      <c r="H46" s="1683"/>
      <c r="I46" s="1683"/>
      <c r="J46" s="1683"/>
      <c r="K46" s="734">
        <f t="shared" si="0"/>
        <v>0</v>
      </c>
    </row>
    <row r="47" spans="1:13" s="735" customFormat="1" ht="20.25" customHeight="1" thickBot="1">
      <c r="A47" s="989"/>
      <c r="B47" s="1661" t="s">
        <v>1352</v>
      </c>
      <c r="C47" s="753">
        <v>111.76</v>
      </c>
      <c r="D47" s="1686" t="s">
        <v>229</v>
      </c>
      <c r="E47" s="753"/>
      <c r="F47" s="753"/>
      <c r="G47" s="1683"/>
      <c r="H47" s="1683"/>
      <c r="I47" s="1683"/>
      <c r="J47" s="1683"/>
      <c r="K47" s="734">
        <f t="shared" si="0"/>
        <v>0</v>
      </c>
    </row>
    <row r="48" spans="1:13" s="735" customFormat="1" ht="20.25" customHeight="1" thickBot="1">
      <c r="A48" s="989"/>
      <c r="B48" s="1661" t="s">
        <v>1354</v>
      </c>
      <c r="C48" s="753">
        <v>385.05</v>
      </c>
      <c r="D48" s="1686" t="s">
        <v>1353</v>
      </c>
      <c r="E48" s="753"/>
      <c r="F48" s="753"/>
      <c r="G48" s="1683"/>
      <c r="H48" s="1683"/>
      <c r="I48" s="1683"/>
      <c r="J48" s="1683"/>
      <c r="K48" s="734"/>
    </row>
    <row r="49" spans="1:14" s="735" customFormat="1" ht="20.25" customHeight="1" thickBot="1">
      <c r="A49" s="989"/>
      <c r="B49" s="1661" t="s">
        <v>1346</v>
      </c>
      <c r="C49" s="753">
        <v>300</v>
      </c>
      <c r="D49" s="1686" t="s">
        <v>230</v>
      </c>
      <c r="E49" s="753"/>
      <c r="F49" s="753"/>
      <c r="G49" s="1683"/>
      <c r="H49" s="1683"/>
      <c r="I49" s="1683"/>
      <c r="J49" s="1683"/>
      <c r="K49" s="734"/>
    </row>
    <row r="50" spans="1:14" s="735" customFormat="1" ht="30.75" hidden="1" customHeight="1" thickBot="1">
      <c r="A50" s="989"/>
      <c r="B50" s="1661"/>
      <c r="C50" s="753"/>
      <c r="D50" s="1686"/>
      <c r="E50" s="753"/>
      <c r="F50" s="753"/>
      <c r="G50" s="1683"/>
      <c r="H50" s="1683"/>
      <c r="I50" s="1683"/>
      <c r="J50" s="1683"/>
      <c r="K50" s="734"/>
    </row>
    <row r="51" spans="1:14" s="735" customFormat="1" ht="20.25" hidden="1" customHeight="1" thickBot="1">
      <c r="A51" s="989"/>
      <c r="B51" s="1661"/>
      <c r="C51" s="753"/>
      <c r="D51" s="1686"/>
      <c r="E51" s="753"/>
      <c r="F51" s="753"/>
      <c r="G51" s="1683"/>
      <c r="H51" s="1683"/>
      <c r="I51" s="1683"/>
      <c r="J51" s="1683"/>
      <c r="K51" s="734"/>
    </row>
    <row r="52" spans="1:14" s="735" customFormat="1" ht="20.25" hidden="1" customHeight="1" thickBot="1">
      <c r="A52" s="989"/>
      <c r="B52" s="1661"/>
      <c r="C52" s="753"/>
      <c r="D52" s="1686"/>
      <c r="E52" s="753"/>
      <c r="F52" s="753"/>
      <c r="G52" s="1683"/>
      <c r="H52" s="1683"/>
      <c r="I52" s="1683"/>
      <c r="J52" s="1683"/>
      <c r="K52" s="734"/>
    </row>
    <row r="53" spans="1:14" s="735" customFormat="1" ht="20.25" hidden="1" customHeight="1" thickBot="1">
      <c r="A53" s="989"/>
      <c r="B53" s="1661"/>
      <c r="C53" s="753"/>
      <c r="D53" s="1686"/>
      <c r="E53" s="753"/>
      <c r="F53" s="753"/>
      <c r="G53" s="1683"/>
      <c r="H53" s="1683"/>
      <c r="I53" s="1683"/>
      <c r="J53" s="1683"/>
      <c r="K53" s="734"/>
    </row>
    <row r="54" spans="1:14" s="735" customFormat="1" ht="20.25" hidden="1" customHeight="1" thickBot="1">
      <c r="A54" s="989"/>
      <c r="B54" s="1661"/>
      <c r="C54" s="753"/>
      <c r="D54" s="1686"/>
      <c r="E54" s="753"/>
      <c r="F54" s="753"/>
      <c r="G54" s="1683"/>
      <c r="H54" s="1683"/>
      <c r="I54" s="1683"/>
      <c r="J54" s="1683"/>
      <c r="K54" s="734"/>
    </row>
    <row r="55" spans="1:14" s="735" customFormat="1" ht="20.25" hidden="1" customHeight="1" thickBot="1">
      <c r="A55" s="989"/>
      <c r="B55" s="1661"/>
      <c r="C55" s="1687"/>
      <c r="D55" s="1686"/>
      <c r="E55" s="753"/>
      <c r="F55" s="753"/>
      <c r="G55" s="1683"/>
      <c r="H55" s="1683"/>
      <c r="I55" s="1683"/>
      <c r="J55" s="1683"/>
      <c r="K55" s="734"/>
    </row>
    <row r="56" spans="1:14" s="735" customFormat="1" ht="20.25" hidden="1" customHeight="1" thickBot="1">
      <c r="A56" s="989"/>
      <c r="B56" s="1661"/>
      <c r="C56" s="1687"/>
      <c r="D56" s="1686"/>
      <c r="E56" s="753"/>
      <c r="F56" s="753"/>
      <c r="G56" s="1683"/>
      <c r="H56" s="1683"/>
      <c r="I56" s="1683"/>
      <c r="J56" s="1683"/>
      <c r="K56" s="734"/>
    </row>
    <row r="57" spans="1:14" s="735" customFormat="1" ht="20.25" hidden="1" customHeight="1" thickBot="1">
      <c r="A57" s="989" t="s">
        <v>933</v>
      </c>
      <c r="B57" s="1661"/>
      <c r="C57" s="1688"/>
      <c r="D57" s="1686"/>
      <c r="E57" s="753"/>
      <c r="F57" s="753"/>
      <c r="G57" s="1683"/>
      <c r="H57" s="1683"/>
      <c r="I57" s="1683"/>
      <c r="J57" s="1683"/>
      <c r="K57" s="734">
        <f t="shared" si="0"/>
        <v>0</v>
      </c>
    </row>
    <row r="58" spans="1:14" s="735" customFormat="1" ht="20.25" hidden="1" customHeight="1" thickBot="1">
      <c r="A58" s="989"/>
      <c r="B58" s="1670"/>
      <c r="C58" s="1684"/>
      <c r="D58" s="1686"/>
      <c r="E58" s="753"/>
      <c r="F58" s="753"/>
      <c r="G58" s="1683"/>
      <c r="H58" s="1683"/>
      <c r="I58" s="1683"/>
      <c r="J58" s="1683"/>
      <c r="K58" s="734">
        <f t="shared" si="0"/>
        <v>0</v>
      </c>
    </row>
    <row r="59" spans="1:14" s="735" customFormat="1" ht="12.75" hidden="1" customHeight="1" thickBot="1">
      <c r="A59" s="989"/>
      <c r="B59" s="1670"/>
      <c r="C59" s="1684"/>
      <c r="D59" s="1686"/>
      <c r="E59" s="753"/>
      <c r="F59" s="753"/>
      <c r="G59" s="1683"/>
      <c r="H59" s="1683"/>
      <c r="I59" s="1683"/>
      <c r="J59" s="1683"/>
      <c r="K59" s="734">
        <f t="shared" si="0"/>
        <v>0</v>
      </c>
    </row>
    <row r="60" spans="1:14" s="735" customFormat="1" ht="20.25" hidden="1" customHeight="1" thickBot="1">
      <c r="A60" s="989"/>
      <c r="B60" s="1658" t="s">
        <v>975</v>
      </c>
      <c r="C60" s="753"/>
      <c r="D60" s="1686"/>
      <c r="E60" s="753"/>
      <c r="F60" s="753"/>
      <c r="G60" s="1683"/>
      <c r="H60" s="1683"/>
      <c r="I60" s="1689"/>
      <c r="J60" s="1683"/>
      <c r="K60" s="734">
        <f t="shared" si="0"/>
        <v>0</v>
      </c>
    </row>
    <row r="61" spans="1:14" s="735" customFormat="1" ht="36" hidden="1" customHeight="1" thickBot="1">
      <c r="A61" s="989"/>
      <c r="B61" s="1661"/>
      <c r="C61" s="753"/>
      <c r="D61" s="1686"/>
      <c r="E61" s="753"/>
      <c r="F61" s="753"/>
      <c r="G61" s="1683"/>
      <c r="H61" s="1683"/>
      <c r="I61" s="1683"/>
      <c r="J61" s="1683"/>
      <c r="K61" s="734">
        <f t="shared" si="0"/>
        <v>0</v>
      </c>
    </row>
    <row r="62" spans="1:14" s="735" customFormat="1" ht="20.25" hidden="1" customHeight="1" thickBot="1">
      <c r="A62" s="744"/>
      <c r="B62" s="1661"/>
      <c r="C62" s="753"/>
      <c r="D62" s="1686"/>
      <c r="E62" s="753"/>
      <c r="F62" s="753"/>
      <c r="G62" s="1683"/>
      <c r="H62" s="1683"/>
      <c r="I62" s="1683"/>
      <c r="J62" s="1683"/>
      <c r="K62" s="734">
        <f t="shared" si="0"/>
        <v>0</v>
      </c>
    </row>
    <row r="63" spans="1:14" s="735" customFormat="1" ht="20.25" customHeight="1" thickBot="1">
      <c r="A63" s="748"/>
      <c r="B63" s="1658" t="s">
        <v>231</v>
      </c>
      <c r="C63" s="753"/>
      <c r="D63" s="1686"/>
      <c r="E63" s="1683"/>
      <c r="F63" s="1683"/>
      <c r="G63" s="753"/>
      <c r="H63" s="753"/>
      <c r="I63" s="753"/>
      <c r="J63" s="1684">
        <f>SUM(C64:C68)</f>
        <v>43512.73</v>
      </c>
      <c r="K63" s="734">
        <f>SUM(E63:J63)</f>
        <v>43512.73</v>
      </c>
    </row>
    <row r="64" spans="1:14" s="735" customFormat="1" ht="20.25" customHeight="1" thickBot="1">
      <c r="A64" s="989"/>
      <c r="B64" s="1659" t="s">
        <v>1194</v>
      </c>
      <c r="C64" s="753">
        <v>5</v>
      </c>
      <c r="D64" s="1686" t="s">
        <v>230</v>
      </c>
      <c r="E64" s="1683"/>
      <c r="F64" s="1683"/>
      <c r="G64" s="753"/>
      <c r="H64" s="753"/>
      <c r="I64" s="753"/>
      <c r="J64" s="1690"/>
      <c r="K64" s="734">
        <f t="shared" si="0"/>
        <v>0</v>
      </c>
      <c r="N64" s="2230"/>
    </row>
    <row r="65" spans="1:14" s="735" customFormat="1" ht="20.25" customHeight="1" thickBot="1">
      <c r="A65" s="989"/>
      <c r="B65" s="1659" t="s">
        <v>1195</v>
      </c>
      <c r="C65" s="753">
        <v>5</v>
      </c>
      <c r="D65" s="1686" t="s">
        <v>230</v>
      </c>
      <c r="E65" s="1683"/>
      <c r="F65" s="1683"/>
      <c r="G65" s="753"/>
      <c r="H65" s="753"/>
      <c r="I65" s="753"/>
      <c r="J65" s="1690"/>
      <c r="K65" s="734">
        <f t="shared" si="0"/>
        <v>0</v>
      </c>
      <c r="N65" s="2230"/>
    </row>
    <row r="66" spans="1:14" s="735" customFormat="1" ht="25.5" customHeight="1" thickBot="1">
      <c r="A66" s="989"/>
      <c r="B66" s="1659" t="s">
        <v>1358</v>
      </c>
      <c r="C66" s="753">
        <v>43502.73</v>
      </c>
      <c r="D66" s="1686"/>
      <c r="E66" s="1683"/>
      <c r="F66" s="1683"/>
      <c r="G66" s="753"/>
      <c r="H66" s="753"/>
      <c r="I66" s="753"/>
      <c r="J66" s="1690"/>
      <c r="K66" s="734">
        <f t="shared" si="0"/>
        <v>0</v>
      </c>
      <c r="N66" s="2230"/>
    </row>
    <row r="67" spans="1:14" s="735" customFormat="1" ht="20.25" customHeight="1" thickBot="1">
      <c r="A67" s="989"/>
      <c r="B67" s="1659"/>
      <c r="C67" s="753"/>
      <c r="D67" s="1686"/>
      <c r="E67" s="753"/>
      <c r="F67" s="1683"/>
      <c r="G67" s="753"/>
      <c r="H67" s="753"/>
      <c r="I67" s="753"/>
      <c r="J67" s="1683"/>
      <c r="K67" s="734">
        <f t="shared" si="0"/>
        <v>0</v>
      </c>
    </row>
    <row r="68" spans="1:14" s="735" customFormat="1" ht="20.25" customHeight="1" thickBot="1">
      <c r="A68" s="744"/>
      <c r="B68" s="1659"/>
      <c r="C68" s="753"/>
      <c r="D68" s="1686"/>
      <c r="E68" s="753"/>
      <c r="F68" s="1683"/>
      <c r="G68" s="753"/>
      <c r="H68" s="753"/>
      <c r="I68" s="753"/>
      <c r="J68" s="1683"/>
      <c r="K68" s="734">
        <f t="shared" si="0"/>
        <v>0</v>
      </c>
    </row>
    <row r="69" spans="1:14" s="735" customFormat="1" ht="20.25" customHeight="1" thickBot="1">
      <c r="A69" s="744"/>
      <c r="B69" s="1671" t="s">
        <v>232</v>
      </c>
      <c r="C69" s="753"/>
      <c r="D69" s="1686"/>
      <c r="E69" s="1683"/>
      <c r="F69" s="1683"/>
      <c r="G69" s="753"/>
      <c r="H69" s="753"/>
      <c r="I69" s="753"/>
      <c r="J69" s="1683"/>
      <c r="K69" s="737">
        <f t="shared" si="0"/>
        <v>0</v>
      </c>
    </row>
    <row r="70" spans="1:14" s="735" customFormat="1" ht="20.25" customHeight="1" thickBot="1">
      <c r="A70" s="749"/>
      <c r="B70" s="1673" t="s">
        <v>199</v>
      </c>
      <c r="C70" s="753">
        <f>SUM(C3:C69)</f>
        <v>548685.31000000006</v>
      </c>
      <c r="D70" s="753">
        <f t="shared" ref="D70:J70" si="1">SUM(D3:D69)</f>
        <v>0</v>
      </c>
      <c r="E70" s="753">
        <f>SUM(E3:E69)</f>
        <v>895.8</v>
      </c>
      <c r="F70" s="753">
        <f t="shared" si="1"/>
        <v>9878.15</v>
      </c>
      <c r="G70" s="753">
        <f t="shared" si="1"/>
        <v>8733.4699999999993</v>
      </c>
      <c r="H70" s="753">
        <f t="shared" si="1"/>
        <v>79110.39</v>
      </c>
      <c r="I70" s="753">
        <f t="shared" si="1"/>
        <v>406554.77</v>
      </c>
      <c r="J70" s="753">
        <f t="shared" si="1"/>
        <v>43512.73</v>
      </c>
      <c r="K70" s="1674">
        <f>SUM(E70:J70)</f>
        <v>548685.31000000006</v>
      </c>
      <c r="L70" s="1695" t="s">
        <v>1454</v>
      </c>
    </row>
    <row r="71" spans="1:14" s="735" customFormat="1" ht="3.75" hidden="1" customHeight="1">
      <c r="C71" s="750"/>
      <c r="D71" s="751"/>
      <c r="G71" s="750"/>
      <c r="H71" s="750"/>
      <c r="I71" s="750"/>
      <c r="K71" s="750"/>
    </row>
    <row r="72" spans="1:14" s="735" customFormat="1" ht="1.5" customHeight="1" thickBot="1">
      <c r="C72" s="750"/>
      <c r="D72" s="751"/>
      <c r="G72" s="750"/>
      <c r="H72" s="750"/>
      <c r="I72" s="750"/>
    </row>
    <row r="73" spans="1:14" s="735" customFormat="1" ht="25.5" customHeight="1" thickBot="1">
      <c r="B73" s="2240" t="s">
        <v>1246</v>
      </c>
      <c r="C73" s="2241"/>
      <c r="D73" s="751"/>
      <c r="E73" s="2253" t="s">
        <v>1453</v>
      </c>
      <c r="F73" s="2253"/>
      <c r="G73" s="2253"/>
      <c r="H73" s="2253"/>
      <c r="I73" s="2253"/>
    </row>
    <row r="74" spans="1:14" s="735" customFormat="1" ht="26.25" customHeight="1">
      <c r="B74" s="1144" t="s">
        <v>233</v>
      </c>
      <c r="C74" s="739"/>
      <c r="D74" s="751"/>
    </row>
    <row r="75" spans="1:14" s="735" customFormat="1" ht="38.25" customHeight="1">
      <c r="B75" s="740" t="s">
        <v>1261</v>
      </c>
      <c r="C75" s="738">
        <f>SUM('Media Simple 5 años ingresos'!G64)</f>
        <v>273897.2</v>
      </c>
      <c r="D75" s="752"/>
      <c r="E75" s="2242" t="s">
        <v>234</v>
      </c>
      <c r="F75" s="2243"/>
      <c r="G75" s="753">
        <f>K3</f>
        <v>0</v>
      </c>
      <c r="H75" s="750"/>
      <c r="I75" s="750"/>
    </row>
    <row r="76" spans="1:14" s="735" customFormat="1" ht="15" customHeight="1">
      <c r="B76" s="736" t="s">
        <v>1247</v>
      </c>
      <c r="C76" s="739">
        <f>E6</f>
        <v>895.8</v>
      </c>
      <c r="D76" s="752"/>
      <c r="E76" s="2246" t="s">
        <v>235</v>
      </c>
      <c r="F76" s="2246"/>
      <c r="G76" s="753">
        <f>E6</f>
        <v>895.8</v>
      </c>
      <c r="H76" s="750"/>
      <c r="I76" s="750"/>
    </row>
    <row r="77" spans="1:14" s="735" customFormat="1" ht="15" customHeight="1">
      <c r="B77" s="736" t="s">
        <v>820</v>
      </c>
      <c r="C77" s="739">
        <f>SUM(E3)</f>
        <v>0</v>
      </c>
      <c r="D77" s="752"/>
      <c r="E77" s="2252"/>
      <c r="F77" s="2252"/>
      <c r="G77" s="754">
        <f>E7</f>
        <v>0</v>
      </c>
      <c r="H77" s="750"/>
      <c r="I77" s="750"/>
    </row>
    <row r="78" spans="1:14" s="735" customFormat="1" ht="15" customHeight="1" thickBot="1">
      <c r="B78" s="736" t="s">
        <v>236</v>
      </c>
      <c r="C78" s="739"/>
      <c r="D78" s="755"/>
      <c r="E78" s="2247" t="s">
        <v>481</v>
      </c>
      <c r="F78" s="2248"/>
      <c r="G78" s="1592">
        <f>SUM(G75:G77)</f>
        <v>895.8</v>
      </c>
      <c r="H78" s="756"/>
      <c r="I78" s="756"/>
    </row>
    <row r="79" spans="1:14" s="735" customFormat="1" ht="15" customHeight="1" thickTop="1" thickBot="1">
      <c r="B79" s="1448" t="s">
        <v>237</v>
      </c>
      <c r="C79" s="999">
        <f>SUM(C75:C78)</f>
        <v>274793</v>
      </c>
      <c r="D79" s="755"/>
      <c r="E79" s="2249" t="s">
        <v>241</v>
      </c>
      <c r="F79" s="2250"/>
      <c r="G79" s="758">
        <f>F8</f>
        <v>9878.15</v>
      </c>
      <c r="H79" s="750"/>
      <c r="I79" s="750"/>
    </row>
    <row r="80" spans="1:14" s="735" customFormat="1" ht="30" customHeight="1">
      <c r="B80" s="1142" t="s">
        <v>238</v>
      </c>
      <c r="C80" s="739"/>
      <c r="D80" s="755"/>
      <c r="E80" s="2249" t="s">
        <v>242</v>
      </c>
      <c r="F80" s="2250"/>
      <c r="G80" s="758">
        <f>G11</f>
        <v>8733.4699999999993</v>
      </c>
      <c r="H80" s="750"/>
      <c r="I80" s="750"/>
    </row>
    <row r="81" spans="2:11" s="735" customFormat="1" ht="15" customHeight="1" thickBot="1">
      <c r="B81" s="759" t="s">
        <v>1237</v>
      </c>
      <c r="C81" s="739">
        <f>406864.85</f>
        <v>406864.85</v>
      </c>
      <c r="D81" s="755"/>
      <c r="E81" s="1449" t="s">
        <v>239</v>
      </c>
      <c r="F81" s="1450"/>
      <c r="G81" s="1592">
        <f>F70+G70</f>
        <v>18611.62</v>
      </c>
      <c r="H81" s="756"/>
      <c r="I81" s="756"/>
      <c r="J81" s="750"/>
    </row>
    <row r="82" spans="2:11" s="735" customFormat="1" ht="33.75" customHeight="1" thickTop="1">
      <c r="B82" s="760" t="s">
        <v>1238</v>
      </c>
      <c r="C82" s="739">
        <f>30357.33+182143.98</f>
        <v>212501.31</v>
      </c>
      <c r="D82" s="751"/>
      <c r="E82" s="2251" t="s">
        <v>222</v>
      </c>
      <c r="F82" s="2251"/>
      <c r="G82" s="761">
        <f>J70</f>
        <v>43512.73</v>
      </c>
      <c r="H82" s="750"/>
      <c r="I82" s="750"/>
      <c r="J82" s="750"/>
      <c r="K82" s="735" t="s">
        <v>1277</v>
      </c>
    </row>
    <row r="83" spans="2:11" s="735" customFormat="1" ht="15" customHeight="1" thickBot="1">
      <c r="B83" s="759" t="s">
        <v>1452</v>
      </c>
      <c r="C83" s="738">
        <f>F8</f>
        <v>9878.15</v>
      </c>
      <c r="D83" s="751"/>
      <c r="E83" s="2236" t="s">
        <v>237</v>
      </c>
      <c r="F83" s="2237"/>
      <c r="G83" s="1592">
        <f>G82</f>
        <v>43512.73</v>
      </c>
      <c r="H83" s="756"/>
      <c r="I83" s="756"/>
    </row>
    <row r="84" spans="2:11" s="735" customFormat="1" ht="21" customHeight="1" thickTop="1" thickBot="1">
      <c r="B84" s="1453" t="s">
        <v>237</v>
      </c>
      <c r="C84" s="999">
        <f>SUM(C81:C83)</f>
        <v>629244.30999999994</v>
      </c>
      <c r="D84" s="751"/>
      <c r="E84" s="2244" t="s">
        <v>1054</v>
      </c>
      <c r="F84" s="2245"/>
      <c r="G84" s="758">
        <f>H70</f>
        <v>79110.39</v>
      </c>
      <c r="H84" s="750"/>
      <c r="I84" s="750"/>
    </row>
    <row r="85" spans="2:11" s="735" customFormat="1" ht="23.25" customHeight="1" thickTop="1">
      <c r="B85" s="1143" t="s">
        <v>240</v>
      </c>
      <c r="C85" s="739"/>
      <c r="D85" s="751"/>
      <c r="E85" s="2236" t="s">
        <v>1248</v>
      </c>
      <c r="F85" s="2237"/>
      <c r="G85" s="1588">
        <f>G84</f>
        <v>79110.39</v>
      </c>
      <c r="H85" s="750"/>
      <c r="I85" s="750"/>
    </row>
    <row r="86" spans="2:11" s="735" customFormat="1" ht="18" customHeight="1">
      <c r="B86" s="759" t="s">
        <v>1008</v>
      </c>
      <c r="C86" s="739">
        <f>1220594.49</f>
        <v>1220594.49</v>
      </c>
      <c r="D86" s="751"/>
      <c r="E86" s="2235" t="s">
        <v>1239</v>
      </c>
      <c r="F86" s="2235"/>
      <c r="G86" s="1590">
        <f>I70</f>
        <v>406554.77</v>
      </c>
      <c r="H86" s="756"/>
      <c r="I86" s="756"/>
    </row>
    <row r="87" spans="2:11" s="735" customFormat="1" ht="18" customHeight="1" thickBot="1">
      <c r="B87" s="1618" t="s">
        <v>1007</v>
      </c>
      <c r="C87" s="1617">
        <f>406864.9</f>
        <v>406864.9</v>
      </c>
      <c r="D87" s="751"/>
      <c r="E87" s="2231" t="s">
        <v>1249</v>
      </c>
      <c r="F87" s="2231"/>
      <c r="G87" s="1593">
        <f>G86</f>
        <v>406554.77</v>
      </c>
      <c r="H87" s="756"/>
      <c r="I87" s="756"/>
    </row>
    <row r="88" spans="2:11" s="735" customFormat="1" ht="18.75" customHeight="1" thickTop="1" thickBot="1">
      <c r="B88" s="1616" t="s">
        <v>1242</v>
      </c>
      <c r="C88" s="1617">
        <f>H14</f>
        <v>79110.39</v>
      </c>
      <c r="D88" s="751"/>
      <c r="E88" s="2232" t="s">
        <v>202</v>
      </c>
      <c r="F88" s="2233"/>
      <c r="G88" s="1589">
        <f>G78+G81++G83+G85+G87</f>
        <v>548685.31000000006</v>
      </c>
      <c r="H88" s="756"/>
      <c r="I88" s="756"/>
    </row>
    <row r="89" spans="2:11" s="735" customFormat="1" ht="28.5" customHeight="1" thickTop="1">
      <c r="B89" s="1854" t="s">
        <v>1510</v>
      </c>
      <c r="C89" s="1617">
        <f>30488.68+182932.38</f>
        <v>213421.06</v>
      </c>
      <c r="D89" s="751"/>
      <c r="E89" s="1838"/>
      <c r="F89" s="1838"/>
      <c r="G89" s="756"/>
      <c r="H89" s="756"/>
      <c r="I89" s="756"/>
    </row>
    <row r="90" spans="2:11" s="735" customFormat="1" ht="18.75" customHeight="1" thickBot="1">
      <c r="B90" s="1451" t="s">
        <v>237</v>
      </c>
      <c r="C90" s="1452">
        <f>SUM(C87:C89)</f>
        <v>699396.35000000009</v>
      </c>
      <c r="D90" s="751"/>
      <c r="E90" s="1838"/>
      <c r="F90" s="1838"/>
      <c r="G90" s="756"/>
      <c r="H90" s="756"/>
      <c r="I90" s="756"/>
    </row>
    <row r="91" spans="2:11" s="735" customFormat="1" ht="32.25" customHeight="1" thickTop="1">
      <c r="B91" s="760" t="s">
        <v>1511</v>
      </c>
      <c r="C91" s="739">
        <f>91071.98+546431.82-30141.12</f>
        <v>607362.67999999993</v>
      </c>
      <c r="D91" s="751"/>
      <c r="E91" s="2234"/>
      <c r="F91" s="2234"/>
      <c r="G91" s="756"/>
      <c r="H91" s="750"/>
      <c r="I91" s="750"/>
    </row>
    <row r="92" spans="2:11" s="735" customFormat="1" ht="21.75" customHeight="1">
      <c r="B92" s="740" t="s">
        <v>1241</v>
      </c>
      <c r="C92" s="739">
        <f>G11</f>
        <v>8733.4699999999993</v>
      </c>
      <c r="D92" s="762"/>
      <c r="E92" s="1591"/>
      <c r="F92" s="1591"/>
      <c r="G92" s="1591"/>
      <c r="H92" s="1584"/>
      <c r="I92" s="763"/>
    </row>
    <row r="93" spans="2:11" s="735" customFormat="1" ht="31.5" customHeight="1">
      <c r="B93" s="740" t="s">
        <v>1245</v>
      </c>
      <c r="C93" s="741">
        <f>I18</f>
        <v>406554.77</v>
      </c>
      <c r="D93" s="762"/>
      <c r="E93" s="1591"/>
      <c r="F93" s="1591"/>
      <c r="G93" s="1591"/>
      <c r="H93" s="1584"/>
      <c r="I93" s="763"/>
    </row>
    <row r="94" spans="2:11" s="735" customFormat="1" ht="15" customHeight="1" thickBot="1">
      <c r="B94" s="1451" t="s">
        <v>237</v>
      </c>
      <c r="C94" s="1452">
        <f>C86+C87+C88+C89+C91+C92</f>
        <v>2536086.9900000002</v>
      </c>
      <c r="D94" s="751"/>
      <c r="E94" s="1591"/>
      <c r="F94" s="1591"/>
      <c r="G94" s="1591"/>
      <c r="H94" s="1584"/>
      <c r="I94" s="763"/>
    </row>
    <row r="95" spans="2:11" s="735" customFormat="1" ht="15" customHeight="1" thickTop="1">
      <c r="B95" s="757" t="s">
        <v>243</v>
      </c>
      <c r="C95" s="742"/>
      <c r="D95" s="751"/>
      <c r="E95" s="1591"/>
      <c r="F95" s="1591"/>
      <c r="G95" s="1591"/>
      <c r="H95" s="1584"/>
      <c r="I95" s="763"/>
    </row>
    <row r="96" spans="2:11" s="735" customFormat="1" ht="15" customHeight="1">
      <c r="B96" s="745" t="s">
        <v>1358</v>
      </c>
      <c r="C96" s="739">
        <v>43502.73</v>
      </c>
      <c r="D96" s="751"/>
      <c r="E96" s="1591"/>
      <c r="F96" s="1591"/>
      <c r="G96" s="1591"/>
      <c r="H96" s="1584"/>
      <c r="I96" s="750"/>
    </row>
    <row r="97" spans="1:13" s="735" customFormat="1" ht="19.5" customHeight="1">
      <c r="B97" s="764"/>
      <c r="C97" s="741"/>
      <c r="D97" s="751"/>
      <c r="G97" s="750"/>
      <c r="H97" s="750"/>
      <c r="I97" s="750"/>
    </row>
    <row r="98" spans="1:13" s="735" customFormat="1" ht="20.25" customHeight="1" thickBot="1">
      <c r="B98" s="1451" t="s">
        <v>237</v>
      </c>
      <c r="C98" s="1652">
        <f>SUM(C96:C97)</f>
        <v>43502.73</v>
      </c>
      <c r="D98" s="751"/>
      <c r="G98" s="750"/>
      <c r="H98" s="750"/>
      <c r="I98" s="750"/>
    </row>
    <row r="99" spans="1:13" s="735" customFormat="1" ht="32.25" hidden="1" customHeight="1" thickTop="1">
      <c r="B99" s="746"/>
      <c r="C99" s="739"/>
      <c r="D99" s="751"/>
      <c r="G99" s="750"/>
      <c r="H99" s="750"/>
      <c r="I99" s="750"/>
    </row>
    <row r="100" spans="1:13" s="735" customFormat="1" ht="21" hidden="1" customHeight="1">
      <c r="B100" s="759"/>
      <c r="C100" s="739"/>
      <c r="D100" s="751"/>
      <c r="G100" s="750"/>
      <c r="H100" s="750"/>
      <c r="I100" s="750"/>
    </row>
    <row r="101" spans="1:13" s="735" customFormat="1" ht="15" hidden="1" customHeight="1">
      <c r="B101" s="759"/>
      <c r="C101" s="739"/>
      <c r="D101" s="751"/>
      <c r="G101" s="750"/>
      <c r="H101" s="750"/>
      <c r="I101" s="750"/>
    </row>
    <row r="102" spans="1:13" s="735" customFormat="1" ht="15" hidden="1" customHeight="1">
      <c r="B102" s="764"/>
      <c r="C102" s="739"/>
      <c r="D102" s="751"/>
      <c r="G102" s="750"/>
      <c r="H102" s="750"/>
      <c r="I102" s="750"/>
    </row>
    <row r="103" spans="1:13" s="735" customFormat="1" ht="23.25" hidden="1" customHeight="1" thickBot="1">
      <c r="B103" s="765" t="s">
        <v>237</v>
      </c>
      <c r="C103" s="743"/>
      <c r="D103" s="751"/>
      <c r="G103" s="750"/>
      <c r="H103" s="750"/>
      <c r="I103" s="750"/>
    </row>
    <row r="104" spans="1:13" s="735" customFormat="1" ht="21.75" customHeight="1" thickTop="1" thickBot="1">
      <c r="B104" s="1454" t="s">
        <v>244</v>
      </c>
      <c r="C104" s="1455">
        <f>C79+C84+C94+C93+C98</f>
        <v>3890181.8000000003</v>
      </c>
      <c r="D104" s="751"/>
      <c r="G104" s="750"/>
      <c r="H104" s="750"/>
      <c r="I104" s="750"/>
    </row>
    <row r="105" spans="1:13" s="32" customFormat="1" ht="15" customHeight="1">
      <c r="A105" s="39"/>
      <c r="B105" s="39"/>
      <c r="C105" s="40"/>
      <c r="D105" s="78"/>
      <c r="E105" s="39"/>
      <c r="F105" s="1651">
        <f>C79+C84+C94+C66+C93</f>
        <v>3890181.8000000003</v>
      </c>
      <c r="G105" s="40"/>
      <c r="H105" s="40"/>
      <c r="I105" s="40"/>
      <c r="J105" s="39"/>
      <c r="K105" s="39"/>
    </row>
    <row r="106" spans="1:13" ht="15" customHeight="1">
      <c r="A106" s="36"/>
      <c r="B106" s="125"/>
      <c r="C106" s="80"/>
      <c r="D106" s="157"/>
      <c r="E106" s="80"/>
      <c r="F106" s="79"/>
      <c r="G106" s="80"/>
      <c r="H106" s="80"/>
      <c r="I106" s="80"/>
      <c r="J106" s="79"/>
      <c r="K106" s="36"/>
    </row>
    <row r="107" spans="1:13" ht="15" customHeight="1">
      <c r="A107" s="36"/>
      <c r="B107" s="36"/>
      <c r="C107" s="36"/>
      <c r="D107" s="36"/>
      <c r="E107" s="36"/>
      <c r="F107" s="36"/>
      <c r="G107" s="36"/>
      <c r="H107" s="36"/>
      <c r="I107" s="36"/>
      <c r="J107" s="36"/>
      <c r="K107" s="36"/>
    </row>
    <row r="108" spans="1:13" ht="15" customHeight="1">
      <c r="A108" s="36"/>
      <c r="B108" s="237"/>
      <c r="C108" s="36"/>
      <c r="D108" s="36"/>
      <c r="E108" s="36"/>
      <c r="F108" s="36"/>
      <c r="G108" s="36"/>
      <c r="H108" s="36"/>
      <c r="I108" s="36"/>
      <c r="J108" s="36"/>
      <c r="K108" s="36"/>
    </row>
    <row r="109" spans="1:13" ht="15" customHeight="1">
      <c r="A109" s="36"/>
      <c r="B109" s="36"/>
      <c r="C109" s="36"/>
      <c r="D109" s="36"/>
      <c r="E109" s="36"/>
      <c r="F109" s="36"/>
      <c r="G109" s="36"/>
      <c r="H109" s="36"/>
      <c r="I109" s="36"/>
      <c r="J109" s="36"/>
      <c r="K109" s="36"/>
    </row>
    <row r="110" spans="1:13" ht="15" customHeight="1">
      <c r="D110" s="36"/>
      <c r="E110" s="36"/>
      <c r="F110" s="36"/>
      <c r="G110" s="36"/>
      <c r="H110" s="36"/>
      <c r="I110" s="36"/>
      <c r="J110" s="36"/>
      <c r="K110" s="36"/>
    </row>
    <row r="111" spans="1:13" ht="15" customHeight="1">
      <c r="A111" s="36"/>
      <c r="B111" s="36"/>
      <c r="C111" s="36"/>
      <c r="D111" s="36"/>
      <c r="E111" s="36"/>
      <c r="F111" s="36"/>
      <c r="G111" s="36"/>
      <c r="H111" s="36"/>
      <c r="I111" s="36"/>
      <c r="J111" s="36"/>
      <c r="K111" s="36"/>
    </row>
    <row r="112" spans="1:13" ht="15" customHeight="1">
      <c r="A112" s="36"/>
      <c r="B112" s="2229"/>
      <c r="C112" s="2229"/>
      <c r="D112" s="2229"/>
      <c r="E112" s="2229"/>
      <c r="F112" s="2229"/>
      <c r="G112" s="2229"/>
      <c r="H112" s="2229"/>
      <c r="I112" s="2229"/>
      <c r="J112" s="2229"/>
      <c r="K112" s="2229"/>
      <c r="L112" s="2229"/>
      <c r="M112" s="2229"/>
    </row>
    <row r="113" spans="1:13" ht="15" customHeight="1">
      <c r="A113" s="36"/>
      <c r="B113" s="2229"/>
      <c r="C113" s="2229"/>
      <c r="D113" s="2229"/>
      <c r="E113" s="2229"/>
      <c r="F113" s="2229"/>
      <c r="G113" s="2229"/>
      <c r="H113" s="2229"/>
      <c r="I113" s="2229"/>
      <c r="J113" s="2229"/>
      <c r="K113" s="2229"/>
      <c r="L113" s="2229"/>
      <c r="M113" s="2229"/>
    </row>
    <row r="114" spans="1:13" ht="15" customHeight="1">
      <c r="A114" s="36"/>
      <c r="B114" s="36"/>
      <c r="C114" s="36"/>
      <c r="D114" s="36"/>
      <c r="E114" s="36"/>
      <c r="F114" s="36"/>
      <c r="G114" s="36"/>
      <c r="H114" s="36"/>
      <c r="I114" s="36"/>
      <c r="J114" s="36"/>
      <c r="K114" s="36"/>
    </row>
    <row r="115" spans="1:13" ht="15" customHeight="1">
      <c r="A115" s="36"/>
      <c r="B115" s="36"/>
      <c r="C115" s="36"/>
      <c r="D115" s="36"/>
      <c r="E115" s="36"/>
      <c r="F115" s="36"/>
      <c r="G115" s="36"/>
      <c r="H115" s="36"/>
      <c r="I115" s="36"/>
      <c r="J115" s="36"/>
      <c r="K115" s="36"/>
    </row>
    <row r="116" spans="1:13" ht="15" customHeight="1">
      <c r="A116" s="36"/>
      <c r="B116" s="36"/>
      <c r="C116" s="36"/>
      <c r="D116" s="36"/>
      <c r="E116" s="36"/>
      <c r="F116" s="36"/>
      <c r="G116" s="36"/>
      <c r="H116" s="36"/>
      <c r="I116" s="36"/>
      <c r="J116" s="36"/>
      <c r="K116" s="36"/>
    </row>
    <row r="117" spans="1:13" ht="15" customHeight="1">
      <c r="A117" s="36"/>
      <c r="B117" s="36"/>
      <c r="C117" s="36"/>
      <c r="D117" s="36"/>
      <c r="E117" s="36"/>
      <c r="F117" s="36"/>
      <c r="G117" s="36"/>
      <c r="H117" s="36"/>
      <c r="I117" s="36"/>
      <c r="J117" s="36"/>
      <c r="K117" s="36"/>
    </row>
    <row r="118" spans="1:13" ht="15" customHeight="1">
      <c r="A118" s="36"/>
      <c r="B118" s="36"/>
      <c r="C118" s="36"/>
      <c r="D118" s="36"/>
      <c r="E118" s="36"/>
      <c r="F118" s="36"/>
      <c r="G118" s="36"/>
      <c r="H118" s="36"/>
      <c r="I118" s="36"/>
      <c r="J118" s="36"/>
      <c r="K118" s="36"/>
    </row>
    <row r="119" spans="1:13" ht="15" customHeight="1">
      <c r="A119" s="36"/>
      <c r="B119" s="36"/>
      <c r="C119" s="36"/>
      <c r="D119" s="36"/>
      <c r="E119" s="36"/>
      <c r="F119" s="36"/>
      <c r="G119" s="36"/>
      <c r="H119" s="36"/>
      <c r="I119" s="36"/>
      <c r="J119" s="36"/>
      <c r="K119" s="36"/>
    </row>
    <row r="120" spans="1:13" ht="15" customHeight="1">
      <c r="A120" s="36"/>
      <c r="B120" s="36"/>
      <c r="C120" s="36"/>
      <c r="D120" s="36"/>
      <c r="E120" s="36"/>
      <c r="F120" s="36"/>
      <c r="G120" s="36"/>
      <c r="H120" s="36"/>
      <c r="I120" s="36"/>
      <c r="J120" s="36"/>
      <c r="K120" s="36"/>
    </row>
    <row r="121" spans="1:13" ht="15" customHeight="1">
      <c r="A121" s="36"/>
      <c r="B121" s="36"/>
      <c r="C121" s="36"/>
      <c r="D121" s="36"/>
      <c r="E121" s="36"/>
      <c r="F121" s="36"/>
      <c r="G121" s="36"/>
      <c r="H121" s="36"/>
      <c r="I121" s="36"/>
      <c r="J121" s="36"/>
      <c r="K121" s="36"/>
    </row>
    <row r="122" spans="1:13" ht="15" customHeight="1">
      <c r="A122" s="36"/>
      <c r="B122" s="36"/>
      <c r="C122" s="36"/>
      <c r="D122" s="36"/>
      <c r="E122" s="36"/>
      <c r="F122" s="36"/>
      <c r="G122" s="36"/>
      <c r="H122" s="36"/>
      <c r="I122" s="36"/>
      <c r="J122" s="36"/>
      <c r="K122" s="36"/>
    </row>
    <row r="123" spans="1:13" ht="15" customHeight="1">
      <c r="A123" s="36"/>
      <c r="B123" s="36"/>
      <c r="C123" s="36"/>
      <c r="D123" s="36"/>
      <c r="E123" s="36"/>
      <c r="F123" s="36"/>
      <c r="G123" s="36"/>
      <c r="H123" s="36"/>
      <c r="I123" s="36"/>
      <c r="J123" s="36"/>
      <c r="K123" s="36"/>
    </row>
    <row r="124" spans="1:13" ht="15" customHeight="1">
      <c r="A124" s="36"/>
      <c r="B124" s="36"/>
      <c r="C124" s="36"/>
      <c r="D124" s="36"/>
      <c r="E124" s="36"/>
      <c r="F124" s="36"/>
      <c r="G124" s="36"/>
      <c r="H124" s="36"/>
      <c r="I124" s="36"/>
      <c r="J124" s="36"/>
      <c r="K124" s="36"/>
    </row>
    <row r="125" spans="1:13" ht="15" customHeight="1">
      <c r="A125" s="36"/>
      <c r="B125" s="36"/>
      <c r="C125" s="36"/>
      <c r="D125" s="36"/>
      <c r="E125" s="36"/>
      <c r="F125" s="36"/>
      <c r="G125" s="36"/>
      <c r="H125" s="36"/>
      <c r="I125" s="36"/>
      <c r="J125" s="36"/>
      <c r="K125" s="36"/>
    </row>
    <row r="126" spans="1:13" ht="15" customHeight="1">
      <c r="A126" s="36"/>
      <c r="B126" s="36"/>
      <c r="C126" s="36"/>
      <c r="D126" s="36"/>
      <c r="E126" s="36"/>
      <c r="F126" s="36"/>
      <c r="G126" s="36"/>
      <c r="H126" s="36"/>
      <c r="I126" s="36"/>
      <c r="J126" s="36"/>
      <c r="K126" s="36"/>
    </row>
    <row r="127" spans="1:13" ht="15" customHeight="1">
      <c r="A127" s="36"/>
      <c r="B127" s="36"/>
      <c r="C127" s="36"/>
      <c r="D127" s="36"/>
      <c r="E127" s="36"/>
      <c r="F127" s="36"/>
      <c r="G127" s="36"/>
      <c r="H127" s="36"/>
      <c r="I127" s="36"/>
      <c r="J127" s="36"/>
      <c r="K127" s="36"/>
    </row>
    <row r="128" spans="1:13" ht="15" customHeight="1">
      <c r="A128" s="36"/>
      <c r="B128" s="36"/>
      <c r="C128" s="36"/>
      <c r="D128" s="36"/>
      <c r="E128" s="36"/>
      <c r="F128" s="36"/>
      <c r="G128" s="36"/>
      <c r="H128" s="36"/>
      <c r="I128" s="36"/>
      <c r="J128" s="36"/>
      <c r="K128" s="36"/>
    </row>
    <row r="129" spans="1:11" ht="15" customHeight="1">
      <c r="A129" s="36"/>
      <c r="B129" s="36"/>
      <c r="C129" s="36"/>
      <c r="D129" s="36"/>
      <c r="E129" s="36"/>
      <c r="F129" s="36"/>
      <c r="G129" s="36"/>
      <c r="H129" s="36"/>
      <c r="I129" s="36"/>
      <c r="J129" s="36"/>
      <c r="K129" s="36"/>
    </row>
    <row r="130" spans="1:11" ht="15" customHeight="1">
      <c r="A130" s="36"/>
      <c r="B130" s="36"/>
      <c r="C130" s="36"/>
      <c r="D130" s="36"/>
      <c r="E130" s="36"/>
      <c r="F130" s="36"/>
      <c r="G130" s="36"/>
      <c r="H130" s="36"/>
      <c r="I130" s="36"/>
      <c r="J130" s="36"/>
      <c r="K130" s="36"/>
    </row>
    <row r="131" spans="1:11" ht="15" customHeight="1">
      <c r="A131" s="36"/>
      <c r="B131" s="36"/>
      <c r="C131" s="36"/>
      <c r="D131" s="36"/>
      <c r="E131" s="36"/>
      <c r="F131" s="36"/>
      <c r="G131" s="36"/>
      <c r="H131" s="36"/>
      <c r="I131" s="36"/>
      <c r="J131" s="36"/>
      <c r="K131" s="36"/>
    </row>
    <row r="132" spans="1:11" ht="15" customHeight="1">
      <c r="A132" s="36"/>
      <c r="B132" s="36"/>
      <c r="C132" s="36"/>
      <c r="D132" s="36"/>
      <c r="E132" s="36"/>
      <c r="F132" s="36"/>
      <c r="G132" s="36"/>
      <c r="H132" s="36"/>
      <c r="I132" s="36"/>
      <c r="J132" s="36"/>
      <c r="K132" s="36"/>
    </row>
    <row r="133" spans="1:11" ht="15" customHeight="1">
      <c r="A133" s="36"/>
      <c r="B133" s="36"/>
      <c r="C133" s="36"/>
      <c r="D133" s="36"/>
      <c r="E133" s="36"/>
      <c r="F133" s="36"/>
      <c r="G133" s="36"/>
      <c r="H133" s="36"/>
      <c r="I133" s="36"/>
      <c r="J133" s="36"/>
      <c r="K133" s="36"/>
    </row>
    <row r="134" spans="1:11" ht="15" customHeight="1">
      <c r="A134" s="36"/>
      <c r="B134" s="36"/>
      <c r="C134" s="36"/>
      <c r="D134" s="36"/>
      <c r="E134" s="36"/>
      <c r="F134" s="36"/>
      <c r="G134" s="36"/>
      <c r="H134" s="36"/>
      <c r="I134" s="36"/>
      <c r="J134" s="36"/>
      <c r="K134" s="36"/>
    </row>
    <row r="135" spans="1:11" ht="15" customHeight="1">
      <c r="A135" s="36"/>
      <c r="B135" s="36"/>
      <c r="C135" s="36"/>
      <c r="D135" s="36"/>
      <c r="E135" s="36"/>
      <c r="F135" s="36"/>
      <c r="G135" s="36"/>
      <c r="H135" s="36"/>
      <c r="I135" s="36"/>
      <c r="J135" s="36"/>
      <c r="K135" s="36"/>
    </row>
    <row r="136" spans="1:11" ht="15" customHeight="1">
      <c r="A136" s="36"/>
      <c r="B136" s="36"/>
      <c r="C136" s="36"/>
      <c r="D136" s="36"/>
      <c r="E136" s="36"/>
      <c r="F136" s="36"/>
      <c r="G136" s="36"/>
      <c r="H136" s="36"/>
      <c r="I136" s="36"/>
      <c r="J136" s="36"/>
      <c r="K136" s="36"/>
    </row>
    <row r="137" spans="1:11" ht="15" customHeight="1">
      <c r="A137" s="36"/>
      <c r="B137" s="36"/>
      <c r="C137" s="36"/>
      <c r="D137" s="36"/>
      <c r="E137" s="36"/>
      <c r="F137" s="36"/>
      <c r="G137" s="36"/>
      <c r="H137" s="36"/>
      <c r="I137" s="36"/>
      <c r="J137" s="36"/>
      <c r="K137" s="36"/>
    </row>
    <row r="138" spans="1:11" ht="15" customHeight="1">
      <c r="A138" s="36"/>
      <c r="B138" s="36"/>
      <c r="C138" s="36"/>
      <c r="D138" s="36"/>
      <c r="E138" s="36"/>
      <c r="F138" s="36"/>
      <c r="G138" s="36"/>
      <c r="H138" s="36"/>
      <c r="I138" s="36"/>
      <c r="J138" s="36"/>
      <c r="K138" s="36"/>
    </row>
    <row r="139" spans="1:11" ht="15" customHeight="1">
      <c r="A139" s="36"/>
      <c r="B139" s="36"/>
      <c r="C139" s="36"/>
      <c r="D139" s="36"/>
      <c r="E139" s="36"/>
      <c r="F139" s="36"/>
      <c r="G139" s="36"/>
      <c r="H139" s="36"/>
      <c r="I139" s="36"/>
      <c r="J139" s="36"/>
      <c r="K139" s="36"/>
    </row>
    <row r="140" spans="1:11" ht="15" customHeight="1">
      <c r="A140" s="36"/>
      <c r="B140" s="36"/>
      <c r="C140" s="36"/>
      <c r="D140" s="36"/>
      <c r="E140" s="36"/>
      <c r="F140" s="36"/>
      <c r="G140" s="36"/>
      <c r="H140" s="36"/>
      <c r="I140" s="36"/>
      <c r="J140" s="36"/>
      <c r="K140" s="36"/>
    </row>
    <row r="141" spans="1:11" ht="15" customHeight="1">
      <c r="A141" s="36"/>
      <c r="B141" s="36"/>
      <c r="C141" s="36"/>
      <c r="D141" s="36"/>
      <c r="E141" s="36"/>
      <c r="F141" s="36"/>
      <c r="G141" s="36"/>
      <c r="H141" s="36"/>
      <c r="I141" s="36"/>
      <c r="J141" s="36"/>
      <c r="K141" s="36"/>
    </row>
    <row r="142" spans="1:11" ht="15" customHeight="1">
      <c r="A142" s="36"/>
      <c r="B142" s="36"/>
      <c r="C142" s="36"/>
      <c r="D142" s="36"/>
      <c r="E142" s="36"/>
      <c r="F142" s="36"/>
      <c r="G142" s="36"/>
      <c r="H142" s="36"/>
      <c r="I142" s="36"/>
      <c r="J142" s="36"/>
      <c r="K142" s="36"/>
    </row>
    <row r="143" spans="1:11" ht="15" customHeight="1">
      <c r="A143" s="36"/>
      <c r="B143" s="36"/>
      <c r="C143" s="36"/>
      <c r="D143" s="36"/>
      <c r="E143" s="36"/>
      <c r="F143" s="36"/>
      <c r="G143" s="36"/>
      <c r="H143" s="36"/>
      <c r="I143" s="36"/>
      <c r="J143" s="36"/>
      <c r="K143" s="36"/>
    </row>
    <row r="144" spans="1:11" ht="15" customHeight="1">
      <c r="A144" s="36"/>
      <c r="B144" s="36"/>
      <c r="C144" s="36"/>
      <c r="D144" s="36"/>
      <c r="E144" s="36"/>
      <c r="F144" s="36"/>
      <c r="G144" s="36"/>
      <c r="H144" s="36"/>
      <c r="I144" s="36"/>
      <c r="J144" s="36"/>
      <c r="K144" s="36"/>
    </row>
    <row r="145" spans="1:11" ht="15" customHeight="1">
      <c r="A145" s="36"/>
      <c r="B145" s="36"/>
      <c r="C145" s="36"/>
      <c r="D145" s="36"/>
      <c r="E145" s="36"/>
      <c r="F145" s="36"/>
      <c r="G145" s="36"/>
      <c r="H145" s="36"/>
      <c r="I145" s="36"/>
      <c r="J145" s="36"/>
      <c r="K145" s="36"/>
    </row>
    <row r="146" spans="1:11" ht="15" customHeight="1">
      <c r="A146" s="36"/>
      <c r="B146" s="36"/>
      <c r="C146" s="36"/>
      <c r="D146" s="36"/>
      <c r="E146" s="36"/>
      <c r="F146" s="36"/>
      <c r="G146" s="36"/>
      <c r="H146" s="36"/>
      <c r="I146" s="36"/>
      <c r="J146" s="36"/>
      <c r="K146" s="36"/>
    </row>
    <row r="147" spans="1:11" ht="15" customHeight="1">
      <c r="A147" s="36"/>
      <c r="B147" s="36"/>
      <c r="C147" s="36"/>
      <c r="D147" s="36"/>
      <c r="E147" s="36"/>
      <c r="F147" s="36"/>
      <c r="G147" s="36"/>
      <c r="H147" s="36"/>
      <c r="I147" s="36"/>
      <c r="J147" s="36"/>
      <c r="K147" s="36"/>
    </row>
    <row r="148" spans="1:11" ht="15" customHeight="1">
      <c r="A148" s="36"/>
      <c r="B148" s="36"/>
      <c r="C148" s="36"/>
      <c r="D148" s="36"/>
      <c r="E148" s="36"/>
      <c r="F148" s="36"/>
      <c r="G148" s="36"/>
      <c r="H148" s="36"/>
      <c r="I148" s="36"/>
      <c r="J148" s="36"/>
      <c r="K148" s="36"/>
    </row>
    <row r="149" spans="1:11" ht="15" customHeight="1">
      <c r="A149" s="36"/>
      <c r="B149" s="36"/>
      <c r="C149" s="36"/>
      <c r="D149" s="36"/>
      <c r="E149" s="36"/>
      <c r="F149" s="36"/>
      <c r="G149" s="36"/>
      <c r="H149" s="36"/>
      <c r="I149" s="36"/>
      <c r="J149" s="36"/>
      <c r="K149" s="36"/>
    </row>
    <row r="150" spans="1:11" ht="15" customHeight="1">
      <c r="A150" s="36"/>
      <c r="B150" s="36"/>
      <c r="C150" s="36"/>
      <c r="D150" s="36"/>
      <c r="E150" s="36"/>
      <c r="F150" s="36"/>
      <c r="G150" s="36"/>
      <c r="H150" s="36"/>
      <c r="I150" s="36"/>
      <c r="J150" s="36"/>
      <c r="K150" s="36"/>
    </row>
    <row r="151" spans="1:11" ht="15" customHeight="1">
      <c r="A151" s="36"/>
      <c r="B151" s="36"/>
      <c r="C151" s="36"/>
      <c r="D151" s="36"/>
      <c r="E151" s="36"/>
      <c r="F151" s="36"/>
      <c r="G151" s="36"/>
      <c r="H151" s="36"/>
      <c r="I151" s="36"/>
      <c r="J151" s="36"/>
      <c r="K151" s="36"/>
    </row>
    <row r="152" spans="1:11" ht="15" customHeight="1">
      <c r="A152" s="36"/>
      <c r="B152" s="36"/>
      <c r="C152" s="36"/>
      <c r="D152" s="36"/>
      <c r="E152" s="36"/>
      <c r="F152" s="36"/>
      <c r="G152" s="36"/>
      <c r="H152" s="36"/>
      <c r="I152" s="36"/>
      <c r="J152" s="36"/>
      <c r="K152" s="36"/>
    </row>
    <row r="153" spans="1:11" ht="15" customHeight="1">
      <c r="A153" s="36"/>
      <c r="B153" s="36"/>
      <c r="C153" s="36"/>
      <c r="D153" s="36"/>
      <c r="E153" s="36"/>
      <c r="F153" s="36"/>
      <c r="G153" s="36"/>
      <c r="H153" s="36"/>
      <c r="I153" s="36"/>
      <c r="J153" s="36"/>
      <c r="K153" s="36"/>
    </row>
    <row r="154" spans="1:11" ht="15" customHeight="1">
      <c r="A154" s="36"/>
      <c r="B154" s="36"/>
      <c r="C154" s="36"/>
      <c r="D154" s="36"/>
      <c r="E154" s="36"/>
      <c r="F154" s="36"/>
      <c r="G154" s="36"/>
      <c r="H154" s="36"/>
      <c r="I154" s="36"/>
      <c r="J154" s="36"/>
      <c r="K154" s="36"/>
    </row>
    <row r="155" spans="1:11" ht="15" customHeight="1">
      <c r="A155" s="36"/>
      <c r="B155" s="36"/>
      <c r="C155" s="36"/>
      <c r="D155" s="36"/>
      <c r="E155" s="36"/>
      <c r="F155" s="36"/>
      <c r="G155" s="36"/>
      <c r="H155" s="36"/>
      <c r="I155" s="36"/>
      <c r="J155" s="36"/>
      <c r="K155" s="36"/>
    </row>
    <row r="156" spans="1:11" ht="15" customHeight="1">
      <c r="A156" s="36"/>
      <c r="B156" s="36"/>
      <c r="C156" s="36"/>
      <c r="D156" s="36"/>
      <c r="E156" s="36"/>
      <c r="F156" s="36"/>
      <c r="G156" s="36"/>
      <c r="H156" s="36"/>
      <c r="I156" s="36"/>
      <c r="J156" s="36"/>
      <c r="K156" s="36"/>
    </row>
    <row r="157" spans="1:11" ht="15" customHeight="1">
      <c r="A157" s="36"/>
      <c r="B157" s="36"/>
      <c r="C157" s="36"/>
      <c r="D157" s="36"/>
      <c r="E157" s="36"/>
      <c r="F157" s="36"/>
      <c r="G157" s="36"/>
      <c r="H157" s="36"/>
      <c r="I157" s="36"/>
      <c r="J157" s="36"/>
      <c r="K157" s="36"/>
    </row>
    <row r="158" spans="1:11" ht="15" customHeight="1">
      <c r="A158" s="36"/>
      <c r="B158" s="36"/>
      <c r="C158" s="36"/>
      <c r="D158" s="36"/>
      <c r="E158" s="36"/>
      <c r="F158" s="36"/>
      <c r="G158" s="36"/>
      <c r="H158" s="36"/>
      <c r="I158" s="36"/>
      <c r="J158" s="36"/>
      <c r="K158" s="36"/>
    </row>
    <row r="159" spans="1:11" ht="15" customHeight="1">
      <c r="A159" s="36"/>
      <c r="B159" s="36"/>
      <c r="C159" s="36"/>
      <c r="D159" s="36"/>
      <c r="E159" s="36"/>
      <c r="F159" s="36"/>
      <c r="G159" s="36"/>
      <c r="H159" s="36"/>
      <c r="I159" s="36"/>
      <c r="J159" s="36"/>
      <c r="K159" s="36"/>
    </row>
    <row r="160" spans="1:11" ht="15" customHeight="1">
      <c r="A160" s="36"/>
      <c r="B160" s="36"/>
      <c r="C160" s="36"/>
      <c r="D160" s="36"/>
      <c r="E160" s="36"/>
      <c r="F160" s="36"/>
      <c r="G160" s="36"/>
      <c r="H160" s="36"/>
      <c r="I160" s="36"/>
      <c r="J160" s="36"/>
      <c r="K160" s="36"/>
    </row>
    <row r="161" spans="1:11" ht="15" customHeight="1">
      <c r="A161" s="36"/>
      <c r="B161" s="36"/>
      <c r="C161" s="36"/>
      <c r="D161" s="36"/>
      <c r="E161" s="36"/>
      <c r="F161" s="36"/>
      <c r="G161" s="36"/>
      <c r="H161" s="36"/>
      <c r="I161" s="36"/>
      <c r="J161" s="36"/>
      <c r="K161" s="36"/>
    </row>
    <row r="162" spans="1:11" ht="15" customHeight="1">
      <c r="A162" s="36"/>
      <c r="B162" s="36"/>
      <c r="C162" s="36"/>
      <c r="D162" s="36"/>
      <c r="E162" s="36"/>
      <c r="F162" s="36"/>
      <c r="G162" s="36"/>
      <c r="H162" s="36"/>
      <c r="I162" s="36"/>
      <c r="J162" s="36"/>
      <c r="K162" s="36"/>
    </row>
    <row r="163" spans="1:11" ht="15" customHeight="1">
      <c r="A163" s="36"/>
      <c r="B163" s="36"/>
      <c r="C163" s="36"/>
      <c r="D163" s="36"/>
      <c r="E163" s="36"/>
      <c r="F163" s="36"/>
      <c r="G163" s="36"/>
      <c r="H163" s="36"/>
      <c r="I163" s="36"/>
      <c r="J163" s="36"/>
      <c r="K163" s="36"/>
    </row>
    <row r="164" spans="1:11" ht="15" customHeight="1">
      <c r="A164" s="36"/>
      <c r="B164" s="36"/>
      <c r="C164" s="36"/>
      <c r="D164" s="36"/>
      <c r="E164" s="36"/>
      <c r="F164" s="36"/>
      <c r="G164" s="36"/>
      <c r="H164" s="36"/>
      <c r="I164" s="36"/>
      <c r="J164" s="36"/>
      <c r="K164" s="36"/>
    </row>
    <row r="165" spans="1:11" ht="15" customHeight="1">
      <c r="A165" s="36"/>
      <c r="B165" s="36"/>
      <c r="C165" s="36"/>
      <c r="D165" s="36"/>
      <c r="E165" s="36"/>
      <c r="F165" s="36"/>
      <c r="G165" s="36"/>
      <c r="H165" s="36"/>
      <c r="I165" s="36"/>
      <c r="J165" s="36"/>
      <c r="K165" s="36"/>
    </row>
    <row r="166" spans="1:11" ht="15" customHeight="1">
      <c r="A166" s="36"/>
      <c r="B166" s="36"/>
      <c r="C166" s="36"/>
      <c r="D166" s="36"/>
      <c r="E166" s="36"/>
      <c r="F166" s="36"/>
      <c r="G166" s="36"/>
      <c r="H166" s="36"/>
      <c r="I166" s="36"/>
      <c r="J166" s="36"/>
      <c r="K166" s="36"/>
    </row>
    <row r="167" spans="1:11" ht="15" customHeight="1">
      <c r="A167" s="36"/>
      <c r="B167" s="36"/>
      <c r="C167" s="36"/>
      <c r="D167" s="36"/>
      <c r="E167" s="36"/>
      <c r="F167" s="36"/>
      <c r="G167" s="36"/>
      <c r="H167" s="36"/>
      <c r="I167" s="36"/>
      <c r="J167" s="36"/>
      <c r="K167" s="36"/>
    </row>
    <row r="168" spans="1:11" ht="15" customHeight="1">
      <c r="A168" s="36"/>
      <c r="B168" s="36"/>
      <c r="C168" s="36"/>
      <c r="D168" s="36"/>
      <c r="E168" s="36"/>
      <c r="F168" s="36"/>
      <c r="G168" s="36"/>
      <c r="H168" s="36"/>
      <c r="I168" s="36"/>
      <c r="J168" s="36"/>
      <c r="K168" s="36"/>
    </row>
    <row r="169" spans="1:11" ht="15" customHeight="1">
      <c r="A169" s="36"/>
      <c r="B169" s="36"/>
      <c r="C169" s="36"/>
      <c r="D169" s="36"/>
      <c r="E169" s="36"/>
      <c r="F169" s="36"/>
      <c r="G169" s="36"/>
      <c r="H169" s="36"/>
      <c r="I169" s="36"/>
      <c r="J169" s="36"/>
      <c r="K169" s="36"/>
    </row>
    <row r="170" spans="1:11" ht="15" customHeight="1">
      <c r="A170" s="36"/>
      <c r="B170" s="36"/>
      <c r="C170" s="36"/>
      <c r="D170" s="36"/>
      <c r="E170" s="36"/>
      <c r="F170" s="36"/>
      <c r="G170" s="36"/>
      <c r="H170" s="36"/>
      <c r="I170" s="36"/>
      <c r="J170" s="36"/>
      <c r="K170" s="36"/>
    </row>
    <row r="171" spans="1:11">
      <c r="A171" s="36"/>
      <c r="B171" s="36"/>
      <c r="C171" s="36"/>
      <c r="D171" s="36"/>
      <c r="E171" s="36"/>
      <c r="F171" s="36"/>
      <c r="G171" s="36"/>
      <c r="H171" s="36"/>
      <c r="I171" s="36"/>
      <c r="J171" s="36"/>
      <c r="K171" s="36"/>
    </row>
    <row r="172" spans="1:11">
      <c r="A172" s="36"/>
      <c r="B172" s="36"/>
      <c r="C172" s="36"/>
      <c r="D172" s="36"/>
      <c r="E172" s="36"/>
      <c r="F172" s="36"/>
      <c r="G172" s="36"/>
      <c r="H172" s="36"/>
      <c r="I172" s="36"/>
      <c r="J172" s="36"/>
      <c r="K172" s="36"/>
    </row>
    <row r="173" spans="1:11">
      <c r="A173" s="36"/>
      <c r="B173" s="36"/>
      <c r="C173" s="36"/>
      <c r="D173" s="36"/>
      <c r="E173" s="36"/>
      <c r="F173" s="36"/>
      <c r="G173" s="36"/>
      <c r="H173" s="36"/>
      <c r="I173" s="36"/>
      <c r="J173" s="36"/>
      <c r="K173" s="36"/>
    </row>
    <row r="174" spans="1:11">
      <c r="A174" s="36"/>
      <c r="B174" s="36"/>
      <c r="C174" s="36"/>
      <c r="D174" s="36"/>
      <c r="E174" s="36"/>
      <c r="F174" s="36"/>
      <c r="G174" s="36"/>
      <c r="H174" s="36"/>
      <c r="I174" s="36"/>
      <c r="J174" s="36"/>
      <c r="K174" s="36"/>
    </row>
    <row r="175" spans="1:11">
      <c r="A175" s="36"/>
      <c r="B175" s="36"/>
      <c r="C175" s="36"/>
      <c r="D175" s="36"/>
      <c r="E175" s="36"/>
      <c r="F175" s="36"/>
      <c r="G175" s="36"/>
      <c r="H175" s="36"/>
      <c r="I175" s="36"/>
      <c r="J175" s="36"/>
      <c r="K175" s="36"/>
    </row>
    <row r="176" spans="1:11">
      <c r="A176" s="36"/>
      <c r="B176" s="36"/>
      <c r="C176" s="36"/>
      <c r="D176" s="36"/>
      <c r="E176" s="36"/>
      <c r="F176" s="36"/>
      <c r="G176" s="36"/>
      <c r="H176" s="36"/>
      <c r="I176" s="36"/>
      <c r="J176" s="36"/>
      <c r="K176" s="36"/>
    </row>
    <row r="177" spans="1:11">
      <c r="A177" s="36"/>
      <c r="B177" s="36"/>
      <c r="C177" s="36"/>
      <c r="D177" s="36"/>
      <c r="E177" s="36"/>
      <c r="F177" s="36"/>
      <c r="G177" s="36"/>
      <c r="H177" s="36"/>
      <c r="I177" s="36"/>
      <c r="J177" s="36"/>
      <c r="K177" s="36"/>
    </row>
    <row r="178" spans="1:11">
      <c r="A178" s="36"/>
      <c r="B178" s="36"/>
      <c r="C178" s="36"/>
      <c r="D178" s="36"/>
      <c r="E178" s="36"/>
      <c r="F178" s="36"/>
      <c r="G178" s="36"/>
      <c r="H178" s="36"/>
      <c r="I178" s="36"/>
      <c r="J178" s="36"/>
      <c r="K178" s="36"/>
    </row>
    <row r="179" spans="1:11">
      <c r="A179" s="36"/>
      <c r="B179" s="36"/>
      <c r="C179" s="36"/>
      <c r="D179" s="36"/>
      <c r="E179" s="36"/>
      <c r="F179" s="36"/>
      <c r="G179" s="36"/>
      <c r="H179" s="36"/>
      <c r="I179" s="36"/>
      <c r="J179" s="36"/>
      <c r="K179" s="36"/>
    </row>
    <row r="180" spans="1:11">
      <c r="A180" s="36"/>
      <c r="B180" s="36"/>
      <c r="C180" s="36"/>
      <c r="D180" s="36"/>
      <c r="E180" s="36"/>
      <c r="F180" s="36"/>
      <c r="G180" s="36"/>
      <c r="H180" s="36"/>
      <c r="I180" s="36"/>
      <c r="J180" s="36"/>
      <c r="K180" s="36"/>
    </row>
    <row r="181" spans="1:11">
      <c r="A181" s="36"/>
      <c r="B181" s="36"/>
      <c r="C181" s="36"/>
      <c r="D181" s="36"/>
      <c r="E181" s="36"/>
      <c r="F181" s="36"/>
      <c r="G181" s="36"/>
      <c r="H181" s="36"/>
      <c r="I181" s="36"/>
      <c r="J181" s="36"/>
      <c r="K181" s="36"/>
    </row>
    <row r="182" spans="1:11">
      <c r="A182" s="36"/>
      <c r="B182" s="36"/>
      <c r="C182" s="36"/>
      <c r="D182" s="36"/>
      <c r="E182" s="36"/>
      <c r="F182" s="36"/>
      <c r="G182" s="36"/>
      <c r="H182" s="36"/>
      <c r="I182" s="36"/>
      <c r="J182" s="36"/>
      <c r="K182" s="36"/>
    </row>
    <row r="183" spans="1:11">
      <c r="A183" s="36"/>
      <c r="B183" s="36"/>
      <c r="C183" s="36"/>
      <c r="D183" s="36"/>
      <c r="E183" s="36"/>
      <c r="F183" s="36"/>
      <c r="G183" s="36"/>
      <c r="H183" s="36"/>
      <c r="I183" s="36"/>
      <c r="J183" s="36"/>
      <c r="K183" s="36"/>
    </row>
    <row r="184" spans="1:11">
      <c r="A184" s="36"/>
      <c r="B184" s="36"/>
      <c r="C184" s="36"/>
      <c r="D184" s="36"/>
      <c r="E184" s="36"/>
      <c r="F184" s="36"/>
      <c r="G184" s="36"/>
      <c r="H184" s="36"/>
      <c r="I184" s="36"/>
      <c r="J184" s="36"/>
      <c r="K184" s="36"/>
    </row>
    <row r="185" spans="1:11">
      <c r="A185" s="36"/>
      <c r="B185" s="36"/>
      <c r="C185" s="36"/>
      <c r="D185" s="36"/>
      <c r="E185" s="36"/>
      <c r="F185" s="36"/>
      <c r="G185" s="36"/>
      <c r="H185" s="36"/>
      <c r="I185" s="36"/>
      <c r="J185" s="36"/>
      <c r="K185" s="36"/>
    </row>
    <row r="186" spans="1:11">
      <c r="A186" s="36"/>
      <c r="B186" s="36"/>
      <c r="C186" s="36"/>
      <c r="D186" s="36"/>
      <c r="E186" s="36"/>
      <c r="F186" s="36"/>
      <c r="G186" s="36"/>
      <c r="H186" s="36"/>
      <c r="I186" s="36"/>
      <c r="J186" s="36"/>
      <c r="K186" s="36"/>
    </row>
    <row r="187" spans="1:11">
      <c r="A187" s="36"/>
      <c r="B187" s="36"/>
      <c r="C187" s="36"/>
      <c r="D187" s="36"/>
      <c r="E187" s="36"/>
      <c r="F187" s="36"/>
      <c r="G187" s="36"/>
      <c r="H187" s="36"/>
      <c r="I187" s="36"/>
      <c r="J187" s="36"/>
      <c r="K187" s="36"/>
    </row>
    <row r="188" spans="1:11">
      <c r="A188" s="36"/>
      <c r="B188" s="36"/>
      <c r="C188" s="36"/>
      <c r="D188" s="36"/>
      <c r="E188" s="36"/>
      <c r="F188" s="36"/>
      <c r="G188" s="36"/>
      <c r="H188" s="36"/>
      <c r="I188" s="36"/>
      <c r="J188" s="36"/>
      <c r="K188" s="36"/>
    </row>
    <row r="189" spans="1:11">
      <c r="A189" s="36"/>
      <c r="B189" s="36"/>
      <c r="C189" s="36"/>
      <c r="D189" s="36"/>
      <c r="E189" s="36"/>
      <c r="F189" s="36"/>
      <c r="G189" s="36"/>
      <c r="H189" s="36"/>
      <c r="I189" s="36"/>
      <c r="J189" s="36"/>
      <c r="K189" s="36"/>
    </row>
    <row r="190" spans="1:11">
      <c r="A190" s="36"/>
      <c r="B190" s="36"/>
      <c r="C190" s="36"/>
      <c r="D190" s="36"/>
      <c r="E190" s="36"/>
      <c r="F190" s="36"/>
      <c r="G190" s="36"/>
      <c r="H190" s="36"/>
      <c r="I190" s="36"/>
      <c r="J190" s="36"/>
      <c r="K190" s="36"/>
    </row>
    <row r="191" spans="1:11">
      <c r="A191" s="36"/>
      <c r="B191" s="36"/>
      <c r="C191" s="36"/>
      <c r="D191" s="36"/>
      <c r="E191" s="36"/>
      <c r="F191" s="36"/>
      <c r="G191" s="36"/>
      <c r="H191" s="36"/>
      <c r="I191" s="36"/>
      <c r="J191" s="36"/>
      <c r="K191" s="36"/>
    </row>
    <row r="192" spans="1:11">
      <c r="A192" s="36"/>
      <c r="B192" s="36"/>
      <c r="C192" s="36"/>
      <c r="D192" s="36"/>
      <c r="E192" s="36"/>
      <c r="F192" s="36"/>
      <c r="G192" s="36"/>
      <c r="H192" s="36"/>
      <c r="I192" s="36"/>
      <c r="J192" s="36"/>
      <c r="K192" s="36"/>
    </row>
    <row r="193" spans="1:11">
      <c r="A193" s="36"/>
      <c r="B193" s="36"/>
      <c r="C193" s="36"/>
      <c r="D193" s="36"/>
      <c r="E193" s="36"/>
      <c r="F193" s="36"/>
      <c r="G193" s="36"/>
      <c r="H193" s="36"/>
      <c r="I193" s="36"/>
      <c r="J193" s="36"/>
      <c r="K193" s="36"/>
    </row>
    <row r="194" spans="1:11">
      <c r="A194" s="36"/>
      <c r="B194" s="36"/>
      <c r="C194" s="36"/>
      <c r="D194" s="36"/>
      <c r="E194" s="36"/>
      <c r="F194" s="36"/>
      <c r="G194" s="36"/>
      <c r="H194" s="36"/>
      <c r="I194" s="36"/>
      <c r="J194" s="36"/>
      <c r="K194" s="36"/>
    </row>
    <row r="195" spans="1:11">
      <c r="A195" s="36"/>
      <c r="B195" s="36"/>
      <c r="C195" s="36"/>
      <c r="D195" s="36"/>
      <c r="E195" s="36"/>
      <c r="F195" s="36"/>
      <c r="G195" s="36"/>
      <c r="H195" s="36"/>
      <c r="I195" s="36"/>
      <c r="J195" s="36"/>
      <c r="K195" s="36"/>
    </row>
    <row r="196" spans="1:11">
      <c r="A196" s="36"/>
      <c r="B196" s="36"/>
      <c r="C196" s="36"/>
      <c r="D196" s="36"/>
      <c r="E196" s="36"/>
      <c r="F196" s="36"/>
      <c r="G196" s="36"/>
      <c r="H196" s="36"/>
      <c r="I196" s="36"/>
      <c r="J196" s="36"/>
      <c r="K196" s="36"/>
    </row>
    <row r="197" spans="1:11">
      <c r="A197" s="36"/>
      <c r="B197" s="36"/>
      <c r="C197" s="36"/>
      <c r="D197" s="36"/>
      <c r="E197" s="36"/>
      <c r="F197" s="36"/>
      <c r="G197" s="36"/>
      <c r="H197" s="36"/>
      <c r="I197" s="36"/>
      <c r="J197" s="36"/>
      <c r="K197" s="36"/>
    </row>
    <row r="198" spans="1:11">
      <c r="A198" s="36"/>
      <c r="B198" s="36"/>
      <c r="C198" s="36"/>
      <c r="D198" s="36"/>
      <c r="E198" s="36"/>
      <c r="F198" s="36"/>
      <c r="G198" s="36"/>
      <c r="H198" s="36"/>
      <c r="I198" s="36"/>
      <c r="J198" s="36"/>
      <c r="K198" s="36"/>
    </row>
    <row r="199" spans="1:11">
      <c r="A199" s="36"/>
      <c r="B199" s="36"/>
      <c r="C199" s="36"/>
      <c r="D199" s="36"/>
      <c r="E199" s="36"/>
      <c r="F199" s="36"/>
      <c r="G199" s="36"/>
      <c r="H199" s="36"/>
      <c r="I199" s="36"/>
      <c r="J199" s="36"/>
      <c r="K199" s="36"/>
    </row>
    <row r="200" spans="1:11">
      <c r="A200" s="36"/>
      <c r="B200" s="36"/>
      <c r="C200" s="36"/>
      <c r="D200" s="36"/>
      <c r="E200" s="36"/>
      <c r="F200" s="36"/>
      <c r="G200" s="36"/>
      <c r="H200" s="36"/>
      <c r="I200" s="36"/>
      <c r="J200" s="36"/>
      <c r="K200" s="36"/>
    </row>
    <row r="201" spans="1:11">
      <c r="A201" s="36"/>
      <c r="B201" s="36"/>
      <c r="C201" s="36"/>
      <c r="D201" s="36"/>
      <c r="E201" s="36"/>
      <c r="F201" s="36"/>
      <c r="G201" s="36"/>
      <c r="H201" s="36"/>
      <c r="I201" s="36"/>
      <c r="J201" s="36"/>
      <c r="K201" s="36"/>
    </row>
    <row r="202" spans="1:11">
      <c r="A202" s="36"/>
      <c r="B202" s="36"/>
      <c r="C202" s="36"/>
      <c r="D202" s="36"/>
      <c r="E202" s="36"/>
      <c r="F202" s="36"/>
      <c r="G202" s="36"/>
      <c r="H202" s="36"/>
      <c r="I202" s="36"/>
      <c r="J202" s="36"/>
      <c r="K202" s="36"/>
    </row>
    <row r="203" spans="1:11">
      <c r="A203" s="36"/>
      <c r="B203" s="36"/>
      <c r="C203" s="36"/>
      <c r="D203" s="36"/>
      <c r="E203" s="36"/>
      <c r="F203" s="36"/>
      <c r="G203" s="36"/>
      <c r="H203" s="36"/>
      <c r="I203" s="36"/>
      <c r="J203" s="36"/>
      <c r="K203" s="36"/>
    </row>
    <row r="204" spans="1:11">
      <c r="A204" s="36"/>
      <c r="B204" s="36"/>
      <c r="C204" s="36"/>
      <c r="D204" s="36"/>
      <c r="E204" s="36"/>
      <c r="F204" s="36"/>
      <c r="G204" s="36"/>
      <c r="H204" s="36"/>
      <c r="I204" s="36"/>
      <c r="J204" s="36"/>
      <c r="K204" s="36"/>
    </row>
    <row r="205" spans="1:11">
      <c r="A205" s="36"/>
      <c r="B205" s="36"/>
      <c r="C205" s="36"/>
      <c r="D205" s="36"/>
      <c r="E205" s="36"/>
      <c r="F205" s="36"/>
      <c r="G205" s="36"/>
      <c r="H205" s="36"/>
      <c r="I205" s="36"/>
      <c r="J205" s="36"/>
      <c r="K205" s="36"/>
    </row>
    <row r="206" spans="1:11">
      <c r="A206" s="36"/>
      <c r="B206" s="36"/>
      <c r="C206" s="36"/>
      <c r="D206" s="36"/>
      <c r="E206" s="36"/>
      <c r="F206" s="36"/>
      <c r="G206" s="36"/>
      <c r="H206" s="36"/>
      <c r="I206" s="36"/>
      <c r="J206" s="36"/>
      <c r="K206" s="36"/>
    </row>
    <row r="207" spans="1:11">
      <c r="A207" s="36"/>
      <c r="B207" s="36"/>
      <c r="C207" s="36"/>
      <c r="D207" s="36"/>
      <c r="E207" s="36"/>
      <c r="F207" s="36"/>
      <c r="G207" s="36"/>
      <c r="H207" s="36"/>
      <c r="I207" s="36"/>
      <c r="J207" s="36"/>
      <c r="K207" s="36"/>
    </row>
    <row r="208" spans="1:11">
      <c r="A208" s="36"/>
      <c r="B208" s="36"/>
      <c r="C208" s="36"/>
      <c r="D208" s="36"/>
      <c r="E208" s="36"/>
      <c r="F208" s="36"/>
      <c r="G208" s="36"/>
      <c r="H208" s="36"/>
      <c r="I208" s="36"/>
      <c r="J208" s="36"/>
      <c r="K208" s="36"/>
    </row>
    <row r="209" spans="1:11">
      <c r="A209" s="36"/>
      <c r="B209" s="36"/>
      <c r="C209" s="36"/>
      <c r="D209" s="36"/>
      <c r="E209" s="36"/>
      <c r="F209" s="36"/>
      <c r="G209" s="36"/>
      <c r="H209" s="36"/>
      <c r="I209" s="36"/>
      <c r="J209" s="36"/>
      <c r="K209" s="36"/>
    </row>
    <row r="210" spans="1:11">
      <c r="A210" s="36"/>
      <c r="B210" s="36"/>
      <c r="C210" s="36"/>
      <c r="D210" s="36"/>
      <c r="E210" s="36"/>
      <c r="F210" s="36"/>
      <c r="G210" s="36"/>
      <c r="H210" s="36"/>
      <c r="I210" s="36"/>
      <c r="J210" s="36"/>
      <c r="K210" s="36"/>
    </row>
    <row r="211" spans="1:11">
      <c r="A211" s="36"/>
      <c r="B211" s="36"/>
      <c r="C211" s="36"/>
      <c r="D211" s="36"/>
      <c r="E211" s="36"/>
      <c r="F211" s="36"/>
      <c r="G211" s="36"/>
      <c r="H211" s="36"/>
      <c r="I211" s="36"/>
      <c r="J211" s="36"/>
      <c r="K211" s="36"/>
    </row>
    <row r="212" spans="1:11">
      <c r="A212" s="36"/>
      <c r="B212" s="36"/>
      <c r="C212" s="36"/>
      <c r="D212" s="36"/>
      <c r="E212" s="36"/>
      <c r="F212" s="36"/>
      <c r="G212" s="36"/>
      <c r="H212" s="36"/>
      <c r="I212" s="36"/>
      <c r="J212" s="36"/>
      <c r="K212" s="36"/>
    </row>
    <row r="213" spans="1:11">
      <c r="A213" s="36"/>
      <c r="B213" s="36"/>
      <c r="C213" s="36"/>
      <c r="D213" s="36"/>
      <c r="E213" s="36"/>
      <c r="F213" s="36"/>
      <c r="G213" s="36"/>
      <c r="H213" s="36"/>
      <c r="I213" s="36"/>
      <c r="J213" s="36"/>
      <c r="K213" s="36"/>
    </row>
    <row r="214" spans="1:11">
      <c r="A214" s="36"/>
      <c r="B214" s="36"/>
      <c r="C214" s="36"/>
      <c r="D214" s="36"/>
      <c r="E214" s="36"/>
      <c r="F214" s="36"/>
      <c r="G214" s="36"/>
      <c r="H214" s="36"/>
      <c r="I214" s="36"/>
      <c r="J214" s="36"/>
      <c r="K214" s="36"/>
    </row>
    <row r="215" spans="1:11">
      <c r="A215" s="36"/>
      <c r="B215" s="36"/>
      <c r="C215" s="36"/>
      <c r="D215" s="36"/>
      <c r="E215" s="36"/>
      <c r="F215" s="36"/>
      <c r="G215" s="36"/>
      <c r="H215" s="36"/>
      <c r="I215" s="36"/>
      <c r="J215" s="36"/>
      <c r="K215" s="36"/>
    </row>
    <row r="216" spans="1:11">
      <c r="A216" s="36"/>
      <c r="B216" s="36"/>
      <c r="C216" s="36"/>
      <c r="D216" s="36"/>
      <c r="E216" s="36"/>
      <c r="F216" s="36"/>
      <c r="G216" s="36"/>
      <c r="H216" s="36"/>
      <c r="I216" s="36"/>
      <c r="J216" s="36"/>
      <c r="K216" s="36"/>
    </row>
    <row r="217" spans="1:11">
      <c r="A217" s="36"/>
      <c r="B217" s="36"/>
      <c r="C217" s="36"/>
      <c r="D217" s="36"/>
      <c r="E217" s="36"/>
      <c r="F217" s="36"/>
      <c r="G217" s="36"/>
      <c r="H217" s="36"/>
      <c r="I217" s="36"/>
      <c r="J217" s="36"/>
      <c r="K217" s="36"/>
    </row>
    <row r="218" spans="1:11">
      <c r="A218" s="36"/>
      <c r="B218" s="36"/>
      <c r="C218" s="36"/>
      <c r="D218" s="36"/>
      <c r="E218" s="36"/>
      <c r="F218" s="36"/>
      <c r="G218" s="36"/>
      <c r="H218" s="36"/>
      <c r="I218" s="36"/>
      <c r="J218" s="36"/>
      <c r="K218" s="36"/>
    </row>
    <row r="219" spans="1:11">
      <c r="A219" s="36"/>
      <c r="B219" s="36"/>
      <c r="C219" s="36"/>
      <c r="D219" s="36"/>
      <c r="E219" s="36"/>
      <c r="F219" s="36"/>
      <c r="G219" s="36"/>
      <c r="H219" s="36"/>
      <c r="I219" s="36"/>
      <c r="J219" s="36"/>
      <c r="K219" s="36"/>
    </row>
    <row r="220" spans="1:11">
      <c r="A220" s="36"/>
      <c r="B220" s="36"/>
      <c r="C220" s="36"/>
      <c r="D220" s="36"/>
      <c r="E220" s="36"/>
      <c r="F220" s="36"/>
      <c r="G220" s="36"/>
      <c r="H220" s="36"/>
      <c r="I220" s="36"/>
      <c r="J220" s="36"/>
      <c r="K220" s="36"/>
    </row>
    <row r="221" spans="1:11">
      <c r="A221" s="36"/>
      <c r="B221" s="36"/>
      <c r="C221" s="36"/>
      <c r="D221" s="36"/>
      <c r="E221" s="36"/>
      <c r="F221" s="36"/>
      <c r="G221" s="36"/>
      <c r="H221" s="36"/>
      <c r="I221" s="36"/>
      <c r="J221" s="36"/>
      <c r="K221" s="36"/>
    </row>
    <row r="222" spans="1:11">
      <c r="A222" s="36"/>
      <c r="B222" s="36"/>
      <c r="C222" s="36"/>
      <c r="D222" s="36"/>
      <c r="E222" s="36"/>
      <c r="F222" s="36"/>
      <c r="G222" s="36"/>
      <c r="H222" s="36"/>
      <c r="I222" s="36"/>
      <c r="J222" s="36"/>
      <c r="K222" s="36"/>
    </row>
    <row r="223" spans="1:11">
      <c r="A223" s="36"/>
      <c r="B223" s="36"/>
      <c r="C223" s="36"/>
      <c r="D223" s="36"/>
      <c r="E223" s="36"/>
      <c r="F223" s="36"/>
      <c r="G223" s="36"/>
      <c r="H223" s="36"/>
      <c r="I223" s="36"/>
      <c r="J223" s="36"/>
      <c r="K223" s="36"/>
    </row>
    <row r="224" spans="1:11">
      <c r="A224" s="36"/>
      <c r="B224" s="36"/>
      <c r="C224" s="36"/>
      <c r="D224" s="36"/>
      <c r="E224" s="36"/>
      <c r="F224" s="36"/>
      <c r="G224" s="36"/>
      <c r="H224" s="36"/>
      <c r="I224" s="36"/>
      <c r="J224" s="36"/>
      <c r="K224" s="36"/>
    </row>
    <row r="225" spans="1:11">
      <c r="A225" s="36"/>
      <c r="B225" s="36"/>
      <c r="C225" s="36"/>
      <c r="D225" s="36"/>
      <c r="E225" s="36"/>
      <c r="F225" s="36"/>
      <c r="G225" s="36"/>
      <c r="H225" s="36"/>
      <c r="I225" s="36"/>
      <c r="J225" s="36"/>
      <c r="K225" s="36"/>
    </row>
    <row r="226" spans="1:11">
      <c r="A226" s="36"/>
      <c r="B226" s="36"/>
      <c r="C226" s="36"/>
      <c r="D226" s="36"/>
      <c r="E226" s="36"/>
      <c r="F226" s="36"/>
      <c r="G226" s="36"/>
      <c r="H226" s="36"/>
      <c r="I226" s="36"/>
      <c r="J226" s="36"/>
      <c r="K226" s="36"/>
    </row>
  </sheetData>
  <mergeCells count="19">
    <mergeCell ref="A1:K1"/>
    <mergeCell ref="B73:C73"/>
    <mergeCell ref="E75:F75"/>
    <mergeCell ref="E84:F84"/>
    <mergeCell ref="E76:F76"/>
    <mergeCell ref="E78:F78"/>
    <mergeCell ref="E79:F79"/>
    <mergeCell ref="E80:F80"/>
    <mergeCell ref="E82:F82"/>
    <mergeCell ref="E83:F83"/>
    <mergeCell ref="E77:F77"/>
    <mergeCell ref="E73:I73"/>
    <mergeCell ref="B112:M113"/>
    <mergeCell ref="N64:N66"/>
    <mergeCell ref="E87:F87"/>
    <mergeCell ref="E88:F88"/>
    <mergeCell ref="E91:F91"/>
    <mergeCell ref="E86:F86"/>
    <mergeCell ref="E85:F85"/>
  </mergeCells>
  <phoneticPr fontId="11" type="noConversion"/>
  <pageMargins left="0" right="0.11811023622047245" top="0.51181102362204722" bottom="0.15748031496062992" header="0.11811023622047245" footer="0"/>
  <pageSetup scale="62" orientation="landscape" verticalDpi="300" r:id="rId1"/>
  <headerFooter alignWithMargins="0"/>
  <rowBreaks count="3" manualBreakCount="3">
    <brk id="29" max="20" man="1"/>
    <brk id="71" max="20" man="1"/>
    <brk id="104" max="16383" man="1"/>
  </rowBreaks>
  <colBreaks count="1" manualBreakCount="1">
    <brk id="11" max="103"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H99"/>
  <sheetViews>
    <sheetView workbookViewId="0">
      <selection activeCell="H10" sqref="H10"/>
    </sheetView>
  </sheetViews>
  <sheetFormatPr baseColWidth="10" defaultRowHeight="12.75"/>
  <cols>
    <col min="1" max="1" width="3.85546875" customWidth="1"/>
    <col min="2" max="2" width="4.7109375" customWidth="1"/>
    <col min="3" max="3" width="5" customWidth="1"/>
    <col min="4" max="4" width="4.42578125" customWidth="1"/>
    <col min="5" max="5" width="6.140625" customWidth="1"/>
    <col min="6" max="6" width="8" style="152" customWidth="1"/>
    <col min="7" max="7" width="42.85546875" style="32" customWidth="1"/>
    <col min="8" max="8" width="16.7109375" customWidth="1"/>
  </cols>
  <sheetData>
    <row r="1" spans="1:8" ht="24" customHeight="1">
      <c r="A1" s="2217" t="s">
        <v>111</v>
      </c>
      <c r="B1" s="2217"/>
      <c r="C1" s="2217"/>
      <c r="D1" s="2217"/>
      <c r="E1" s="2217"/>
      <c r="F1" s="2217"/>
      <c r="G1" s="2217"/>
      <c r="H1" s="2217"/>
    </row>
    <row r="2" spans="1:8" ht="24" customHeight="1">
      <c r="A2" s="2217" t="s">
        <v>110</v>
      </c>
      <c r="B2" s="2217"/>
      <c r="C2" s="2217"/>
      <c r="D2" s="2217"/>
      <c r="E2" s="2217"/>
      <c r="F2" s="2217"/>
      <c r="G2" s="2217"/>
      <c r="H2" s="2217"/>
    </row>
    <row r="3" spans="1:8" ht="24" customHeight="1">
      <c r="A3" s="2185" t="s">
        <v>1214</v>
      </c>
      <c r="B3" s="2185"/>
      <c r="C3" s="2185"/>
      <c r="D3" s="2185"/>
      <c r="E3" s="2185"/>
      <c r="F3" s="2185"/>
      <c r="G3" s="2185"/>
      <c r="H3" s="2185"/>
    </row>
    <row r="4" spans="1:8" ht="24" customHeight="1">
      <c r="A4" s="2185" t="s">
        <v>32</v>
      </c>
      <c r="B4" s="2185"/>
      <c r="C4" s="2185"/>
      <c r="D4" s="2185"/>
      <c r="E4" s="2185"/>
      <c r="F4" s="2185"/>
      <c r="G4" s="2185"/>
      <c r="H4" s="2185"/>
    </row>
    <row r="5" spans="1:8">
      <c r="A5" s="2218" t="s">
        <v>47</v>
      </c>
      <c r="B5" s="2218"/>
      <c r="C5" s="2218"/>
      <c r="D5" s="2218"/>
      <c r="E5" s="2218"/>
      <c r="F5" s="2218"/>
      <c r="G5" s="2218"/>
      <c r="H5" s="2218"/>
    </row>
    <row r="6" spans="1:8">
      <c r="A6" s="2218"/>
      <c r="B6" s="2218"/>
      <c r="C6" s="2218"/>
      <c r="D6" s="2218"/>
      <c r="E6" s="2218"/>
      <c r="F6" s="2218"/>
      <c r="G6" s="2218"/>
      <c r="H6" s="2218"/>
    </row>
    <row r="7" spans="1:8" ht="18">
      <c r="A7" s="2187" t="s">
        <v>1276</v>
      </c>
      <c r="B7" s="2188"/>
      <c r="C7" s="2188"/>
      <c r="D7" s="2188"/>
      <c r="E7" s="2188"/>
      <c r="F7" s="2188"/>
      <c r="G7" s="2188"/>
      <c r="H7" s="2188"/>
    </row>
    <row r="8" spans="1:8" ht="15">
      <c r="A8" s="2189" t="s">
        <v>29</v>
      </c>
      <c r="B8" s="2189"/>
      <c r="C8" s="2189"/>
      <c r="D8" s="2189"/>
      <c r="E8" s="2189"/>
      <c r="F8" s="2189"/>
      <c r="G8" s="2196" t="s">
        <v>44</v>
      </c>
      <c r="H8" s="2191" t="s">
        <v>51</v>
      </c>
    </row>
    <row r="9" spans="1:8" ht="106.5">
      <c r="A9" s="1444" t="s">
        <v>39</v>
      </c>
      <c r="B9" s="1445" t="s">
        <v>216</v>
      </c>
      <c r="C9" s="1444" t="s">
        <v>41</v>
      </c>
      <c r="D9" s="1444" t="s">
        <v>45</v>
      </c>
      <c r="E9" s="1446" t="s">
        <v>392</v>
      </c>
      <c r="F9" s="1444" t="s">
        <v>43</v>
      </c>
      <c r="G9" s="2196"/>
      <c r="H9" s="2191"/>
    </row>
    <row r="10" spans="1:8" ht="24" customHeight="1">
      <c r="A10" s="163" t="s">
        <v>1366</v>
      </c>
      <c r="B10" s="163" t="s">
        <v>69</v>
      </c>
      <c r="C10" s="163" t="s">
        <v>59</v>
      </c>
      <c r="D10" s="167">
        <v>1</v>
      </c>
      <c r="E10" s="168">
        <v>109</v>
      </c>
      <c r="F10" s="151" t="s">
        <v>209</v>
      </c>
      <c r="G10" s="640" t="s">
        <v>117</v>
      </c>
      <c r="H10" s="88">
        <v>19018</v>
      </c>
    </row>
    <row r="11" spans="1:8" ht="24" hidden="1" customHeight="1">
      <c r="A11" s="163" t="s">
        <v>381</v>
      </c>
      <c r="B11" s="163" t="s">
        <v>69</v>
      </c>
      <c r="C11" s="163" t="s">
        <v>59</v>
      </c>
      <c r="D11" s="167">
        <v>1</v>
      </c>
      <c r="E11" s="168">
        <v>111</v>
      </c>
      <c r="F11" s="564" t="s">
        <v>530</v>
      </c>
      <c r="G11" s="640" t="s">
        <v>808</v>
      </c>
      <c r="H11" s="88"/>
    </row>
    <row r="12" spans="1:8" ht="24" hidden="1" customHeight="1">
      <c r="A12" s="163" t="s">
        <v>381</v>
      </c>
      <c r="B12" s="163" t="s">
        <v>69</v>
      </c>
      <c r="C12" s="163" t="s">
        <v>59</v>
      </c>
      <c r="D12" s="167">
        <v>1</v>
      </c>
      <c r="E12" s="168">
        <v>111</v>
      </c>
      <c r="F12" s="564" t="s">
        <v>563</v>
      </c>
      <c r="G12" s="640" t="s">
        <v>564</v>
      </c>
      <c r="H12" s="88"/>
    </row>
    <row r="13" spans="1:8" ht="24" hidden="1" customHeight="1">
      <c r="A13" s="163" t="s">
        <v>381</v>
      </c>
      <c r="B13" s="163" t="s">
        <v>69</v>
      </c>
      <c r="C13" s="163" t="s">
        <v>59</v>
      </c>
      <c r="D13" s="167">
        <v>1</v>
      </c>
      <c r="E13" s="168">
        <v>111</v>
      </c>
      <c r="F13" s="148" t="s">
        <v>498</v>
      </c>
      <c r="G13" s="640" t="s">
        <v>163</v>
      </c>
      <c r="H13" s="88"/>
    </row>
    <row r="14" spans="1:8" ht="24" hidden="1" customHeight="1">
      <c r="A14" s="163" t="s">
        <v>381</v>
      </c>
      <c r="B14" s="163" t="s">
        <v>69</v>
      </c>
      <c r="C14" s="163" t="s">
        <v>59</v>
      </c>
      <c r="D14" s="167">
        <v>1</v>
      </c>
      <c r="E14" s="168">
        <v>111</v>
      </c>
      <c r="F14" s="565" t="s">
        <v>642</v>
      </c>
      <c r="G14" s="640" t="s">
        <v>809</v>
      </c>
      <c r="H14" s="88"/>
    </row>
    <row r="15" spans="1:8" ht="24" hidden="1" customHeight="1">
      <c r="A15" s="163" t="s">
        <v>381</v>
      </c>
      <c r="B15" s="163" t="s">
        <v>69</v>
      </c>
      <c r="C15" s="163" t="s">
        <v>59</v>
      </c>
      <c r="D15" s="167">
        <v>1</v>
      </c>
      <c r="E15" s="168">
        <v>111</v>
      </c>
      <c r="F15" s="169">
        <v>54111</v>
      </c>
      <c r="G15" s="640" t="s">
        <v>167</v>
      </c>
      <c r="H15" s="490"/>
    </row>
    <row r="16" spans="1:8" ht="24" hidden="1" customHeight="1">
      <c r="A16" s="163" t="s">
        <v>381</v>
      </c>
      <c r="B16" s="163" t="s">
        <v>69</v>
      </c>
      <c r="C16" s="163" t="s">
        <v>59</v>
      </c>
      <c r="D16" s="167">
        <v>1</v>
      </c>
      <c r="E16" s="168">
        <v>111</v>
      </c>
      <c r="F16" s="169">
        <v>54112</v>
      </c>
      <c r="G16" s="640" t="s">
        <v>168</v>
      </c>
      <c r="H16" s="88"/>
    </row>
    <row r="17" spans="1:8" ht="24" hidden="1" customHeight="1">
      <c r="A17" s="163" t="s">
        <v>381</v>
      </c>
      <c r="B17" s="163" t="s">
        <v>69</v>
      </c>
      <c r="C17" s="163" t="s">
        <v>59</v>
      </c>
      <c r="D17" s="167">
        <v>1</v>
      </c>
      <c r="E17" s="168">
        <v>111</v>
      </c>
      <c r="F17" s="169">
        <v>54118</v>
      </c>
      <c r="G17" s="640" t="s">
        <v>467</v>
      </c>
      <c r="H17" s="490"/>
    </row>
    <row r="18" spans="1:8" ht="24" hidden="1" customHeight="1">
      <c r="A18" s="163" t="s">
        <v>381</v>
      </c>
      <c r="B18" s="163" t="s">
        <v>69</v>
      </c>
      <c r="C18" s="163" t="s">
        <v>59</v>
      </c>
      <c r="D18" s="167">
        <v>1</v>
      </c>
      <c r="E18" s="168">
        <v>111</v>
      </c>
      <c r="F18" s="169">
        <v>54199</v>
      </c>
      <c r="G18" s="640" t="s">
        <v>810</v>
      </c>
      <c r="H18" s="88"/>
    </row>
    <row r="19" spans="1:8" ht="24" hidden="1" customHeight="1">
      <c r="A19" s="163" t="s">
        <v>381</v>
      </c>
      <c r="B19" s="163" t="s">
        <v>69</v>
      </c>
      <c r="C19" s="163" t="s">
        <v>59</v>
      </c>
      <c r="D19" s="167">
        <v>1</v>
      </c>
      <c r="E19" s="168">
        <v>111</v>
      </c>
      <c r="F19" s="169">
        <v>54304</v>
      </c>
      <c r="G19" s="641" t="s">
        <v>386</v>
      </c>
      <c r="H19" s="88"/>
    </row>
    <row r="20" spans="1:8" ht="24" hidden="1" customHeight="1">
      <c r="A20" s="163" t="s">
        <v>381</v>
      </c>
      <c r="B20" s="163" t="s">
        <v>69</v>
      </c>
      <c r="C20" s="163" t="s">
        <v>59</v>
      </c>
      <c r="D20" s="167">
        <v>1</v>
      </c>
      <c r="E20" s="168">
        <v>111</v>
      </c>
      <c r="F20" s="169">
        <v>54316</v>
      </c>
      <c r="G20" s="640" t="s">
        <v>188</v>
      </c>
      <c r="H20" s="88"/>
    </row>
    <row r="21" spans="1:8" ht="24" hidden="1" customHeight="1">
      <c r="A21" s="163" t="s">
        <v>381</v>
      </c>
      <c r="B21" s="163" t="s">
        <v>69</v>
      </c>
      <c r="C21" s="163" t="s">
        <v>59</v>
      </c>
      <c r="D21" s="167">
        <v>1</v>
      </c>
      <c r="E21" s="168">
        <v>111</v>
      </c>
      <c r="F21" s="169">
        <v>54317</v>
      </c>
      <c r="G21" s="641" t="s">
        <v>189</v>
      </c>
      <c r="H21" s="88"/>
    </row>
    <row r="22" spans="1:8" ht="24" hidden="1" customHeight="1">
      <c r="A22" s="163" t="s">
        <v>381</v>
      </c>
      <c r="B22" s="163" t="s">
        <v>69</v>
      </c>
      <c r="C22" s="163" t="s">
        <v>59</v>
      </c>
      <c r="D22" s="167">
        <v>1</v>
      </c>
      <c r="E22" s="168">
        <v>111</v>
      </c>
      <c r="F22" s="169">
        <v>54599</v>
      </c>
      <c r="G22" s="641" t="s">
        <v>811</v>
      </c>
      <c r="H22" s="863"/>
    </row>
    <row r="23" spans="1:8" ht="24" customHeight="1">
      <c r="A23" s="163" t="s">
        <v>1366</v>
      </c>
      <c r="B23" s="163" t="s">
        <v>69</v>
      </c>
      <c r="C23" s="163" t="s">
        <v>59</v>
      </c>
      <c r="D23" s="167">
        <v>1</v>
      </c>
      <c r="E23" s="168">
        <v>109</v>
      </c>
      <c r="F23" s="148" t="s">
        <v>387</v>
      </c>
      <c r="G23" s="642" t="s">
        <v>141</v>
      </c>
      <c r="H23" s="863">
        <f>15000+52017.41</f>
        <v>67017.41</v>
      </c>
    </row>
    <row r="24" spans="1:8" ht="24" hidden="1" customHeight="1">
      <c r="A24" s="163" t="s">
        <v>381</v>
      </c>
      <c r="B24" s="163" t="s">
        <v>69</v>
      </c>
      <c r="C24" s="163" t="s">
        <v>59</v>
      </c>
      <c r="D24" s="167">
        <v>1</v>
      </c>
      <c r="E24" s="168">
        <v>111</v>
      </c>
      <c r="F24" s="196">
        <v>61599</v>
      </c>
      <c r="G24" s="643" t="s">
        <v>151</v>
      </c>
      <c r="H24" s="863"/>
    </row>
    <row r="25" spans="1:8" ht="24" hidden="1" customHeight="1">
      <c r="A25" s="163" t="s">
        <v>381</v>
      </c>
      <c r="B25" s="163" t="s">
        <v>69</v>
      </c>
      <c r="C25" s="163" t="s">
        <v>59</v>
      </c>
      <c r="D25" s="167">
        <v>1</v>
      </c>
      <c r="E25" s="168">
        <v>111</v>
      </c>
      <c r="F25" s="152">
        <v>61201</v>
      </c>
      <c r="G25" s="639" t="s">
        <v>148</v>
      </c>
      <c r="H25" s="863"/>
    </row>
    <row r="26" spans="1:8" ht="24" customHeight="1">
      <c r="A26" s="163" t="s">
        <v>1265</v>
      </c>
      <c r="B26" s="163" t="s">
        <v>69</v>
      </c>
      <c r="C26" s="163" t="s">
        <v>59</v>
      </c>
      <c r="D26" s="167">
        <v>1</v>
      </c>
      <c r="E26" s="168">
        <v>109</v>
      </c>
      <c r="F26" s="169">
        <v>61601</v>
      </c>
      <c r="G26" s="640" t="s">
        <v>152</v>
      </c>
      <c r="H26" s="88">
        <f>85994.43+17100+28500+25000+28000+25000+29000+63513.3+208+17328.63+875</f>
        <v>320519.36</v>
      </c>
    </row>
    <row r="27" spans="1:8" ht="15" hidden="1">
      <c r="A27" s="163" t="s">
        <v>381</v>
      </c>
      <c r="B27" s="163" t="s">
        <v>69</v>
      </c>
      <c r="C27" s="163" t="s">
        <v>59</v>
      </c>
      <c r="D27" s="167">
        <v>1</v>
      </c>
      <c r="E27" s="168">
        <v>111</v>
      </c>
      <c r="F27" s="169">
        <v>61606</v>
      </c>
      <c r="G27" s="640" t="s">
        <v>388</v>
      </c>
      <c r="H27" s="88"/>
    </row>
    <row r="28" spans="1:8" ht="15" hidden="1">
      <c r="A28" s="163" t="s">
        <v>381</v>
      </c>
      <c r="B28" s="163" t="s">
        <v>69</v>
      </c>
      <c r="C28" s="163" t="s">
        <v>59</v>
      </c>
      <c r="D28" s="167">
        <v>1</v>
      </c>
      <c r="E28" s="168">
        <v>111</v>
      </c>
      <c r="F28" s="169">
        <v>61608</v>
      </c>
      <c r="G28" s="640" t="s">
        <v>156</v>
      </c>
      <c r="H28" s="490"/>
    </row>
    <row r="29" spans="1:8" ht="15" hidden="1">
      <c r="A29" s="163" t="s">
        <v>381</v>
      </c>
      <c r="B29" s="163" t="s">
        <v>69</v>
      </c>
      <c r="C29" s="163" t="s">
        <v>59</v>
      </c>
      <c r="D29" s="167">
        <v>1</v>
      </c>
      <c r="E29" s="168">
        <v>111</v>
      </c>
      <c r="F29" s="169">
        <v>61699</v>
      </c>
      <c r="G29" s="640" t="s">
        <v>389</v>
      </c>
      <c r="H29" s="88"/>
    </row>
    <row r="30" spans="1:8" ht="21.75" customHeight="1" thickBot="1">
      <c r="A30" s="2214" t="s">
        <v>1436</v>
      </c>
      <c r="B30" s="2215"/>
      <c r="C30" s="2215"/>
      <c r="D30" s="2215"/>
      <c r="E30" s="2215"/>
      <c r="F30" s="2215"/>
      <c r="G30" s="2216"/>
      <c r="H30" s="1447">
        <f>SUM(H10:H29)</f>
        <v>406554.77</v>
      </c>
    </row>
    <row r="31" spans="1:8" ht="15.75" thickTop="1">
      <c r="A31" s="185"/>
      <c r="B31" s="185"/>
      <c r="C31" s="185"/>
      <c r="D31" s="29"/>
      <c r="E31" s="197"/>
      <c r="H31" s="174"/>
    </row>
    <row r="32" spans="1:8" ht="15">
      <c r="A32" s="185"/>
      <c r="B32" s="185"/>
      <c r="C32" s="185"/>
      <c r="D32" s="29"/>
      <c r="E32" s="197"/>
      <c r="H32" s="174"/>
    </row>
    <row r="33" spans="1:8" ht="15">
      <c r="A33" s="185"/>
      <c r="B33" s="185"/>
      <c r="C33" s="185"/>
      <c r="D33" s="29"/>
      <c r="E33" s="197"/>
      <c r="H33" s="174"/>
    </row>
    <row r="34" spans="1:8" ht="15">
      <c r="A34" s="185"/>
      <c r="B34" s="185"/>
      <c r="C34" s="185"/>
      <c r="D34" s="29"/>
      <c r="E34" s="197"/>
      <c r="H34" s="174"/>
    </row>
    <row r="35" spans="1:8" ht="15">
      <c r="A35" s="185"/>
      <c r="B35" s="185"/>
      <c r="C35" s="185"/>
      <c r="D35" s="29"/>
      <c r="E35" s="197"/>
      <c r="H35" s="174"/>
    </row>
    <row r="36" spans="1:8" ht="15">
      <c r="A36" s="185"/>
      <c r="B36" s="185"/>
      <c r="C36" s="185"/>
      <c r="D36" s="29"/>
      <c r="E36" s="197"/>
      <c r="H36" s="174"/>
    </row>
    <row r="37" spans="1:8" ht="15">
      <c r="A37" s="185"/>
      <c r="B37" s="185"/>
      <c r="C37" s="185"/>
      <c r="D37" s="29"/>
      <c r="E37" s="197"/>
      <c r="H37" s="174"/>
    </row>
    <row r="38" spans="1:8" ht="15">
      <c r="A38" s="185"/>
      <c r="B38" s="185"/>
      <c r="C38" s="185"/>
      <c r="D38" s="29"/>
      <c r="E38" s="197"/>
      <c r="H38" s="174"/>
    </row>
    <row r="39" spans="1:8" ht="15">
      <c r="A39" s="185"/>
      <c r="B39" s="185"/>
      <c r="C39" s="185"/>
      <c r="D39" s="29"/>
      <c r="E39" s="197"/>
      <c r="H39" s="174"/>
    </row>
    <row r="40" spans="1:8" ht="15">
      <c r="A40" s="185"/>
      <c r="B40" s="185"/>
      <c r="C40" s="185"/>
      <c r="D40" s="29"/>
      <c r="E40" s="197"/>
      <c r="H40" s="174"/>
    </row>
    <row r="41" spans="1:8" ht="15">
      <c r="A41" s="185"/>
      <c r="B41" s="185"/>
      <c r="C41" s="185"/>
      <c r="D41" s="29"/>
      <c r="E41" s="197"/>
      <c r="H41" s="174"/>
    </row>
    <row r="42" spans="1:8" ht="15">
      <c r="A42" s="185"/>
      <c r="B42" s="185"/>
      <c r="C42" s="185"/>
      <c r="D42" s="29"/>
      <c r="E42" s="197"/>
    </row>
    <row r="43" spans="1:8" ht="15">
      <c r="A43" s="185"/>
      <c r="B43" s="185"/>
      <c r="C43" s="185"/>
      <c r="D43" s="29"/>
      <c r="E43" s="197"/>
    </row>
    <row r="44" spans="1:8" ht="15">
      <c r="A44" s="185"/>
      <c r="B44" s="185"/>
      <c r="C44" s="185"/>
      <c r="D44" s="29"/>
      <c r="E44" s="197"/>
      <c r="H44" s="174"/>
    </row>
    <row r="45" spans="1:8" ht="15">
      <c r="A45" s="185"/>
      <c r="B45" s="185"/>
      <c r="C45" s="185"/>
      <c r="D45" s="29"/>
      <c r="E45" s="197"/>
      <c r="H45" s="174"/>
    </row>
    <row r="46" spans="1:8" ht="15">
      <c r="A46" s="185"/>
      <c r="B46" s="185"/>
      <c r="C46" s="185"/>
      <c r="D46" s="29"/>
      <c r="E46" s="197"/>
      <c r="H46" s="174"/>
    </row>
    <row r="47" spans="1:8" ht="15">
      <c r="A47" s="185"/>
      <c r="B47" s="185"/>
      <c r="C47" s="185"/>
      <c r="D47" s="29"/>
      <c r="E47" s="197"/>
      <c r="H47" s="174"/>
    </row>
    <row r="48" spans="1:8" ht="15">
      <c r="A48" s="185"/>
      <c r="B48" s="185"/>
      <c r="C48" s="185"/>
      <c r="D48" s="29"/>
      <c r="E48" s="197"/>
      <c r="H48" s="174"/>
    </row>
    <row r="49" spans="1:8" ht="15">
      <c r="A49" s="185"/>
      <c r="B49" s="185"/>
      <c r="C49" s="185"/>
      <c r="D49" s="29"/>
      <c r="E49" s="197"/>
      <c r="H49" s="174"/>
    </row>
    <row r="50" spans="1:8" ht="15">
      <c r="A50" s="185"/>
      <c r="B50" s="185"/>
      <c r="C50" s="185"/>
      <c r="D50" s="29"/>
      <c r="E50" s="197"/>
      <c r="H50" s="174"/>
    </row>
    <row r="51" spans="1:8" ht="15">
      <c r="A51" s="185"/>
      <c r="B51" s="185"/>
      <c r="C51" s="185"/>
      <c r="D51" s="29"/>
      <c r="E51" s="197"/>
      <c r="H51" s="174"/>
    </row>
    <row r="52" spans="1:8" ht="15">
      <c r="A52" s="185"/>
      <c r="B52" s="185"/>
      <c r="C52" s="185"/>
      <c r="D52" s="29"/>
      <c r="E52" s="197"/>
      <c r="H52" s="174"/>
    </row>
    <row r="53" spans="1:8" ht="15">
      <c r="A53" s="185"/>
      <c r="B53" s="185"/>
      <c r="C53" s="185"/>
      <c r="D53" s="29"/>
      <c r="E53" s="197"/>
      <c r="H53" s="174"/>
    </row>
    <row r="54" spans="1:8" ht="15">
      <c r="A54" s="185"/>
      <c r="B54" s="185"/>
      <c r="C54" s="185"/>
      <c r="D54" s="29"/>
      <c r="E54" s="197"/>
      <c r="H54" s="174"/>
    </row>
    <row r="55" spans="1:8" ht="15">
      <c r="A55" s="185"/>
      <c r="B55" s="185"/>
      <c r="C55" s="185"/>
      <c r="D55" s="29"/>
      <c r="E55" s="197"/>
      <c r="H55" s="174"/>
    </row>
    <row r="56" spans="1:8" ht="15">
      <c r="A56" s="185"/>
      <c r="B56" s="185"/>
      <c r="C56" s="185"/>
      <c r="D56" s="29"/>
      <c r="E56" s="197"/>
      <c r="H56" s="174"/>
    </row>
    <row r="57" spans="1:8" ht="15">
      <c r="A57" s="185"/>
      <c r="B57" s="185"/>
      <c r="C57" s="185"/>
      <c r="D57" s="29"/>
      <c r="E57" s="197"/>
      <c r="H57" s="174"/>
    </row>
    <row r="58" spans="1:8" ht="15">
      <c r="A58" s="185"/>
      <c r="B58" s="185"/>
      <c r="C58" s="185"/>
      <c r="D58" s="29"/>
      <c r="E58" s="197"/>
      <c r="H58" s="174"/>
    </row>
    <row r="59" spans="1:8" ht="15">
      <c r="A59" s="185"/>
      <c r="B59" s="185"/>
      <c r="C59" s="185"/>
      <c r="D59" s="29"/>
      <c r="E59" s="197"/>
      <c r="H59" s="174"/>
    </row>
    <row r="60" spans="1:8" ht="15">
      <c r="A60" s="185"/>
      <c r="B60" s="185"/>
      <c r="C60" s="185"/>
      <c r="D60" s="29"/>
      <c r="E60" s="197"/>
      <c r="H60" s="174"/>
    </row>
    <row r="61" spans="1:8" ht="15">
      <c r="A61" s="185"/>
      <c r="B61" s="185"/>
      <c r="C61" s="185"/>
      <c r="D61" s="29"/>
      <c r="E61" s="197"/>
      <c r="H61" s="174"/>
    </row>
    <row r="62" spans="1:8" ht="15">
      <c r="A62" s="185"/>
      <c r="B62" s="185"/>
      <c r="C62" s="185"/>
      <c r="D62" s="29"/>
      <c r="E62" s="197"/>
      <c r="H62" s="174"/>
    </row>
    <row r="63" spans="1:8" ht="15">
      <c r="A63" s="30"/>
      <c r="B63" s="30"/>
      <c r="C63" s="30"/>
      <c r="D63" s="29"/>
      <c r="E63" s="30"/>
      <c r="G63" s="644"/>
      <c r="H63" s="90"/>
    </row>
    <row r="64" spans="1:8" ht="15">
      <c r="A64" s="185"/>
      <c r="B64" s="185"/>
      <c r="C64" s="184"/>
      <c r="D64" s="29"/>
      <c r="E64" s="185"/>
      <c r="F64" s="153"/>
      <c r="G64" s="639"/>
      <c r="H64" s="174"/>
    </row>
    <row r="65" spans="1:8" ht="15">
      <c r="A65" s="185"/>
      <c r="B65" s="185"/>
      <c r="C65" s="184"/>
      <c r="D65" s="29"/>
      <c r="E65" s="185"/>
      <c r="F65" s="153"/>
      <c r="G65" s="639"/>
      <c r="H65" s="174"/>
    </row>
    <row r="66" spans="1:8" ht="15">
      <c r="A66" s="185"/>
      <c r="B66" s="185"/>
      <c r="C66" s="184"/>
      <c r="D66" s="29"/>
      <c r="E66" s="185"/>
      <c r="G66" s="175"/>
      <c r="H66" s="174"/>
    </row>
    <row r="67" spans="1:8" ht="15">
      <c r="A67" s="185"/>
      <c r="B67" s="185"/>
      <c r="C67" s="184"/>
      <c r="D67" s="29"/>
      <c r="E67" s="185"/>
      <c r="F67" s="153"/>
      <c r="G67" s="639"/>
      <c r="H67" s="174"/>
    </row>
    <row r="68" spans="1:8" ht="15">
      <c r="A68" s="185"/>
      <c r="B68" s="185"/>
      <c r="C68" s="184"/>
      <c r="D68" s="29"/>
      <c r="E68" s="185"/>
      <c r="F68" s="153"/>
      <c r="G68" s="639"/>
      <c r="H68" s="174"/>
    </row>
    <row r="69" spans="1:8" ht="15">
      <c r="A69" s="185"/>
      <c r="B69" s="185"/>
      <c r="C69" s="184"/>
      <c r="D69" s="29"/>
      <c r="E69" s="185"/>
      <c r="F69" s="153"/>
      <c r="G69" s="639"/>
      <c r="H69" s="174"/>
    </row>
    <row r="70" spans="1:8" ht="15">
      <c r="A70" s="185"/>
      <c r="B70" s="185"/>
      <c r="C70" s="184"/>
      <c r="D70" s="29"/>
      <c r="E70" s="185"/>
      <c r="H70" s="174"/>
    </row>
    <row r="71" spans="1:8" ht="15">
      <c r="A71" s="185"/>
      <c r="B71" s="185"/>
      <c r="C71" s="184"/>
      <c r="D71" s="29"/>
      <c r="E71" s="185"/>
      <c r="H71" s="174"/>
    </row>
    <row r="72" spans="1:8" ht="15">
      <c r="A72" s="185"/>
      <c r="B72" s="185"/>
      <c r="C72" s="184"/>
      <c r="D72" s="29"/>
      <c r="E72" s="185"/>
      <c r="H72" s="174"/>
    </row>
    <row r="73" spans="1:8" ht="15">
      <c r="A73" s="185"/>
      <c r="B73" s="185"/>
      <c r="C73" s="184"/>
      <c r="D73" s="29"/>
      <c r="E73" s="185"/>
      <c r="H73" s="174"/>
    </row>
    <row r="74" spans="1:8" ht="15">
      <c r="A74" s="30"/>
      <c r="B74" s="30"/>
      <c r="C74" s="30"/>
      <c r="D74" s="29"/>
      <c r="E74" s="30"/>
      <c r="G74" s="644"/>
      <c r="H74" s="90"/>
    </row>
    <row r="75" spans="1:8" ht="15">
      <c r="A75" s="185"/>
      <c r="B75" s="184"/>
      <c r="C75" s="184"/>
      <c r="D75" s="29"/>
      <c r="E75" s="185"/>
      <c r="F75" s="153"/>
      <c r="G75" s="639"/>
      <c r="H75" s="174"/>
    </row>
    <row r="76" spans="1:8" ht="15">
      <c r="A76" s="185"/>
      <c r="B76" s="184"/>
      <c r="C76" s="184"/>
      <c r="D76" s="29"/>
      <c r="E76" s="185"/>
      <c r="F76" s="153"/>
      <c r="G76" s="639"/>
      <c r="H76" s="174"/>
    </row>
    <row r="77" spans="1:8" ht="15">
      <c r="A77" s="185"/>
      <c r="B77" s="184"/>
      <c r="C77" s="184"/>
      <c r="D77" s="29"/>
      <c r="E77" s="185"/>
      <c r="F77" s="153"/>
      <c r="G77" s="639"/>
      <c r="H77" s="174"/>
    </row>
    <row r="78" spans="1:8" ht="15">
      <c r="A78" s="185"/>
      <c r="B78" s="184"/>
      <c r="C78" s="184"/>
      <c r="D78" s="29"/>
      <c r="E78" s="185"/>
      <c r="F78" s="153"/>
      <c r="G78" s="639"/>
      <c r="H78" s="174"/>
    </row>
    <row r="79" spans="1:8" ht="15">
      <c r="A79" s="185"/>
      <c r="B79" s="184"/>
      <c r="C79" s="184"/>
      <c r="D79" s="29"/>
      <c r="E79" s="185"/>
      <c r="H79" s="174"/>
    </row>
    <row r="80" spans="1:8" ht="15">
      <c r="A80" s="185"/>
      <c r="B80" s="184"/>
      <c r="C80" s="184"/>
      <c r="D80" s="29"/>
      <c r="E80" s="185"/>
      <c r="H80" s="174"/>
    </row>
    <row r="81" spans="1:8" ht="15">
      <c r="A81" s="30"/>
      <c r="B81" s="30"/>
      <c r="C81" s="30"/>
      <c r="D81" s="29"/>
      <c r="E81" s="30"/>
      <c r="G81" s="644"/>
      <c r="H81" s="90"/>
    </row>
    <row r="82" spans="1:8" ht="15">
      <c r="A82" s="185"/>
      <c r="B82" s="184"/>
      <c r="C82" s="184"/>
      <c r="D82" s="29"/>
      <c r="E82" s="185"/>
      <c r="F82" s="153"/>
      <c r="G82" s="639"/>
      <c r="H82" s="174"/>
    </row>
    <row r="83" spans="1:8" ht="15">
      <c r="A83" s="185"/>
      <c r="B83" s="184"/>
      <c r="C83" s="184"/>
      <c r="D83" s="29"/>
      <c r="E83" s="185"/>
      <c r="F83" s="153"/>
      <c r="G83" s="639"/>
      <c r="H83" s="174"/>
    </row>
    <row r="84" spans="1:8" ht="15">
      <c r="A84" s="185"/>
      <c r="B84" s="184"/>
      <c r="C84" s="184"/>
      <c r="D84" s="29"/>
      <c r="E84" s="185"/>
      <c r="H84" s="174"/>
    </row>
    <row r="85" spans="1:8" ht="15">
      <c r="A85" s="185"/>
      <c r="B85" s="184"/>
      <c r="C85" s="184"/>
      <c r="D85" s="29"/>
      <c r="E85" s="185"/>
      <c r="F85" s="153"/>
      <c r="G85" s="639"/>
      <c r="H85" s="174"/>
    </row>
    <row r="86" spans="1:8" ht="15">
      <c r="A86" s="185"/>
      <c r="B86" s="184"/>
      <c r="C86" s="184"/>
      <c r="D86" s="29"/>
      <c r="E86" s="185"/>
      <c r="F86" s="153"/>
      <c r="G86" s="639"/>
      <c r="H86" s="174"/>
    </row>
    <row r="87" spans="1:8" ht="15">
      <c r="A87" s="185"/>
      <c r="B87" s="184"/>
      <c r="C87" s="184"/>
      <c r="D87" s="29"/>
      <c r="E87" s="185"/>
      <c r="H87" s="174"/>
    </row>
    <row r="88" spans="1:8" ht="15">
      <c r="A88" s="185"/>
      <c r="B88" s="184"/>
      <c r="C88" s="184"/>
      <c r="D88" s="29"/>
      <c r="E88" s="185"/>
      <c r="H88" s="174"/>
    </row>
    <row r="89" spans="1:8" ht="15">
      <c r="A89" s="185"/>
      <c r="B89" s="184"/>
      <c r="C89" s="184"/>
      <c r="D89" s="29"/>
      <c r="E89" s="185"/>
      <c r="H89" s="174"/>
    </row>
    <row r="90" spans="1:8" ht="15">
      <c r="A90" s="185"/>
      <c r="B90" s="184"/>
      <c r="C90" s="184"/>
      <c r="D90" s="29"/>
      <c r="E90" s="185"/>
      <c r="H90" s="174"/>
    </row>
    <row r="91" spans="1:8" ht="15">
      <c r="A91" s="185"/>
      <c r="B91" s="184"/>
      <c r="C91" s="184"/>
      <c r="D91" s="29"/>
      <c r="E91" s="185"/>
      <c r="H91" s="174"/>
    </row>
    <row r="92" spans="1:8" ht="15">
      <c r="A92" s="185"/>
      <c r="B92" s="184"/>
      <c r="C92" s="184"/>
      <c r="D92" s="29"/>
      <c r="E92" s="185"/>
      <c r="H92" s="174"/>
    </row>
    <row r="93" spans="1:8" ht="15">
      <c r="A93" s="185"/>
      <c r="B93" s="184"/>
      <c r="C93" s="184"/>
      <c r="D93" s="29"/>
      <c r="E93" s="185"/>
      <c r="H93" s="174"/>
    </row>
    <row r="94" spans="1:8" ht="15">
      <c r="A94" s="185"/>
      <c r="B94" s="184"/>
      <c r="C94" s="184"/>
      <c r="D94" s="29"/>
      <c r="E94" s="185"/>
      <c r="H94" s="174"/>
    </row>
    <row r="95" spans="1:8" ht="15">
      <c r="A95" s="185"/>
      <c r="B95" s="184"/>
      <c r="C95" s="184"/>
      <c r="D95" s="29"/>
      <c r="E95" s="185"/>
      <c r="H95" s="174"/>
    </row>
    <row r="96" spans="1:8" ht="15">
      <c r="A96" s="185"/>
      <c r="B96" s="184"/>
      <c r="C96" s="184"/>
      <c r="D96" s="29"/>
      <c r="E96" s="185"/>
      <c r="H96" s="174"/>
    </row>
    <row r="97" spans="1:8" ht="15">
      <c r="A97" s="185"/>
      <c r="B97" s="184"/>
      <c r="C97" s="184"/>
      <c r="D97" s="29"/>
      <c r="E97" s="185"/>
      <c r="G97" s="175"/>
      <c r="H97" s="174"/>
    </row>
    <row r="98" spans="1:8" ht="15">
      <c r="A98" s="30"/>
      <c r="B98" s="30"/>
      <c r="C98" s="30"/>
      <c r="D98" s="85"/>
      <c r="E98" s="30"/>
      <c r="G98" s="644"/>
      <c r="H98" s="90"/>
    </row>
    <row r="99" spans="1:8" ht="15">
      <c r="A99" s="30"/>
      <c r="B99" s="30"/>
      <c r="C99" s="30"/>
      <c r="D99" s="85"/>
      <c r="E99" s="30"/>
      <c r="G99" s="645"/>
      <c r="H99" s="90"/>
    </row>
  </sheetData>
  <mergeCells count="10">
    <mergeCell ref="A8:F8"/>
    <mergeCell ref="G8:G9"/>
    <mergeCell ref="H8:H9"/>
    <mergeCell ref="A30:G30"/>
    <mergeCell ref="A1:H1"/>
    <mergeCell ref="A2:H2"/>
    <mergeCell ref="A3:H3"/>
    <mergeCell ref="A4:H4"/>
    <mergeCell ref="A5:H6"/>
    <mergeCell ref="A7:H7"/>
  </mergeCells>
  <pageMargins left="0.86" right="0.12" top="1.1200000000000001" bottom="0.75" header="0.3" footer="0.3"/>
  <pageSetup paperSize="9" orientation="portrait" horizontalDpi="0" verticalDpi="0" r:id="rId1"/>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P72"/>
  <sheetViews>
    <sheetView workbookViewId="0">
      <selection activeCell="B67" sqref="B67:I67"/>
    </sheetView>
  </sheetViews>
  <sheetFormatPr baseColWidth="10" defaultRowHeight="12.75"/>
  <cols>
    <col min="1" max="1" width="8.85546875" style="213" customWidth="1"/>
    <col min="2" max="2" width="28.7109375" style="159" customWidth="1"/>
    <col min="3" max="3" width="14.7109375" style="79" customWidth="1"/>
    <col min="4" max="4" width="15" style="79" customWidth="1"/>
    <col min="5" max="5" width="14.28515625" style="79" customWidth="1"/>
    <col min="6" max="6" width="13.85546875" style="79" customWidth="1"/>
    <col min="7" max="7" width="14" style="79" customWidth="1"/>
    <col min="8" max="8" width="14.28515625" style="79" customWidth="1"/>
    <col min="9" max="9" width="15" style="79" customWidth="1"/>
    <col min="10" max="10" width="15.28515625" style="79" customWidth="1"/>
    <col min="11" max="11" width="3.42578125" customWidth="1"/>
    <col min="12" max="12" width="2.5703125" customWidth="1"/>
  </cols>
  <sheetData>
    <row r="1" spans="1:16" ht="18">
      <c r="A1" s="158"/>
      <c r="B1" s="2184" t="s">
        <v>111</v>
      </c>
      <c r="C1" s="2182"/>
      <c r="D1" s="2182"/>
      <c r="E1" s="2182"/>
      <c r="F1" s="2182"/>
      <c r="G1" s="2182"/>
      <c r="H1" s="2182"/>
      <c r="I1" s="2182"/>
      <c r="J1" s="2182"/>
    </row>
    <row r="2" spans="1:16" ht="18">
      <c r="A2" s="158"/>
      <c r="B2" s="2183" t="s">
        <v>393</v>
      </c>
      <c r="C2" s="2184"/>
      <c r="D2" s="2184"/>
      <c r="E2" s="2184"/>
      <c r="F2" s="2184"/>
      <c r="G2" s="2184"/>
      <c r="H2" s="2184"/>
      <c r="I2" s="2184"/>
      <c r="J2" s="2184"/>
    </row>
    <row r="3" spans="1:16" ht="18">
      <c r="A3" s="2256" t="s">
        <v>245</v>
      </c>
      <c r="B3" s="2256"/>
      <c r="C3" s="2256"/>
      <c r="D3" s="2256"/>
      <c r="E3" s="2256"/>
      <c r="F3" s="2256"/>
      <c r="G3" s="2256"/>
      <c r="H3" s="2256"/>
      <c r="I3" s="2256"/>
      <c r="J3" s="2256"/>
    </row>
    <row r="4" spans="1:16" ht="18.75" thickBot="1">
      <c r="A4" s="2257" t="s">
        <v>1196</v>
      </c>
      <c r="B4" s="2257"/>
      <c r="C4" s="2257"/>
      <c r="D4" s="2257"/>
      <c r="E4" s="2257"/>
      <c r="F4" s="2258"/>
      <c r="G4" s="2258"/>
      <c r="H4" s="2257"/>
      <c r="I4" s="2257"/>
      <c r="J4" s="2257"/>
    </row>
    <row r="5" spans="1:16" s="67" customFormat="1" ht="45.75" thickBot="1">
      <c r="A5" s="1458"/>
      <c r="B5" s="1459" t="s">
        <v>246</v>
      </c>
      <c r="C5" s="1460">
        <v>2016</v>
      </c>
      <c r="D5" s="1461">
        <v>2017</v>
      </c>
      <c r="E5" s="1461">
        <v>2018</v>
      </c>
      <c r="F5" s="1462">
        <v>2019</v>
      </c>
      <c r="G5" s="1462">
        <v>2020</v>
      </c>
      <c r="H5" s="1463" t="s">
        <v>199</v>
      </c>
      <c r="I5" s="1464" t="s">
        <v>247</v>
      </c>
      <c r="J5" s="1465" t="s">
        <v>248</v>
      </c>
    </row>
    <row r="6" spans="1:16" s="142" customFormat="1" ht="15" customHeight="1" thickBot="1">
      <c r="A6" s="1466">
        <v>11</v>
      </c>
      <c r="B6" s="1467" t="s">
        <v>249</v>
      </c>
      <c r="C6" s="1468">
        <f t="shared" ref="C6:I6" si="0">C7</f>
        <v>14520.33</v>
      </c>
      <c r="D6" s="1469">
        <f t="shared" si="0"/>
        <v>6044.1299999999992</v>
      </c>
      <c r="E6" s="1468">
        <f t="shared" si="0"/>
        <v>12379.31</v>
      </c>
      <c r="F6" s="1470">
        <f t="shared" si="0"/>
        <v>48858.18</v>
      </c>
      <c r="G6" s="1470">
        <f t="shared" si="0"/>
        <v>48858.18</v>
      </c>
      <c r="H6" s="1469">
        <f t="shared" si="0"/>
        <v>130660.13</v>
      </c>
      <c r="I6" s="1471">
        <f t="shared" si="0"/>
        <v>26132.026000000002</v>
      </c>
      <c r="J6" s="1468">
        <f>J7</f>
        <v>66262.420359164389</v>
      </c>
    </row>
    <row r="7" spans="1:16" s="120" customFormat="1" ht="15" customHeight="1">
      <c r="A7" s="1472">
        <v>118</v>
      </c>
      <c r="B7" s="1473" t="s">
        <v>250</v>
      </c>
      <c r="C7" s="1474">
        <f>SUM(C8:C16)</f>
        <v>14520.33</v>
      </c>
      <c r="D7" s="1475">
        <f>SUM(D8:D16)</f>
        <v>6044.1299999999992</v>
      </c>
      <c r="E7" s="1474">
        <f>SUM(E8:E16)</f>
        <v>12379.31</v>
      </c>
      <c r="F7" s="1475">
        <f>SUM(F8:F16)</f>
        <v>48858.18</v>
      </c>
      <c r="G7" s="1475">
        <f>SUM(G8:G16)</f>
        <v>48858.18</v>
      </c>
      <c r="H7" s="1476">
        <f>SUM(C7:G7)</f>
        <v>130660.13</v>
      </c>
      <c r="I7" s="1477">
        <f>H7/5</f>
        <v>26132.026000000002</v>
      </c>
      <c r="J7" s="1478">
        <f>SUM(J8:J16)</f>
        <v>66262.420359164389</v>
      </c>
    </row>
    <row r="8" spans="1:16" s="32" customFormat="1" ht="15" customHeight="1">
      <c r="A8" s="58">
        <v>11801</v>
      </c>
      <c r="B8" s="1138" t="s">
        <v>70</v>
      </c>
      <c r="C8" s="214">
        <v>5588.01</v>
      </c>
      <c r="D8" s="96">
        <v>268.25</v>
      </c>
      <c r="E8" s="97">
        <v>350</v>
      </c>
      <c r="F8" s="214"/>
      <c r="G8" s="214"/>
      <c r="H8" s="102">
        <f>SUM(C8:G8)</f>
        <v>6206.26</v>
      </c>
      <c r="I8" s="659">
        <f>H8/5</f>
        <v>1241.252</v>
      </c>
      <c r="J8" s="98">
        <f>G8*35.621958%+G8</f>
        <v>0</v>
      </c>
      <c r="P8" s="1136"/>
    </row>
    <row r="9" spans="1:16" s="32" customFormat="1" ht="15" customHeight="1">
      <c r="A9" s="58">
        <v>11802</v>
      </c>
      <c r="B9" s="56" t="s">
        <v>71</v>
      </c>
      <c r="C9" s="215"/>
      <c r="D9" s="96"/>
      <c r="E9" s="215"/>
      <c r="F9" s="215"/>
      <c r="G9" s="215"/>
      <c r="H9" s="102">
        <f>SUM(C9:G9)</f>
        <v>0</v>
      </c>
      <c r="I9" s="98">
        <f t="shared" ref="I9:I63" si="1">H9/5</f>
        <v>0</v>
      </c>
      <c r="J9" s="98">
        <f t="shared" ref="J9:J16" si="2">G9*35.621958%+G9</f>
        <v>0</v>
      </c>
    </row>
    <row r="10" spans="1:16" s="32" customFormat="1" ht="15" customHeight="1">
      <c r="A10" s="58">
        <v>11803</v>
      </c>
      <c r="B10" s="56" t="s">
        <v>251</v>
      </c>
      <c r="C10" s="215"/>
      <c r="D10" s="96"/>
      <c r="E10" s="215"/>
      <c r="F10" s="215"/>
      <c r="G10" s="215"/>
      <c r="H10" s="102">
        <f>SUM(C10:F10)</f>
        <v>0</v>
      </c>
      <c r="I10" s="98">
        <f t="shared" si="1"/>
        <v>0</v>
      </c>
      <c r="J10" s="98">
        <f t="shared" si="2"/>
        <v>0</v>
      </c>
    </row>
    <row r="11" spans="1:16" s="32" customFormat="1" ht="15" customHeight="1">
      <c r="A11" s="58">
        <v>11804</v>
      </c>
      <c r="B11" s="1139" t="s">
        <v>72</v>
      </c>
      <c r="C11" s="215"/>
      <c r="D11" s="96"/>
      <c r="E11" s="215"/>
      <c r="F11" s="215"/>
      <c r="G11" s="215"/>
      <c r="H11" s="102">
        <f>SUM(C11:G11)</f>
        <v>0</v>
      </c>
      <c r="I11" s="98">
        <f t="shared" si="1"/>
        <v>0</v>
      </c>
      <c r="J11" s="98">
        <f t="shared" si="2"/>
        <v>0</v>
      </c>
    </row>
    <row r="12" spans="1:16" s="32" customFormat="1" ht="15" customHeight="1">
      <c r="A12" s="58">
        <v>11806</v>
      </c>
      <c r="B12" s="56" t="s">
        <v>252</v>
      </c>
      <c r="C12" s="215">
        <v>12</v>
      </c>
      <c r="D12" s="96"/>
      <c r="E12" s="215"/>
      <c r="F12" s="215"/>
      <c r="G12" s="215"/>
      <c r="H12" s="102">
        <f>SUM(C12:G12)</f>
        <v>12</v>
      </c>
      <c r="I12" s="98">
        <f t="shared" si="1"/>
        <v>2.4</v>
      </c>
      <c r="J12" s="98">
        <f t="shared" si="2"/>
        <v>0</v>
      </c>
    </row>
    <row r="13" spans="1:16" s="32" customFormat="1" ht="15" customHeight="1">
      <c r="A13" s="58">
        <v>11816</v>
      </c>
      <c r="B13" s="61" t="s">
        <v>74</v>
      </c>
      <c r="C13" s="215">
        <v>552.48</v>
      </c>
      <c r="D13" s="96"/>
      <c r="E13" s="215"/>
      <c r="F13" s="215"/>
      <c r="G13" s="215"/>
      <c r="H13" s="102">
        <f>SUM(C13:G13)</f>
        <v>552.48</v>
      </c>
      <c r="I13" s="98">
        <f t="shared" si="1"/>
        <v>110.49600000000001</v>
      </c>
      <c r="J13" s="98">
        <f t="shared" si="2"/>
        <v>0</v>
      </c>
    </row>
    <row r="14" spans="1:16" s="32" customFormat="1" ht="15" customHeight="1">
      <c r="A14" s="58">
        <v>11817</v>
      </c>
      <c r="B14" s="1139" t="s">
        <v>479</v>
      </c>
      <c r="C14" s="215"/>
      <c r="D14" s="96"/>
      <c r="E14" s="215"/>
      <c r="F14" s="215"/>
      <c r="G14" s="215"/>
      <c r="H14" s="102"/>
      <c r="I14" s="98"/>
      <c r="J14" s="98">
        <f t="shared" si="2"/>
        <v>0</v>
      </c>
    </row>
    <row r="15" spans="1:16" s="32" customFormat="1" ht="15" customHeight="1">
      <c r="A15" s="58">
        <v>11818</v>
      </c>
      <c r="B15" s="56" t="s">
        <v>253</v>
      </c>
      <c r="C15" s="215">
        <v>1041.42</v>
      </c>
      <c r="D15" s="96">
        <v>1022.18</v>
      </c>
      <c r="E15" s="215">
        <v>1037.6500000000001</v>
      </c>
      <c r="F15" s="215">
        <v>1132.4100000000001</v>
      </c>
      <c r="G15" s="215">
        <v>1132.4100000000001</v>
      </c>
      <c r="H15" s="102">
        <f>SUM(C15:G15)</f>
        <v>5366.07</v>
      </c>
      <c r="I15" s="98">
        <f t="shared" si="1"/>
        <v>1073.2139999999999</v>
      </c>
      <c r="J15" s="98">
        <f t="shared" si="2"/>
        <v>1535.7966145878001</v>
      </c>
    </row>
    <row r="16" spans="1:16" s="32" customFormat="1" ht="13.5" customHeight="1" thickBot="1">
      <c r="A16" s="58">
        <v>11899</v>
      </c>
      <c r="B16" s="1140" t="s">
        <v>76</v>
      </c>
      <c r="C16" s="660">
        <v>7326.42</v>
      </c>
      <c r="D16" s="99">
        <v>4753.7</v>
      </c>
      <c r="E16" s="660">
        <v>10991.66</v>
      </c>
      <c r="F16" s="660">
        <v>47725.77</v>
      </c>
      <c r="G16" s="660">
        <v>47725.77</v>
      </c>
      <c r="H16" s="104">
        <f>SUM(C16:G16)</f>
        <v>118523.31999999998</v>
      </c>
      <c r="I16" s="105">
        <f t="shared" si="1"/>
        <v>23704.663999999997</v>
      </c>
      <c r="J16" s="98">
        <f t="shared" si="2"/>
        <v>64726.623744576595</v>
      </c>
    </row>
    <row r="17" spans="1:14" s="142" customFormat="1" ht="15" customHeight="1" thickBot="1">
      <c r="A17" s="1466">
        <v>12</v>
      </c>
      <c r="B17" s="1467" t="s">
        <v>254</v>
      </c>
      <c r="C17" s="1468">
        <f>C18+C32</f>
        <v>72848.52</v>
      </c>
      <c r="D17" s="1468">
        <f>D18+D32</f>
        <v>141786.08999999997</v>
      </c>
      <c r="E17" s="1479">
        <f>E18+E32</f>
        <v>148883.41</v>
      </c>
      <c r="F17" s="1480">
        <f>F18</f>
        <v>112353.45</v>
      </c>
      <c r="G17" s="1481">
        <f>G18</f>
        <v>112353.45</v>
      </c>
      <c r="H17" s="1482">
        <f>H18+H32</f>
        <v>635458.04</v>
      </c>
      <c r="I17" s="1471">
        <f>I18+I32</f>
        <v>127091.60800000001</v>
      </c>
      <c r="J17" s="1483">
        <f>J18+J32</f>
        <v>184405.18985479578</v>
      </c>
    </row>
    <row r="18" spans="1:14" s="120" customFormat="1" ht="15" customHeight="1">
      <c r="A18" s="1472">
        <v>121</v>
      </c>
      <c r="B18" s="1484" t="s">
        <v>255</v>
      </c>
      <c r="C18" s="1474">
        <f>SUM(C19:C31)</f>
        <v>56571.14</v>
      </c>
      <c r="D18" s="1474">
        <f>SUM(D19:D31)</f>
        <v>113707.88999999998</v>
      </c>
      <c r="E18" s="1485">
        <f>SUM(E19:E31)</f>
        <v>110115.34</v>
      </c>
      <c r="F18" s="1486">
        <f>SUM(F19:F31)</f>
        <v>112353.45</v>
      </c>
      <c r="G18" s="1487">
        <f>SUM(G19:G31)</f>
        <v>112353.45</v>
      </c>
      <c r="H18" s="1488">
        <f>SUM(C18:G18)</f>
        <v>505101.27</v>
      </c>
      <c r="I18" s="1489">
        <f t="shared" si="1"/>
        <v>101020.254</v>
      </c>
      <c r="J18" s="1490">
        <f>SUM(J19:J31)</f>
        <v>152375.94877055098</v>
      </c>
    </row>
    <row r="19" spans="1:14" s="32" customFormat="1" ht="15" customHeight="1">
      <c r="A19" s="58">
        <v>12105</v>
      </c>
      <c r="B19" s="57" t="s">
        <v>77</v>
      </c>
      <c r="C19" s="97">
        <v>5070</v>
      </c>
      <c r="D19" s="97">
        <v>8017.73</v>
      </c>
      <c r="E19" s="97">
        <v>7206.46</v>
      </c>
      <c r="F19" s="97">
        <v>8417.1200000000008</v>
      </c>
      <c r="G19" s="97">
        <v>8417.1200000000008</v>
      </c>
      <c r="H19" s="102">
        <f>SUM(C19:G19)</f>
        <v>37128.43</v>
      </c>
      <c r="I19" s="659">
        <f t="shared" si="1"/>
        <v>7425.6859999999997</v>
      </c>
      <c r="J19" s="98">
        <f t="shared" ref="J19:J35" si="3">G19*35.621958%+G19</f>
        <v>11415.4629512096</v>
      </c>
    </row>
    <row r="20" spans="1:14" s="32" customFormat="1" ht="15" customHeight="1">
      <c r="A20" s="58">
        <v>12106</v>
      </c>
      <c r="B20" s="57" t="s">
        <v>256</v>
      </c>
      <c r="C20" s="96">
        <v>418</v>
      </c>
      <c r="D20" s="96">
        <v>537.15</v>
      </c>
      <c r="E20" s="96">
        <v>344</v>
      </c>
      <c r="F20" s="96">
        <v>232</v>
      </c>
      <c r="G20" s="96">
        <v>232</v>
      </c>
      <c r="H20" s="102">
        <f>SUM(C20:G20)</f>
        <v>1763.15</v>
      </c>
      <c r="I20" s="98">
        <f t="shared" si="1"/>
        <v>352.63</v>
      </c>
      <c r="J20" s="98">
        <f t="shared" si="3"/>
        <v>314.64294255999999</v>
      </c>
    </row>
    <row r="21" spans="1:14" s="32" customFormat="1" ht="15" customHeight="1">
      <c r="A21" s="58">
        <v>12108</v>
      </c>
      <c r="B21" s="57" t="s">
        <v>52</v>
      </c>
      <c r="C21" s="96">
        <v>8733.6200000000008</v>
      </c>
      <c r="D21" s="96">
        <v>16578.28</v>
      </c>
      <c r="E21" s="96">
        <v>14868.16</v>
      </c>
      <c r="F21" s="96">
        <v>12794.7</v>
      </c>
      <c r="G21" s="96">
        <v>12794.7</v>
      </c>
      <c r="H21" s="102">
        <f>SUM(C21:G21)</f>
        <v>65769.459999999992</v>
      </c>
      <c r="I21" s="98">
        <f t="shared" si="1"/>
        <v>13153.891999999998</v>
      </c>
      <c r="J21" s="98">
        <f t="shared" si="3"/>
        <v>17352.422660226002</v>
      </c>
    </row>
    <row r="22" spans="1:14" s="32" customFormat="1" ht="15" customHeight="1">
      <c r="A22" s="58">
        <v>12110</v>
      </c>
      <c r="B22" s="57" t="s">
        <v>79</v>
      </c>
      <c r="C22" s="96"/>
      <c r="D22" s="96"/>
      <c r="E22" s="96"/>
      <c r="F22" s="96"/>
      <c r="G22" s="96"/>
      <c r="H22" s="102">
        <f>SUM(C22:F22)</f>
        <v>0</v>
      </c>
      <c r="I22" s="98">
        <f t="shared" si="1"/>
        <v>0</v>
      </c>
      <c r="J22" s="98">
        <f t="shared" si="3"/>
        <v>0</v>
      </c>
      <c r="N22" s="1457"/>
    </row>
    <row r="23" spans="1:14" s="32" customFormat="1" ht="15" customHeight="1">
      <c r="A23" s="58">
        <v>12111</v>
      </c>
      <c r="B23" s="57" t="s">
        <v>80</v>
      </c>
      <c r="C23" s="96">
        <v>462.2</v>
      </c>
      <c r="D23" s="96">
        <v>1040.55</v>
      </c>
      <c r="E23" s="96">
        <v>1618</v>
      </c>
      <c r="F23" s="96">
        <v>1500</v>
      </c>
      <c r="G23" s="96">
        <v>1500</v>
      </c>
      <c r="H23" s="102">
        <f t="shared" ref="H23:H35" si="4">SUM(C23:G23)</f>
        <v>6120.75</v>
      </c>
      <c r="I23" s="98">
        <f t="shared" si="1"/>
        <v>1224.1500000000001</v>
      </c>
      <c r="J23" s="98">
        <f t="shared" si="3"/>
        <v>2034.3293699999999</v>
      </c>
    </row>
    <row r="24" spans="1:14" s="32" customFormat="1" ht="15" customHeight="1">
      <c r="A24" s="58">
        <v>12112</v>
      </c>
      <c r="B24" s="57" t="s">
        <v>81</v>
      </c>
      <c r="C24" s="96">
        <v>9498.41</v>
      </c>
      <c r="D24" s="96">
        <v>27531.27</v>
      </c>
      <c r="E24" s="96">
        <v>23301.360000000001</v>
      </c>
      <c r="F24" s="96">
        <v>20465.62</v>
      </c>
      <c r="G24" s="96">
        <v>20465.62</v>
      </c>
      <c r="H24" s="102">
        <f t="shared" si="4"/>
        <v>101262.28</v>
      </c>
      <c r="I24" s="98">
        <f t="shared" si="1"/>
        <v>20252.455999999998</v>
      </c>
      <c r="J24" s="98">
        <f t="shared" si="3"/>
        <v>27755.874560839598</v>
      </c>
    </row>
    <row r="25" spans="1:14" s="32" customFormat="1" ht="15" customHeight="1">
      <c r="A25" s="58">
        <v>12114</v>
      </c>
      <c r="B25" s="57" t="s">
        <v>82</v>
      </c>
      <c r="C25" s="96">
        <v>4989.87</v>
      </c>
      <c r="D25" s="96">
        <v>9488.2099999999991</v>
      </c>
      <c r="E25" s="96">
        <v>10218.299999999999</v>
      </c>
      <c r="F25" s="96">
        <v>10067.709999999999</v>
      </c>
      <c r="G25" s="96">
        <v>10067.709999999999</v>
      </c>
      <c r="H25" s="102">
        <f t="shared" si="4"/>
        <v>44831.799999999996</v>
      </c>
      <c r="I25" s="98">
        <f t="shared" si="1"/>
        <v>8966.3599999999988</v>
      </c>
      <c r="J25" s="98">
        <f t="shared" si="3"/>
        <v>13654.025427761799</v>
      </c>
    </row>
    <row r="26" spans="1:14" s="32" customFormat="1" ht="15" customHeight="1">
      <c r="A26" s="58">
        <v>12115</v>
      </c>
      <c r="B26" s="57" t="s">
        <v>83</v>
      </c>
      <c r="C26" s="96">
        <v>1374.8</v>
      </c>
      <c r="D26" s="96">
        <v>1867.45</v>
      </c>
      <c r="E26" s="96">
        <v>1245.8499999999999</v>
      </c>
      <c r="F26" s="96">
        <v>844.76</v>
      </c>
      <c r="G26" s="96">
        <v>844.76</v>
      </c>
      <c r="H26" s="102">
        <f t="shared" si="4"/>
        <v>6177.6200000000008</v>
      </c>
      <c r="I26" s="98">
        <f t="shared" si="1"/>
        <v>1235.5240000000001</v>
      </c>
      <c r="J26" s="98">
        <f t="shared" si="3"/>
        <v>1145.6800524007999</v>
      </c>
    </row>
    <row r="27" spans="1:14" s="32" customFormat="1" ht="15" customHeight="1">
      <c r="A27" s="58">
        <v>12117</v>
      </c>
      <c r="B27" s="57" t="s">
        <v>84</v>
      </c>
      <c r="C27" s="96">
        <v>3500.46</v>
      </c>
      <c r="D27" s="96">
        <v>6453.98</v>
      </c>
      <c r="E27" s="96">
        <v>4422.76</v>
      </c>
      <c r="F27" s="96">
        <v>3351.15</v>
      </c>
      <c r="G27" s="96">
        <v>3351.15</v>
      </c>
      <c r="H27" s="102">
        <f t="shared" si="4"/>
        <v>21079.5</v>
      </c>
      <c r="I27" s="98">
        <f t="shared" si="1"/>
        <v>4215.8999999999996</v>
      </c>
      <c r="J27" s="98">
        <f t="shared" si="3"/>
        <v>4544.8952455170001</v>
      </c>
    </row>
    <row r="28" spans="1:14" s="32" customFormat="1" ht="15" customHeight="1">
      <c r="A28" s="58">
        <v>12118</v>
      </c>
      <c r="B28" s="57" t="s">
        <v>85</v>
      </c>
      <c r="C28" s="96">
        <v>21072</v>
      </c>
      <c r="D28" s="96">
        <v>40378</v>
      </c>
      <c r="E28" s="96">
        <v>45507</v>
      </c>
      <c r="F28" s="96">
        <v>53162</v>
      </c>
      <c r="G28" s="96">
        <v>53162</v>
      </c>
      <c r="H28" s="102">
        <f t="shared" si="4"/>
        <v>213281</v>
      </c>
      <c r="I28" s="98">
        <f t="shared" si="1"/>
        <v>42656.2</v>
      </c>
      <c r="J28" s="98">
        <f t="shared" si="3"/>
        <v>72099.345311960002</v>
      </c>
    </row>
    <row r="29" spans="1:14" s="32" customFormat="1" ht="15" customHeight="1">
      <c r="A29" s="58">
        <v>12119</v>
      </c>
      <c r="B29" s="57" t="s">
        <v>86</v>
      </c>
      <c r="C29" s="96">
        <v>1128.03</v>
      </c>
      <c r="D29" s="96">
        <v>1529.54</v>
      </c>
      <c r="E29" s="96">
        <v>997.5</v>
      </c>
      <c r="F29" s="96">
        <v>1124.3900000000001</v>
      </c>
      <c r="G29" s="96">
        <v>1124.3900000000001</v>
      </c>
      <c r="H29" s="102">
        <f t="shared" si="4"/>
        <v>5903.85</v>
      </c>
      <c r="I29" s="98">
        <f t="shared" si="1"/>
        <v>1180.77</v>
      </c>
      <c r="J29" s="98">
        <f t="shared" si="3"/>
        <v>1524.9197335562001</v>
      </c>
    </row>
    <row r="30" spans="1:14" s="32" customFormat="1" ht="15" customHeight="1">
      <c r="A30" s="58">
        <v>12122</v>
      </c>
      <c r="B30" s="57" t="s">
        <v>257</v>
      </c>
      <c r="C30" s="96"/>
      <c r="D30" s="96"/>
      <c r="E30" s="96"/>
      <c r="F30" s="96"/>
      <c r="G30" s="96"/>
      <c r="H30" s="102">
        <f t="shared" si="4"/>
        <v>0</v>
      </c>
      <c r="I30" s="98">
        <f t="shared" si="1"/>
        <v>0</v>
      </c>
      <c r="J30" s="98">
        <f t="shared" si="3"/>
        <v>0</v>
      </c>
    </row>
    <row r="31" spans="1:14" s="32" customFormat="1" ht="15" customHeight="1">
      <c r="A31" s="58">
        <v>12199</v>
      </c>
      <c r="B31" s="56" t="s">
        <v>87</v>
      </c>
      <c r="C31" s="100">
        <v>323.75</v>
      </c>
      <c r="D31" s="100">
        <v>285.73</v>
      </c>
      <c r="E31" s="100">
        <v>385.95</v>
      </c>
      <c r="F31" s="100">
        <v>394</v>
      </c>
      <c r="G31" s="100">
        <v>394</v>
      </c>
      <c r="H31" s="102">
        <f t="shared" si="4"/>
        <v>1783.43</v>
      </c>
      <c r="I31" s="108">
        <f t="shared" si="1"/>
        <v>356.68600000000004</v>
      </c>
      <c r="J31" s="98">
        <f t="shared" si="3"/>
        <v>534.35051451999993</v>
      </c>
    </row>
    <row r="32" spans="1:14" s="120" customFormat="1" ht="15" customHeight="1">
      <c r="A32" s="1491">
        <v>122</v>
      </c>
      <c r="B32" s="1492" t="s">
        <v>258</v>
      </c>
      <c r="C32" s="1493">
        <f>SUM(C33:C35)</f>
        <v>16277.380000000001</v>
      </c>
      <c r="D32" s="1493">
        <f>SUM(D33:D35)</f>
        <v>28078.199999999997</v>
      </c>
      <c r="E32" s="1493">
        <f>SUM(E33:E35)</f>
        <v>38768.07</v>
      </c>
      <c r="F32" s="1494">
        <f>SUM(F33:F35)</f>
        <v>23616.560000000001</v>
      </c>
      <c r="G32" s="1493">
        <f>SUM(G33:G35)</f>
        <v>23616.560000000001</v>
      </c>
      <c r="H32" s="1494">
        <f t="shared" si="4"/>
        <v>130356.76999999999</v>
      </c>
      <c r="I32" s="1493">
        <f t="shared" si="1"/>
        <v>26071.353999999999</v>
      </c>
      <c r="J32" s="1495">
        <f>SUM(J33:J35)</f>
        <v>32029.241084244801</v>
      </c>
    </row>
    <row r="33" spans="1:11" s="119" customFormat="1" ht="15" customHeight="1">
      <c r="A33" s="121">
        <v>12210</v>
      </c>
      <c r="B33" s="122" t="s">
        <v>53</v>
      </c>
      <c r="C33" s="97">
        <v>16112.2</v>
      </c>
      <c r="D33" s="97">
        <v>27301.279999999999</v>
      </c>
      <c r="E33" s="97">
        <v>37338.97</v>
      </c>
      <c r="F33" s="97">
        <v>21843.59</v>
      </c>
      <c r="G33" s="97">
        <v>21843.59</v>
      </c>
      <c r="H33" s="1133">
        <f t="shared" si="4"/>
        <v>124439.62999999999</v>
      </c>
      <c r="I33" s="659">
        <f t="shared" si="1"/>
        <v>24887.925999999999</v>
      </c>
      <c r="J33" s="98">
        <f t="shared" si="3"/>
        <v>29624.704455492199</v>
      </c>
    </row>
    <row r="34" spans="1:11" s="32" customFormat="1" ht="15" customHeight="1">
      <c r="A34" s="58">
        <v>12211</v>
      </c>
      <c r="B34" s="56" t="s">
        <v>54</v>
      </c>
      <c r="C34" s="96">
        <v>21.18</v>
      </c>
      <c r="D34" s="96">
        <v>16.920000000000002</v>
      </c>
      <c r="E34" s="96">
        <v>14.1</v>
      </c>
      <c r="F34" s="96">
        <v>22.97</v>
      </c>
      <c r="G34" s="96">
        <v>22.97</v>
      </c>
      <c r="H34" s="1134">
        <f t="shared" si="4"/>
        <v>98.14</v>
      </c>
      <c r="I34" s="98">
        <f t="shared" si="1"/>
        <v>19.628</v>
      </c>
      <c r="J34" s="98">
        <f t="shared" si="3"/>
        <v>31.152363752599996</v>
      </c>
    </row>
    <row r="35" spans="1:11" s="32" customFormat="1" ht="15" customHeight="1" thickBot="1">
      <c r="A35" s="58">
        <v>12299</v>
      </c>
      <c r="B35" s="56" t="s">
        <v>88</v>
      </c>
      <c r="C35" s="99">
        <v>144</v>
      </c>
      <c r="D35" s="99">
        <v>760</v>
      </c>
      <c r="E35" s="100">
        <v>1415</v>
      </c>
      <c r="F35" s="100">
        <v>1750</v>
      </c>
      <c r="G35" s="100">
        <v>1750</v>
      </c>
      <c r="H35" s="1135">
        <f t="shared" si="4"/>
        <v>5819</v>
      </c>
      <c r="I35" s="105">
        <f t="shared" si="1"/>
        <v>1163.8</v>
      </c>
      <c r="J35" s="98">
        <f t="shared" si="3"/>
        <v>2373.3842649999997</v>
      </c>
      <c r="K35" s="1137"/>
    </row>
    <row r="36" spans="1:11" s="142" customFormat="1" ht="15" customHeight="1" thickBot="1">
      <c r="A36" s="1466">
        <v>14</v>
      </c>
      <c r="B36" s="1467" t="s">
        <v>259</v>
      </c>
      <c r="C36" s="1468">
        <f t="shared" ref="C36:J36" si="5">C37</f>
        <v>7856.69</v>
      </c>
      <c r="D36" s="1468">
        <f t="shared" si="5"/>
        <v>13276.3</v>
      </c>
      <c r="E36" s="1468">
        <f t="shared" si="5"/>
        <v>12080.49</v>
      </c>
      <c r="F36" s="1496">
        <f t="shared" si="5"/>
        <v>10494.92</v>
      </c>
      <c r="G36" s="1497">
        <f t="shared" si="5"/>
        <v>10494.92</v>
      </c>
      <c r="H36" s="1468">
        <f t="shared" si="5"/>
        <v>54203.319999999992</v>
      </c>
      <c r="I36" s="1468">
        <f t="shared" si="5"/>
        <v>10840.663999999999</v>
      </c>
      <c r="J36" s="1483">
        <f t="shared" si="5"/>
        <v>14233.415994533601</v>
      </c>
    </row>
    <row r="37" spans="1:11" s="120" customFormat="1" ht="15" customHeight="1">
      <c r="A37" s="1472">
        <v>142</v>
      </c>
      <c r="B37" s="1498" t="s">
        <v>260</v>
      </c>
      <c r="C37" s="1474">
        <f>SUM(C38:C40)</f>
        <v>7856.69</v>
      </c>
      <c r="D37" s="1474">
        <f>SUM(D38:D40)</f>
        <v>13276.3</v>
      </c>
      <c r="E37" s="1474">
        <f>SUM(E38:E40)</f>
        <v>12080.49</v>
      </c>
      <c r="F37" s="1499">
        <f>SUM(F38:F40)</f>
        <v>10494.92</v>
      </c>
      <c r="G37" s="1500">
        <f>SUM(G38:G40)</f>
        <v>10494.92</v>
      </c>
      <c r="H37" s="1501">
        <f>SUM(C37:G37)</f>
        <v>54203.319999999992</v>
      </c>
      <c r="I37" s="1474">
        <f t="shared" si="1"/>
        <v>10840.663999999999</v>
      </c>
      <c r="J37" s="1478">
        <f>SUM(J38:J40)</f>
        <v>14233.415994533601</v>
      </c>
    </row>
    <row r="38" spans="1:11" s="32" customFormat="1" ht="15" customHeight="1">
      <c r="A38" s="58">
        <v>14201</v>
      </c>
      <c r="B38" s="61" t="s">
        <v>261</v>
      </c>
      <c r="C38" s="214">
        <v>7856.69</v>
      </c>
      <c r="D38" s="97">
        <v>13273.3</v>
      </c>
      <c r="E38" s="96">
        <v>11720.49</v>
      </c>
      <c r="F38" s="214">
        <v>9894.86</v>
      </c>
      <c r="G38" s="214">
        <v>9894.86</v>
      </c>
      <c r="H38" s="102">
        <f>SUM(C38:G38)</f>
        <v>52640.2</v>
      </c>
      <c r="I38" s="659">
        <f t="shared" si="1"/>
        <v>10528.039999999999</v>
      </c>
      <c r="J38" s="98">
        <f t="shared" ref="J38:J40" si="6">G38*35.621958%+G38</f>
        <v>13419.602873358801</v>
      </c>
    </row>
    <row r="39" spans="1:11" s="32" customFormat="1" ht="15" customHeight="1">
      <c r="A39" s="58">
        <v>14299</v>
      </c>
      <c r="B39" s="56" t="s">
        <v>90</v>
      </c>
      <c r="C39" s="215"/>
      <c r="D39" s="96">
        <v>3</v>
      </c>
      <c r="E39" s="96">
        <v>360</v>
      </c>
      <c r="F39" s="215">
        <v>600.05999999999995</v>
      </c>
      <c r="G39" s="215">
        <v>600.05999999999995</v>
      </c>
      <c r="H39" s="102">
        <f>SUM(C39:G39)</f>
        <v>1563.12</v>
      </c>
      <c r="I39" s="98">
        <f t="shared" si="1"/>
        <v>312.62399999999997</v>
      </c>
      <c r="J39" s="98">
        <f t="shared" si="6"/>
        <v>813.8131211747999</v>
      </c>
    </row>
    <row r="40" spans="1:11" s="32" customFormat="1" ht="15" customHeight="1" thickBot="1">
      <c r="A40" s="141"/>
      <c r="B40" s="60"/>
      <c r="C40" s="96"/>
      <c r="D40" s="99"/>
      <c r="E40" s="100"/>
      <c r="F40" s="215"/>
      <c r="G40" s="215"/>
      <c r="H40" s="104">
        <f>SUM(C40:G40)</f>
        <v>0</v>
      </c>
      <c r="I40" s="105">
        <f t="shared" si="1"/>
        <v>0</v>
      </c>
      <c r="J40" s="98">
        <f t="shared" si="6"/>
        <v>0</v>
      </c>
    </row>
    <row r="41" spans="1:11" s="142" customFormat="1" ht="15" customHeight="1" thickBot="1">
      <c r="A41" s="1466">
        <v>15</v>
      </c>
      <c r="B41" s="1467" t="s">
        <v>262</v>
      </c>
      <c r="C41" s="1468">
        <f t="shared" ref="C41:J41" si="7">C42+C47+C49</f>
        <v>8237.76</v>
      </c>
      <c r="D41" s="1468">
        <f>D42+D47+D49</f>
        <v>36610.200000000004</v>
      </c>
      <c r="E41" s="1468">
        <f t="shared" si="7"/>
        <v>47005.069999999992</v>
      </c>
      <c r="F41" s="1483">
        <f t="shared" si="7"/>
        <v>38026.449999999997</v>
      </c>
      <c r="G41" s="1468">
        <f t="shared" si="7"/>
        <v>38027.46</v>
      </c>
      <c r="H41" s="1502">
        <f t="shared" si="7"/>
        <v>167906.94</v>
      </c>
      <c r="I41" s="1503">
        <f t="shared" si="7"/>
        <v>33581.387999999999</v>
      </c>
      <c r="J41" s="1483">
        <f t="shared" si="7"/>
        <v>51573.585829666801</v>
      </c>
    </row>
    <row r="42" spans="1:11" s="120" customFormat="1" ht="15" customHeight="1">
      <c r="A42" s="1504">
        <v>153</v>
      </c>
      <c r="B42" s="1498" t="s">
        <v>263</v>
      </c>
      <c r="C42" s="1474">
        <f t="shared" ref="C42:J42" si="8">SUM(C43:C46)</f>
        <v>3508.95</v>
      </c>
      <c r="D42" s="1474">
        <f t="shared" si="8"/>
        <v>4446.8</v>
      </c>
      <c r="E42" s="1474">
        <f t="shared" si="8"/>
        <v>4221.5499999999993</v>
      </c>
      <c r="F42" s="1475">
        <f t="shared" si="8"/>
        <v>17867.82</v>
      </c>
      <c r="G42" s="1475">
        <f t="shared" si="8"/>
        <v>17867.82</v>
      </c>
      <c r="H42" s="1475">
        <f t="shared" si="8"/>
        <v>47912.939999999995</v>
      </c>
      <c r="I42" s="1501">
        <f t="shared" si="8"/>
        <v>9582.5879999999997</v>
      </c>
      <c r="J42" s="1495">
        <f t="shared" si="8"/>
        <v>24232.687335915602</v>
      </c>
    </row>
    <row r="43" spans="1:11" s="32" customFormat="1" ht="15" customHeight="1">
      <c r="A43" s="702">
        <v>15301</v>
      </c>
      <c r="B43" s="57" t="s">
        <v>264</v>
      </c>
      <c r="C43" s="97">
        <v>2181.56</v>
      </c>
      <c r="D43" s="97">
        <v>1720.51</v>
      </c>
      <c r="E43" s="97">
        <v>2615.9699999999998</v>
      </c>
      <c r="F43" s="97">
        <v>6896.9</v>
      </c>
      <c r="G43" s="97">
        <v>6896.9</v>
      </c>
      <c r="H43" s="98">
        <f t="shared" ref="H43:H50" si="9">SUM(C43:G43)</f>
        <v>20311.839999999997</v>
      </c>
      <c r="I43" s="659">
        <f>H43/5</f>
        <v>4062.3679999999995</v>
      </c>
      <c r="J43" s="98">
        <f t="shared" ref="J43:J48" si="10">G43*35.621958%+G43</f>
        <v>9353.7108213020001</v>
      </c>
    </row>
    <row r="44" spans="1:11" s="32" customFormat="1" ht="15" customHeight="1">
      <c r="A44" s="702">
        <v>15302</v>
      </c>
      <c r="B44" s="57" t="s">
        <v>92</v>
      </c>
      <c r="C44" s="96">
        <v>1318.81</v>
      </c>
      <c r="D44" s="96">
        <v>2526.29</v>
      </c>
      <c r="E44" s="96">
        <v>1602.72</v>
      </c>
      <c r="F44" s="96">
        <v>10968.06</v>
      </c>
      <c r="G44" s="96">
        <v>10968.06</v>
      </c>
      <c r="H44" s="98">
        <f t="shared" si="9"/>
        <v>27383.939999999995</v>
      </c>
      <c r="I44" s="98">
        <f>H44/5</f>
        <v>5476.7879999999986</v>
      </c>
      <c r="J44" s="98">
        <f t="shared" si="10"/>
        <v>14875.0977266148</v>
      </c>
    </row>
    <row r="45" spans="1:11" s="32" customFormat="1" ht="15" customHeight="1">
      <c r="A45" s="702">
        <v>15312</v>
      </c>
      <c r="B45" s="59" t="s">
        <v>265</v>
      </c>
      <c r="C45" s="96">
        <v>5.72</v>
      </c>
      <c r="D45" s="96"/>
      <c r="E45" s="96">
        <v>2.86</v>
      </c>
      <c r="F45" s="96">
        <v>2.86</v>
      </c>
      <c r="G45" s="96">
        <v>2.86</v>
      </c>
      <c r="H45" s="98">
        <f t="shared" si="9"/>
        <v>14.299999999999999</v>
      </c>
      <c r="I45" s="98">
        <f>H45/5</f>
        <v>2.86</v>
      </c>
      <c r="J45" s="98">
        <f t="shared" si="10"/>
        <v>3.8787879988</v>
      </c>
    </row>
    <row r="46" spans="1:11" s="32" customFormat="1" ht="15" customHeight="1">
      <c r="A46" s="702">
        <v>15314</v>
      </c>
      <c r="B46" s="55" t="s">
        <v>266</v>
      </c>
      <c r="C46" s="96">
        <v>2.86</v>
      </c>
      <c r="D46" s="96">
        <f>200</f>
        <v>200</v>
      </c>
      <c r="E46" s="96"/>
      <c r="F46" s="96"/>
      <c r="G46" s="96"/>
      <c r="H46" s="98">
        <f t="shared" si="9"/>
        <v>202.86</v>
      </c>
      <c r="I46" s="98">
        <f>H46/5</f>
        <v>40.572000000000003</v>
      </c>
      <c r="J46" s="98">
        <f t="shared" si="10"/>
        <v>0</v>
      </c>
    </row>
    <row r="47" spans="1:11" s="32" customFormat="1" ht="15" customHeight="1">
      <c r="A47" s="703">
        <v>154</v>
      </c>
      <c r="B47" s="209" t="s">
        <v>267</v>
      </c>
      <c r="C47" s="107">
        <f>SUM(C48:C48)</f>
        <v>0</v>
      </c>
      <c r="D47" s="107">
        <f>SUM(D48:D48)</f>
        <v>0</v>
      </c>
      <c r="E47" s="107"/>
      <c r="F47" s="107"/>
      <c r="G47" s="107"/>
      <c r="H47" s="102">
        <f t="shared" si="9"/>
        <v>0</v>
      </c>
      <c r="I47" s="98">
        <f t="shared" si="1"/>
        <v>0</v>
      </c>
      <c r="J47" s="98">
        <f t="shared" si="10"/>
        <v>0</v>
      </c>
    </row>
    <row r="48" spans="1:11" s="32" customFormat="1" ht="15" customHeight="1" thickBot="1">
      <c r="A48" s="704">
        <v>15499</v>
      </c>
      <c r="B48" s="57" t="s">
        <v>268</v>
      </c>
      <c r="C48" s="99"/>
      <c r="D48" s="99"/>
      <c r="E48" s="99"/>
      <c r="F48" s="99"/>
      <c r="G48" s="99"/>
      <c r="H48" s="44">
        <f t="shared" si="9"/>
        <v>0</v>
      </c>
      <c r="I48" s="105">
        <f t="shared" si="1"/>
        <v>0</v>
      </c>
      <c r="J48" s="98">
        <f t="shared" si="10"/>
        <v>0</v>
      </c>
    </row>
    <row r="49" spans="1:10" s="120" customFormat="1" ht="15" customHeight="1" thickBot="1">
      <c r="A49" s="1466">
        <v>157</v>
      </c>
      <c r="B49" s="1467" t="s">
        <v>269</v>
      </c>
      <c r="C49" s="1468">
        <f>SUM(C50:C52)</f>
        <v>4728.8100000000004</v>
      </c>
      <c r="D49" s="1468">
        <f>SUM(D50:D52)</f>
        <v>32163.4</v>
      </c>
      <c r="E49" s="1468">
        <f>SUM(E50:E52)</f>
        <v>42783.519999999997</v>
      </c>
      <c r="F49" s="1470">
        <f>SUM(F50:F52)</f>
        <v>20158.63</v>
      </c>
      <c r="G49" s="1470">
        <f>SUM(G50:G52)</f>
        <v>20159.64</v>
      </c>
      <c r="H49" s="1468">
        <f t="shared" si="9"/>
        <v>119994</v>
      </c>
      <c r="I49" s="1503">
        <f t="shared" si="1"/>
        <v>23998.799999999999</v>
      </c>
      <c r="J49" s="1468">
        <f>SUM(J50:J53)</f>
        <v>27340.8984937512</v>
      </c>
    </row>
    <row r="50" spans="1:10" s="32" customFormat="1" ht="15" customHeight="1">
      <c r="A50" s="705">
        <v>15701</v>
      </c>
      <c r="B50" s="664" t="s">
        <v>270</v>
      </c>
      <c r="C50" s="96"/>
      <c r="D50" s="96"/>
      <c r="E50" s="96"/>
      <c r="F50" s="96"/>
      <c r="G50" s="96"/>
      <c r="H50" s="44">
        <f t="shared" si="9"/>
        <v>0</v>
      </c>
      <c r="I50" s="98">
        <f t="shared" si="1"/>
        <v>0</v>
      </c>
      <c r="J50" s="98">
        <f t="shared" ref="J50:J60" si="11">G50*35.621958%+G50</f>
        <v>0</v>
      </c>
    </row>
    <row r="51" spans="1:10" s="32" customFormat="1" ht="15" customHeight="1">
      <c r="A51" s="706">
        <v>15703</v>
      </c>
      <c r="B51" s="664" t="s">
        <v>94</v>
      </c>
      <c r="C51" s="96">
        <v>960.28</v>
      </c>
      <c r="D51" s="96">
        <v>1498.43</v>
      </c>
      <c r="E51" s="96"/>
      <c r="F51" s="96"/>
      <c r="G51" s="96"/>
      <c r="H51" s="98">
        <f>SUM(D51:G51)</f>
        <v>1498.43</v>
      </c>
      <c r="I51" s="98">
        <f t="shared" si="1"/>
        <v>299.68600000000004</v>
      </c>
      <c r="J51" s="98">
        <f t="shared" si="11"/>
        <v>0</v>
      </c>
    </row>
    <row r="52" spans="1:10" s="32" customFormat="1" ht="15" customHeight="1">
      <c r="A52" s="706">
        <v>15799</v>
      </c>
      <c r="B52" s="664" t="s">
        <v>95</v>
      </c>
      <c r="C52" s="96">
        <v>3768.53</v>
      </c>
      <c r="D52" s="96">
        <v>30664.97</v>
      </c>
      <c r="E52" s="96">
        <v>42783.519999999997</v>
      </c>
      <c r="F52" s="96">
        <v>20158.63</v>
      </c>
      <c r="G52" s="96">
        <v>20159.64</v>
      </c>
      <c r="H52" s="98">
        <f>SUM(D52:G52)</f>
        <v>113766.76</v>
      </c>
      <c r="I52" s="98">
        <f t="shared" si="1"/>
        <v>22753.351999999999</v>
      </c>
      <c r="J52" s="98">
        <f t="shared" si="11"/>
        <v>27340.8984937512</v>
      </c>
    </row>
    <row r="53" spans="1:10" s="32" customFormat="1" ht="15" customHeight="1" thickBot="1">
      <c r="A53" s="706"/>
      <c r="B53" s="664"/>
      <c r="C53" s="98"/>
      <c r="D53" s="99"/>
      <c r="E53" s="99"/>
      <c r="F53" s="99"/>
      <c r="G53" s="99"/>
      <c r="H53" s="701">
        <f t="shared" ref="H53:H60" si="12">SUM(C53:G53)</f>
        <v>0</v>
      </c>
      <c r="I53" s="105">
        <f t="shared" si="1"/>
        <v>0</v>
      </c>
      <c r="J53" s="98">
        <f t="shared" si="11"/>
        <v>0</v>
      </c>
    </row>
    <row r="54" spans="1:10" s="32" customFormat="1" ht="15" customHeight="1">
      <c r="A54" s="707">
        <v>16</v>
      </c>
      <c r="B54" s="662" t="s">
        <v>271</v>
      </c>
      <c r="C54" s="210"/>
      <c r="D54" s="210"/>
      <c r="E54" s="124"/>
      <c r="F54" s="672"/>
      <c r="G54" s="663"/>
      <c r="H54" s="106">
        <f t="shared" si="12"/>
        <v>0</v>
      </c>
      <c r="I54" s="98">
        <f t="shared" si="1"/>
        <v>0</v>
      </c>
      <c r="J54" s="98">
        <f t="shared" si="11"/>
        <v>0</v>
      </c>
    </row>
    <row r="55" spans="1:10" s="32" customFormat="1" ht="15" customHeight="1">
      <c r="A55" s="708">
        <v>162</v>
      </c>
      <c r="B55" s="670" t="s">
        <v>272</v>
      </c>
      <c r="C55" s="98"/>
      <c r="D55" s="98"/>
      <c r="E55" s="103"/>
      <c r="F55" s="96"/>
      <c r="G55" s="96"/>
      <c r="H55" s="106">
        <f t="shared" si="12"/>
        <v>0</v>
      </c>
      <c r="I55" s="98">
        <f t="shared" si="1"/>
        <v>0</v>
      </c>
      <c r="J55" s="98">
        <f t="shared" si="11"/>
        <v>0</v>
      </c>
    </row>
    <row r="56" spans="1:10" s="32" customFormat="1" ht="15" customHeight="1">
      <c r="A56" s="706">
        <v>16201</v>
      </c>
      <c r="B56" s="671" t="s">
        <v>96</v>
      </c>
      <c r="C56" s="98"/>
      <c r="D56" s="98"/>
      <c r="E56" s="103"/>
      <c r="F56" s="96"/>
      <c r="G56" s="215"/>
      <c r="H56" s="106">
        <f t="shared" si="12"/>
        <v>0</v>
      </c>
      <c r="I56" s="98">
        <f t="shared" si="1"/>
        <v>0</v>
      </c>
      <c r="J56" s="98">
        <f t="shared" si="11"/>
        <v>0</v>
      </c>
    </row>
    <row r="57" spans="1:10" s="32" customFormat="1" ht="15" customHeight="1" thickBot="1">
      <c r="A57" s="709"/>
      <c r="B57" s="60"/>
      <c r="C57" s="98"/>
      <c r="D57" s="98"/>
      <c r="E57" s="103"/>
      <c r="F57" s="99"/>
      <c r="G57" s="99"/>
      <c r="H57" s="114">
        <f t="shared" si="12"/>
        <v>0</v>
      </c>
      <c r="I57" s="105">
        <f t="shared" si="1"/>
        <v>0</v>
      </c>
      <c r="J57" s="98">
        <f t="shared" si="11"/>
        <v>0</v>
      </c>
    </row>
    <row r="58" spans="1:10" s="32" customFormat="1" ht="15" customHeight="1" thickBot="1">
      <c r="A58" s="710">
        <v>22</v>
      </c>
      <c r="B58" s="665" t="s">
        <v>273</v>
      </c>
      <c r="C58" s="109"/>
      <c r="D58" s="109"/>
      <c r="E58" s="110"/>
      <c r="F58" s="111"/>
      <c r="G58" s="111"/>
      <c r="H58" s="211">
        <f t="shared" si="12"/>
        <v>0</v>
      </c>
      <c r="I58" s="105">
        <f t="shared" si="1"/>
        <v>0</v>
      </c>
      <c r="J58" s="98">
        <f t="shared" si="11"/>
        <v>0</v>
      </c>
    </row>
    <row r="59" spans="1:10" s="32" customFormat="1" ht="15" customHeight="1">
      <c r="A59" s="708">
        <v>222</v>
      </c>
      <c r="B59" s="666" t="s">
        <v>274</v>
      </c>
      <c r="C59" s="108"/>
      <c r="D59" s="108"/>
      <c r="E59" s="112"/>
      <c r="F59" s="101">
        <f>SUM(F60:F60)</f>
        <v>0</v>
      </c>
      <c r="G59" s="101">
        <f>SUM(G60:G60)</f>
        <v>0</v>
      </c>
      <c r="H59" s="113">
        <f t="shared" si="12"/>
        <v>0</v>
      </c>
      <c r="I59" s="98">
        <f t="shared" si="1"/>
        <v>0</v>
      </c>
      <c r="J59" s="98">
        <f t="shared" si="11"/>
        <v>0</v>
      </c>
    </row>
    <row r="60" spans="1:10" s="32" customFormat="1" ht="15" customHeight="1" thickBot="1">
      <c r="A60" s="709">
        <v>22201</v>
      </c>
      <c r="B60" s="60" t="s">
        <v>97</v>
      </c>
      <c r="C60" s="98"/>
      <c r="D60" s="98"/>
      <c r="E60" s="115"/>
      <c r="F60" s="96"/>
      <c r="G60" s="96"/>
      <c r="H60" s="116">
        <f t="shared" si="12"/>
        <v>0</v>
      </c>
      <c r="I60" s="105">
        <f t="shared" si="1"/>
        <v>0</v>
      </c>
      <c r="J60" s="98">
        <f t="shared" si="11"/>
        <v>0</v>
      </c>
    </row>
    <row r="61" spans="1:10" s="119" customFormat="1" ht="15" customHeight="1" thickBot="1">
      <c r="A61" s="711">
        <v>32</v>
      </c>
      <c r="B61" s="667" t="s">
        <v>275</v>
      </c>
      <c r="C61" s="117">
        <f t="shared" ref="C61:H61" si="13">C62</f>
        <v>12934.65</v>
      </c>
      <c r="D61" s="117">
        <f t="shared" si="13"/>
        <v>45840.25</v>
      </c>
      <c r="E61" s="117">
        <f t="shared" si="13"/>
        <v>42687.869999999995</v>
      </c>
      <c r="F61" s="117">
        <f t="shared" si="13"/>
        <v>40545.629999999997</v>
      </c>
      <c r="G61" s="117">
        <f t="shared" si="13"/>
        <v>40546.629999999997</v>
      </c>
      <c r="H61" s="211">
        <f t="shared" si="13"/>
        <v>182555.03</v>
      </c>
      <c r="I61" s="208">
        <f t="shared" si="1"/>
        <v>36511.006000000001</v>
      </c>
      <c r="J61" s="98">
        <f t="shared" ref="J61:J62" si="14">G61*35.621958%+G61+0.01</f>
        <v>54990.143509015397</v>
      </c>
    </row>
    <row r="62" spans="1:10" s="120" customFormat="1" ht="15" customHeight="1">
      <c r="A62" s="712">
        <v>322</v>
      </c>
      <c r="B62" s="668" t="s">
        <v>276</v>
      </c>
      <c r="C62" s="212">
        <f>SUM(C63:C63)</f>
        <v>12934.65</v>
      </c>
      <c r="D62" s="212">
        <f>SUM(D63:D63)</f>
        <v>45840.25</v>
      </c>
      <c r="E62" s="212">
        <f>SUM(E63:E63)</f>
        <v>42687.869999999995</v>
      </c>
      <c r="F62" s="212">
        <f>SUM(F63:F63)</f>
        <v>40545.629999999997</v>
      </c>
      <c r="G62" s="212">
        <f>SUM(G63:G63)</f>
        <v>40546.629999999997</v>
      </c>
      <c r="H62" s="136">
        <f>SUM(C62:G62)</f>
        <v>182555.03</v>
      </c>
      <c r="I62" s="661">
        <f t="shared" si="1"/>
        <v>36511.006000000001</v>
      </c>
      <c r="J62" s="98">
        <f t="shared" si="14"/>
        <v>54990.143509015397</v>
      </c>
    </row>
    <row r="63" spans="1:10" s="32" customFormat="1" ht="15" customHeight="1" thickBot="1">
      <c r="A63" s="713">
        <v>32201</v>
      </c>
      <c r="B63" s="669" t="s">
        <v>277</v>
      </c>
      <c r="C63" s="96">
        <v>12934.65</v>
      </c>
      <c r="D63" s="96">
        <v>45840.25</v>
      </c>
      <c r="E63" s="96">
        <f>8171.85+34516.02</f>
        <v>42687.869999999995</v>
      </c>
      <c r="F63" s="96">
        <v>40545.629999999997</v>
      </c>
      <c r="G63" s="96">
        <v>40546.629999999997</v>
      </c>
      <c r="H63" s="98">
        <f>SUM(C63:G63)</f>
        <v>182555.03</v>
      </c>
      <c r="I63" s="105">
        <f t="shared" si="1"/>
        <v>36511.006000000001</v>
      </c>
      <c r="J63" s="98">
        <f>G63*35.621958%+G63+0.01</f>
        <v>54990.143509015397</v>
      </c>
    </row>
    <row r="64" spans="1:10" s="119" customFormat="1" ht="15" customHeight="1" thickBot="1">
      <c r="A64" s="1505"/>
      <c r="B64" s="1506" t="s">
        <v>104</v>
      </c>
      <c r="C64" s="1468">
        <f>C7+C18+C32+C37+C42+C47+C49+C55+C59+C62</f>
        <v>116397.95</v>
      </c>
      <c r="D64" s="1468">
        <f t="shared" ref="D64:I64" si="15">D7+D18+D32+D37+D42+D47+D49+D55+D59+D62</f>
        <v>243556.96999999994</v>
      </c>
      <c r="E64" s="1468">
        <f t="shared" si="15"/>
        <v>263036.14999999997</v>
      </c>
      <c r="F64" s="1470">
        <f t="shared" si="15"/>
        <v>273895.19</v>
      </c>
      <c r="G64" s="1507">
        <f>G7+G18+G32+G37+G42+G47+G49+G55+G59+G62</f>
        <v>273897.2</v>
      </c>
      <c r="H64" s="1471">
        <f t="shared" si="15"/>
        <v>1170783.46</v>
      </c>
      <c r="I64" s="1503">
        <f t="shared" si="15"/>
        <v>234156.69199999995</v>
      </c>
      <c r="J64" s="1508">
        <f>J7+J18+J32+J37+J42+J47+J49+J55+J59+J63</f>
        <v>371464.75554717594</v>
      </c>
    </row>
    <row r="65" spans="1:10" s="32" customFormat="1" ht="15" customHeight="1" thickTop="1">
      <c r="A65" s="62"/>
      <c r="B65" s="39"/>
      <c r="C65" s="44"/>
      <c r="D65" s="21"/>
      <c r="E65" s="44"/>
      <c r="F65" s="92"/>
      <c r="G65" s="92"/>
      <c r="H65" s="118"/>
      <c r="I65" s="118"/>
      <c r="J65" s="21"/>
    </row>
    <row r="66" spans="1:10" s="32" customFormat="1" ht="15" customHeight="1">
      <c r="A66" s="62"/>
      <c r="B66" s="39"/>
      <c r="C66" s="44"/>
      <c r="D66" s="44"/>
      <c r="E66" s="44"/>
      <c r="F66" s="92"/>
      <c r="G66" s="92"/>
      <c r="H66" s="21"/>
      <c r="I66" s="21"/>
      <c r="J66" s="21"/>
    </row>
    <row r="67" spans="1:10" s="32" customFormat="1" ht="55.5" customHeight="1">
      <c r="A67" s="62"/>
      <c r="B67" s="2255" t="s">
        <v>1437</v>
      </c>
      <c r="C67" s="2255"/>
      <c r="D67" s="2255"/>
      <c r="E67" s="2255"/>
      <c r="F67" s="2255"/>
      <c r="G67" s="2255"/>
      <c r="H67" s="2255"/>
      <c r="I67" s="2255"/>
      <c r="J67" s="21"/>
    </row>
    <row r="71" spans="1:10" ht="57" customHeight="1">
      <c r="B71" s="2254"/>
      <c r="C71" s="2254"/>
      <c r="D71" s="2254"/>
      <c r="E71" s="2254"/>
      <c r="F71" s="2254"/>
      <c r="G71" s="2254"/>
      <c r="H71" s="2254"/>
      <c r="I71" s="2254"/>
    </row>
    <row r="72" spans="1:10" ht="18">
      <c r="B72" s="1509"/>
      <c r="C72" s="1509"/>
      <c r="D72" s="1509"/>
      <c r="E72" s="1509"/>
      <c r="F72" s="1509"/>
      <c r="G72" s="1509"/>
      <c r="H72" s="1509"/>
      <c r="I72" s="1509"/>
    </row>
  </sheetData>
  <mergeCells count="6">
    <mergeCell ref="B71:I71"/>
    <mergeCell ref="B67:I67"/>
    <mergeCell ref="B1:J1"/>
    <mergeCell ref="B2:J2"/>
    <mergeCell ref="A3:J3"/>
    <mergeCell ref="A4:J4"/>
  </mergeCells>
  <phoneticPr fontId="11" type="noConversion"/>
  <pageMargins left="0.96" right="0" top="0.56999999999999995" bottom="0.19685039370078741" header="7.874015748031496E-2" footer="0"/>
  <pageSetup scale="60" orientation="portrait" verticalDpi="300"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D34"/>
  <sheetViews>
    <sheetView topLeftCell="A16" workbookViewId="0">
      <selection activeCell="N47" sqref="N47"/>
    </sheetView>
  </sheetViews>
  <sheetFormatPr baseColWidth="10" defaultRowHeight="12.75"/>
  <cols>
    <col min="2" max="2" width="18.28515625" customWidth="1"/>
    <col min="3" max="3" width="25.140625" customWidth="1"/>
    <col min="4" max="4" width="24.5703125" customWidth="1"/>
  </cols>
  <sheetData>
    <row r="1" spans="1:4" ht="18">
      <c r="A1" s="2269" t="s">
        <v>278</v>
      </c>
      <c r="B1" s="2269"/>
      <c r="C1" s="2269"/>
      <c r="D1" s="2269"/>
    </row>
    <row r="2" spans="1:4" ht="18">
      <c r="A2" s="2270" t="s">
        <v>1216</v>
      </c>
      <c r="B2" s="2269"/>
      <c r="C2" s="2269"/>
      <c r="D2" s="2269"/>
    </row>
    <row r="3" spans="1:4" ht="18">
      <c r="A3" s="2270" t="s">
        <v>294</v>
      </c>
      <c r="B3" s="2269"/>
      <c r="C3" s="2269"/>
      <c r="D3" s="2269"/>
    </row>
    <row r="4" spans="1:4" ht="15">
      <c r="A4" s="41"/>
      <c r="B4" s="41"/>
      <c r="C4" s="21"/>
      <c r="D4" s="21"/>
    </row>
    <row r="5" spans="1:4" ht="36">
      <c r="A5" s="1427" t="s">
        <v>246</v>
      </c>
      <c r="B5" s="1427" t="s">
        <v>279</v>
      </c>
      <c r="C5" s="1510" t="s">
        <v>280</v>
      </c>
      <c r="D5" s="1427" t="s">
        <v>281</v>
      </c>
    </row>
    <row r="6" spans="1:4" ht="15">
      <c r="A6" s="1159">
        <v>2016</v>
      </c>
      <c r="B6" s="1159">
        <v>-2</v>
      </c>
      <c r="C6" s="1160">
        <f>SUM('Media Simple 5 años ingresos'!C64)</f>
        <v>116397.95</v>
      </c>
      <c r="D6" s="1160">
        <f>C6*B6</f>
        <v>-232795.9</v>
      </c>
    </row>
    <row r="7" spans="1:4" ht="15">
      <c r="A7" s="1159">
        <v>2017</v>
      </c>
      <c r="B7" s="1159">
        <v>-1</v>
      </c>
      <c r="C7" s="1160">
        <f>SUM('Media Simple 5 años ingresos'!D64)</f>
        <v>243556.96999999994</v>
      </c>
      <c r="D7" s="1160">
        <f>C7*B7</f>
        <v>-243556.96999999994</v>
      </c>
    </row>
    <row r="8" spans="1:4" ht="15">
      <c r="A8" s="1159">
        <v>2018</v>
      </c>
      <c r="B8" s="1159">
        <v>0</v>
      </c>
      <c r="C8" s="1160">
        <f>SUM('Media Simple 5 años ingresos'!E64)</f>
        <v>263036.14999999997</v>
      </c>
      <c r="D8" s="1160">
        <f>C8*B8</f>
        <v>0</v>
      </c>
    </row>
    <row r="9" spans="1:4" ht="15">
      <c r="A9" s="1159">
        <v>2019</v>
      </c>
      <c r="B9" s="1159">
        <v>1</v>
      </c>
      <c r="C9" s="1160">
        <f>SUM('Media Simple 5 años ingresos'!F64)</f>
        <v>273895.19</v>
      </c>
      <c r="D9" s="1160">
        <f>C9*B9</f>
        <v>273895.19</v>
      </c>
    </row>
    <row r="10" spans="1:4" ht="15">
      <c r="A10" s="1159">
        <v>2020</v>
      </c>
      <c r="B10" s="1159">
        <v>2</v>
      </c>
      <c r="C10" s="1160">
        <f>SUM('Media Simple 5 años ingresos'!G64)</f>
        <v>273897.2</v>
      </c>
      <c r="D10" s="1160">
        <f>C10*B10</f>
        <v>547794.4</v>
      </c>
    </row>
    <row r="11" spans="1:4" ht="15.75" thickBot="1">
      <c r="A11" s="1511" t="s">
        <v>104</v>
      </c>
      <c r="B11" s="1511"/>
      <c r="C11" s="1512">
        <f>SUM(C6:C10)</f>
        <v>1170783.4599999997</v>
      </c>
      <c r="D11" s="1512">
        <f>SUM(D6:D10)</f>
        <v>345336.72000000009</v>
      </c>
    </row>
    <row r="12" spans="1:4" ht="15.75" thickTop="1">
      <c r="A12" s="41"/>
      <c r="B12" s="41"/>
      <c r="C12" s="21"/>
      <c r="D12" s="21"/>
    </row>
    <row r="13" spans="1:4" ht="15">
      <c r="A13" s="41"/>
      <c r="B13" s="41"/>
      <c r="C13" s="21"/>
      <c r="D13" s="21"/>
    </row>
    <row r="14" spans="1:4" ht="15">
      <c r="A14" s="2263" t="s">
        <v>282</v>
      </c>
      <c r="B14" s="2263"/>
      <c r="C14" s="2263"/>
      <c r="D14" s="2263"/>
    </row>
    <row r="15" spans="1:4" ht="15">
      <c r="A15" s="2262" t="s">
        <v>545</v>
      </c>
      <c r="B15" s="2263"/>
      <c r="C15" s="2263"/>
      <c r="D15" s="2263"/>
    </row>
    <row r="16" spans="1:4" ht="15">
      <c r="A16" s="21"/>
      <c r="B16" s="21"/>
      <c r="C16" s="21"/>
      <c r="D16" s="21"/>
    </row>
    <row r="17" spans="1:4" ht="15">
      <c r="A17" s="41" t="s">
        <v>283</v>
      </c>
      <c r="B17" s="43" t="s">
        <v>483</v>
      </c>
      <c r="C17" s="44">
        <f>C11/5</f>
        <v>234156.69199999995</v>
      </c>
      <c r="D17" s="2264" t="s">
        <v>284</v>
      </c>
    </row>
    <row r="18" spans="1:4" ht="15">
      <c r="A18" s="41"/>
      <c r="B18" s="41" t="s">
        <v>285</v>
      </c>
      <c r="C18" s="21"/>
      <c r="D18" s="2265"/>
    </row>
    <row r="19" spans="1:4" ht="15">
      <c r="A19" s="41"/>
      <c r="B19" s="21"/>
      <c r="C19" s="21"/>
      <c r="D19" s="21"/>
    </row>
    <row r="20" spans="1:4" ht="15">
      <c r="A20" s="41" t="s">
        <v>286</v>
      </c>
      <c r="B20" s="43" t="s">
        <v>484</v>
      </c>
      <c r="C20" s="44">
        <f>D11/10</f>
        <v>34533.672000000006</v>
      </c>
      <c r="D20" s="2266" t="s">
        <v>287</v>
      </c>
    </row>
    <row r="21" spans="1:4" ht="15">
      <c r="A21" s="41"/>
      <c r="B21" s="41">
        <v>10</v>
      </c>
      <c r="C21" s="21"/>
      <c r="D21" s="2267"/>
    </row>
    <row r="22" spans="1:4" ht="15">
      <c r="A22" s="41"/>
      <c r="B22" s="21"/>
      <c r="C22" s="21"/>
      <c r="D22" s="2267"/>
    </row>
    <row r="23" spans="1:4" ht="15">
      <c r="A23" s="45" t="s">
        <v>288</v>
      </c>
      <c r="B23" s="2268" t="s">
        <v>289</v>
      </c>
      <c r="C23" s="2268"/>
      <c r="D23" s="21"/>
    </row>
    <row r="24" spans="1:4" ht="15">
      <c r="A24" s="41"/>
      <c r="B24" s="41"/>
      <c r="C24" s="21"/>
      <c r="D24" s="21"/>
    </row>
    <row r="25" spans="1:4" ht="15">
      <c r="A25" s="41" t="s">
        <v>290</v>
      </c>
      <c r="B25" s="46">
        <f>C17</f>
        <v>234156.69199999995</v>
      </c>
      <c r="C25" s="44">
        <f>C20</f>
        <v>34533.672000000006</v>
      </c>
      <c r="D25" s="47" t="s">
        <v>291</v>
      </c>
    </row>
    <row r="26" spans="1:4" ht="15">
      <c r="A26" s="41" t="s">
        <v>290</v>
      </c>
      <c r="B26" s="46">
        <f>B25</f>
        <v>234156.69199999995</v>
      </c>
      <c r="C26" s="44">
        <f>C25*3</f>
        <v>103601.01600000002</v>
      </c>
      <c r="D26" s="21"/>
    </row>
    <row r="27" spans="1:4" ht="15">
      <c r="A27" s="41" t="s">
        <v>290</v>
      </c>
      <c r="B27" s="48">
        <f>B26+C26</f>
        <v>337757.70799999998</v>
      </c>
      <c r="C27" s="2271" t="s">
        <v>1168</v>
      </c>
      <c r="D27" s="2271"/>
    </row>
    <row r="28" spans="1:4" ht="15">
      <c r="A28" s="41"/>
      <c r="B28" s="41"/>
      <c r="C28" s="21"/>
      <c r="D28" s="21"/>
    </row>
    <row r="29" spans="1:4" ht="15">
      <c r="A29" s="49" t="s">
        <v>292</v>
      </c>
      <c r="B29" s="50">
        <f>B27</f>
        <v>337757.70799999998</v>
      </c>
      <c r="C29" s="51">
        <f>C10</f>
        <v>273897.2</v>
      </c>
      <c r="D29" s="51">
        <f>B29-C29</f>
        <v>63860.507999999973</v>
      </c>
    </row>
    <row r="30" spans="1:4" ht="15">
      <c r="A30" s="49"/>
      <c r="B30" s="2259">
        <f>C10</f>
        <v>273897.2</v>
      </c>
      <c r="C30" s="2259"/>
      <c r="D30" s="44">
        <f>B30</f>
        <v>273897.2</v>
      </c>
    </row>
    <row r="31" spans="1:4" ht="15">
      <c r="A31" s="41"/>
      <c r="B31" s="41"/>
      <c r="C31" s="21"/>
      <c r="D31" s="21"/>
    </row>
    <row r="32" spans="1:4" ht="15">
      <c r="A32" s="49" t="s">
        <v>293</v>
      </c>
      <c r="B32" s="52">
        <f>D29/D30</f>
        <v>0.23315502312546449</v>
      </c>
      <c r="C32" s="21"/>
      <c r="D32" s="21"/>
    </row>
    <row r="33" spans="1:4" ht="34.5" customHeight="1">
      <c r="A33" s="53" t="s">
        <v>293</v>
      </c>
      <c r="B33" s="54">
        <f>B32*1</f>
        <v>0.23315502312546449</v>
      </c>
      <c r="C33" s="2260" t="s">
        <v>1217</v>
      </c>
      <c r="D33" s="2261"/>
    </row>
    <row r="34" spans="1:4">
      <c r="A34" s="29"/>
      <c r="B34" s="29"/>
    </row>
  </sheetData>
  <mergeCells count="11">
    <mergeCell ref="A1:D1"/>
    <mergeCell ref="A2:D2"/>
    <mergeCell ref="A3:D3"/>
    <mergeCell ref="A14:D14"/>
    <mergeCell ref="C27:D27"/>
    <mergeCell ref="B30:C30"/>
    <mergeCell ref="C33:D33"/>
    <mergeCell ref="A15:D15"/>
    <mergeCell ref="D17:D18"/>
    <mergeCell ref="D20:D22"/>
    <mergeCell ref="B23:C23"/>
  </mergeCells>
  <phoneticPr fontId="11" type="noConversion"/>
  <pageMargins left="1.34" right="0.75" top="0.72" bottom="1" header="0" footer="0"/>
  <pageSetup orientation="portrait" verticalDpi="300" r:id="rId1"/>
  <headerFooter alignWithMargins="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T114"/>
  <sheetViews>
    <sheetView tabSelected="1" zoomScaleNormal="100" zoomScaleSheetLayoutView="95" workbookViewId="0">
      <selection activeCell="B51" sqref="B51"/>
    </sheetView>
  </sheetViews>
  <sheetFormatPr baseColWidth="10" defaultRowHeight="12.75"/>
  <cols>
    <col min="1" max="1" width="4.42578125" customWidth="1"/>
    <col min="2" max="2" width="26.42578125" customWidth="1"/>
    <col min="3" max="3" width="22.28515625" customWidth="1"/>
    <col min="4" max="4" width="15.28515625" customWidth="1"/>
    <col min="5" max="5" width="6" customWidth="1"/>
    <col min="6" max="6" width="13.28515625" customWidth="1"/>
    <col min="7" max="7" width="12" customWidth="1"/>
    <col min="8" max="8" width="12.85546875" customWidth="1"/>
    <col min="9" max="9" width="12" customWidth="1"/>
    <col min="10" max="10" width="12.140625" customWidth="1"/>
    <col min="11" max="11" width="12.42578125" customWidth="1"/>
    <col min="12" max="12" width="8.85546875" customWidth="1"/>
    <col min="13" max="13" width="12.28515625" customWidth="1"/>
    <col min="14" max="14" width="11" customWidth="1"/>
    <col min="15" max="15" width="10.85546875" customWidth="1"/>
    <col min="16" max="16" width="13.5703125" customWidth="1"/>
    <col min="17" max="17" width="15.140625" customWidth="1"/>
  </cols>
  <sheetData>
    <row r="1" spans="1:19" ht="18.75" customHeight="1"/>
    <row r="2" spans="1:19" ht="24" customHeight="1">
      <c r="A2" s="2322" t="s">
        <v>295</v>
      </c>
      <c r="B2" s="2322"/>
      <c r="C2" s="2322"/>
      <c r="D2" s="2322"/>
      <c r="E2" s="2322"/>
      <c r="F2" s="2322"/>
      <c r="G2" s="2322"/>
      <c r="H2" s="2322"/>
      <c r="I2" s="2322"/>
      <c r="J2" s="2322"/>
      <c r="K2" s="2322"/>
      <c r="L2" s="2322"/>
      <c r="M2" s="2322"/>
      <c r="N2" s="2322"/>
      <c r="O2" s="2322"/>
      <c r="P2" s="2322"/>
      <c r="Q2" s="2322"/>
    </row>
    <row r="3" spans="1:19" ht="30" customHeight="1">
      <c r="A3" s="2323" t="s">
        <v>1210</v>
      </c>
      <c r="B3" s="2324"/>
      <c r="C3" s="2324"/>
      <c r="D3" s="2324"/>
      <c r="E3" s="2324"/>
      <c r="F3" s="2324"/>
      <c r="G3" s="2324"/>
      <c r="H3" s="2324"/>
      <c r="I3" s="2324"/>
      <c r="J3" s="2324"/>
      <c r="K3" s="2324"/>
      <c r="L3" s="2324"/>
      <c r="M3" s="2324"/>
      <c r="N3" s="2324"/>
      <c r="O3" s="2324"/>
      <c r="P3" s="2324"/>
      <c r="Q3" s="2324"/>
    </row>
    <row r="4" spans="1:19" ht="30" customHeight="1" thickBot="1">
      <c r="A4" s="2322" t="s">
        <v>1209</v>
      </c>
      <c r="B4" s="2322"/>
      <c r="C4" s="2322"/>
      <c r="D4" s="2322"/>
      <c r="E4" s="2322"/>
      <c r="F4" s="2322"/>
      <c r="G4" s="2322"/>
      <c r="H4" s="2322"/>
      <c r="I4" s="2322"/>
      <c r="J4" s="2322"/>
      <c r="K4" s="2322"/>
      <c r="L4" s="2322"/>
      <c r="M4" s="2322"/>
      <c r="N4" s="2322"/>
      <c r="O4" s="2322"/>
      <c r="P4" s="2322"/>
      <c r="Q4" s="2322"/>
    </row>
    <row r="5" spans="1:19" s="79" customFormat="1" ht="22.5" customHeight="1" thickBot="1">
      <c r="A5" s="2325" t="s">
        <v>296</v>
      </c>
      <c r="B5" s="2328" t="s">
        <v>297</v>
      </c>
      <c r="C5" s="2331" t="s">
        <v>298</v>
      </c>
      <c r="D5" s="2334" t="s">
        <v>299</v>
      </c>
      <c r="E5" s="2331" t="s">
        <v>300</v>
      </c>
      <c r="F5" s="2337" t="s">
        <v>301</v>
      </c>
      <c r="G5" s="2340" t="s">
        <v>302</v>
      </c>
      <c r="H5" s="2337"/>
      <c r="I5" s="2340" t="s">
        <v>514</v>
      </c>
      <c r="J5" s="2337"/>
      <c r="K5" s="2342" t="s">
        <v>303</v>
      </c>
      <c r="L5" s="2342"/>
      <c r="M5" s="2342"/>
      <c r="N5" s="2342"/>
      <c r="O5" s="2342"/>
      <c r="P5" s="2343"/>
      <c r="Q5" s="2344" t="s">
        <v>199</v>
      </c>
      <c r="R5" s="144"/>
    </row>
    <row r="6" spans="1:19" s="79" customFormat="1" ht="15" customHeight="1" thickBot="1">
      <c r="A6" s="2326"/>
      <c r="B6" s="2329"/>
      <c r="C6" s="2332"/>
      <c r="D6" s="2335"/>
      <c r="E6" s="2332"/>
      <c r="F6" s="2338"/>
      <c r="G6" s="2341"/>
      <c r="H6" s="2338"/>
      <c r="I6" s="2341"/>
      <c r="J6" s="2339"/>
      <c r="K6" s="1513" t="s">
        <v>304</v>
      </c>
      <c r="L6" s="2347" t="s">
        <v>305</v>
      </c>
      <c r="M6" s="2348"/>
      <c r="N6" s="2348"/>
      <c r="O6" s="2349"/>
      <c r="P6" s="2350" t="s">
        <v>515</v>
      </c>
      <c r="Q6" s="2345"/>
      <c r="R6" s="144"/>
    </row>
    <row r="7" spans="1:19" s="79" customFormat="1" ht="39.75" customHeight="1" thickBot="1">
      <c r="A7" s="2327"/>
      <c r="B7" s="2330"/>
      <c r="C7" s="2333"/>
      <c r="D7" s="2336"/>
      <c r="E7" s="2333"/>
      <c r="F7" s="2339"/>
      <c r="G7" s="1514" t="s">
        <v>306</v>
      </c>
      <c r="H7" s="1514" t="s">
        <v>307</v>
      </c>
      <c r="I7" s="1515" t="s">
        <v>1235</v>
      </c>
      <c r="J7" s="1516" t="s">
        <v>308</v>
      </c>
      <c r="K7" s="1514" t="s">
        <v>546</v>
      </c>
      <c r="L7" s="1517" t="s">
        <v>560</v>
      </c>
      <c r="M7" s="1518" t="s">
        <v>309</v>
      </c>
      <c r="N7" s="1519" t="s">
        <v>559</v>
      </c>
      <c r="O7" s="1518" t="s">
        <v>310</v>
      </c>
      <c r="P7" s="2351"/>
      <c r="Q7" s="2346"/>
      <c r="R7" s="144"/>
    </row>
    <row r="8" spans="1:19" s="79" customFormat="1" ht="24" customHeight="1">
      <c r="A8" s="257">
        <v>1</v>
      </c>
      <c r="B8" s="258"/>
      <c r="C8" s="258" t="s">
        <v>312</v>
      </c>
      <c r="D8" s="258" t="s">
        <v>313</v>
      </c>
      <c r="E8" s="259" t="s">
        <v>314</v>
      </c>
      <c r="F8" s="260" t="s">
        <v>315</v>
      </c>
      <c r="G8" s="261">
        <f>3820</f>
        <v>3820</v>
      </c>
      <c r="H8" s="262">
        <f>G8*12</f>
        <v>45840</v>
      </c>
      <c r="I8" s="263">
        <f>G8</f>
        <v>3820</v>
      </c>
      <c r="J8" s="264">
        <f>G8</f>
        <v>3820</v>
      </c>
      <c r="K8" s="262"/>
      <c r="L8" s="264"/>
      <c r="M8" s="265"/>
      <c r="N8" s="262"/>
      <c r="O8" s="274"/>
      <c r="P8" s="262">
        <f>SUM(I8:O8)</f>
        <v>7640</v>
      </c>
      <c r="Q8" s="296">
        <f>SUM(H8+P8)</f>
        <v>53480</v>
      </c>
      <c r="R8" s="357"/>
    </row>
    <row r="9" spans="1:19" s="79" customFormat="1" ht="24" customHeight="1">
      <c r="A9" s="267">
        <v>2</v>
      </c>
      <c r="B9" s="268"/>
      <c r="C9" s="269" t="s">
        <v>316</v>
      </c>
      <c r="D9" s="270" t="s">
        <v>317</v>
      </c>
      <c r="E9" s="271" t="s">
        <v>314</v>
      </c>
      <c r="F9" s="272" t="s">
        <v>315</v>
      </c>
      <c r="G9" s="273">
        <f>1605+175+100+100+297+103</f>
        <v>2380</v>
      </c>
      <c r="H9" s="274">
        <f>G9*12</f>
        <v>28560</v>
      </c>
      <c r="I9" s="265">
        <f t="shared" ref="I9:I24" si="0">G9</f>
        <v>2380</v>
      </c>
      <c r="J9" s="274">
        <f>G9</f>
        <v>2380</v>
      </c>
      <c r="K9" s="274">
        <f>H9*7.75%</f>
        <v>2213.4</v>
      </c>
      <c r="L9" s="274"/>
      <c r="M9" s="265">
        <f t="shared" ref="M9:M21" si="1">IF(G9&gt;1000,1000*7.5%*12,G9*7.5%*12)</f>
        <v>900</v>
      </c>
      <c r="N9" s="274"/>
      <c r="O9" s="274">
        <f>IF(G9&gt;1000,1000*1%*12,G9*1%*12)</f>
        <v>120</v>
      </c>
      <c r="P9" s="274">
        <f>SUM(I9:O9)</f>
        <v>7993.4</v>
      </c>
      <c r="Q9" s="297">
        <f>SUM(H9+P9)</f>
        <v>36553.4</v>
      </c>
      <c r="R9" s="358"/>
    </row>
    <row r="10" spans="1:19" s="79" customFormat="1" ht="24" customHeight="1">
      <c r="A10" s="267">
        <v>3</v>
      </c>
      <c r="B10" s="275"/>
      <c r="C10" s="276" t="s">
        <v>453</v>
      </c>
      <c r="D10" s="277" t="s">
        <v>339</v>
      </c>
      <c r="E10" s="278" t="s">
        <v>314</v>
      </c>
      <c r="F10" s="279" t="s">
        <v>323</v>
      </c>
      <c r="G10" s="273">
        <f>1090+100+119</f>
        <v>1309</v>
      </c>
      <c r="H10" s="280">
        <f>G10*12</f>
        <v>15708</v>
      </c>
      <c r="I10" s="265">
        <f t="shared" si="0"/>
        <v>1309</v>
      </c>
      <c r="J10" s="274">
        <f>G10</f>
        <v>1309</v>
      </c>
      <c r="K10" s="274">
        <f>H10*7.75%</f>
        <v>1217.3699999999999</v>
      </c>
      <c r="L10" s="280"/>
      <c r="M10" s="291">
        <f t="shared" si="1"/>
        <v>900</v>
      </c>
      <c r="N10" s="280"/>
      <c r="O10" s="274">
        <f>IF(G10&gt;1000,1000*1%*12,G10*1%*12)</f>
        <v>120</v>
      </c>
      <c r="P10" s="280">
        <f t="shared" ref="P10:P21" si="2">SUM(I10:O10)</f>
        <v>4855.37</v>
      </c>
      <c r="Q10" s="298">
        <f>SUM(H10+P10)</f>
        <v>20563.37</v>
      </c>
      <c r="R10" s="273"/>
      <c r="S10" s="80"/>
    </row>
    <row r="11" spans="1:19" s="79" customFormat="1" ht="24" customHeight="1">
      <c r="A11" s="1331"/>
      <c r="B11" s="1348" t="s">
        <v>318</v>
      </c>
      <c r="C11" s="1349"/>
      <c r="D11" s="1350"/>
      <c r="E11" s="1351"/>
      <c r="F11" s="1352"/>
      <c r="G11" s="1342">
        <f>SUM(G8:G10)</f>
        <v>7509</v>
      </c>
      <c r="H11" s="1342">
        <f t="shared" ref="H11:Q11" si="3">SUM(H8:H10)</f>
        <v>90108</v>
      </c>
      <c r="I11" s="1333">
        <f t="shared" si="3"/>
        <v>7509</v>
      </c>
      <c r="J11" s="1342">
        <f t="shared" si="3"/>
        <v>7509</v>
      </c>
      <c r="K11" s="1342">
        <f t="shared" si="3"/>
        <v>3430.77</v>
      </c>
      <c r="L11" s="1333">
        <f t="shared" si="3"/>
        <v>0</v>
      </c>
      <c r="M11" s="1333">
        <f t="shared" si="3"/>
        <v>1800</v>
      </c>
      <c r="N11" s="1333">
        <f t="shared" si="3"/>
        <v>0</v>
      </c>
      <c r="O11" s="1344">
        <f t="shared" si="3"/>
        <v>240</v>
      </c>
      <c r="P11" s="1342">
        <f t="shared" si="3"/>
        <v>20488.77</v>
      </c>
      <c r="Q11" s="1333">
        <f t="shared" si="3"/>
        <v>110596.76999999999</v>
      </c>
      <c r="R11" s="144"/>
    </row>
    <row r="12" spans="1:19" s="79" customFormat="1" ht="24" customHeight="1">
      <c r="A12" s="281">
        <v>4</v>
      </c>
      <c r="B12" s="287"/>
      <c r="C12" s="276" t="s">
        <v>482</v>
      </c>
      <c r="D12" s="268" t="s">
        <v>320</v>
      </c>
      <c r="E12" s="283" t="s">
        <v>319</v>
      </c>
      <c r="F12" s="284" t="s">
        <v>315</v>
      </c>
      <c r="G12" s="285">
        <f>600+92+69.2+38.8</f>
        <v>800</v>
      </c>
      <c r="H12" s="274">
        <f t="shared" ref="H12:H21" si="4">G12*12</f>
        <v>9600</v>
      </c>
      <c r="I12" s="265">
        <f t="shared" si="0"/>
        <v>800</v>
      </c>
      <c r="J12" s="274">
        <f t="shared" ref="J12:J21" si="5">G12</f>
        <v>800</v>
      </c>
      <c r="K12" s="274">
        <f t="shared" ref="K12:K21" si="6">H12*7.75%</f>
        <v>744</v>
      </c>
      <c r="L12" s="265"/>
      <c r="M12" s="265">
        <f t="shared" si="1"/>
        <v>720</v>
      </c>
      <c r="N12" s="265"/>
      <c r="O12" s="266">
        <f>IF(G12&gt;1000,1000*1%*12,G12*1%*9)</f>
        <v>72</v>
      </c>
      <c r="P12" s="274">
        <f t="shared" si="2"/>
        <v>3136</v>
      </c>
      <c r="Q12" s="286">
        <f t="shared" ref="Q12:Q21" si="7">SUM(H12+P12)</f>
        <v>12736</v>
      </c>
      <c r="R12" s="144"/>
    </row>
    <row r="13" spans="1:19" s="79" customFormat="1" ht="24" customHeight="1">
      <c r="A13" s="281">
        <v>5</v>
      </c>
      <c r="B13" s="268"/>
      <c r="C13" s="993" t="s">
        <v>998</v>
      </c>
      <c r="D13" s="993" t="s">
        <v>998</v>
      </c>
      <c r="E13" s="283" t="s">
        <v>319</v>
      </c>
      <c r="F13" s="284" t="s">
        <v>315</v>
      </c>
      <c r="G13" s="285">
        <f>870+38+90.8+1.2</f>
        <v>1000</v>
      </c>
      <c r="H13" s="274">
        <f t="shared" si="4"/>
        <v>12000</v>
      </c>
      <c r="I13" s="265">
        <f t="shared" si="0"/>
        <v>1000</v>
      </c>
      <c r="J13" s="274">
        <f t="shared" si="5"/>
        <v>1000</v>
      </c>
      <c r="K13" s="274">
        <f t="shared" si="6"/>
        <v>930</v>
      </c>
      <c r="L13" s="265"/>
      <c r="M13" s="265">
        <f t="shared" si="1"/>
        <v>900</v>
      </c>
      <c r="N13" s="265"/>
      <c r="O13" s="266">
        <f>IF(G13&gt;1000,1000*1%*12,G13*1%*12)</f>
        <v>120</v>
      </c>
      <c r="P13" s="274">
        <f t="shared" si="2"/>
        <v>3950</v>
      </c>
      <c r="Q13" s="286">
        <f t="shared" si="7"/>
        <v>15950</v>
      </c>
      <c r="R13" s="144"/>
    </row>
    <row r="14" spans="1:19" s="79" customFormat="1" ht="24" customHeight="1">
      <c r="A14" s="281">
        <v>6</v>
      </c>
      <c r="B14" s="268"/>
      <c r="C14" s="268" t="s">
        <v>321</v>
      </c>
      <c r="D14" s="268" t="s">
        <v>322</v>
      </c>
      <c r="E14" s="283" t="s">
        <v>319</v>
      </c>
      <c r="F14" s="284" t="s">
        <v>315</v>
      </c>
      <c r="G14" s="285">
        <f>750+125+100+100+161.25+53.75</f>
        <v>1290</v>
      </c>
      <c r="H14" s="274">
        <f t="shared" si="4"/>
        <v>15480</v>
      </c>
      <c r="I14" s="265">
        <f t="shared" si="0"/>
        <v>1290</v>
      </c>
      <c r="J14" s="274">
        <f t="shared" si="5"/>
        <v>1290</v>
      </c>
      <c r="K14" s="274">
        <f t="shared" si="6"/>
        <v>1199.7</v>
      </c>
      <c r="L14" s="265"/>
      <c r="M14" s="265">
        <f t="shared" si="1"/>
        <v>900</v>
      </c>
      <c r="N14" s="265"/>
      <c r="O14" s="266">
        <f t="shared" ref="O14:O21" si="8">IF(G14&gt;1000,1000*1%*12,G14*1%*12)</f>
        <v>120</v>
      </c>
      <c r="P14" s="274">
        <f t="shared" si="2"/>
        <v>4799.7</v>
      </c>
      <c r="Q14" s="286">
        <f t="shared" si="7"/>
        <v>20279.7</v>
      </c>
      <c r="R14" s="144"/>
    </row>
    <row r="15" spans="1:19" s="79" customFormat="1" ht="24" customHeight="1">
      <c r="A15" s="281">
        <v>7</v>
      </c>
      <c r="B15" s="268"/>
      <c r="C15" s="268" t="s">
        <v>324</v>
      </c>
      <c r="D15" s="268" t="s">
        <v>325</v>
      </c>
      <c r="E15" s="283" t="s">
        <v>319</v>
      </c>
      <c r="F15" s="284" t="s">
        <v>315</v>
      </c>
      <c r="G15" s="285">
        <f>1250+135+100+100</f>
        <v>1585</v>
      </c>
      <c r="H15" s="274">
        <f t="shared" si="4"/>
        <v>19020</v>
      </c>
      <c r="I15" s="265">
        <f t="shared" si="0"/>
        <v>1585</v>
      </c>
      <c r="J15" s="274">
        <f t="shared" si="5"/>
        <v>1585</v>
      </c>
      <c r="K15" s="274"/>
      <c r="L15" s="265"/>
      <c r="M15" s="265"/>
      <c r="N15" s="265"/>
      <c r="O15" s="266"/>
      <c r="P15" s="274">
        <f t="shared" si="2"/>
        <v>3170</v>
      </c>
      <c r="Q15" s="286">
        <f t="shared" si="7"/>
        <v>22190</v>
      </c>
      <c r="R15" s="144"/>
    </row>
    <row r="16" spans="1:19" s="79" customFormat="1" ht="24" customHeight="1">
      <c r="A16" s="281">
        <v>8</v>
      </c>
      <c r="B16" s="268"/>
      <c r="C16" s="269" t="s">
        <v>549</v>
      </c>
      <c r="D16" s="268" t="s">
        <v>550</v>
      </c>
      <c r="E16" s="288" t="s">
        <v>319</v>
      </c>
      <c r="F16" s="284" t="s">
        <v>315</v>
      </c>
      <c r="G16" s="285">
        <f>465+55+100+100+108+22</f>
        <v>850</v>
      </c>
      <c r="H16" s="274">
        <f t="shared" si="4"/>
        <v>10200</v>
      </c>
      <c r="I16" s="265">
        <f t="shared" si="0"/>
        <v>850</v>
      </c>
      <c r="J16" s="274">
        <f t="shared" si="5"/>
        <v>850</v>
      </c>
      <c r="K16" s="274">
        <f t="shared" si="6"/>
        <v>790.5</v>
      </c>
      <c r="L16" s="265"/>
      <c r="M16" s="265">
        <f t="shared" si="1"/>
        <v>765</v>
      </c>
      <c r="N16" s="265"/>
      <c r="O16" s="266">
        <f t="shared" si="8"/>
        <v>102</v>
      </c>
      <c r="P16" s="274">
        <f>SUM(I16:O16)</f>
        <v>3357.5</v>
      </c>
      <c r="Q16" s="286">
        <f t="shared" si="7"/>
        <v>13557.5</v>
      </c>
      <c r="R16" s="144"/>
    </row>
    <row r="17" spans="1:18" s="79" customFormat="1" ht="24" customHeight="1">
      <c r="A17" s="281">
        <v>9</v>
      </c>
      <c r="B17" s="268"/>
      <c r="C17" s="269" t="s">
        <v>994</v>
      </c>
      <c r="D17" s="269" t="s">
        <v>994</v>
      </c>
      <c r="E17" s="283" t="s">
        <v>319</v>
      </c>
      <c r="F17" s="284" t="s">
        <v>315</v>
      </c>
      <c r="G17" s="265">
        <f>350+35</f>
        <v>385</v>
      </c>
      <c r="H17" s="274">
        <f>G17*12</f>
        <v>4620</v>
      </c>
      <c r="I17" s="265">
        <f>G17</f>
        <v>385</v>
      </c>
      <c r="J17" s="274">
        <f>G17</f>
        <v>385</v>
      </c>
      <c r="K17" s="274">
        <f>H17*7.75%</f>
        <v>358.05</v>
      </c>
      <c r="L17" s="265"/>
      <c r="M17" s="265">
        <f>IF(G17&gt;1000,1000*7.5%*12,G17*7.5%*12)</f>
        <v>346.5</v>
      </c>
      <c r="N17" s="265"/>
      <c r="O17" s="266">
        <f t="shared" si="8"/>
        <v>46.2</v>
      </c>
      <c r="P17" s="274">
        <f>SUM(I17:O17)</f>
        <v>1520.75</v>
      </c>
      <c r="Q17" s="286">
        <f>SUM(H17+P17)</f>
        <v>6140.75</v>
      </c>
      <c r="R17" s="144"/>
    </row>
    <row r="18" spans="1:18" s="79" customFormat="1" ht="24" customHeight="1">
      <c r="A18" s="281">
        <v>10</v>
      </c>
      <c r="B18" s="992"/>
      <c r="C18" s="991" t="s">
        <v>995</v>
      </c>
      <c r="D18" s="991" t="s">
        <v>995</v>
      </c>
      <c r="E18" s="283" t="s">
        <v>319</v>
      </c>
      <c r="F18" s="284" t="s">
        <v>315</v>
      </c>
      <c r="G18" s="265">
        <v>553.75</v>
      </c>
      <c r="H18" s="274">
        <f>G18*12</f>
        <v>6645</v>
      </c>
      <c r="I18" s="265">
        <f>G18</f>
        <v>553.75</v>
      </c>
      <c r="J18" s="274">
        <f>G18</f>
        <v>553.75</v>
      </c>
      <c r="K18" s="274">
        <f>H18*7.75%</f>
        <v>514.98749999999995</v>
      </c>
      <c r="L18" s="265"/>
      <c r="M18" s="265">
        <f>IF(G18&gt;1000,1000*7.5%*12,G18*7.5%*12)</f>
        <v>498.375</v>
      </c>
      <c r="N18" s="265"/>
      <c r="O18" s="266">
        <f t="shared" si="8"/>
        <v>66.45</v>
      </c>
      <c r="P18" s="274">
        <f>SUM(I18:O18)</f>
        <v>2187.3125</v>
      </c>
      <c r="Q18" s="286">
        <f>SUM(H18+P18)</f>
        <v>8832.3125</v>
      </c>
      <c r="R18" s="144"/>
    </row>
    <row r="19" spans="1:18" s="79" customFormat="1" ht="24" customHeight="1">
      <c r="A19" s="281">
        <v>11</v>
      </c>
      <c r="B19" s="690"/>
      <c r="C19" s="690" t="s">
        <v>1000</v>
      </c>
      <c r="D19" s="690" t="s">
        <v>1000</v>
      </c>
      <c r="E19" s="696" t="s">
        <v>319</v>
      </c>
      <c r="F19" s="284" t="s">
        <v>315</v>
      </c>
      <c r="G19" s="1236">
        <v>443.75</v>
      </c>
      <c r="H19" s="265">
        <f>G19*12</f>
        <v>5325</v>
      </c>
      <c r="I19" s="265">
        <f>G19</f>
        <v>443.75</v>
      </c>
      <c r="J19" s="274">
        <f>G19</f>
        <v>443.75</v>
      </c>
      <c r="K19" s="265">
        <f>H19*7.75%</f>
        <v>412.6875</v>
      </c>
      <c r="L19" s="265"/>
      <c r="M19" s="265">
        <f>H19*7.5%</f>
        <v>399.375</v>
      </c>
      <c r="N19" s="265"/>
      <c r="O19" s="265">
        <f>H19*1%</f>
        <v>53.25</v>
      </c>
      <c r="P19" s="265">
        <f>SUM(I19:O19)</f>
        <v>1752.8125</v>
      </c>
      <c r="Q19" s="286">
        <f>SUM(H19+P19)</f>
        <v>7077.8125</v>
      </c>
      <c r="R19" s="144"/>
    </row>
    <row r="20" spans="1:18" s="79" customFormat="1" ht="0.75" customHeight="1">
      <c r="A20" s="281">
        <v>12</v>
      </c>
      <c r="B20" s="690"/>
      <c r="C20" s="690"/>
      <c r="D20" s="690"/>
      <c r="E20" s="696" t="s">
        <v>319</v>
      </c>
      <c r="F20" s="284" t="s">
        <v>315</v>
      </c>
      <c r="G20" s="273"/>
      <c r="H20" s="265">
        <f>G20*12</f>
        <v>0</v>
      </c>
      <c r="I20" s="265">
        <f>G20</f>
        <v>0</v>
      </c>
      <c r="J20" s="274">
        <f>G20</f>
        <v>0</v>
      </c>
      <c r="K20" s="274">
        <f t="shared" ref="K20" si="9">H20*7.75%</f>
        <v>0</v>
      </c>
      <c r="L20" s="265"/>
      <c r="M20" s="265">
        <f>IF(G20&gt;1000,1000*7.5%*12,G20*7.5%*12)</f>
        <v>0</v>
      </c>
      <c r="N20" s="265"/>
      <c r="O20" s="266">
        <f t="shared" ref="O20" si="10">IF(G20&gt;1000,1000*1%*12,G20*1%*12)</f>
        <v>0</v>
      </c>
      <c r="P20" s="274">
        <f>SUM(I20:O20)</f>
        <v>0</v>
      </c>
      <c r="Q20" s="265">
        <f>SUM(H20+P20)</f>
        <v>0</v>
      </c>
      <c r="R20" s="144"/>
    </row>
    <row r="21" spans="1:18" s="79" customFormat="1" ht="24" customHeight="1">
      <c r="A21" s="281">
        <v>13</v>
      </c>
      <c r="B21" s="268"/>
      <c r="C21" s="269" t="s">
        <v>551</v>
      </c>
      <c r="D21" s="268" t="s">
        <v>551</v>
      </c>
      <c r="E21" s="288" t="s">
        <v>319</v>
      </c>
      <c r="F21" s="284" t="s">
        <v>315</v>
      </c>
      <c r="G21" s="285">
        <f>512+148+100+100+129+46</f>
        <v>1035</v>
      </c>
      <c r="H21" s="274">
        <f t="shared" si="4"/>
        <v>12420</v>
      </c>
      <c r="I21" s="265">
        <f t="shared" si="0"/>
        <v>1035</v>
      </c>
      <c r="J21" s="274">
        <f t="shared" si="5"/>
        <v>1035</v>
      </c>
      <c r="K21" s="274">
        <f t="shared" si="6"/>
        <v>962.55</v>
      </c>
      <c r="L21" s="265"/>
      <c r="M21" s="265">
        <f t="shared" si="1"/>
        <v>900</v>
      </c>
      <c r="N21" s="265"/>
      <c r="O21" s="266">
        <f t="shared" si="8"/>
        <v>120</v>
      </c>
      <c r="P21" s="274">
        <f t="shared" si="2"/>
        <v>4052.55</v>
      </c>
      <c r="Q21" s="286">
        <f t="shared" si="7"/>
        <v>16472.55</v>
      </c>
      <c r="R21" s="144"/>
    </row>
    <row r="22" spans="1:18" s="79" customFormat="1" ht="24" customHeight="1">
      <c r="A22" s="1346"/>
      <c r="B22" s="1339" t="s">
        <v>326</v>
      </c>
      <c r="C22" s="1347"/>
      <c r="D22" s="1335"/>
      <c r="E22" s="1335">
        <f>SUM(E15:E15)</f>
        <v>0</v>
      </c>
      <c r="F22" s="1332"/>
      <c r="G22" s="1333">
        <f>SUM(G12:G21)</f>
        <v>7942.5</v>
      </c>
      <c r="H22" s="1342">
        <f>SUM(H12:H21)</f>
        <v>95310</v>
      </c>
      <c r="I22" s="1333">
        <f>SUM(I12:I21)</f>
        <v>7942.5</v>
      </c>
      <c r="J22" s="1333">
        <f>SUM(J12:J21)</f>
        <v>7942.5</v>
      </c>
      <c r="K22" s="1333">
        <f>SUM(K12:K21)</f>
        <v>5912.4750000000004</v>
      </c>
      <c r="L22" s="1333">
        <f>SUM(L12:L16)</f>
        <v>0</v>
      </c>
      <c r="M22" s="1333">
        <f>SUM(M12:M21)</f>
        <v>5429.25</v>
      </c>
      <c r="N22" s="1333">
        <f>SUM(N12:N21)</f>
        <v>0</v>
      </c>
      <c r="O22" s="1333">
        <f>SUM(O12:O21)</f>
        <v>699.9</v>
      </c>
      <c r="P22" s="1333">
        <f>SUM(P12:P21)</f>
        <v>27926.625</v>
      </c>
      <c r="Q22" s="1333">
        <f>SUM(Q12:Q21)</f>
        <v>123236.625</v>
      </c>
      <c r="R22" s="144"/>
    </row>
    <row r="23" spans="1:18" s="79" customFormat="1" ht="24" customHeight="1">
      <c r="A23" s="281">
        <v>14</v>
      </c>
      <c r="B23" s="282"/>
      <c r="C23" s="282" t="s">
        <v>327</v>
      </c>
      <c r="D23" s="282" t="s">
        <v>328</v>
      </c>
      <c r="E23" s="289" t="s">
        <v>329</v>
      </c>
      <c r="F23" s="284" t="s">
        <v>315</v>
      </c>
      <c r="G23" s="285">
        <f>645+47+69.2+0.8</f>
        <v>762</v>
      </c>
      <c r="H23" s="274">
        <f>G23*12</f>
        <v>9144</v>
      </c>
      <c r="I23" s="265">
        <f t="shared" si="0"/>
        <v>762</v>
      </c>
      <c r="J23" s="274">
        <f>G23</f>
        <v>762</v>
      </c>
      <c r="K23" s="274">
        <f>H23*7.75%</f>
        <v>708.66</v>
      </c>
      <c r="L23" s="265"/>
      <c r="M23" s="265">
        <f>IF(G23&gt;1000,1000*7.5%*12,G23*7.5%*12)</f>
        <v>685.8</v>
      </c>
      <c r="N23" s="265"/>
      <c r="O23" s="266">
        <f>IF(G23&gt;1000,1000*1%*12,G23*1%*12)</f>
        <v>91.44</v>
      </c>
      <c r="P23" s="274">
        <f>SUM(I23:O23)</f>
        <v>3009.9</v>
      </c>
      <c r="Q23" s="286">
        <f>SUM(H23+P23)</f>
        <v>12153.9</v>
      </c>
      <c r="R23" s="295"/>
    </row>
    <row r="24" spans="1:18" s="79" customFormat="1" ht="33.75" customHeight="1">
      <c r="A24" s="281">
        <v>15</v>
      </c>
      <c r="B24" s="276"/>
      <c r="C24" s="290" t="s">
        <v>996</v>
      </c>
      <c r="D24" s="290" t="s">
        <v>996</v>
      </c>
      <c r="E24" s="288" t="s">
        <v>329</v>
      </c>
      <c r="F24" s="284" t="s">
        <v>315</v>
      </c>
      <c r="G24" s="285">
        <f>425+25+67</f>
        <v>517</v>
      </c>
      <c r="H24" s="274">
        <f>G24*12</f>
        <v>6204</v>
      </c>
      <c r="I24" s="265">
        <f t="shared" si="0"/>
        <v>517</v>
      </c>
      <c r="J24" s="274">
        <f>G24</f>
        <v>517</v>
      </c>
      <c r="K24" s="274">
        <f>H24*7.75%</f>
        <v>480.81</v>
      </c>
      <c r="L24" s="265"/>
      <c r="M24" s="265">
        <f>IF(G24&gt;1000,1000*7.5%*12,G24*7.5%*12)</f>
        <v>465.29999999999995</v>
      </c>
      <c r="N24" s="280"/>
      <c r="O24" s="266">
        <f>IF(G24&gt;1000,1000*1%*12,G24*1%*12)</f>
        <v>62.04</v>
      </c>
      <c r="P24" s="274">
        <f>SUM(I24:O24)</f>
        <v>2042.1499999999999</v>
      </c>
      <c r="Q24" s="286">
        <f>SUM(H24+P24)</f>
        <v>8246.15</v>
      </c>
      <c r="R24" s="295"/>
    </row>
    <row r="25" spans="1:18" s="79" customFormat="1" ht="24" customHeight="1">
      <c r="A25" s="1345"/>
      <c r="B25" s="1339" t="s">
        <v>330</v>
      </c>
      <c r="C25" s="1339"/>
      <c r="D25" s="1339"/>
      <c r="E25" s="1340"/>
      <c r="F25" s="1341"/>
      <c r="G25" s="1342">
        <f>SUM(G23:G24)</f>
        <v>1279</v>
      </c>
      <c r="H25" s="1342">
        <f>SUM(H23:H24)</f>
        <v>15348</v>
      </c>
      <c r="I25" s="1333">
        <f>SUM(I23:I24)</f>
        <v>1279</v>
      </c>
      <c r="J25" s="1342">
        <f>SUM(J23:J24)</f>
        <v>1279</v>
      </c>
      <c r="K25" s="1342">
        <f>SUM(K23:K24)</f>
        <v>1189.47</v>
      </c>
      <c r="L25" s="1333">
        <v>0</v>
      </c>
      <c r="M25" s="1342">
        <f>SUM(M23:M24)</f>
        <v>1151.0999999999999</v>
      </c>
      <c r="N25" s="1343">
        <f>SUM(N23:N24)</f>
        <v>0</v>
      </c>
      <c r="O25" s="1344">
        <f>SUM(O23:O24)</f>
        <v>153.47999999999999</v>
      </c>
      <c r="P25" s="1342">
        <f>SUM(P23:P24)</f>
        <v>5052.05</v>
      </c>
      <c r="Q25" s="1333">
        <f>SUM(Q23:Q24)</f>
        <v>20400.05</v>
      </c>
      <c r="R25" s="295"/>
    </row>
    <row r="26" spans="1:18" s="79" customFormat="1" ht="24" customHeight="1">
      <c r="A26" s="281">
        <v>16</v>
      </c>
      <c r="B26" s="268"/>
      <c r="C26" s="993" t="s">
        <v>997</v>
      </c>
      <c r="D26" s="994" t="s">
        <v>997</v>
      </c>
      <c r="E26" s="283" t="s">
        <v>332</v>
      </c>
      <c r="F26" s="284" t="s">
        <v>315</v>
      </c>
      <c r="G26" s="285">
        <f>430+30+46</f>
        <v>506</v>
      </c>
      <c r="H26" s="274">
        <f>G26*12</f>
        <v>6072</v>
      </c>
      <c r="I26" s="265">
        <f t="shared" ref="I26:I47" si="11">G26</f>
        <v>506</v>
      </c>
      <c r="J26" s="274">
        <f>G26</f>
        <v>506</v>
      </c>
      <c r="K26" s="274">
        <f t="shared" ref="K26:K34" si="12">H26*7.75%</f>
        <v>470.58</v>
      </c>
      <c r="L26" s="265"/>
      <c r="M26" s="265">
        <f t="shared" ref="M26:M47" si="13">IF(G26&gt;1000,1000*7.5%*12,G26*7.5%*12)</f>
        <v>455.4</v>
      </c>
      <c r="N26" s="265"/>
      <c r="O26" s="266">
        <f>IF(G26&gt;1000,1000*1%*12,G26*1%*12)</f>
        <v>60.720000000000006</v>
      </c>
      <c r="P26" s="274">
        <f t="shared" ref="P26:P47" si="14">SUM(I26:O26)</f>
        <v>1998.7</v>
      </c>
      <c r="Q26" s="286">
        <f>SUM(H26+P26)</f>
        <v>8070.7</v>
      </c>
      <c r="R26" s="144"/>
    </row>
    <row r="27" spans="1:18" s="79" customFormat="1" ht="27.75" customHeight="1">
      <c r="A27" s="281">
        <v>17</v>
      </c>
      <c r="B27" s="268"/>
      <c r="C27" s="993" t="s">
        <v>1431</v>
      </c>
      <c r="D27" s="993" t="s">
        <v>1431</v>
      </c>
      <c r="E27" s="283" t="s">
        <v>332</v>
      </c>
      <c r="F27" s="284" t="s">
        <v>315</v>
      </c>
      <c r="G27" s="285">
        <f>455+30+48.5-13.5</f>
        <v>520</v>
      </c>
      <c r="H27" s="274">
        <f t="shared" ref="H27:H47" si="15">G27*12</f>
        <v>6240</v>
      </c>
      <c r="I27" s="265">
        <f t="shared" si="11"/>
        <v>520</v>
      </c>
      <c r="J27" s="274">
        <f t="shared" ref="J27:J47" si="16">G27</f>
        <v>520</v>
      </c>
      <c r="K27" s="274">
        <f t="shared" si="12"/>
        <v>483.6</v>
      </c>
      <c r="L27" s="265"/>
      <c r="M27" s="265">
        <f t="shared" si="13"/>
        <v>468</v>
      </c>
      <c r="N27" s="265"/>
      <c r="O27" s="266">
        <f t="shared" ref="O27:O34" si="17">IF(G27&gt;1000,1000*1%*12,G27*1%*12)</f>
        <v>62.400000000000006</v>
      </c>
      <c r="P27" s="274">
        <f t="shared" si="14"/>
        <v>2054</v>
      </c>
      <c r="Q27" s="286">
        <f t="shared" ref="Q27:Q47" si="18">SUM(H27+P27)</f>
        <v>8294</v>
      </c>
      <c r="R27" s="144"/>
    </row>
    <row r="28" spans="1:18" s="79" customFormat="1" ht="24" customHeight="1">
      <c r="A28" s="281">
        <v>18</v>
      </c>
      <c r="B28" s="287"/>
      <c r="C28" s="268" t="s">
        <v>333</v>
      </c>
      <c r="D28" s="268" t="s">
        <v>334</v>
      </c>
      <c r="E28" s="283" t="s">
        <v>332</v>
      </c>
      <c r="F28" s="284" t="s">
        <v>315</v>
      </c>
      <c r="G28" s="285">
        <f>535+98+63.3+33.7</f>
        <v>730</v>
      </c>
      <c r="H28" s="274">
        <f t="shared" si="15"/>
        <v>8760</v>
      </c>
      <c r="I28" s="265">
        <f t="shared" si="11"/>
        <v>730</v>
      </c>
      <c r="J28" s="274">
        <f t="shared" si="16"/>
        <v>730</v>
      </c>
      <c r="K28" s="274">
        <f t="shared" si="12"/>
        <v>678.9</v>
      </c>
      <c r="L28" s="265"/>
      <c r="M28" s="265">
        <f t="shared" si="13"/>
        <v>657</v>
      </c>
      <c r="N28" s="265"/>
      <c r="O28" s="266">
        <f t="shared" si="17"/>
        <v>87.6</v>
      </c>
      <c r="P28" s="274">
        <f>SUM(I28:O28)</f>
        <v>2883.5</v>
      </c>
      <c r="Q28" s="286">
        <f t="shared" si="18"/>
        <v>11643.5</v>
      </c>
      <c r="R28" s="144"/>
    </row>
    <row r="29" spans="1:18" s="79" customFormat="1" ht="24" customHeight="1">
      <c r="A29" s="281">
        <v>19</v>
      </c>
      <c r="B29" s="1231"/>
      <c r="C29" s="690" t="s">
        <v>1204</v>
      </c>
      <c r="D29" s="690" t="s">
        <v>917</v>
      </c>
      <c r="E29" s="696" t="s">
        <v>332</v>
      </c>
      <c r="F29" s="272" t="s">
        <v>315</v>
      </c>
      <c r="G29" s="274">
        <f>380+25+40</f>
        <v>445</v>
      </c>
      <c r="H29" s="265">
        <f t="shared" si="15"/>
        <v>5340</v>
      </c>
      <c r="I29" s="265">
        <f t="shared" si="11"/>
        <v>445</v>
      </c>
      <c r="J29" s="274">
        <f t="shared" si="16"/>
        <v>445</v>
      </c>
      <c r="K29" s="274">
        <f t="shared" si="12"/>
        <v>413.85</v>
      </c>
      <c r="L29" s="265"/>
      <c r="M29" s="265">
        <f t="shared" si="13"/>
        <v>400.5</v>
      </c>
      <c r="N29" s="265"/>
      <c r="O29" s="266">
        <f t="shared" si="17"/>
        <v>53.400000000000006</v>
      </c>
      <c r="P29" s="274">
        <f t="shared" si="14"/>
        <v>1757.75</v>
      </c>
      <c r="Q29" s="286">
        <f t="shared" si="18"/>
        <v>7097.75</v>
      </c>
      <c r="R29" s="144"/>
    </row>
    <row r="30" spans="1:18" s="79" customFormat="1" ht="24" hidden="1" customHeight="1">
      <c r="A30" s="281"/>
      <c r="B30" s="690"/>
      <c r="C30" s="1229"/>
      <c r="D30" s="690" t="s">
        <v>336</v>
      </c>
      <c r="E30" s="1233" t="s">
        <v>332</v>
      </c>
      <c r="F30" s="272" t="s">
        <v>315</v>
      </c>
      <c r="G30" s="1230"/>
      <c r="H30" s="265">
        <f>G30*12</f>
        <v>0</v>
      </c>
      <c r="I30" s="265">
        <f>G30</f>
        <v>0</v>
      </c>
      <c r="J30" s="274">
        <f>G30</f>
        <v>0</v>
      </c>
      <c r="K30" s="274">
        <f t="shared" si="12"/>
        <v>0</v>
      </c>
      <c r="L30" s="265"/>
      <c r="M30" s="265">
        <f>IF(G30&gt;1000,1000*7.5%*12,G30*7.5%*12)</f>
        <v>0</v>
      </c>
      <c r="N30" s="265"/>
      <c r="O30" s="266">
        <f t="shared" si="17"/>
        <v>0</v>
      </c>
      <c r="P30" s="274">
        <f>SUM(I30:O30)</f>
        <v>0</v>
      </c>
      <c r="Q30" s="286">
        <f>SUM(H30+P30)</f>
        <v>0</v>
      </c>
      <c r="R30" s="144"/>
    </row>
    <row r="31" spans="1:18" s="79" customFormat="1" ht="28.5" customHeight="1">
      <c r="A31" s="281">
        <v>18</v>
      </c>
      <c r="B31" s="690"/>
      <c r="C31" s="690" t="s">
        <v>331</v>
      </c>
      <c r="D31" s="690" t="s">
        <v>331</v>
      </c>
      <c r="E31" s="696" t="s">
        <v>332</v>
      </c>
      <c r="F31" s="272" t="s">
        <v>315</v>
      </c>
      <c r="G31" s="273">
        <f>680+68</f>
        <v>748</v>
      </c>
      <c r="H31" s="265">
        <f>G31*12</f>
        <v>8976</v>
      </c>
      <c r="I31" s="265">
        <f>G31</f>
        <v>748</v>
      </c>
      <c r="J31" s="274">
        <f>G31</f>
        <v>748</v>
      </c>
      <c r="K31" s="274">
        <f t="shared" si="12"/>
        <v>695.64</v>
      </c>
      <c r="L31" s="265"/>
      <c r="M31" s="265">
        <f>IF(G31&gt;1000,1000*7.5%*12,G31*7.5%*12)</f>
        <v>673.2</v>
      </c>
      <c r="N31" s="265">
        <v>571.20000000000005</v>
      </c>
      <c r="O31" s="266">
        <f t="shared" si="17"/>
        <v>89.76</v>
      </c>
      <c r="P31" s="274">
        <f>SUM(I31:O31)</f>
        <v>3525.8</v>
      </c>
      <c r="Q31" s="265">
        <f>SUM(H31+P31)</f>
        <v>12501.8</v>
      </c>
      <c r="R31" s="144"/>
    </row>
    <row r="32" spans="1:18" s="79" customFormat="1" ht="36.75" customHeight="1">
      <c r="A32" s="281">
        <v>20</v>
      </c>
      <c r="B32" s="1231"/>
      <c r="C32" s="1232" t="s">
        <v>1432</v>
      </c>
      <c r="D32" s="1232" t="s">
        <v>1432</v>
      </c>
      <c r="E32" s="696" t="s">
        <v>332</v>
      </c>
      <c r="F32" s="272" t="s">
        <v>315</v>
      </c>
      <c r="G32" s="274">
        <f>490+73</f>
        <v>563</v>
      </c>
      <c r="H32" s="265">
        <f t="shared" si="15"/>
        <v>6756</v>
      </c>
      <c r="I32" s="265">
        <f t="shared" si="11"/>
        <v>563</v>
      </c>
      <c r="J32" s="274">
        <f t="shared" si="16"/>
        <v>563</v>
      </c>
      <c r="K32" s="274">
        <f t="shared" si="12"/>
        <v>523.59</v>
      </c>
      <c r="L32" s="286"/>
      <c r="M32" s="265">
        <f t="shared" si="13"/>
        <v>506.70000000000005</v>
      </c>
      <c r="N32" s="286"/>
      <c r="O32" s="266">
        <f t="shared" si="17"/>
        <v>67.56</v>
      </c>
      <c r="P32" s="274">
        <f t="shared" si="14"/>
        <v>2223.85</v>
      </c>
      <c r="Q32" s="286">
        <f t="shared" si="18"/>
        <v>8979.85</v>
      </c>
      <c r="R32" s="144"/>
    </row>
    <row r="33" spans="1:20" s="79" customFormat="1" ht="24" customHeight="1" thickBot="1">
      <c r="A33" s="281">
        <v>21</v>
      </c>
      <c r="B33" s="700"/>
      <c r="C33" s="698" t="s">
        <v>993</v>
      </c>
      <c r="D33" s="698" t="s">
        <v>993</v>
      </c>
      <c r="E33" s="1234" t="s">
        <v>332</v>
      </c>
      <c r="F33" s="279" t="s">
        <v>315</v>
      </c>
      <c r="G33" s="280">
        <f>340+30</f>
        <v>370</v>
      </c>
      <c r="H33" s="265">
        <f t="shared" ref="H33" si="19">G33*12</f>
        <v>4440</v>
      </c>
      <c r="I33" s="265">
        <f t="shared" ref="I33" si="20">G33</f>
        <v>370</v>
      </c>
      <c r="J33" s="274">
        <f t="shared" ref="J33" si="21">G33</f>
        <v>370</v>
      </c>
      <c r="K33" s="274">
        <f t="shared" ref="K33" si="22">H33*7.75%</f>
        <v>344.1</v>
      </c>
      <c r="L33" s="286"/>
      <c r="M33" s="265">
        <f t="shared" ref="M33" si="23">IF(G33&gt;1000,1000*7.5%*12,G33*7.5%*12)</f>
        <v>333</v>
      </c>
      <c r="N33" s="286"/>
      <c r="O33" s="266">
        <f t="shared" ref="O33" si="24">IF(G33&gt;1000,1000*1%*12,G33*1%*12)</f>
        <v>44.400000000000006</v>
      </c>
      <c r="P33" s="274">
        <f t="shared" ref="P33" si="25">SUM(I33:O33)</f>
        <v>1461.5</v>
      </c>
      <c r="Q33" s="286">
        <f t="shared" si="18"/>
        <v>5901.5</v>
      </c>
      <c r="R33" s="144"/>
    </row>
    <row r="34" spans="1:20" s="79" customFormat="1" ht="35.25" customHeight="1">
      <c r="A34" s="281">
        <v>22</v>
      </c>
      <c r="B34" s="1147"/>
      <c r="C34" s="1145" t="s">
        <v>1229</v>
      </c>
      <c r="D34" s="1145" t="s">
        <v>1231</v>
      </c>
      <c r="E34" s="292" t="s">
        <v>332</v>
      </c>
      <c r="F34" s="284" t="s">
        <v>315</v>
      </c>
      <c r="G34" s="280">
        <v>553.75</v>
      </c>
      <c r="H34" s="265">
        <f t="shared" si="15"/>
        <v>6645</v>
      </c>
      <c r="I34" s="265">
        <f t="shared" si="11"/>
        <v>553.75</v>
      </c>
      <c r="J34" s="274">
        <f t="shared" si="16"/>
        <v>553.75</v>
      </c>
      <c r="K34" s="274">
        <f t="shared" si="12"/>
        <v>514.98749999999995</v>
      </c>
      <c r="L34" s="286"/>
      <c r="M34" s="265">
        <f t="shared" si="13"/>
        <v>498.375</v>
      </c>
      <c r="N34" s="286"/>
      <c r="O34" s="266">
        <f t="shared" si="17"/>
        <v>66.45</v>
      </c>
      <c r="P34" s="274">
        <f t="shared" si="14"/>
        <v>2187.3125</v>
      </c>
      <c r="Q34" s="286">
        <f t="shared" si="18"/>
        <v>8832.3125</v>
      </c>
      <c r="R34" s="144"/>
    </row>
    <row r="35" spans="1:20" s="79" customFormat="1" ht="24" customHeight="1" thickBot="1">
      <c r="A35" s="1331"/>
      <c r="B35" s="2377" t="s">
        <v>337</v>
      </c>
      <c r="C35" s="2377"/>
      <c r="D35" s="2377"/>
      <c r="E35" s="2378"/>
      <c r="F35" s="1332"/>
      <c r="G35" s="1333">
        <f t="shared" ref="G35:Q35" si="26">SUM(G26:G34)</f>
        <v>4435.75</v>
      </c>
      <c r="H35" s="1333">
        <f t="shared" si="26"/>
        <v>53229</v>
      </c>
      <c r="I35" s="1333">
        <f t="shared" si="26"/>
        <v>4435.75</v>
      </c>
      <c r="J35" s="1333">
        <f t="shared" si="26"/>
        <v>4435.75</v>
      </c>
      <c r="K35" s="1333">
        <f t="shared" si="26"/>
        <v>4125.2474999999995</v>
      </c>
      <c r="L35" s="1333">
        <f t="shared" si="26"/>
        <v>0</v>
      </c>
      <c r="M35" s="1333">
        <f t="shared" si="26"/>
        <v>3992.1750000000002</v>
      </c>
      <c r="N35" s="1333">
        <f t="shared" si="26"/>
        <v>571.20000000000005</v>
      </c>
      <c r="O35" s="1333">
        <f t="shared" si="26"/>
        <v>532.29000000000008</v>
      </c>
      <c r="P35" s="1333">
        <f t="shared" si="26"/>
        <v>18092.412499999999</v>
      </c>
      <c r="Q35" s="1333">
        <f t="shared" si="26"/>
        <v>71321.412500000006</v>
      </c>
      <c r="R35" s="144"/>
    </row>
    <row r="36" spans="1:20" s="79" customFormat="1" ht="24" customHeight="1" thickBot="1">
      <c r="A36" s="1334"/>
      <c r="B36" s="2285" t="s">
        <v>552</v>
      </c>
      <c r="C36" s="2286"/>
      <c r="D36" s="2285"/>
      <c r="E36" s="1335">
        <f>SUM(E28:E35)</f>
        <v>0</v>
      </c>
      <c r="F36" s="1336"/>
      <c r="G36" s="1337">
        <f>G11+G22+G25+G30+G35</f>
        <v>21166.25</v>
      </c>
      <c r="H36" s="1337">
        <f t="shared" ref="H36:P36" si="27">H11+H22+H25+H35</f>
        <v>253995</v>
      </c>
      <c r="I36" s="1337">
        <f>I11+I22+I25+I35</f>
        <v>21166.25</v>
      </c>
      <c r="J36" s="1338">
        <f t="shared" si="27"/>
        <v>21166.25</v>
      </c>
      <c r="K36" s="1337">
        <f>K11+K22+K25+K35</f>
        <v>14657.9625</v>
      </c>
      <c r="L36" s="1337">
        <f t="shared" si="27"/>
        <v>0</v>
      </c>
      <c r="M36" s="1337">
        <f t="shared" si="27"/>
        <v>12372.525000000001</v>
      </c>
      <c r="N36" s="1337">
        <f t="shared" si="27"/>
        <v>571.20000000000005</v>
      </c>
      <c r="O36" s="1333">
        <f>O11+O22+O25+O35</f>
        <v>1625.67</v>
      </c>
      <c r="P36" s="1333">
        <f t="shared" si="27"/>
        <v>71559.857500000013</v>
      </c>
      <c r="Q36" s="1333">
        <f>Q11+Q22+Q25+Q35</f>
        <v>325554.85749999998</v>
      </c>
      <c r="R36" s="144"/>
    </row>
    <row r="37" spans="1:20" s="79" customFormat="1" ht="20.25" customHeight="1">
      <c r="A37" s="1520"/>
      <c r="B37" s="1521" t="s">
        <v>965</v>
      </c>
      <c r="C37" s="1521"/>
      <c r="D37" s="1522"/>
      <c r="E37" s="1523"/>
      <c r="F37" s="1524"/>
      <c r="G37" s="1525"/>
      <c r="H37" s="1525"/>
      <c r="I37" s="1525"/>
      <c r="J37" s="1526"/>
      <c r="K37" s="1525"/>
      <c r="L37" s="1525"/>
      <c r="M37" s="1525"/>
      <c r="N37" s="1525"/>
      <c r="O37" s="1527"/>
      <c r="P37" s="1525"/>
      <c r="Q37" s="1525"/>
      <c r="R37" s="144"/>
    </row>
    <row r="38" spans="1:20" s="79" customFormat="1" ht="24.75" hidden="1" customHeight="1">
      <c r="A38" s="257"/>
      <c r="B38" s="144" t="s">
        <v>1296</v>
      </c>
      <c r="C38" s="260"/>
      <c r="D38" s="692"/>
      <c r="E38" s="283"/>
      <c r="F38" s="693"/>
      <c r="G38" s="694"/>
      <c r="H38" s="274">
        <f t="shared" si="15"/>
        <v>0</v>
      </c>
      <c r="I38" s="274">
        <f t="shared" si="11"/>
        <v>0</v>
      </c>
      <c r="J38" s="274">
        <f t="shared" si="16"/>
        <v>0</v>
      </c>
      <c r="K38" s="262">
        <f>H38*7.75%</f>
        <v>0</v>
      </c>
      <c r="L38" s="695"/>
      <c r="M38" s="262">
        <f t="shared" si="13"/>
        <v>0</v>
      </c>
      <c r="N38" s="695"/>
      <c r="O38" s="266">
        <f t="shared" ref="O38:O47" si="28">IF(G38&gt;1000,1000*1%*12,G38*1%*12)</f>
        <v>0</v>
      </c>
      <c r="P38" s="274">
        <f t="shared" si="14"/>
        <v>0</v>
      </c>
      <c r="Q38" s="286">
        <f t="shared" si="18"/>
        <v>0</v>
      </c>
      <c r="R38" s="144"/>
    </row>
    <row r="39" spans="1:20" s="79" customFormat="1" ht="22.5" customHeight="1">
      <c r="A39" s="281">
        <v>1</v>
      </c>
      <c r="B39" s="144"/>
      <c r="C39" s="272" t="s">
        <v>548</v>
      </c>
      <c r="D39" s="272" t="s">
        <v>548</v>
      </c>
      <c r="E39" s="283" t="s">
        <v>377</v>
      </c>
      <c r="F39" s="693" t="s">
        <v>323</v>
      </c>
      <c r="G39" s="694">
        <v>370</v>
      </c>
      <c r="H39" s="274">
        <f t="shared" si="15"/>
        <v>4440</v>
      </c>
      <c r="I39" s="274">
        <f t="shared" si="11"/>
        <v>370</v>
      </c>
      <c r="J39" s="274">
        <f t="shared" si="16"/>
        <v>370</v>
      </c>
      <c r="K39" s="274">
        <f t="shared" ref="K39:K47" si="29">H39*7.75%</f>
        <v>344.1</v>
      </c>
      <c r="L39" s="274"/>
      <c r="M39" s="274">
        <f t="shared" si="13"/>
        <v>333</v>
      </c>
      <c r="N39" s="274"/>
      <c r="O39" s="266">
        <f t="shared" si="28"/>
        <v>44.400000000000006</v>
      </c>
      <c r="P39" s="274">
        <f t="shared" si="14"/>
        <v>1461.5</v>
      </c>
      <c r="Q39" s="286">
        <f t="shared" si="18"/>
        <v>5901.5</v>
      </c>
      <c r="R39" s="144"/>
    </row>
    <row r="40" spans="1:20" s="79" customFormat="1" ht="22.5" customHeight="1">
      <c r="A40" s="281">
        <v>2</v>
      </c>
      <c r="B40" s="144"/>
      <c r="C40" s="272" t="s">
        <v>547</v>
      </c>
      <c r="D40" s="272" t="s">
        <v>547</v>
      </c>
      <c r="E40" s="283" t="s">
        <v>377</v>
      </c>
      <c r="F40" s="693" t="s">
        <v>323</v>
      </c>
      <c r="G40" s="694">
        <v>370</v>
      </c>
      <c r="H40" s="274">
        <f t="shared" si="15"/>
        <v>4440</v>
      </c>
      <c r="I40" s="274">
        <f t="shared" si="11"/>
        <v>370</v>
      </c>
      <c r="J40" s="274">
        <f t="shared" si="16"/>
        <v>370</v>
      </c>
      <c r="K40" s="274">
        <f t="shared" si="29"/>
        <v>344.1</v>
      </c>
      <c r="L40" s="274"/>
      <c r="M40" s="274">
        <f t="shared" si="13"/>
        <v>333</v>
      </c>
      <c r="N40" s="274"/>
      <c r="O40" s="266">
        <f t="shared" si="28"/>
        <v>44.400000000000006</v>
      </c>
      <c r="P40" s="274">
        <f t="shared" si="14"/>
        <v>1461.5</v>
      </c>
      <c r="Q40" s="286">
        <f t="shared" si="18"/>
        <v>5901.5</v>
      </c>
      <c r="R40" s="144"/>
    </row>
    <row r="41" spans="1:20" s="79" customFormat="1" ht="22.5" customHeight="1">
      <c r="A41" s="281">
        <v>3</v>
      </c>
      <c r="B41" s="144"/>
      <c r="C41" s="272" t="s">
        <v>1002</v>
      </c>
      <c r="D41" s="272" t="s">
        <v>1002</v>
      </c>
      <c r="E41" s="283" t="s">
        <v>377</v>
      </c>
      <c r="F41" s="693" t="s">
        <v>323</v>
      </c>
      <c r="G41" s="694">
        <v>500</v>
      </c>
      <c r="H41" s="274">
        <f>G41*12</f>
        <v>6000</v>
      </c>
      <c r="I41" s="274">
        <f>G41</f>
        <v>500</v>
      </c>
      <c r="J41" s="274">
        <f>G41</f>
        <v>500</v>
      </c>
      <c r="K41" s="274">
        <f>H41*7.75%</f>
        <v>465</v>
      </c>
      <c r="L41" s="274"/>
      <c r="M41" s="274">
        <f>IF(G41&gt;1000,1000*7.5%*12,G41*7.5%*12)</f>
        <v>450</v>
      </c>
      <c r="N41" s="274"/>
      <c r="O41" s="266">
        <f>IF(G41&gt;1000,1000*1%*12,G41*1%*12)</f>
        <v>60</v>
      </c>
      <c r="P41" s="274">
        <f>SUM(I41:O41)</f>
        <v>1975</v>
      </c>
      <c r="Q41" s="286">
        <f>SUM(H41+P41)</f>
        <v>7975</v>
      </c>
      <c r="R41" s="144"/>
    </row>
    <row r="42" spans="1:20" s="79" customFormat="1" ht="22.5" customHeight="1">
      <c r="A42" s="281">
        <v>4</v>
      </c>
      <c r="B42" s="144"/>
      <c r="C42" s="690" t="s">
        <v>335</v>
      </c>
      <c r="D42" s="690" t="s">
        <v>335</v>
      </c>
      <c r="E42" s="283" t="s">
        <v>377</v>
      </c>
      <c r="F42" s="693" t="s">
        <v>323</v>
      </c>
      <c r="G42" s="694">
        <v>467</v>
      </c>
      <c r="H42" s="274">
        <f t="shared" si="15"/>
        <v>5604</v>
      </c>
      <c r="I42" s="274">
        <f t="shared" si="11"/>
        <v>467</v>
      </c>
      <c r="J42" s="274">
        <f t="shared" si="16"/>
        <v>467</v>
      </c>
      <c r="K42" s="274">
        <f t="shared" si="29"/>
        <v>434.31</v>
      </c>
      <c r="L42" s="274"/>
      <c r="M42" s="274">
        <f t="shared" si="13"/>
        <v>420.29999999999995</v>
      </c>
      <c r="N42" s="274"/>
      <c r="O42" s="266">
        <f t="shared" si="28"/>
        <v>56.04</v>
      </c>
      <c r="P42" s="274">
        <f t="shared" si="14"/>
        <v>1844.6499999999999</v>
      </c>
      <c r="Q42" s="286">
        <f>SUM(H42+P42)</f>
        <v>7448.65</v>
      </c>
      <c r="R42" s="144"/>
      <c r="T42" s="265"/>
    </row>
    <row r="43" spans="1:20" s="79" customFormat="1" ht="22.5" customHeight="1">
      <c r="A43" s="281">
        <v>5</v>
      </c>
      <c r="B43" s="144" t="s">
        <v>1296</v>
      </c>
      <c r="C43" s="690" t="s">
        <v>335</v>
      </c>
      <c r="D43" s="268" t="s">
        <v>335</v>
      </c>
      <c r="E43" s="283" t="s">
        <v>377</v>
      </c>
      <c r="F43" s="693" t="s">
        <v>323</v>
      </c>
      <c r="G43" s="694">
        <v>467</v>
      </c>
      <c r="H43" s="274">
        <f t="shared" si="15"/>
        <v>5604</v>
      </c>
      <c r="I43" s="274">
        <f t="shared" si="11"/>
        <v>467</v>
      </c>
      <c r="J43" s="274">
        <f t="shared" si="16"/>
        <v>467</v>
      </c>
      <c r="K43" s="274">
        <f t="shared" si="29"/>
        <v>434.31</v>
      </c>
      <c r="L43" s="274"/>
      <c r="M43" s="274">
        <f t="shared" si="13"/>
        <v>420.29999999999995</v>
      </c>
      <c r="N43" s="274"/>
      <c r="O43" s="266">
        <f t="shared" si="28"/>
        <v>56.04</v>
      </c>
      <c r="P43" s="274">
        <f t="shared" si="14"/>
        <v>1844.6499999999999</v>
      </c>
      <c r="Q43" s="286">
        <f t="shared" si="18"/>
        <v>7448.65</v>
      </c>
      <c r="R43" s="144"/>
    </row>
    <row r="44" spans="1:20" s="79" customFormat="1" ht="22.5" customHeight="1">
      <c r="A44" s="281">
        <v>6</v>
      </c>
      <c r="B44" s="144"/>
      <c r="C44" s="690" t="s">
        <v>335</v>
      </c>
      <c r="D44" s="268" t="s">
        <v>335</v>
      </c>
      <c r="E44" s="283" t="s">
        <v>377</v>
      </c>
      <c r="F44" s="693" t="s">
        <v>323</v>
      </c>
      <c r="G44" s="694">
        <v>467</v>
      </c>
      <c r="H44" s="274">
        <f t="shared" si="15"/>
        <v>5604</v>
      </c>
      <c r="I44" s="274">
        <f t="shared" si="11"/>
        <v>467</v>
      </c>
      <c r="J44" s="274">
        <f t="shared" si="16"/>
        <v>467</v>
      </c>
      <c r="K44" s="274">
        <f t="shared" si="29"/>
        <v>434.31</v>
      </c>
      <c r="L44" s="274"/>
      <c r="M44" s="274">
        <f t="shared" si="13"/>
        <v>420.29999999999995</v>
      </c>
      <c r="N44" s="274"/>
      <c r="O44" s="266">
        <f t="shared" si="28"/>
        <v>56.04</v>
      </c>
      <c r="P44" s="274">
        <f t="shared" si="14"/>
        <v>1844.6499999999999</v>
      </c>
      <c r="Q44" s="286">
        <f t="shared" si="18"/>
        <v>7448.65</v>
      </c>
      <c r="R44" s="144"/>
    </row>
    <row r="45" spans="1:20" s="79" customFormat="1" ht="22.5" customHeight="1">
      <c r="A45" s="281">
        <v>7</v>
      </c>
      <c r="B45" s="144"/>
      <c r="C45" s="690" t="s">
        <v>335</v>
      </c>
      <c r="D45" s="268" t="s">
        <v>335</v>
      </c>
      <c r="E45" s="283" t="s">
        <v>377</v>
      </c>
      <c r="F45" s="693" t="s">
        <v>323</v>
      </c>
      <c r="G45" s="694">
        <v>533</v>
      </c>
      <c r="H45" s="274">
        <f t="shared" si="15"/>
        <v>6396</v>
      </c>
      <c r="I45" s="274">
        <f t="shared" si="11"/>
        <v>533</v>
      </c>
      <c r="J45" s="274">
        <f t="shared" si="16"/>
        <v>533</v>
      </c>
      <c r="K45" s="274">
        <f t="shared" si="29"/>
        <v>495.69</v>
      </c>
      <c r="L45" s="274"/>
      <c r="M45" s="274">
        <f t="shared" si="13"/>
        <v>479.70000000000005</v>
      </c>
      <c r="N45" s="274"/>
      <c r="O45" s="266">
        <f t="shared" si="28"/>
        <v>63.96</v>
      </c>
      <c r="P45" s="274">
        <f t="shared" si="14"/>
        <v>2105.35</v>
      </c>
      <c r="Q45" s="286">
        <f t="shared" si="18"/>
        <v>8501.35</v>
      </c>
      <c r="R45" s="144"/>
    </row>
    <row r="46" spans="1:20" s="79" customFormat="1" ht="22.5" customHeight="1">
      <c r="A46" s="281">
        <v>8</v>
      </c>
      <c r="B46" s="144"/>
      <c r="C46" s="690" t="s">
        <v>335</v>
      </c>
      <c r="D46" s="690" t="s">
        <v>335</v>
      </c>
      <c r="E46" s="283" t="s">
        <v>377</v>
      </c>
      <c r="F46" s="693" t="s">
        <v>323</v>
      </c>
      <c r="G46" s="694">
        <v>533</v>
      </c>
      <c r="H46" s="274">
        <f t="shared" si="15"/>
        <v>6396</v>
      </c>
      <c r="I46" s="274">
        <f t="shared" si="11"/>
        <v>533</v>
      </c>
      <c r="J46" s="274">
        <f t="shared" si="16"/>
        <v>533</v>
      </c>
      <c r="K46" s="274">
        <f t="shared" si="29"/>
        <v>495.69</v>
      </c>
      <c r="L46" s="274"/>
      <c r="M46" s="274">
        <f t="shared" si="13"/>
        <v>479.70000000000005</v>
      </c>
      <c r="N46" s="274"/>
      <c r="O46" s="266">
        <f t="shared" si="28"/>
        <v>63.96</v>
      </c>
      <c r="P46" s="274">
        <f t="shared" si="14"/>
        <v>2105.35</v>
      </c>
      <c r="Q46" s="286">
        <f t="shared" si="18"/>
        <v>8501.35</v>
      </c>
      <c r="R46" s="144"/>
    </row>
    <row r="47" spans="1:20" s="79" customFormat="1" ht="22.5" customHeight="1" thickBot="1">
      <c r="A47" s="699">
        <v>9</v>
      </c>
      <c r="B47" s="698"/>
      <c r="C47" s="691" t="s">
        <v>335</v>
      </c>
      <c r="D47" s="691" t="s">
        <v>335</v>
      </c>
      <c r="E47" s="283" t="s">
        <v>377</v>
      </c>
      <c r="F47" s="693" t="s">
        <v>323</v>
      </c>
      <c r="G47" s="694">
        <v>467</v>
      </c>
      <c r="H47" s="274">
        <f t="shared" si="15"/>
        <v>5604</v>
      </c>
      <c r="I47" s="274">
        <f t="shared" si="11"/>
        <v>467</v>
      </c>
      <c r="J47" s="265">
        <f t="shared" si="16"/>
        <v>467</v>
      </c>
      <c r="K47" s="274">
        <f t="shared" si="29"/>
        <v>434.31</v>
      </c>
      <c r="L47" s="274"/>
      <c r="M47" s="274">
        <f t="shared" si="13"/>
        <v>420.29999999999995</v>
      </c>
      <c r="N47" s="274"/>
      <c r="O47" s="266">
        <f t="shared" si="28"/>
        <v>56.04</v>
      </c>
      <c r="P47" s="274">
        <f t="shared" si="14"/>
        <v>1844.6499999999999</v>
      </c>
      <c r="Q47" s="286">
        <f t="shared" si="18"/>
        <v>7448.65</v>
      </c>
      <c r="R47" s="144"/>
    </row>
    <row r="48" spans="1:20" s="79" customFormat="1" ht="22.5" customHeight="1" thickBot="1">
      <c r="A48" s="1323"/>
      <c r="B48" s="1324" t="s">
        <v>553</v>
      </c>
      <c r="C48" s="1325"/>
      <c r="D48" s="1326"/>
      <c r="E48" s="1327"/>
      <c r="F48" s="1328"/>
      <c r="G48" s="1329">
        <f>SUM(G38:G47)</f>
        <v>4174</v>
      </c>
      <c r="H48" s="1329">
        <f t="shared" ref="H48:Q48" si="30">SUM(H38:H47)</f>
        <v>50088</v>
      </c>
      <c r="I48" s="1330">
        <f t="shared" si="30"/>
        <v>4174</v>
      </c>
      <c r="J48" s="1329">
        <f t="shared" si="30"/>
        <v>4174</v>
      </c>
      <c r="K48" s="1329">
        <f t="shared" si="30"/>
        <v>3881.82</v>
      </c>
      <c r="L48" s="1329">
        <f t="shared" si="30"/>
        <v>0</v>
      </c>
      <c r="M48" s="1330">
        <f t="shared" si="30"/>
        <v>3756.5999999999995</v>
      </c>
      <c r="N48" s="1330">
        <f t="shared" si="30"/>
        <v>0</v>
      </c>
      <c r="O48" s="1329">
        <f t="shared" si="30"/>
        <v>500.88</v>
      </c>
      <c r="P48" s="1329">
        <f t="shared" si="30"/>
        <v>16487.3</v>
      </c>
      <c r="Q48" s="1329">
        <f t="shared" si="30"/>
        <v>66575.3</v>
      </c>
      <c r="R48" s="144"/>
    </row>
    <row r="49" spans="1:18" s="79" customFormat="1" ht="22.5" customHeight="1" thickBot="1">
      <c r="A49" s="1235"/>
      <c r="B49" s="1237" t="s">
        <v>554</v>
      </c>
      <c r="C49" s="1237"/>
      <c r="D49" s="1238"/>
      <c r="E49" s="1238"/>
      <c r="F49" s="1239"/>
      <c r="G49" s="1240">
        <f t="shared" ref="G49:Q49" si="31">G11+G22+G25+G35+G48</f>
        <v>25340.25</v>
      </c>
      <c r="H49" s="1240">
        <f t="shared" si="31"/>
        <v>304083</v>
      </c>
      <c r="I49" s="1240">
        <f t="shared" si="31"/>
        <v>25340.25</v>
      </c>
      <c r="J49" s="1240">
        <f t="shared" si="31"/>
        <v>25340.25</v>
      </c>
      <c r="K49" s="1240">
        <f t="shared" si="31"/>
        <v>18539.782500000001</v>
      </c>
      <c r="L49" s="1240">
        <f t="shared" si="31"/>
        <v>0</v>
      </c>
      <c r="M49" s="1240">
        <f t="shared" si="31"/>
        <v>16129.125</v>
      </c>
      <c r="N49" s="1240">
        <f t="shared" si="31"/>
        <v>571.20000000000005</v>
      </c>
      <c r="O49" s="1240">
        <f t="shared" si="31"/>
        <v>2126.5500000000002</v>
      </c>
      <c r="P49" s="1240">
        <f t="shared" si="31"/>
        <v>88047.157500000016</v>
      </c>
      <c r="Q49" s="1241">
        <f t="shared" si="31"/>
        <v>392130.15749999997</v>
      </c>
      <c r="R49" s="144"/>
    </row>
    <row r="50" spans="1:18" s="79" customFormat="1" ht="22.5" customHeight="1">
      <c r="A50" s="1520"/>
      <c r="B50" s="1521" t="s">
        <v>965</v>
      </c>
      <c r="C50" s="1521"/>
      <c r="D50" s="1522"/>
      <c r="E50" s="1523"/>
      <c r="F50" s="1524"/>
      <c r="G50" s="1525"/>
      <c r="H50" s="1525"/>
      <c r="I50" s="1525"/>
      <c r="J50" s="1526"/>
      <c r="K50" s="1525"/>
      <c r="L50" s="1525"/>
      <c r="M50" s="1525"/>
      <c r="N50" s="1525"/>
      <c r="O50" s="1527"/>
      <c r="P50" s="1525"/>
      <c r="Q50" s="1525"/>
      <c r="R50" s="144"/>
    </row>
    <row r="51" spans="1:18" s="79" customFormat="1" ht="31.5" customHeight="1" thickBot="1">
      <c r="A51" s="1612">
        <v>1</v>
      </c>
      <c r="B51" s="1613"/>
      <c r="C51" s="1613" t="s">
        <v>1297</v>
      </c>
      <c r="D51" s="1615" t="s">
        <v>1297</v>
      </c>
      <c r="E51" s="283" t="s">
        <v>1298</v>
      </c>
      <c r="F51" s="1614" t="s">
        <v>323</v>
      </c>
      <c r="G51" s="694">
        <v>1350</v>
      </c>
      <c r="H51" s="274">
        <f t="shared" ref="H51" si="32">G51*12</f>
        <v>16200</v>
      </c>
      <c r="I51" s="274">
        <f t="shared" ref="I51" si="33">G51</f>
        <v>1350</v>
      </c>
      <c r="J51" s="265">
        <f t="shared" ref="J51" si="34">G51</f>
        <v>1350</v>
      </c>
      <c r="K51" s="274">
        <f t="shared" ref="K51" si="35">H51*7.75%</f>
        <v>1255.5</v>
      </c>
      <c r="L51" s="274"/>
      <c r="M51" s="274">
        <f t="shared" ref="M51" si="36">IF(G51&gt;1000,1000*7.5%*12,G51*7.5%*12)</f>
        <v>900</v>
      </c>
      <c r="N51" s="274"/>
      <c r="O51" s="266">
        <f t="shared" ref="O51" si="37">IF(G51&gt;1000,1000*1%*12,G51*1%*12)</f>
        <v>120</v>
      </c>
      <c r="P51" s="274">
        <f t="shared" ref="P51" si="38">SUM(I51:O51)</f>
        <v>4975.5</v>
      </c>
      <c r="Q51" s="286">
        <f t="shared" ref="Q51" si="39">SUM(H51+P51)</f>
        <v>21175.5</v>
      </c>
      <c r="R51" s="144"/>
    </row>
    <row r="52" spans="1:18" s="79" customFormat="1" ht="17.25" customHeight="1" thickBot="1">
      <c r="A52" s="871"/>
      <c r="B52" s="1324" t="s">
        <v>553</v>
      </c>
      <c r="C52" s="1325"/>
      <c r="D52" s="1326"/>
      <c r="E52" s="1327"/>
      <c r="F52" s="1328"/>
      <c r="G52" s="1329">
        <f>SUM(G51)</f>
        <v>1350</v>
      </c>
      <c r="H52" s="1329">
        <f t="shared" ref="H52:Q52" si="40">SUM(H51)</f>
        <v>16200</v>
      </c>
      <c r="I52" s="1329">
        <f t="shared" si="40"/>
        <v>1350</v>
      </c>
      <c r="J52" s="1329">
        <f t="shared" si="40"/>
        <v>1350</v>
      </c>
      <c r="K52" s="1329">
        <f t="shared" si="40"/>
        <v>1255.5</v>
      </c>
      <c r="L52" s="1329">
        <f t="shared" si="40"/>
        <v>0</v>
      </c>
      <c r="M52" s="1329">
        <f t="shared" si="40"/>
        <v>900</v>
      </c>
      <c r="N52" s="1329">
        <f t="shared" si="40"/>
        <v>0</v>
      </c>
      <c r="O52" s="1329">
        <f t="shared" si="40"/>
        <v>120</v>
      </c>
      <c r="P52" s="1329">
        <f t="shared" si="40"/>
        <v>4975.5</v>
      </c>
      <c r="Q52" s="1329">
        <f t="shared" si="40"/>
        <v>21175.5</v>
      </c>
      <c r="R52" s="144"/>
    </row>
    <row r="53" spans="1:18" s="79" customFormat="1" ht="24" customHeight="1">
      <c r="A53" s="871"/>
      <c r="B53" s="1528" t="s">
        <v>962</v>
      </c>
      <c r="C53" s="2316" t="s">
        <v>966</v>
      </c>
      <c r="D53" s="2316"/>
      <c r="E53" s="1529"/>
      <c r="F53" s="1530"/>
      <c r="G53" s="1531"/>
      <c r="H53" s="1532"/>
      <c r="I53" s="1532"/>
      <c r="J53" s="1532"/>
      <c r="K53" s="1532"/>
      <c r="L53" s="1532"/>
      <c r="M53" s="1532"/>
      <c r="N53" s="1532"/>
      <c r="O53" s="1532"/>
      <c r="P53" s="1532"/>
      <c r="Q53" s="1533"/>
      <c r="R53" s="144"/>
    </row>
    <row r="54" spans="1:18" s="79" customFormat="1" ht="17.25" customHeight="1">
      <c r="A54" s="871"/>
      <c r="B54" s="144" t="s">
        <v>999</v>
      </c>
      <c r="C54" s="144" t="s">
        <v>961</v>
      </c>
      <c r="D54" s="144" t="s">
        <v>961</v>
      </c>
      <c r="E54" s="292" t="s">
        <v>319</v>
      </c>
      <c r="F54" s="872" t="s">
        <v>633</v>
      </c>
      <c r="G54" s="873">
        <v>312</v>
      </c>
      <c r="H54" s="265">
        <f>G54*12</f>
        <v>3744</v>
      </c>
      <c r="I54" s="265">
        <f>G54</f>
        <v>312</v>
      </c>
      <c r="J54" s="274">
        <f>G54</f>
        <v>312</v>
      </c>
      <c r="K54" s="265">
        <f>H54*7.75%</f>
        <v>290.16000000000003</v>
      </c>
      <c r="L54" s="265"/>
      <c r="M54" s="265">
        <f>H54*7.5%</f>
        <v>280.8</v>
      </c>
      <c r="N54" s="265"/>
      <c r="O54" s="265">
        <f>H54*1%</f>
        <v>37.44</v>
      </c>
      <c r="P54" s="265">
        <f>SUM(I54:O54)</f>
        <v>1232.4000000000001</v>
      </c>
      <c r="Q54" s="297">
        <f>SUM(H54+P54)</f>
        <v>4976.3999999999996</v>
      </c>
      <c r="R54" s="144"/>
    </row>
    <row r="55" spans="1:18" s="79" customFormat="1" ht="0.75" customHeight="1">
      <c r="A55" s="871"/>
      <c r="B55" s="144"/>
      <c r="C55" s="144"/>
      <c r="D55" s="144"/>
      <c r="E55" s="292"/>
      <c r="F55" s="284"/>
      <c r="G55" s="873"/>
      <c r="H55" s="265">
        <f>G55*12</f>
        <v>0</v>
      </c>
      <c r="I55" s="265">
        <f>G55</f>
        <v>0</v>
      </c>
      <c r="J55" s="274">
        <f>G55</f>
        <v>0</v>
      </c>
      <c r="K55" s="265">
        <f>H55*7.75%</f>
        <v>0</v>
      </c>
      <c r="L55" s="265"/>
      <c r="M55" s="265">
        <f>H55*7.5%</f>
        <v>0</v>
      </c>
      <c r="N55" s="265"/>
      <c r="O55" s="265">
        <f>H55*1%</f>
        <v>0</v>
      </c>
      <c r="P55" s="265">
        <f>SUM(I55:O55)</f>
        <v>0</v>
      </c>
      <c r="Q55" s="297">
        <f>SUM(H55+P55)</f>
        <v>0</v>
      </c>
      <c r="R55" s="144"/>
    </row>
    <row r="56" spans="1:18" s="79" customFormat="1" ht="17.25" customHeight="1" thickBot="1">
      <c r="A56" s="871"/>
      <c r="B56" s="2312" t="s">
        <v>967</v>
      </c>
      <c r="C56" s="2313"/>
      <c r="D56" s="1318"/>
      <c r="E56" s="1319"/>
      <c r="F56" s="1320"/>
      <c r="G56" s="1321">
        <f>SUM(G54:G55)</f>
        <v>312</v>
      </c>
      <c r="H56" s="1321">
        <f t="shared" ref="H56:Q56" si="41">SUM(H54:H55)</f>
        <v>3744</v>
      </c>
      <c r="I56" s="1321">
        <f t="shared" si="41"/>
        <v>312</v>
      </c>
      <c r="J56" s="1321">
        <f t="shared" si="41"/>
        <v>312</v>
      </c>
      <c r="K56" s="1321">
        <f t="shared" si="41"/>
        <v>290.16000000000003</v>
      </c>
      <c r="L56" s="1321">
        <f t="shared" si="41"/>
        <v>0</v>
      </c>
      <c r="M56" s="1321">
        <f t="shared" si="41"/>
        <v>280.8</v>
      </c>
      <c r="N56" s="1321">
        <f t="shared" si="41"/>
        <v>0</v>
      </c>
      <c r="O56" s="1321">
        <f t="shared" si="41"/>
        <v>37.44</v>
      </c>
      <c r="P56" s="1321">
        <f t="shared" si="41"/>
        <v>1232.4000000000001</v>
      </c>
      <c r="Q56" s="1322">
        <f t="shared" si="41"/>
        <v>4976.3999999999996</v>
      </c>
      <c r="R56" s="144"/>
    </row>
    <row r="57" spans="1:18" s="79" customFormat="1" ht="3" customHeight="1">
      <c r="A57" s="871"/>
      <c r="B57" s="1147"/>
      <c r="C57" s="1145"/>
      <c r="D57" s="1145"/>
      <c r="E57" s="292"/>
      <c r="F57" s="284"/>
      <c r="G57" s="873"/>
      <c r="H57" s="265">
        <f>G57*12</f>
        <v>0</v>
      </c>
      <c r="I57" s="265">
        <f>G57</f>
        <v>0</v>
      </c>
      <c r="J57" s="274">
        <f>G57</f>
        <v>0</v>
      </c>
      <c r="K57" s="265">
        <f>H57*7.75%</f>
        <v>0</v>
      </c>
      <c r="L57" s="265"/>
      <c r="M57" s="265">
        <f>H57*7.5%</f>
        <v>0</v>
      </c>
      <c r="N57" s="265"/>
      <c r="O57" s="265">
        <f>H57*1%</f>
        <v>0</v>
      </c>
      <c r="P57" s="265">
        <f>SUM(I57:O57)</f>
        <v>0</v>
      </c>
      <c r="Q57" s="297">
        <f>SUM(H57+P57)</f>
        <v>0</v>
      </c>
      <c r="R57" s="144"/>
    </row>
    <row r="58" spans="1:18" s="79" customFormat="1" ht="25.5" customHeight="1" thickBot="1">
      <c r="A58" s="871"/>
      <c r="B58" s="144" t="s">
        <v>1232</v>
      </c>
      <c r="C58" s="1581" t="s">
        <v>1233</v>
      </c>
      <c r="D58" s="1582" t="s">
        <v>1233</v>
      </c>
      <c r="E58" s="292" t="s">
        <v>332</v>
      </c>
      <c r="F58" s="872" t="s">
        <v>633</v>
      </c>
      <c r="G58" s="873">
        <v>312</v>
      </c>
      <c r="H58" s="265">
        <f>G58*12</f>
        <v>3744</v>
      </c>
      <c r="I58" s="265">
        <f>G58</f>
        <v>312</v>
      </c>
      <c r="J58" s="274">
        <f>G58</f>
        <v>312</v>
      </c>
      <c r="K58" s="265">
        <f>H58*7.75%</f>
        <v>290.16000000000003</v>
      </c>
      <c r="L58" s="265"/>
      <c r="M58" s="265">
        <f>H58*7.5%</f>
        <v>280.8</v>
      </c>
      <c r="N58" s="265"/>
      <c r="O58" s="265">
        <f>H58*1%</f>
        <v>37.44</v>
      </c>
      <c r="P58" s="265">
        <f>SUM(I58:O58)</f>
        <v>1232.4000000000001</v>
      </c>
      <c r="Q58" s="297">
        <f>SUM(H58+P58)</f>
        <v>4976.3999999999996</v>
      </c>
      <c r="R58" s="144"/>
    </row>
    <row r="59" spans="1:18" s="79" customFormat="1" ht="17.25" customHeight="1">
      <c r="A59" s="871"/>
      <c r="B59" s="2312" t="s">
        <v>967</v>
      </c>
      <c r="C59" s="2313"/>
      <c r="D59" s="1309"/>
      <c r="E59" s="1310"/>
      <c r="F59" s="1311"/>
      <c r="G59" s="1312">
        <f>SUM(G57:G58)</f>
        <v>312</v>
      </c>
      <c r="H59" s="1312">
        <f t="shared" ref="H59:Q59" si="42">SUM(H57:H58)</f>
        <v>3744</v>
      </c>
      <c r="I59" s="1312">
        <f t="shared" si="42"/>
        <v>312</v>
      </c>
      <c r="J59" s="1312">
        <f t="shared" si="42"/>
        <v>312</v>
      </c>
      <c r="K59" s="1312">
        <f t="shared" si="42"/>
        <v>290.16000000000003</v>
      </c>
      <c r="L59" s="1312">
        <f t="shared" si="42"/>
        <v>0</v>
      </c>
      <c r="M59" s="1312">
        <f t="shared" si="42"/>
        <v>280.8</v>
      </c>
      <c r="N59" s="1312">
        <f t="shared" si="42"/>
        <v>0</v>
      </c>
      <c r="O59" s="1312">
        <f t="shared" si="42"/>
        <v>37.44</v>
      </c>
      <c r="P59" s="1312">
        <f t="shared" si="42"/>
        <v>1232.4000000000001</v>
      </c>
      <c r="Q59" s="1312">
        <f t="shared" si="42"/>
        <v>4976.3999999999996</v>
      </c>
      <c r="R59" s="144"/>
    </row>
    <row r="60" spans="1:18" s="79" customFormat="1" ht="17.25" customHeight="1">
      <c r="A60" s="871"/>
      <c r="B60" s="1313"/>
      <c r="C60" s="1313"/>
      <c r="D60" s="1314"/>
      <c r="E60" s="1315"/>
      <c r="F60" s="1316"/>
      <c r="G60" s="1317">
        <f>G56+G59</f>
        <v>624</v>
      </c>
      <c r="H60" s="1317">
        <f t="shared" ref="H60:Q60" si="43">H56+H59</f>
        <v>7488</v>
      </c>
      <c r="I60" s="1317">
        <f t="shared" si="43"/>
        <v>624</v>
      </c>
      <c r="J60" s="1317">
        <f t="shared" si="43"/>
        <v>624</v>
      </c>
      <c r="K60" s="1317">
        <f t="shared" si="43"/>
        <v>580.32000000000005</v>
      </c>
      <c r="L60" s="1317">
        <f t="shared" si="43"/>
        <v>0</v>
      </c>
      <c r="M60" s="1317">
        <f t="shared" si="43"/>
        <v>561.6</v>
      </c>
      <c r="N60" s="1317">
        <f t="shared" si="43"/>
        <v>0</v>
      </c>
      <c r="O60" s="1317">
        <f t="shared" si="43"/>
        <v>74.88</v>
      </c>
      <c r="P60" s="1317">
        <f t="shared" si="43"/>
        <v>2464.8000000000002</v>
      </c>
      <c r="Q60" s="1317">
        <f t="shared" si="43"/>
        <v>9952.7999999999993</v>
      </c>
      <c r="R60" s="144"/>
    </row>
    <row r="61" spans="1:18" s="79" customFormat="1" ht="17.25" customHeight="1">
      <c r="A61" s="871"/>
      <c r="B61" s="1534" t="s">
        <v>963</v>
      </c>
      <c r="C61" s="1534"/>
      <c r="D61" s="1535"/>
      <c r="E61" s="1536"/>
      <c r="F61" s="1537"/>
      <c r="G61" s="1538"/>
      <c r="H61" s="1538"/>
      <c r="I61" s="1538"/>
      <c r="J61" s="1538"/>
      <c r="K61" s="1538"/>
      <c r="L61" s="1538"/>
      <c r="M61" s="1538"/>
      <c r="N61" s="1538"/>
      <c r="O61" s="1538"/>
      <c r="P61" s="1538"/>
      <c r="Q61" s="1538"/>
      <c r="R61" s="144"/>
    </row>
    <row r="62" spans="1:18" s="79" customFormat="1" ht="23.25" customHeight="1">
      <c r="A62" s="281"/>
      <c r="B62" s="268" t="s">
        <v>338</v>
      </c>
      <c r="C62" s="268"/>
      <c r="D62" s="690" t="s">
        <v>454</v>
      </c>
      <c r="E62" s="696" t="s">
        <v>314</v>
      </c>
      <c r="F62" s="272"/>
      <c r="G62" s="697">
        <v>7200</v>
      </c>
      <c r="H62" s="265">
        <f>G62*13</f>
        <v>93600</v>
      </c>
      <c r="I62" s="265"/>
      <c r="J62" s="265"/>
      <c r="K62" s="265">
        <f>H62*7.75%</f>
        <v>7254</v>
      </c>
      <c r="L62" s="265"/>
      <c r="M62" s="265">
        <f>H62*7.5%</f>
        <v>7020</v>
      </c>
      <c r="N62" s="265"/>
      <c r="O62" s="265">
        <f>G62*1%*12</f>
        <v>864</v>
      </c>
      <c r="P62" s="265">
        <f>SUM(J62:O62)</f>
        <v>15138</v>
      </c>
      <c r="Q62" s="297">
        <f>SUM(H62+P62)</f>
        <v>108738</v>
      </c>
      <c r="R62" s="144"/>
    </row>
    <row r="63" spans="1:18" s="79" customFormat="1" ht="23.25" customHeight="1">
      <c r="A63" s="871"/>
      <c r="B63" s="2317" t="s">
        <v>968</v>
      </c>
      <c r="C63" s="2318"/>
      <c r="D63" s="1304"/>
      <c r="E63" s="1305"/>
      <c r="F63" s="1306"/>
      <c r="G63" s="1307">
        <f>SUM(G61:G62)</f>
        <v>7200</v>
      </c>
      <c r="H63" s="1308">
        <f>SUM(H61:H62)</f>
        <v>93600</v>
      </c>
      <c r="I63" s="1308">
        <f>SUM(I61:I62)</f>
        <v>0</v>
      </c>
      <c r="J63" s="1308">
        <f t="shared" ref="J63:Q63" si="44">SUM(J61:J62)</f>
        <v>0</v>
      </c>
      <c r="K63" s="1308">
        <f t="shared" si="44"/>
        <v>7254</v>
      </c>
      <c r="L63" s="1308">
        <f t="shared" si="44"/>
        <v>0</v>
      </c>
      <c r="M63" s="1308">
        <f t="shared" si="44"/>
        <v>7020</v>
      </c>
      <c r="N63" s="1308">
        <f t="shared" si="44"/>
        <v>0</v>
      </c>
      <c r="O63" s="1308">
        <f t="shared" si="44"/>
        <v>864</v>
      </c>
      <c r="P63" s="1308">
        <f t="shared" si="44"/>
        <v>15138</v>
      </c>
      <c r="Q63" s="1308">
        <f t="shared" si="44"/>
        <v>108738</v>
      </c>
      <c r="R63" s="144"/>
    </row>
    <row r="64" spans="1:18" s="79" customFormat="1" ht="23.25" customHeight="1">
      <c r="A64" s="871"/>
      <c r="B64" s="2314" t="s">
        <v>969</v>
      </c>
      <c r="C64" s="2315"/>
      <c r="D64" s="1304"/>
      <c r="E64" s="1305"/>
      <c r="F64" s="1306"/>
      <c r="G64" s="1307">
        <f>G59+G63</f>
        <v>7512</v>
      </c>
      <c r="H64" s="1307">
        <f>H59+H63</f>
        <v>97344</v>
      </c>
      <c r="I64" s="1307">
        <f>I59+I63</f>
        <v>312</v>
      </c>
      <c r="J64" s="1307">
        <f t="shared" ref="J64:Q64" si="45">J59+J63</f>
        <v>312</v>
      </c>
      <c r="K64" s="1307">
        <f t="shared" si="45"/>
        <v>7544.16</v>
      </c>
      <c r="L64" s="1307">
        <f t="shared" si="45"/>
        <v>0</v>
      </c>
      <c r="M64" s="1307">
        <f t="shared" si="45"/>
        <v>7300.8</v>
      </c>
      <c r="N64" s="1307">
        <f t="shared" si="45"/>
        <v>0</v>
      </c>
      <c r="O64" s="1307">
        <f t="shared" si="45"/>
        <v>901.44</v>
      </c>
      <c r="P64" s="1307">
        <f t="shared" si="45"/>
        <v>16370.4</v>
      </c>
      <c r="Q64" s="1307">
        <f t="shared" si="45"/>
        <v>113714.4</v>
      </c>
      <c r="R64" s="144"/>
    </row>
    <row r="65" spans="1:18" s="79" customFormat="1" ht="25.5" customHeight="1" thickBot="1">
      <c r="A65" s="883"/>
      <c r="B65" s="1552" t="s">
        <v>964</v>
      </c>
      <c r="C65" s="1553"/>
      <c r="D65" s="1553"/>
      <c r="E65" s="1554"/>
      <c r="F65" s="1554"/>
      <c r="G65" s="1555">
        <f>SUM(G36+G48+G64)</f>
        <v>32852.25</v>
      </c>
      <c r="H65" s="1555">
        <f t="shared" ref="H65:P65" si="46">SUM(H36+H48+H64)</f>
        <v>401427</v>
      </c>
      <c r="I65" s="1555">
        <f>SUM(I36+I48+I64)</f>
        <v>25652.25</v>
      </c>
      <c r="J65" s="1555">
        <f t="shared" si="46"/>
        <v>25652.25</v>
      </c>
      <c r="K65" s="1555">
        <f t="shared" si="46"/>
        <v>26083.942500000001</v>
      </c>
      <c r="L65" s="1555">
        <f t="shared" si="46"/>
        <v>0</v>
      </c>
      <c r="M65" s="1555">
        <f>SUM(M36+M48+M64)</f>
        <v>23429.924999999999</v>
      </c>
      <c r="N65" s="1555">
        <f t="shared" si="46"/>
        <v>571.20000000000005</v>
      </c>
      <c r="O65" s="1555">
        <f t="shared" si="46"/>
        <v>3027.9900000000002</v>
      </c>
      <c r="P65" s="1555">
        <f t="shared" si="46"/>
        <v>104417.55750000001</v>
      </c>
      <c r="Q65" s="1555">
        <f>SUM(Q36+Q48+Q64)</f>
        <v>505844.5575</v>
      </c>
      <c r="R65" s="144"/>
    </row>
    <row r="66" spans="1:18" s="79" customFormat="1" ht="15">
      <c r="A66" s="878"/>
      <c r="B66" s="879"/>
      <c r="C66" s="880"/>
      <c r="D66" s="880"/>
      <c r="E66" s="881"/>
      <c r="F66" s="881"/>
      <c r="G66" s="882"/>
      <c r="H66" s="882"/>
      <c r="I66" s="882"/>
      <c r="J66" s="882"/>
      <c r="K66" s="882"/>
      <c r="L66" s="882"/>
      <c r="M66" s="882"/>
      <c r="N66" s="882"/>
      <c r="O66" s="882"/>
      <c r="P66" s="882"/>
      <c r="Q66" s="882"/>
      <c r="R66" s="144"/>
    </row>
    <row r="67" spans="1:18" s="79" customFormat="1" ht="15">
      <c r="A67" s="878"/>
      <c r="B67" s="879"/>
      <c r="C67" s="880"/>
      <c r="D67" s="880"/>
      <c r="E67" s="881"/>
      <c r="F67" s="881"/>
      <c r="G67" s="882"/>
      <c r="H67" s="882"/>
      <c r="I67" s="882"/>
      <c r="J67" s="882"/>
      <c r="K67" s="882"/>
      <c r="L67" s="882"/>
      <c r="M67" s="882"/>
      <c r="N67" s="882"/>
      <c r="O67" s="882"/>
      <c r="P67" s="882"/>
      <c r="Q67" s="882"/>
      <c r="R67" s="144"/>
    </row>
    <row r="68" spans="1:18" s="79" customFormat="1" ht="30" customHeight="1">
      <c r="A68" s="874"/>
      <c r="B68" s="2319" t="s">
        <v>973</v>
      </c>
      <c r="C68" s="2319"/>
      <c r="D68" s="2319"/>
      <c r="E68" s="2319"/>
      <c r="F68" s="2319"/>
      <c r="G68" s="2319"/>
      <c r="H68" s="2319"/>
      <c r="I68" s="2319"/>
      <c r="J68" s="2319"/>
      <c r="K68" s="2319"/>
      <c r="L68" s="294"/>
      <c r="M68" s="294"/>
      <c r="N68" s="294"/>
      <c r="O68" s="294"/>
      <c r="P68" s="294"/>
      <c r="Q68" s="294"/>
      <c r="R68" s="144"/>
    </row>
    <row r="69" spans="1:18" s="79" customFormat="1" ht="22.5" customHeight="1">
      <c r="A69" s="874"/>
      <c r="B69" s="1539" t="s">
        <v>112</v>
      </c>
      <c r="C69" s="1540" t="s">
        <v>970</v>
      </c>
      <c r="D69" s="2320" t="s">
        <v>346</v>
      </c>
      <c r="E69" s="2320"/>
      <c r="F69" s="2321" t="s">
        <v>357</v>
      </c>
      <c r="G69" s="2321"/>
      <c r="H69" s="2274" t="s">
        <v>361</v>
      </c>
      <c r="I69" s="2274"/>
      <c r="J69" s="1541" t="s">
        <v>971</v>
      </c>
      <c r="K69" s="1542" t="s">
        <v>972</v>
      </c>
      <c r="L69" s="294"/>
      <c r="M69" s="294"/>
      <c r="N69" s="294"/>
      <c r="O69" s="294"/>
      <c r="P69" s="294"/>
      <c r="Q69" s="294"/>
      <c r="R69" s="144"/>
    </row>
    <row r="70" spans="1:18" s="79" customFormat="1" ht="21.75" customHeight="1">
      <c r="A70" s="874"/>
      <c r="B70" s="875" t="s">
        <v>345</v>
      </c>
      <c r="C70" s="876">
        <f>H62</f>
        <v>93600</v>
      </c>
      <c r="D70" s="2275">
        <f>M62</f>
        <v>7020</v>
      </c>
      <c r="E70" s="2275"/>
      <c r="F70" s="2272">
        <f>K62</f>
        <v>7254</v>
      </c>
      <c r="G70" s="2272"/>
      <c r="H70" s="2272">
        <f>O62</f>
        <v>864</v>
      </c>
      <c r="I70" s="2272"/>
      <c r="J70" s="884"/>
      <c r="K70" s="885"/>
      <c r="L70" s="294"/>
      <c r="M70" s="294"/>
      <c r="N70" s="294"/>
      <c r="O70" s="294"/>
      <c r="P70" s="294"/>
      <c r="Q70" s="294"/>
      <c r="R70" s="144"/>
    </row>
    <row r="71" spans="1:18" s="79" customFormat="1" ht="21.75" customHeight="1">
      <c r="A71" s="874"/>
      <c r="B71" s="877" t="s">
        <v>347</v>
      </c>
      <c r="C71" s="876">
        <f>H56</f>
        <v>3744</v>
      </c>
      <c r="D71" s="2275">
        <f>M56</f>
        <v>280.8</v>
      </c>
      <c r="E71" s="2275"/>
      <c r="F71" s="2272">
        <f>K56</f>
        <v>290.16000000000003</v>
      </c>
      <c r="G71" s="2272"/>
      <c r="H71" s="2272">
        <f>O56</f>
        <v>37.44</v>
      </c>
      <c r="I71" s="2272"/>
      <c r="J71" s="884">
        <f>I56</f>
        <v>312</v>
      </c>
      <c r="K71" s="930">
        <f>J56</f>
        <v>312</v>
      </c>
      <c r="L71" s="294"/>
      <c r="M71" s="294"/>
      <c r="N71" s="294"/>
      <c r="O71" s="294"/>
      <c r="P71" s="294"/>
      <c r="Q71" s="294"/>
      <c r="R71" s="144"/>
    </row>
    <row r="72" spans="1:18" s="79" customFormat="1" ht="21.75" customHeight="1">
      <c r="A72" s="874"/>
      <c r="B72" s="877" t="s">
        <v>1165</v>
      </c>
      <c r="C72" s="876">
        <f>H59</f>
        <v>3744</v>
      </c>
      <c r="D72" s="2277">
        <f>M59</f>
        <v>280.8</v>
      </c>
      <c r="E72" s="2278"/>
      <c r="F72" s="2279">
        <f>K59</f>
        <v>290.16000000000003</v>
      </c>
      <c r="G72" s="2280"/>
      <c r="H72" s="2279">
        <f>O59</f>
        <v>37.44</v>
      </c>
      <c r="I72" s="2280"/>
      <c r="J72" s="884">
        <f>I59</f>
        <v>312</v>
      </c>
      <c r="K72" s="1130">
        <f>J59</f>
        <v>312</v>
      </c>
      <c r="L72" s="294"/>
      <c r="M72" s="294"/>
      <c r="N72" s="294"/>
      <c r="O72" s="294"/>
      <c r="P72" s="294"/>
      <c r="Q72" s="294"/>
      <c r="R72" s="144"/>
    </row>
    <row r="73" spans="1:18" s="79" customFormat="1" ht="0.75" customHeight="1">
      <c r="A73" s="874"/>
      <c r="B73" s="877" t="s">
        <v>1165</v>
      </c>
      <c r="C73" s="876"/>
      <c r="D73" s="1575"/>
      <c r="E73" s="1576"/>
      <c r="F73" s="1577"/>
      <c r="G73" s="1578"/>
      <c r="H73" s="1577"/>
      <c r="I73" s="1578"/>
      <c r="J73" s="884"/>
      <c r="K73" s="1130"/>
      <c r="L73" s="294"/>
      <c r="M73" s="294"/>
      <c r="N73" s="294"/>
      <c r="O73" s="294"/>
      <c r="P73" s="294"/>
      <c r="Q73" s="294"/>
      <c r="R73" s="144"/>
    </row>
    <row r="74" spans="1:18" s="79" customFormat="1" ht="21.75" customHeight="1">
      <c r="A74" s="874"/>
      <c r="B74" s="1301" t="s">
        <v>199</v>
      </c>
      <c r="C74" s="1302">
        <f>SUM(C70:C72)</f>
        <v>101088</v>
      </c>
      <c r="D74" s="2276">
        <f>SUM(D70:D72)</f>
        <v>7581.6</v>
      </c>
      <c r="E74" s="2276"/>
      <c r="F74" s="2273">
        <f>SUM(F70:F72)</f>
        <v>7834.32</v>
      </c>
      <c r="G74" s="2273"/>
      <c r="H74" s="2273">
        <f>SUM(H70:H72)</f>
        <v>938.88000000000011</v>
      </c>
      <c r="I74" s="2273"/>
      <c r="J74" s="1303">
        <f>SUM(J71:J72)</f>
        <v>624</v>
      </c>
      <c r="K74" s="1303">
        <f>SUM(K71:K72)</f>
        <v>624</v>
      </c>
      <c r="L74" s="294"/>
      <c r="M74" s="294"/>
      <c r="N74" s="294"/>
      <c r="O74" s="294"/>
      <c r="P74" s="294"/>
      <c r="Q74" s="294"/>
      <c r="R74" s="144"/>
    </row>
    <row r="75" spans="1:18" s="79" customFormat="1" ht="21.75" customHeight="1">
      <c r="A75" s="874"/>
      <c r="B75" s="144"/>
      <c r="C75" s="144"/>
      <c r="D75" s="144"/>
      <c r="E75" s="292"/>
      <c r="F75" s="292"/>
      <c r="G75" s="293"/>
      <c r="H75" s="294"/>
      <c r="I75" s="294"/>
      <c r="J75" s="294"/>
      <c r="K75" s="294"/>
      <c r="L75" s="294"/>
      <c r="M75" s="294"/>
      <c r="N75" s="294"/>
      <c r="O75" s="294"/>
      <c r="P75" s="294"/>
      <c r="Q75" s="294"/>
      <c r="R75" s="144"/>
    </row>
    <row r="76" spans="1:18" s="79" customFormat="1" ht="21.75" customHeight="1">
      <c r="A76" s="874"/>
      <c r="B76" s="144"/>
      <c r="C76" s="144"/>
      <c r="D76" s="144"/>
      <c r="E76" s="292"/>
      <c r="F76" s="292"/>
      <c r="G76" s="293"/>
      <c r="H76" s="294"/>
      <c r="I76" s="294"/>
      <c r="J76" s="294"/>
      <c r="K76" s="294"/>
      <c r="L76" s="294"/>
      <c r="M76" s="294"/>
      <c r="N76" s="294"/>
      <c r="O76" s="294"/>
      <c r="P76" s="294"/>
      <c r="Q76" s="294"/>
      <c r="R76" s="144"/>
    </row>
    <row r="77" spans="1:18" s="119" customFormat="1" ht="35.25" customHeight="1">
      <c r="A77" s="238"/>
      <c r="B77" s="2295" t="s">
        <v>340</v>
      </c>
      <c r="C77" s="2295"/>
      <c r="D77" s="2295"/>
      <c r="E77" s="2295"/>
      <c r="F77" s="2295"/>
      <c r="G77" s="2295"/>
      <c r="H77" s="2295"/>
      <c r="I77" s="2295"/>
      <c r="J77" s="2295"/>
      <c r="K77" s="2295"/>
      <c r="L77" s="2295"/>
      <c r="M77" s="2295"/>
      <c r="N77" s="2295"/>
      <c r="O77" s="2295"/>
      <c r="P77" s="2295"/>
      <c r="Q77" s="241"/>
      <c r="R77" s="143"/>
    </row>
    <row r="78" spans="1:18" s="119" customFormat="1" ht="15">
      <c r="A78" s="238"/>
      <c r="B78" s="2296" t="s">
        <v>341</v>
      </c>
      <c r="C78" s="2297"/>
      <c r="D78" s="2297"/>
      <c r="E78" s="2297"/>
      <c r="F78" s="2297"/>
      <c r="G78" s="2298"/>
      <c r="H78" s="2299" t="s">
        <v>342</v>
      </c>
      <c r="I78" s="2300"/>
      <c r="J78" s="2300"/>
      <c r="K78" s="2300"/>
      <c r="L78" s="2300"/>
      <c r="M78" s="2300"/>
      <c r="N78" s="2300"/>
      <c r="O78" s="2300"/>
      <c r="P78" s="2300"/>
      <c r="Q78" s="2301"/>
      <c r="R78" s="143"/>
    </row>
    <row r="79" spans="1:18" s="119" customFormat="1" ht="29.25" customHeight="1">
      <c r="A79" s="238"/>
      <c r="B79" s="1543" t="s">
        <v>56</v>
      </c>
      <c r="C79" s="1579" t="s">
        <v>1205</v>
      </c>
      <c r="D79" s="1580" t="s">
        <v>1206</v>
      </c>
      <c r="E79" s="2302" t="s">
        <v>343</v>
      </c>
      <c r="F79" s="2303"/>
      <c r="G79" s="2304"/>
      <c r="H79" s="2305"/>
      <c r="I79" s="2306"/>
      <c r="J79" s="2306"/>
      <c r="K79" s="2307"/>
      <c r="L79" s="2308" t="s">
        <v>1207</v>
      </c>
      <c r="M79" s="2309"/>
      <c r="N79" s="2310" t="s">
        <v>1208</v>
      </c>
      <c r="O79" s="2310"/>
      <c r="P79" s="2311"/>
      <c r="Q79" s="1544" t="s">
        <v>344</v>
      </c>
      <c r="R79" s="143"/>
    </row>
    <row r="80" spans="1:18" s="119" customFormat="1" ht="21.75" customHeight="1" thickBot="1">
      <c r="A80" s="238"/>
      <c r="B80" s="1245" t="s">
        <v>345</v>
      </c>
      <c r="C80" s="1253">
        <f>H11/12*10</f>
        <v>75090</v>
      </c>
      <c r="D80" s="1253">
        <f>H11/12*2</f>
        <v>15018</v>
      </c>
      <c r="E80" s="2287">
        <f>C80+D80</f>
        <v>90108</v>
      </c>
      <c r="F80" s="2288"/>
      <c r="G80" s="2289"/>
      <c r="H80" s="2290" t="s">
        <v>346</v>
      </c>
      <c r="I80" s="2291"/>
      <c r="J80" s="2291"/>
      <c r="K80" s="2292"/>
      <c r="L80" s="1255"/>
      <c r="M80" s="1256"/>
      <c r="N80" s="2293"/>
      <c r="O80" s="2294"/>
      <c r="P80" s="2292"/>
      <c r="Q80" s="1257"/>
      <c r="R80" s="143"/>
    </row>
    <row r="81" spans="1:18" s="119" customFormat="1" ht="21.75" customHeight="1" thickBot="1">
      <c r="A81" s="238"/>
      <c r="B81" s="1246" t="s">
        <v>347</v>
      </c>
      <c r="C81" s="1253">
        <f>H22/12*10</f>
        <v>79425</v>
      </c>
      <c r="D81" s="1253">
        <f>H22/12*2+C71</f>
        <v>19629</v>
      </c>
      <c r="E81" s="2404">
        <f>C81+D81</f>
        <v>99054</v>
      </c>
      <c r="F81" s="2405"/>
      <c r="G81" s="2406"/>
      <c r="H81" s="1258" t="s">
        <v>348</v>
      </c>
      <c r="I81" s="1259"/>
      <c r="J81" s="1260"/>
      <c r="K81" s="1261"/>
      <c r="L81" s="2283">
        <f>SUM(L11+M11+N11+O11)/12*10-0.005</f>
        <v>1699.9949999999999</v>
      </c>
      <c r="M81" s="2284"/>
      <c r="N81" s="2281">
        <f>SUM(L11+M11+N11+O11)/12*2+D70+H70</f>
        <v>8224</v>
      </c>
      <c r="O81" s="2281"/>
      <c r="P81" s="2282"/>
      <c r="Q81" s="1262">
        <f>L81+N81</f>
        <v>9923.994999999999</v>
      </c>
      <c r="R81" s="143"/>
    </row>
    <row r="82" spans="1:18" s="119" customFormat="1" ht="21.75" customHeight="1" thickBot="1">
      <c r="A82" s="244"/>
      <c r="B82" s="1246" t="s">
        <v>349</v>
      </c>
      <c r="C82" s="1253">
        <f>H25/12*10</f>
        <v>12790</v>
      </c>
      <c r="D82" s="1253">
        <f>H25/12*2</f>
        <v>2558</v>
      </c>
      <c r="E82" s="2404">
        <f>C82+D82</f>
        <v>15348</v>
      </c>
      <c r="F82" s="2405"/>
      <c r="G82" s="2406"/>
      <c r="H82" s="1263" t="s">
        <v>350</v>
      </c>
      <c r="I82" s="1264"/>
      <c r="J82" s="1265"/>
      <c r="K82" s="1266"/>
      <c r="L82" s="2283">
        <f>SUM(L22+M22+N22+O22)/12*10</f>
        <v>5107.625</v>
      </c>
      <c r="M82" s="2284"/>
      <c r="N82" s="2281">
        <f>SUM(L22+M22+N22+O22)/12*2+D71+H71</f>
        <v>1339.7650000000001</v>
      </c>
      <c r="O82" s="2281"/>
      <c r="P82" s="2282"/>
      <c r="Q82" s="1267">
        <f>L82+N82</f>
        <v>6447.39</v>
      </c>
      <c r="R82" s="143"/>
    </row>
    <row r="83" spans="1:18" s="119" customFormat="1" ht="21.75" customHeight="1" thickBot="1">
      <c r="A83" s="244"/>
      <c r="B83" s="1254" t="s">
        <v>351</v>
      </c>
      <c r="C83" s="1253">
        <f>H35/12*10</f>
        <v>44357.5</v>
      </c>
      <c r="D83" s="1253">
        <f>H35/12*2+C72</f>
        <v>12615.5</v>
      </c>
      <c r="E83" s="2411">
        <f>C83+D83</f>
        <v>56973</v>
      </c>
      <c r="F83" s="2412"/>
      <c r="G83" s="2413"/>
      <c r="H83" s="1263" t="s">
        <v>352</v>
      </c>
      <c r="I83" s="1264"/>
      <c r="J83" s="1265"/>
      <c r="K83" s="1266"/>
      <c r="L83" s="2283">
        <f>SUM(L25+M25+N25+O25)/12*10</f>
        <v>1087.1499999999999</v>
      </c>
      <c r="M83" s="2284"/>
      <c r="N83" s="2281">
        <f>SUM(L25+M25+N25+O25)/12*2-0.005</f>
        <v>217.42499999999998</v>
      </c>
      <c r="O83" s="2281"/>
      <c r="P83" s="2282"/>
      <c r="Q83" s="1268">
        <f>L83+N83</f>
        <v>1304.5749999999998</v>
      </c>
      <c r="R83" s="143"/>
    </row>
    <row r="84" spans="1:18" s="119" customFormat="1" ht="21.75" customHeight="1" thickBot="1">
      <c r="A84" s="244"/>
      <c r="B84" s="1296" t="s">
        <v>344</v>
      </c>
      <c r="C84" s="1297">
        <f>SUM(C80:C83)</f>
        <v>211662.5</v>
      </c>
      <c r="D84" s="1298">
        <f>SUM(D80:D83)</f>
        <v>49820.5</v>
      </c>
      <c r="E84" s="2361">
        <f>C84+D84</f>
        <v>261483</v>
      </c>
      <c r="F84" s="2362"/>
      <c r="G84" s="2363"/>
      <c r="H84" s="1269" t="s">
        <v>353</v>
      </c>
      <c r="I84" s="1269"/>
      <c r="J84" s="1270"/>
      <c r="K84" s="1270"/>
      <c r="L84" s="2283">
        <f>SUM(L35+M35+N35+O35)/12*10</f>
        <v>4246.3874999999998</v>
      </c>
      <c r="M84" s="2284"/>
      <c r="N84" s="2281">
        <f>SUM(L35+M35+N35+O35)/12*2-0.005+D72+H72</f>
        <v>1167.5125</v>
      </c>
      <c r="O84" s="2281"/>
      <c r="P84" s="2282"/>
      <c r="Q84" s="1271">
        <f>L84+N84</f>
        <v>5413.9</v>
      </c>
      <c r="R84" s="143"/>
    </row>
    <row r="85" spans="1:18" s="119" customFormat="1" ht="18.75" customHeight="1" thickTop="1" thickBot="1">
      <c r="A85" s="244"/>
      <c r="B85" s="1545" t="s">
        <v>354</v>
      </c>
      <c r="C85" s="2357" t="s">
        <v>355</v>
      </c>
      <c r="D85" s="2358"/>
      <c r="E85" s="1242"/>
      <c r="F85" s="1242"/>
      <c r="G85" s="1243"/>
      <c r="H85" s="1294" t="s">
        <v>344</v>
      </c>
      <c r="I85" s="1294"/>
      <c r="J85" s="1294"/>
      <c r="K85" s="1294"/>
      <c r="L85" s="2364">
        <f>SUM(L81:M84)</f>
        <v>12141.157499999999</v>
      </c>
      <c r="M85" s="2365"/>
      <c r="N85" s="2364">
        <f>SUM(N81:P84)</f>
        <v>10948.702499999999</v>
      </c>
      <c r="O85" s="2365"/>
      <c r="P85" s="2365"/>
      <c r="Q85" s="1295">
        <f>SUM(Q81:Q84)</f>
        <v>23089.86</v>
      </c>
      <c r="R85" s="143"/>
    </row>
    <row r="86" spans="1:18" s="119" customFormat="1" ht="24.75" customHeight="1" thickTop="1">
      <c r="A86" s="244"/>
      <c r="B86" s="1244" t="s">
        <v>356</v>
      </c>
      <c r="C86" s="2359">
        <f>H62</f>
        <v>93600</v>
      </c>
      <c r="D86" s="2360"/>
      <c r="E86" s="245"/>
      <c r="F86" s="244"/>
      <c r="G86" s="244"/>
      <c r="H86" s="2393" t="s">
        <v>357</v>
      </c>
      <c r="I86" s="2394"/>
      <c r="J86" s="2394"/>
      <c r="K86" s="2395"/>
      <c r="L86" s="1272"/>
      <c r="M86" s="1273"/>
      <c r="N86" s="1272"/>
      <c r="O86" s="1272"/>
      <c r="P86" s="1273"/>
      <c r="Q86" s="1274"/>
      <c r="R86" s="143"/>
    </row>
    <row r="87" spans="1:18" s="119" customFormat="1" ht="30.75" customHeight="1" thickBot="1">
      <c r="A87" s="238"/>
      <c r="B87" s="1546" t="s">
        <v>539</v>
      </c>
      <c r="C87" s="1547" t="s">
        <v>766</v>
      </c>
      <c r="D87" s="2396" t="s">
        <v>516</v>
      </c>
      <c r="E87" s="2397"/>
      <c r="F87" s="2366" t="s">
        <v>1234</v>
      </c>
      <c r="G87" s="2366"/>
      <c r="H87" s="1258" t="s">
        <v>358</v>
      </c>
      <c r="I87" s="1259"/>
      <c r="J87" s="1275"/>
      <c r="K87" s="1276"/>
      <c r="L87" s="2352">
        <f>K11/12*10</f>
        <v>2858.9749999999999</v>
      </c>
      <c r="M87" s="2354"/>
      <c r="N87" s="2352">
        <f>K11/12*2+F70</f>
        <v>7825.7950000000001</v>
      </c>
      <c r="O87" s="2353"/>
      <c r="P87" s="2354"/>
      <c r="Q87" s="1277">
        <f>L87+N87</f>
        <v>10684.77</v>
      </c>
      <c r="R87" s="143"/>
    </row>
    <row r="88" spans="1:18" s="119" customFormat="1" ht="19.5" customHeight="1" thickBot="1">
      <c r="A88" s="143"/>
      <c r="B88" s="1247" t="s">
        <v>359</v>
      </c>
      <c r="C88" s="1248">
        <f>J11</f>
        <v>7509</v>
      </c>
      <c r="D88" s="2422">
        <f>I11</f>
        <v>7509</v>
      </c>
      <c r="E88" s="2423"/>
      <c r="F88" s="2367"/>
      <c r="G88" s="2367"/>
      <c r="H88" s="1278" t="s">
        <v>360</v>
      </c>
      <c r="I88" s="1279"/>
      <c r="J88" s="1280"/>
      <c r="K88" s="1281"/>
      <c r="L88" s="2352">
        <f>K22/12*10</f>
        <v>4927.0625</v>
      </c>
      <c r="M88" s="2354"/>
      <c r="N88" s="2352">
        <f>K22/12*2+F71</f>
        <v>1275.5725</v>
      </c>
      <c r="O88" s="2353"/>
      <c r="P88" s="2354"/>
      <c r="Q88" s="1282">
        <f>L88+N88</f>
        <v>6202.6350000000002</v>
      </c>
      <c r="R88" s="143"/>
    </row>
    <row r="89" spans="1:18" s="119" customFormat="1" ht="19.5" customHeight="1" thickBot="1">
      <c r="A89" s="238"/>
      <c r="B89" s="1249" t="s">
        <v>347</v>
      </c>
      <c r="C89" s="1250">
        <f>J22</f>
        <v>7942.5</v>
      </c>
      <c r="D89" s="2355">
        <f>I22+J71</f>
        <v>8254.5</v>
      </c>
      <c r="E89" s="2356"/>
      <c r="F89" s="2272">
        <f>J71</f>
        <v>312</v>
      </c>
      <c r="G89" s="2272"/>
      <c r="H89" s="1278" t="s">
        <v>352</v>
      </c>
      <c r="I89" s="1279"/>
      <c r="J89" s="1283"/>
      <c r="K89" s="1284"/>
      <c r="L89" s="2352">
        <f>K25/12*10</f>
        <v>991.22500000000002</v>
      </c>
      <c r="M89" s="2354"/>
      <c r="N89" s="2352">
        <f>K25/12*2</f>
        <v>198.245</v>
      </c>
      <c r="O89" s="2353"/>
      <c r="P89" s="2354"/>
      <c r="Q89" s="1268">
        <f>L89+N89</f>
        <v>1189.47</v>
      </c>
      <c r="R89" s="143"/>
    </row>
    <row r="90" spans="1:18" s="119" customFormat="1" ht="19.5" customHeight="1" thickBot="1">
      <c r="A90" s="238"/>
      <c r="B90" s="1249" t="s">
        <v>349</v>
      </c>
      <c r="C90" s="1250">
        <f>J25</f>
        <v>1279</v>
      </c>
      <c r="D90" s="2355">
        <f>I25</f>
        <v>1279</v>
      </c>
      <c r="E90" s="2356"/>
      <c r="F90" s="2424"/>
      <c r="G90" s="2424"/>
      <c r="H90" s="1278" t="s">
        <v>353</v>
      </c>
      <c r="I90" s="1279"/>
      <c r="J90" s="1283"/>
      <c r="K90" s="1285"/>
      <c r="L90" s="2352">
        <f>K35/12*10</f>
        <v>3437.7062499999993</v>
      </c>
      <c r="M90" s="2354"/>
      <c r="N90" s="2352">
        <f>K35/12*2+F72</f>
        <v>977.70124999999985</v>
      </c>
      <c r="O90" s="2353"/>
      <c r="P90" s="2354"/>
      <c r="Q90" s="1268">
        <f>L90+N90</f>
        <v>4415.4074999999993</v>
      </c>
      <c r="R90" s="143"/>
    </row>
    <row r="91" spans="1:18" s="119" customFormat="1" ht="19.5" customHeight="1" thickBot="1">
      <c r="A91" s="238"/>
      <c r="B91" s="1251" t="s">
        <v>351</v>
      </c>
      <c r="C91" s="1252">
        <f>J35</f>
        <v>4435.75</v>
      </c>
      <c r="D91" s="2399">
        <f>I35+J72</f>
        <v>4747.75</v>
      </c>
      <c r="E91" s="2400"/>
      <c r="F91" s="2272">
        <f>J72</f>
        <v>312</v>
      </c>
      <c r="G91" s="2272"/>
      <c r="H91" s="1290" t="s">
        <v>344</v>
      </c>
      <c r="I91" s="1291"/>
      <c r="J91" s="1291"/>
      <c r="K91" s="1292"/>
      <c r="L91" s="2401">
        <f>SUM(L87:M90)</f>
        <v>12214.96875</v>
      </c>
      <c r="M91" s="2402"/>
      <c r="N91" s="2401">
        <f>SUM(N87:P90)</f>
        <v>10277.313750000001</v>
      </c>
      <c r="O91" s="2403"/>
      <c r="P91" s="2402"/>
      <c r="Q91" s="1293">
        <f>SUM(Q87:Q90)</f>
        <v>22492.282500000001</v>
      </c>
      <c r="R91" s="143"/>
    </row>
    <row r="92" spans="1:18" s="119" customFormat="1" ht="19.5" customHeight="1" thickTop="1" thickBot="1">
      <c r="A92" s="238"/>
      <c r="B92" s="1299" t="s">
        <v>344</v>
      </c>
      <c r="C92" s="1300">
        <f>SUM(C88:C91)</f>
        <v>21166.25</v>
      </c>
      <c r="D92" s="2385">
        <f>SUM(D88:D91)</f>
        <v>21790.25</v>
      </c>
      <c r="E92" s="2386"/>
      <c r="F92" s="2425">
        <f>SUM(F89:F91)</f>
        <v>624</v>
      </c>
      <c r="G92" s="2425"/>
      <c r="H92" s="246"/>
      <c r="I92" s="247"/>
      <c r="J92" s="247"/>
      <c r="K92" s="248"/>
      <c r="L92" s="252"/>
      <c r="M92" s="253"/>
      <c r="N92" s="252"/>
      <c r="O92" s="252"/>
      <c r="P92" s="253"/>
      <c r="Q92" s="254"/>
      <c r="R92" s="143"/>
    </row>
    <row r="93" spans="1:18" s="119" customFormat="1" ht="19.5" customHeight="1" thickTop="1" thickBot="1">
      <c r="A93" s="238"/>
      <c r="B93" s="244"/>
      <c r="C93" s="244"/>
      <c r="D93" s="244"/>
      <c r="E93" s="239"/>
      <c r="F93" s="239"/>
      <c r="G93" s="240"/>
      <c r="H93" s="2387" t="s">
        <v>361</v>
      </c>
      <c r="I93" s="2388"/>
      <c r="J93" s="2389"/>
      <c r="K93" s="2390"/>
      <c r="L93" s="2391"/>
      <c r="M93" s="2392"/>
      <c r="N93" s="2391"/>
      <c r="O93" s="2398"/>
      <c r="P93" s="2392"/>
      <c r="Q93" s="255">
        <f>L93+N93</f>
        <v>0</v>
      </c>
      <c r="R93" s="143"/>
    </row>
    <row r="94" spans="1:18" s="119" customFormat="1" ht="15.75" customHeight="1">
      <c r="A94" s="238"/>
      <c r="B94" s="494"/>
      <c r="C94" s="514"/>
      <c r="D94" s="2407"/>
      <c r="E94" s="2407"/>
      <c r="F94" s="514"/>
      <c r="G94" s="494"/>
      <c r="H94" s="494"/>
      <c r="I94" s="517"/>
      <c r="J94" s="516"/>
      <c r="K94" s="516"/>
      <c r="L94" s="518"/>
      <c r="M94" s="518"/>
      <c r="N94" s="518"/>
      <c r="O94" s="518"/>
      <c r="P94" s="518"/>
      <c r="Q94" s="526"/>
      <c r="R94" s="143"/>
    </row>
    <row r="95" spans="1:18" s="119" customFormat="1" ht="15.75" customHeight="1">
      <c r="A95" s="238"/>
      <c r="B95" s="494"/>
      <c r="C95" s="514"/>
      <c r="D95" s="528"/>
      <c r="E95" s="528"/>
      <c r="F95" s="514"/>
      <c r="G95" s="494"/>
      <c r="H95" s="494"/>
      <c r="I95" s="517"/>
      <c r="J95" s="516"/>
      <c r="K95" s="516"/>
      <c r="L95" s="518"/>
      <c r="M95" s="518"/>
      <c r="N95" s="518"/>
      <c r="O95" s="518"/>
      <c r="P95" s="518"/>
      <c r="Q95" s="526"/>
      <c r="R95" s="143"/>
    </row>
    <row r="96" spans="1:18" s="119" customFormat="1" ht="30" customHeight="1">
      <c r="A96" s="238"/>
      <c r="B96" s="2410" t="s">
        <v>1230</v>
      </c>
      <c r="C96" s="2410"/>
      <c r="D96" s="2410"/>
      <c r="E96" s="2410"/>
      <c r="F96" s="2410"/>
      <c r="G96" s="2410"/>
      <c r="H96" s="728"/>
      <c r="I96" s="728"/>
      <c r="J96" s="516"/>
      <c r="K96" s="516"/>
      <c r="L96" s="518"/>
      <c r="M96" s="518"/>
      <c r="N96" s="518"/>
      <c r="O96" s="518"/>
      <c r="P96" s="518"/>
      <c r="Q96" s="526"/>
      <c r="R96" s="143"/>
    </row>
    <row r="97" spans="1:19" s="119" customFormat="1" ht="15.75" customHeight="1">
      <c r="A97" s="238"/>
      <c r="C97" s="1286"/>
      <c r="D97" s="1287"/>
      <c r="E97" s="1287"/>
      <c r="F97" s="1286"/>
      <c r="H97" s="494"/>
      <c r="I97" s="517"/>
      <c r="J97" s="516"/>
      <c r="K97" s="516"/>
      <c r="L97" s="518"/>
      <c r="M97" s="518"/>
      <c r="N97" s="518"/>
      <c r="O97" s="518"/>
      <c r="P97" s="518"/>
      <c r="Q97" s="526"/>
      <c r="R97" s="143"/>
    </row>
    <row r="98" spans="1:19" s="119" customFormat="1" ht="15.75" customHeight="1">
      <c r="A98" s="238"/>
      <c r="E98" s="1288"/>
      <c r="F98" s="1286"/>
      <c r="H98" s="494"/>
      <c r="I98" s="517"/>
      <c r="J98" s="516"/>
      <c r="K98" s="516"/>
      <c r="L98" s="518"/>
      <c r="M98" s="518"/>
      <c r="N98" s="518"/>
      <c r="O98" s="518"/>
      <c r="P98" s="518"/>
      <c r="Q98" s="526"/>
      <c r="R98" s="143"/>
    </row>
    <row r="99" spans="1:19" s="119" customFormat="1" ht="15.75" customHeight="1">
      <c r="A99" s="238"/>
      <c r="B99" s="119" t="s">
        <v>762</v>
      </c>
      <c r="C99" s="1286">
        <f>SUM(Ingresos!C50)</f>
        <v>629244.31000000006</v>
      </c>
      <c r="D99" s="2408" t="s">
        <v>765</v>
      </c>
      <c r="E99" s="2408"/>
      <c r="F99" s="1286">
        <f>+C99/2</f>
        <v>314622.15500000003</v>
      </c>
      <c r="G99" s="527"/>
      <c r="H99" s="2409"/>
      <c r="I99" s="2409"/>
      <c r="J99" s="516"/>
      <c r="K99" s="516"/>
      <c r="L99" s="518"/>
      <c r="M99" s="518"/>
      <c r="N99" s="518"/>
      <c r="O99" s="518"/>
      <c r="P99" s="518"/>
      <c r="Q99" s="526"/>
      <c r="R99" s="143"/>
    </row>
    <row r="100" spans="1:19" s="119" customFormat="1" ht="15.75" customHeight="1">
      <c r="A100" s="238"/>
      <c r="B100" s="119" t="s">
        <v>763</v>
      </c>
      <c r="E100" s="1288"/>
      <c r="F100" s="1286">
        <f>+C84+C92+L85+L91+L93</f>
        <v>257184.87625</v>
      </c>
      <c r="G100" s="1649" t="s">
        <v>805</v>
      </c>
      <c r="H100" s="2421">
        <f>F99-F100</f>
        <v>57437.278750000027</v>
      </c>
      <c r="I100" s="2421"/>
      <c r="J100" s="516"/>
      <c r="K100" s="516"/>
      <c r="L100" s="518"/>
      <c r="M100" s="518"/>
      <c r="N100" s="518"/>
      <c r="O100" s="518"/>
      <c r="P100" s="518"/>
      <c r="Q100" s="526"/>
      <c r="R100" s="143"/>
    </row>
    <row r="101" spans="1:19" s="119" customFormat="1" ht="15.75" customHeight="1">
      <c r="A101" s="238"/>
      <c r="E101" s="1288"/>
      <c r="F101" s="1286"/>
      <c r="H101" s="494"/>
      <c r="I101" s="517"/>
      <c r="J101" s="516"/>
      <c r="K101" s="516"/>
      <c r="L101" s="518"/>
      <c r="M101" s="518"/>
      <c r="N101" s="518"/>
      <c r="O101" s="518"/>
      <c r="P101" s="518"/>
      <c r="Q101" s="526"/>
      <c r="R101" s="143"/>
    </row>
    <row r="102" spans="1:19" s="119" customFormat="1" ht="15.75" customHeight="1">
      <c r="A102" s="238"/>
      <c r="B102" s="119" t="s">
        <v>764</v>
      </c>
      <c r="E102" s="1288"/>
      <c r="F102" s="1289">
        <f>+F100/258718.39</f>
        <v>0.99407265270164979</v>
      </c>
      <c r="H102" s="494"/>
      <c r="I102" s="517"/>
      <c r="J102" s="516"/>
      <c r="K102" s="516"/>
      <c r="L102" s="518"/>
      <c r="M102" s="518"/>
      <c r="N102" s="518"/>
      <c r="O102" s="518"/>
      <c r="P102" s="518"/>
      <c r="Q102" s="526"/>
      <c r="R102" s="143"/>
    </row>
    <row r="103" spans="1:19" s="119" customFormat="1" ht="15.75" customHeight="1">
      <c r="A103" s="238"/>
      <c r="B103" s="494"/>
      <c r="C103" s="494"/>
      <c r="D103" s="494"/>
      <c r="E103" s="513"/>
      <c r="F103" s="514"/>
      <c r="G103" s="494"/>
      <c r="H103" s="494"/>
      <c r="I103" s="517"/>
      <c r="J103" s="516"/>
      <c r="K103" s="516"/>
      <c r="L103" s="518"/>
      <c r="M103" s="518"/>
      <c r="N103" s="518"/>
      <c r="O103" s="518"/>
      <c r="P103" s="518"/>
      <c r="Q103" s="526"/>
      <c r="R103" s="143"/>
    </row>
    <row r="104" spans="1:19" s="79" customFormat="1" ht="20.25" customHeight="1" thickBot="1">
      <c r="A104" s="249"/>
      <c r="B104" s="494"/>
      <c r="C104" s="683"/>
      <c r="D104" s="494"/>
      <c r="E104" s="513"/>
      <c r="F104" s="515"/>
      <c r="G104" s="494"/>
      <c r="H104" s="494"/>
      <c r="I104" s="250"/>
      <c r="J104" s="250"/>
      <c r="K104" s="250"/>
      <c r="L104" s="251"/>
      <c r="M104" s="250"/>
      <c r="N104" s="250"/>
      <c r="O104" s="250"/>
      <c r="P104" s="250"/>
      <c r="Q104" s="250"/>
      <c r="R104" s="144"/>
    </row>
    <row r="105" spans="1:19" ht="26.25" thickBot="1">
      <c r="A105" s="62"/>
      <c r="B105" s="1548" t="s">
        <v>56</v>
      </c>
      <c r="C105" s="1549" t="s">
        <v>556</v>
      </c>
      <c r="D105" s="684" t="s">
        <v>199</v>
      </c>
      <c r="E105" s="2384">
        <f>SUM(Q65)</f>
        <v>505844.5575</v>
      </c>
      <c r="F105" s="2384"/>
      <c r="G105" s="216"/>
      <c r="H105" s="2375"/>
      <c r="I105" s="2376"/>
      <c r="J105" s="2376"/>
      <c r="K105" s="2379"/>
      <c r="L105" s="2370" t="s">
        <v>556</v>
      </c>
      <c r="M105" s="2380"/>
      <c r="N105" s="2375"/>
      <c r="O105" s="2376"/>
      <c r="P105" s="2370" t="s">
        <v>556</v>
      </c>
      <c r="Q105" s="2371"/>
      <c r="R105" s="2368"/>
      <c r="S105" s="2369"/>
    </row>
    <row r="106" spans="1:19" ht="18.75" customHeight="1" thickBot="1">
      <c r="B106" s="686" t="s">
        <v>555</v>
      </c>
      <c r="C106" s="681">
        <f>H48/12*12</f>
        <v>50088</v>
      </c>
      <c r="D106" s="687"/>
      <c r="E106" s="685"/>
      <c r="F106" s="682"/>
      <c r="H106" s="2381" t="s">
        <v>346</v>
      </c>
      <c r="I106" s="2382"/>
      <c r="J106" s="2382"/>
      <c r="K106" s="2383"/>
      <c r="L106" s="242"/>
      <c r="M106" s="243"/>
      <c r="N106" s="2372" t="s">
        <v>357</v>
      </c>
      <c r="O106" s="2373"/>
      <c r="P106" s="2373"/>
      <c r="Q106" s="2374"/>
    </row>
    <row r="107" spans="1:19" ht="18.75" customHeight="1" thickBot="1">
      <c r="B107" s="686" t="s">
        <v>1299</v>
      </c>
      <c r="C107" s="681">
        <f>H52/12*12</f>
        <v>16200</v>
      </c>
      <c r="G107" s="673"/>
      <c r="H107" s="674" t="s">
        <v>555</v>
      </c>
      <c r="I107" s="675"/>
      <c r="J107" s="677"/>
      <c r="K107" s="688"/>
      <c r="L107" s="2419">
        <f>SUM(L48+M48+O48)/12*12</f>
        <v>4257.4799999999996</v>
      </c>
      <c r="M107" s="2420"/>
      <c r="N107" s="689" t="s">
        <v>555</v>
      </c>
      <c r="O107" s="675"/>
      <c r="P107" s="676"/>
      <c r="Q107" s="678">
        <f>K48/12*12</f>
        <v>3881.82</v>
      </c>
    </row>
    <row r="108" spans="1:19" ht="23.25" thickBot="1">
      <c r="B108" s="1550" t="s">
        <v>539</v>
      </c>
      <c r="C108" s="1551" t="s">
        <v>558</v>
      </c>
      <c r="D108" s="2414" t="s">
        <v>557</v>
      </c>
      <c r="E108" s="2415"/>
      <c r="H108" s="674" t="s">
        <v>1300</v>
      </c>
      <c r="I108" s="675"/>
      <c r="J108" s="677"/>
      <c r="K108" s="677"/>
      <c r="L108" s="2426">
        <f>SUM(L52+M52+O52)/12*12</f>
        <v>1020</v>
      </c>
      <c r="M108" s="2427"/>
      <c r="N108" s="674" t="s">
        <v>1300</v>
      </c>
      <c r="O108" s="675"/>
      <c r="P108" s="676"/>
      <c r="Q108" s="678">
        <f>K52/12*12</f>
        <v>1255.5</v>
      </c>
    </row>
    <row r="109" spans="1:19" ht="21" customHeight="1" thickBot="1">
      <c r="B109" s="679" t="s">
        <v>555</v>
      </c>
      <c r="C109" s="680">
        <f>J48</f>
        <v>4174</v>
      </c>
      <c r="D109" s="681">
        <f>I48</f>
        <v>4174</v>
      </c>
      <c r="E109" s="682"/>
      <c r="H109" s="2416"/>
      <c r="I109" s="2416"/>
      <c r="J109" s="2417"/>
      <c r="K109" s="2417"/>
      <c r="L109" s="2418"/>
      <c r="M109" s="2418"/>
    </row>
    <row r="110" spans="1:19" ht="21.75" customHeight="1" thickBot="1">
      <c r="B110" s="679" t="s">
        <v>1299</v>
      </c>
      <c r="C110" s="680">
        <f>J52</f>
        <v>1350</v>
      </c>
      <c r="D110" s="681">
        <f>I52</f>
        <v>1350</v>
      </c>
      <c r="E110" s="682"/>
    </row>
    <row r="111" spans="1:19">
      <c r="B111" s="256"/>
      <c r="F111" s="91"/>
    </row>
    <row r="112" spans="1:19">
      <c r="B112" s="256"/>
    </row>
    <row r="113" spans="2:2">
      <c r="B113" s="256"/>
    </row>
    <row r="114" spans="2:2">
      <c r="B114" s="256"/>
    </row>
  </sheetData>
  <mergeCells count="108">
    <mergeCell ref="E81:G81"/>
    <mergeCell ref="L83:M83"/>
    <mergeCell ref="D94:E94"/>
    <mergeCell ref="D99:E99"/>
    <mergeCell ref="H99:I99"/>
    <mergeCell ref="B96:G96"/>
    <mergeCell ref="E83:G83"/>
    <mergeCell ref="D108:E108"/>
    <mergeCell ref="H109:K109"/>
    <mergeCell ref="L109:M109"/>
    <mergeCell ref="L107:M107"/>
    <mergeCell ref="E82:G82"/>
    <mergeCell ref="L82:M82"/>
    <mergeCell ref="H100:I100"/>
    <mergeCell ref="D88:E88"/>
    <mergeCell ref="L89:M89"/>
    <mergeCell ref="F90:G90"/>
    <mergeCell ref="F91:G91"/>
    <mergeCell ref="F92:G92"/>
    <mergeCell ref="L108:M108"/>
    <mergeCell ref="R105:S105"/>
    <mergeCell ref="P105:Q105"/>
    <mergeCell ref="N106:Q106"/>
    <mergeCell ref="N105:O105"/>
    <mergeCell ref="B35:E35"/>
    <mergeCell ref="H105:K105"/>
    <mergeCell ref="L105:M105"/>
    <mergeCell ref="H106:K106"/>
    <mergeCell ref="E105:F105"/>
    <mergeCell ref="D92:E92"/>
    <mergeCell ref="H93:K93"/>
    <mergeCell ref="L93:M93"/>
    <mergeCell ref="L88:M88"/>
    <mergeCell ref="H86:K86"/>
    <mergeCell ref="D87:E87"/>
    <mergeCell ref="L87:M87"/>
    <mergeCell ref="N93:P93"/>
    <mergeCell ref="D90:E90"/>
    <mergeCell ref="L90:M90"/>
    <mergeCell ref="N90:P90"/>
    <mergeCell ref="D91:E91"/>
    <mergeCell ref="L91:M91"/>
    <mergeCell ref="N91:P91"/>
    <mergeCell ref="N88:P88"/>
    <mergeCell ref="N89:P89"/>
    <mergeCell ref="D89:E89"/>
    <mergeCell ref="N87:P87"/>
    <mergeCell ref="C85:D85"/>
    <mergeCell ref="C86:D86"/>
    <mergeCell ref="E84:G84"/>
    <mergeCell ref="L84:M84"/>
    <mergeCell ref="N84:P84"/>
    <mergeCell ref="L85:M85"/>
    <mergeCell ref="N85:P85"/>
    <mergeCell ref="F87:G87"/>
    <mergeCell ref="F88:G88"/>
    <mergeCell ref="F89:G89"/>
    <mergeCell ref="A2:Q2"/>
    <mergeCell ref="A3:Q3"/>
    <mergeCell ref="A4:Q4"/>
    <mergeCell ref="A5:A7"/>
    <mergeCell ref="B5:B7"/>
    <mergeCell ref="C5:C7"/>
    <mergeCell ref="D5:D7"/>
    <mergeCell ref="E5:E7"/>
    <mergeCell ref="F5:F7"/>
    <mergeCell ref="G5:H6"/>
    <mergeCell ref="K5:P5"/>
    <mergeCell ref="Q5:Q7"/>
    <mergeCell ref="I5:J6"/>
    <mergeCell ref="L6:O6"/>
    <mergeCell ref="P6:P7"/>
    <mergeCell ref="N83:P83"/>
    <mergeCell ref="L81:M81"/>
    <mergeCell ref="N81:P81"/>
    <mergeCell ref="N82:P82"/>
    <mergeCell ref="B36:D36"/>
    <mergeCell ref="E80:G80"/>
    <mergeCell ref="H80:K80"/>
    <mergeCell ref="N80:P80"/>
    <mergeCell ref="B77:P77"/>
    <mergeCell ref="B78:G78"/>
    <mergeCell ref="H78:Q78"/>
    <mergeCell ref="E79:G79"/>
    <mergeCell ref="H79:K79"/>
    <mergeCell ref="L79:M79"/>
    <mergeCell ref="N79:P79"/>
    <mergeCell ref="B59:C59"/>
    <mergeCell ref="B64:C64"/>
    <mergeCell ref="C53:D53"/>
    <mergeCell ref="B63:C63"/>
    <mergeCell ref="H70:I70"/>
    <mergeCell ref="B68:K68"/>
    <mergeCell ref="D69:E69"/>
    <mergeCell ref="F69:G69"/>
    <mergeCell ref="B56:C56"/>
    <mergeCell ref="H71:I71"/>
    <mergeCell ref="H74:I74"/>
    <mergeCell ref="H69:I69"/>
    <mergeCell ref="F70:G70"/>
    <mergeCell ref="D70:E70"/>
    <mergeCell ref="D71:E71"/>
    <mergeCell ref="D74:E74"/>
    <mergeCell ref="F71:G71"/>
    <mergeCell ref="F74:G74"/>
    <mergeCell ref="D72:E72"/>
    <mergeCell ref="F72:G72"/>
    <mergeCell ref="H72:I72"/>
  </mergeCells>
  <phoneticPr fontId="11" type="noConversion"/>
  <pageMargins left="0.11811023622047245" right="0.11811023622047245" top="0.55118110236220474" bottom="0.15748031496062992" header="0.11811023622047245" footer="0.11811023622047245"/>
  <pageSetup scale="60" orientation="landscape" verticalDpi="300" r:id="rId1"/>
  <headerFooter alignWithMargins="0"/>
  <rowBreaks count="2" manualBreakCount="2">
    <brk id="36" max="16" man="1"/>
    <brk id="76" max="16" man="1"/>
  </rowBreaks>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M40"/>
  <sheetViews>
    <sheetView zoomScale="81" zoomScaleNormal="81" workbookViewId="0">
      <selection activeCell="H8" sqref="H8"/>
    </sheetView>
  </sheetViews>
  <sheetFormatPr baseColWidth="10" defaultRowHeight="12.75"/>
  <cols>
    <col min="1" max="1" width="6.5703125" customWidth="1"/>
    <col min="2" max="2" width="30.85546875" customWidth="1"/>
    <col min="3" max="3" width="19.28515625" customWidth="1"/>
    <col min="4" max="4" width="15" customWidth="1"/>
    <col min="5" max="5" width="14.42578125" customWidth="1"/>
    <col min="6" max="6" width="15" customWidth="1"/>
    <col min="7" max="7" width="16.42578125" customWidth="1"/>
    <col min="9" max="9" width="14.140625" bestFit="1" customWidth="1"/>
  </cols>
  <sheetData>
    <row r="1" spans="1:9" ht="33.75" customHeight="1">
      <c r="A1" s="2324" t="s">
        <v>363</v>
      </c>
      <c r="B1" s="2324"/>
      <c r="C1" s="2324"/>
      <c r="D1" s="2324"/>
      <c r="E1" s="2324"/>
      <c r="F1" s="2324"/>
      <c r="G1" s="2324"/>
    </row>
    <row r="2" spans="1:9" ht="30" customHeight="1">
      <c r="A2" s="2428" t="s">
        <v>1218</v>
      </c>
      <c r="B2" s="2429"/>
      <c r="C2" s="2429"/>
      <c r="D2" s="2429"/>
      <c r="E2" s="2429"/>
      <c r="F2" s="2429"/>
      <c r="G2" s="2429"/>
    </row>
    <row r="3" spans="1:9" ht="15">
      <c r="A3" s="2430"/>
      <c r="B3" s="2430"/>
      <c r="C3" s="2430"/>
      <c r="D3" s="2430"/>
      <c r="E3" s="2430"/>
      <c r="F3" s="2430"/>
      <c r="G3" s="2430"/>
    </row>
    <row r="4" spans="1:9" ht="15.75" thickBot="1">
      <c r="A4" s="66"/>
      <c r="B4" s="66"/>
      <c r="C4" s="21"/>
      <c r="D4" s="21"/>
      <c r="E4" s="21"/>
      <c r="F4" s="21"/>
      <c r="G4" s="21"/>
    </row>
    <row r="5" spans="1:9" ht="17.25" thickBot="1">
      <c r="A5" s="2450" t="s">
        <v>365</v>
      </c>
      <c r="B5" s="2434" t="s">
        <v>369</v>
      </c>
      <c r="C5" s="2431" t="s">
        <v>364</v>
      </c>
      <c r="D5" s="2432"/>
      <c r="E5" s="2432"/>
      <c r="F5" s="2432"/>
      <c r="G5" s="2433"/>
    </row>
    <row r="6" spans="1:9" ht="15" customHeight="1">
      <c r="A6" s="2451"/>
      <c r="B6" s="2453"/>
      <c r="C6" s="2434" t="s">
        <v>503</v>
      </c>
      <c r="D6" s="2434" t="s">
        <v>375</v>
      </c>
      <c r="E6" s="2434" t="s">
        <v>502</v>
      </c>
      <c r="F6" s="2434" t="s">
        <v>501</v>
      </c>
      <c r="G6" s="2434" t="s">
        <v>368</v>
      </c>
    </row>
    <row r="7" spans="1:9" ht="55.5" customHeight="1" thickBot="1">
      <c r="A7" s="2452"/>
      <c r="B7" s="2436"/>
      <c r="C7" s="2435"/>
      <c r="D7" s="2435"/>
      <c r="E7" s="2436"/>
      <c r="F7" s="2436"/>
      <c r="G7" s="2440"/>
    </row>
    <row r="8" spans="1:9" s="140" customFormat="1" ht="24.75" customHeight="1" thickBot="1">
      <c r="A8" s="784" t="s">
        <v>55</v>
      </c>
      <c r="B8" s="785" t="s">
        <v>112</v>
      </c>
      <c r="C8" s="786">
        <f>SUM('Proy. de recur.Humanos'!C80)</f>
        <v>75090</v>
      </c>
      <c r="D8" s="786">
        <f>SUM('Proy. de recur.Humanos'!C81)</f>
        <v>79425</v>
      </c>
      <c r="E8" s="786">
        <f>SUM('Proy. de recur.Humanos'!C82)</f>
        <v>12790</v>
      </c>
      <c r="F8" s="786">
        <f>SUM('Proy. de recur.Humanos'!C83)</f>
        <v>44357.5</v>
      </c>
      <c r="G8" s="787">
        <f t="shared" ref="G8:G16" si="0">SUM(C8:F8)</f>
        <v>211662.5</v>
      </c>
      <c r="I8" s="616"/>
    </row>
    <row r="9" spans="1:9" s="140" customFormat="1" ht="24.75" customHeight="1" thickBot="1">
      <c r="A9" s="788" t="s">
        <v>113</v>
      </c>
      <c r="B9" s="789" t="s">
        <v>114</v>
      </c>
      <c r="C9" s="790">
        <f>SUM('Proy. de recur.Humanos'!C88)</f>
        <v>7509</v>
      </c>
      <c r="D9" s="790">
        <f>SUM('Proy. de recur.Humanos'!C89)</f>
        <v>7942.5</v>
      </c>
      <c r="E9" s="791">
        <f>SUM('Proy. de recur.Humanos'!C90)</f>
        <v>1279</v>
      </c>
      <c r="F9" s="791">
        <f>SUM('Proy. de recur.Humanos'!C91)</f>
        <v>4435.75</v>
      </c>
      <c r="G9" s="787">
        <f t="shared" si="0"/>
        <v>21166.25</v>
      </c>
    </row>
    <row r="10" spans="1:9" s="140" customFormat="1" ht="24.75" customHeight="1" thickBot="1">
      <c r="A10" s="788" t="s">
        <v>115</v>
      </c>
      <c r="B10" s="789" t="s">
        <v>116</v>
      </c>
      <c r="C10" s="790">
        <v>0</v>
      </c>
      <c r="D10" s="790">
        <v>0</v>
      </c>
      <c r="E10" s="790">
        <v>0</v>
      </c>
      <c r="F10" s="790">
        <v>0</v>
      </c>
      <c r="G10" s="787">
        <f t="shared" si="0"/>
        <v>0</v>
      </c>
    </row>
    <row r="11" spans="1:9" s="140" customFormat="1" ht="24.75" customHeight="1" thickBot="1">
      <c r="A11" s="788" t="s">
        <v>55</v>
      </c>
      <c r="B11" s="789" t="s">
        <v>112</v>
      </c>
      <c r="C11" s="790"/>
      <c r="D11" s="792">
        <v>0</v>
      </c>
      <c r="E11" s="790">
        <v>0</v>
      </c>
      <c r="F11" s="790"/>
      <c r="G11" s="787">
        <f t="shared" si="0"/>
        <v>0</v>
      </c>
    </row>
    <row r="12" spans="1:9" s="140" customFormat="1" ht="24.75" customHeight="1" thickBot="1">
      <c r="A12" s="788" t="s">
        <v>118</v>
      </c>
      <c r="B12" s="789" t="s">
        <v>114</v>
      </c>
      <c r="C12" s="790"/>
      <c r="D12" s="792"/>
      <c r="E12" s="790"/>
      <c r="F12" s="790"/>
      <c r="G12" s="787">
        <f t="shared" si="0"/>
        <v>0</v>
      </c>
    </row>
    <row r="13" spans="1:9" s="140" customFormat="1" ht="24.75" customHeight="1" thickBot="1">
      <c r="A13" s="788" t="s">
        <v>121</v>
      </c>
      <c r="B13" s="789" t="s">
        <v>122</v>
      </c>
      <c r="C13" s="793">
        <f>SUM('Proy. de recur.Humanos'!L81:M81)</f>
        <v>1699.9949999999999</v>
      </c>
      <c r="D13" s="793">
        <f>SUM('Proy. de recur.Humanos'!L82:M82)</f>
        <v>5107.625</v>
      </c>
      <c r="E13" s="794">
        <f>SUM('Proy. de recur.Humanos'!L83:M83)</f>
        <v>1087.1499999999999</v>
      </c>
      <c r="F13" s="794">
        <f>SUM('Proy. de recur.Humanos'!L84:M84)</f>
        <v>4246.3874999999998</v>
      </c>
      <c r="G13" s="787">
        <f t="shared" si="0"/>
        <v>12141.157499999999</v>
      </c>
    </row>
    <row r="14" spans="1:9" s="140" customFormat="1" ht="24.75" customHeight="1" thickBot="1">
      <c r="A14" s="795" t="s">
        <v>123</v>
      </c>
      <c r="B14" s="796" t="s">
        <v>124</v>
      </c>
      <c r="C14" s="793">
        <f>SUM('Proy. de recur.Humanos'!L87:M87)</f>
        <v>2858.9749999999999</v>
      </c>
      <c r="D14" s="797">
        <f>SUM('Proy. de recur.Humanos'!L88:M88)</f>
        <v>4927.0625</v>
      </c>
      <c r="E14" s="794">
        <f>SUM('Proy. de recur.Humanos'!L89:M89)</f>
        <v>991.22500000000002</v>
      </c>
      <c r="F14" s="797">
        <f>SUM('Proy. de recur.Humanos'!L90:M90)</f>
        <v>3437.7062499999993</v>
      </c>
      <c r="G14" s="787">
        <f t="shared" si="0"/>
        <v>12214.96875</v>
      </c>
    </row>
    <row r="15" spans="1:9" s="140" customFormat="1" ht="33" customHeight="1" thickBot="1">
      <c r="A15" s="798" t="s">
        <v>536</v>
      </c>
      <c r="B15" s="799" t="s">
        <v>538</v>
      </c>
      <c r="C15" s="800">
        <f>SUM('Proy. de recur.Humanos'!L93:M93)</f>
        <v>0</v>
      </c>
      <c r="D15" s="801"/>
      <c r="E15" s="801"/>
      <c r="F15" s="801"/>
      <c r="G15" s="787">
        <f t="shared" si="0"/>
        <v>0</v>
      </c>
    </row>
    <row r="16" spans="1:9" s="140" customFormat="1" ht="24.75" customHeight="1" thickBot="1">
      <c r="A16" s="2438" t="s">
        <v>372</v>
      </c>
      <c r="B16" s="2439"/>
      <c r="C16" s="1556">
        <f>SUM(C8:C15)</f>
        <v>87157.97</v>
      </c>
      <c r="D16" s="1556">
        <f>SUM(D8:D14)</f>
        <v>97402.1875</v>
      </c>
      <c r="E16" s="1556">
        <f>SUM(E8:E14)</f>
        <v>16147.375</v>
      </c>
      <c r="F16" s="1556">
        <f>SUM(F8:F14)</f>
        <v>56477.34375</v>
      </c>
      <c r="G16" s="1557">
        <f t="shared" si="0"/>
        <v>257184.87625</v>
      </c>
    </row>
    <row r="17" spans="1:13" ht="15.75">
      <c r="A17" s="64"/>
      <c r="B17" s="65"/>
      <c r="C17" s="37"/>
      <c r="D17" s="37"/>
      <c r="E17" s="37"/>
      <c r="F17" s="37"/>
      <c r="G17" s="218"/>
      <c r="M17">
        <f>865+125</f>
        <v>990</v>
      </c>
    </row>
    <row r="18" spans="1:13" ht="15.75" thickBot="1">
      <c r="A18" s="66"/>
      <c r="B18" s="66"/>
      <c r="C18" s="219"/>
      <c r="D18" s="21"/>
      <c r="E18" s="21"/>
      <c r="F18" s="21"/>
      <c r="G18" s="21"/>
    </row>
    <row r="19" spans="1:13" ht="17.25" thickBot="1">
      <c r="A19" s="2444" t="s">
        <v>365</v>
      </c>
      <c r="B19" s="2447" t="s">
        <v>369</v>
      </c>
      <c r="C19" s="2441" t="s">
        <v>373</v>
      </c>
      <c r="D19" s="2442"/>
      <c r="E19" s="2442"/>
      <c r="F19" s="2442"/>
      <c r="G19" s="2443"/>
    </row>
    <row r="20" spans="1:13" ht="15" customHeight="1">
      <c r="A20" s="2445"/>
      <c r="B20" s="2448"/>
      <c r="C20" s="2434" t="s">
        <v>374</v>
      </c>
      <c r="D20" s="2434" t="s">
        <v>375</v>
      </c>
      <c r="E20" s="2434" t="s">
        <v>366</v>
      </c>
      <c r="F20" s="2434" t="s">
        <v>367</v>
      </c>
      <c r="G20" s="2434" t="s">
        <v>368</v>
      </c>
    </row>
    <row r="21" spans="1:13" ht="54" customHeight="1" thickBot="1">
      <c r="A21" s="2446"/>
      <c r="B21" s="2449"/>
      <c r="C21" s="2435"/>
      <c r="D21" s="2435"/>
      <c r="E21" s="2436"/>
      <c r="F21" s="2436"/>
      <c r="G21" s="2435"/>
    </row>
    <row r="22" spans="1:13" s="140" customFormat="1" ht="23.25" customHeight="1" thickBot="1">
      <c r="A22" s="784" t="s">
        <v>55</v>
      </c>
      <c r="B22" s="785" t="s">
        <v>112</v>
      </c>
      <c r="C22" s="802">
        <f>SUM('Proy. de recur.Humanos'!D80)</f>
        <v>15018</v>
      </c>
      <c r="D22" s="802">
        <f>SUM('Proy. de recur.Humanos'!D81)</f>
        <v>19629</v>
      </c>
      <c r="E22" s="803">
        <f>SUM('Proy. de recur.Humanos'!D82)</f>
        <v>2558</v>
      </c>
      <c r="F22" s="803">
        <f>SUM('Proy. de recur.Humanos'!D83)</f>
        <v>12615.5</v>
      </c>
      <c r="G22" s="787">
        <f>SUM(C22:F22)</f>
        <v>49820.5</v>
      </c>
    </row>
    <row r="23" spans="1:13" s="140" customFormat="1" ht="23.25" customHeight="1" thickBot="1">
      <c r="A23" s="788" t="s">
        <v>118</v>
      </c>
      <c r="B23" s="789" t="s">
        <v>114</v>
      </c>
      <c r="C23" s="804">
        <v>0</v>
      </c>
      <c r="D23" s="804">
        <v>0</v>
      </c>
      <c r="E23" s="805">
        <v>0</v>
      </c>
      <c r="F23" s="805">
        <v>0</v>
      </c>
      <c r="G23" s="787">
        <f t="shared" ref="G23:G31" si="1">SUM(C23:F23)</f>
        <v>0</v>
      </c>
    </row>
    <row r="24" spans="1:13" s="140" customFormat="1" ht="23.25" customHeight="1" thickBot="1">
      <c r="A24" s="788" t="s">
        <v>115</v>
      </c>
      <c r="B24" s="789" t="s">
        <v>116</v>
      </c>
      <c r="C24" s="804">
        <f>SUM('Proy. de recur.Humanos'!C86:D86)</f>
        <v>93600</v>
      </c>
      <c r="D24" s="804">
        <v>0</v>
      </c>
      <c r="E24" s="805">
        <v>0</v>
      </c>
      <c r="F24" s="805">
        <v>0</v>
      </c>
      <c r="G24" s="787">
        <f t="shared" si="1"/>
        <v>93600</v>
      </c>
    </row>
    <row r="25" spans="1:13" s="140" customFormat="1" ht="23.25" customHeight="1" thickBot="1">
      <c r="A25" s="788" t="s">
        <v>370</v>
      </c>
      <c r="B25" s="789" t="s">
        <v>112</v>
      </c>
      <c r="C25" s="804"/>
      <c r="D25" s="804">
        <v>0</v>
      </c>
      <c r="E25" s="806">
        <v>0</v>
      </c>
      <c r="F25" s="805"/>
      <c r="G25" s="787">
        <f t="shared" si="1"/>
        <v>0</v>
      </c>
    </row>
    <row r="26" spans="1:13" s="140" customFormat="1" ht="23.25" customHeight="1" thickBot="1">
      <c r="A26" s="788" t="s">
        <v>118</v>
      </c>
      <c r="B26" s="789" t="s">
        <v>114</v>
      </c>
      <c r="C26" s="804"/>
      <c r="D26" s="804">
        <f>SUM('Proy. de recur.Humanos'!F89:G89)</f>
        <v>312</v>
      </c>
      <c r="E26" s="806"/>
      <c r="F26" s="805">
        <f>SUM('Proy. de recur.Humanos'!F91:G91)</f>
        <v>312</v>
      </c>
      <c r="G26" s="787">
        <f t="shared" si="1"/>
        <v>624</v>
      </c>
    </row>
    <row r="27" spans="1:13" s="140" customFormat="1" ht="23.25" customHeight="1" thickBot="1">
      <c r="A27" s="788" t="s">
        <v>204</v>
      </c>
      <c r="B27" s="789" t="s">
        <v>205</v>
      </c>
      <c r="C27" s="804">
        <f>SUM('Proy. de recur.Humanos'!D88:E88)</f>
        <v>7509</v>
      </c>
      <c r="D27" s="804">
        <f>SUM('Proy. de recur.Humanos'!D89:E89)</f>
        <v>8254.5</v>
      </c>
      <c r="E27" s="806">
        <f>SUM('Proy. de recur.Humanos'!D90:E90)</f>
        <v>1279</v>
      </c>
      <c r="F27" s="805">
        <f>SUM('Proy. de recur.Humanos'!D91:E91)</f>
        <v>4747.75</v>
      </c>
      <c r="G27" s="787">
        <f t="shared" si="1"/>
        <v>21790.25</v>
      </c>
    </row>
    <row r="28" spans="1:13" s="140" customFormat="1" ht="23.25" customHeight="1" thickBot="1">
      <c r="A28" s="788" t="s">
        <v>371</v>
      </c>
      <c r="B28" s="789" t="s">
        <v>119</v>
      </c>
      <c r="C28" s="804">
        <v>0</v>
      </c>
      <c r="D28" s="804">
        <v>0</v>
      </c>
      <c r="E28" s="804">
        <v>0</v>
      </c>
      <c r="F28" s="804">
        <v>0</v>
      </c>
      <c r="G28" s="787">
        <f t="shared" si="1"/>
        <v>0</v>
      </c>
    </row>
    <row r="29" spans="1:13" s="140" customFormat="1" ht="23.25" customHeight="1" thickBot="1">
      <c r="A29" s="788" t="s">
        <v>121</v>
      </c>
      <c r="B29" s="807" t="s">
        <v>122</v>
      </c>
      <c r="C29" s="804">
        <f>SUM('Proy. de recur.Humanos'!N81:P81)</f>
        <v>8224</v>
      </c>
      <c r="D29" s="804">
        <f>SUM('Proy. de recur.Humanos'!N82:P82)</f>
        <v>1339.7650000000001</v>
      </c>
      <c r="E29" s="806">
        <f>SUM('Proy. de recur.Humanos'!N83:P83)</f>
        <v>217.42499999999998</v>
      </c>
      <c r="F29" s="804">
        <f>SUM('Proy. de recur.Humanos'!N84:P84)</f>
        <v>1167.5125</v>
      </c>
      <c r="G29" s="787">
        <f t="shared" si="1"/>
        <v>10948.702499999999</v>
      </c>
    </row>
    <row r="30" spans="1:13" s="140" customFormat="1" ht="23.25" customHeight="1" thickBot="1">
      <c r="A30" s="798" t="s">
        <v>123</v>
      </c>
      <c r="B30" s="811" t="s">
        <v>124</v>
      </c>
      <c r="C30" s="804">
        <f>SUM('Proy. de recur.Humanos'!N87:P87)</f>
        <v>7825.7950000000001</v>
      </c>
      <c r="D30" s="804">
        <f>SUM('Proy. de recur.Humanos'!N88:P88)</f>
        <v>1275.5725</v>
      </c>
      <c r="E30" s="806">
        <f>SUM('Proy. de recur.Humanos'!N89:P89)</f>
        <v>198.245</v>
      </c>
      <c r="F30" s="804">
        <f>SUM('Proy. de recur.Humanos'!N90:P90)</f>
        <v>977.70124999999985</v>
      </c>
      <c r="G30" s="787">
        <f t="shared" si="1"/>
        <v>10277.313750000001</v>
      </c>
    </row>
    <row r="31" spans="1:13" s="140" customFormat="1" ht="33" customHeight="1" thickBot="1">
      <c r="A31" s="798" t="s">
        <v>536</v>
      </c>
      <c r="B31" s="812" t="s">
        <v>537</v>
      </c>
      <c r="C31" s="808">
        <f>SUM('Proy. de recur.Humanos'!N93:P93)</f>
        <v>0</v>
      </c>
      <c r="D31" s="808"/>
      <c r="E31" s="809"/>
      <c r="F31" s="810"/>
      <c r="G31" s="787">
        <f t="shared" si="1"/>
        <v>0</v>
      </c>
    </row>
    <row r="32" spans="1:13" s="140" customFormat="1" ht="23.25" customHeight="1" thickBot="1">
      <c r="A32" s="2438" t="s">
        <v>372</v>
      </c>
      <c r="B32" s="2439"/>
      <c r="C32" s="1558">
        <f>SUM(C22:C31)</f>
        <v>132176.79500000001</v>
      </c>
      <c r="D32" s="1558">
        <f>SUM(D22:D30)</f>
        <v>30810.837499999998</v>
      </c>
      <c r="E32" s="1558">
        <f>SUM(E22:E30)</f>
        <v>4252.67</v>
      </c>
      <c r="F32" s="1558">
        <f>SUM(F22:F30)</f>
        <v>19820.463749999999</v>
      </c>
      <c r="G32" s="1559">
        <f>SUM(C32:F32)</f>
        <v>187060.76625000002</v>
      </c>
    </row>
    <row r="33" spans="1:7" s="140" customFormat="1" ht="23.25" customHeight="1">
      <c r="A33" s="617"/>
      <c r="B33" s="617"/>
      <c r="C33" s="617"/>
      <c r="D33" s="617"/>
      <c r="E33" s="617"/>
      <c r="F33" s="617"/>
      <c r="G33" s="617"/>
    </row>
    <row r="34" spans="1:7" s="140" customFormat="1" ht="23.25" customHeight="1">
      <c r="A34" s="2454" t="s">
        <v>376</v>
      </c>
      <c r="B34" s="2455"/>
      <c r="C34" s="2455"/>
      <c r="D34" s="2455"/>
      <c r="E34" s="2455"/>
      <c r="F34" s="2455"/>
      <c r="G34" s="1560">
        <f>G32+G16</f>
        <v>444245.64250000002</v>
      </c>
    </row>
    <row r="35" spans="1:7" s="140" customFormat="1" ht="23.25" customHeight="1" thickBot="1">
      <c r="A35" s="618"/>
      <c r="B35" s="619"/>
      <c r="C35" s="619"/>
      <c r="D35" s="619"/>
      <c r="E35" s="619"/>
      <c r="F35" s="620"/>
      <c r="G35" s="621"/>
    </row>
    <row r="36" spans="1:7" s="140" customFormat="1" ht="23.25" customHeight="1" thickBot="1">
      <c r="A36" s="1561"/>
      <c r="B36" s="1562"/>
      <c r="C36" s="1562"/>
      <c r="D36" s="1562"/>
      <c r="E36" s="1562"/>
      <c r="F36" s="1562"/>
      <c r="G36" s="1563"/>
    </row>
    <row r="37" spans="1:7" s="140" customFormat="1" ht="38.25" customHeight="1">
      <c r="A37" s="2437" t="s">
        <v>540</v>
      </c>
      <c r="B37" s="2437"/>
      <c r="C37" s="2437"/>
      <c r="D37" s="2437"/>
      <c r="E37" s="2437"/>
      <c r="F37" s="2437"/>
      <c r="G37" s="2437"/>
    </row>
    <row r="38" spans="1:7" s="140" customFormat="1" ht="23.25" customHeight="1"/>
    <row r="39" spans="1:7" s="140" customFormat="1" ht="23.25" customHeight="1">
      <c r="C39" s="622"/>
    </row>
    <row r="40" spans="1:7">
      <c r="C40" s="350"/>
    </row>
  </sheetData>
  <mergeCells count="23">
    <mergeCell ref="A37:G37"/>
    <mergeCell ref="A32:B32"/>
    <mergeCell ref="G6:G7"/>
    <mergeCell ref="A16:B16"/>
    <mergeCell ref="C19:G19"/>
    <mergeCell ref="C20:C21"/>
    <mergeCell ref="D20:D21"/>
    <mergeCell ref="E20:E21"/>
    <mergeCell ref="F20:F21"/>
    <mergeCell ref="G20:G21"/>
    <mergeCell ref="A19:A21"/>
    <mergeCell ref="B19:B21"/>
    <mergeCell ref="A5:A7"/>
    <mergeCell ref="B5:B7"/>
    <mergeCell ref="A34:F34"/>
    <mergeCell ref="A1:G1"/>
    <mergeCell ref="A2:G2"/>
    <mergeCell ref="A3:G3"/>
    <mergeCell ref="C5:G5"/>
    <mergeCell ref="C6:C7"/>
    <mergeCell ref="D6:D7"/>
    <mergeCell ref="E6:E7"/>
    <mergeCell ref="F6:F7"/>
  </mergeCells>
  <phoneticPr fontId="11" type="noConversion"/>
  <pageMargins left="1.07" right="0.11811023622047245" top="0.35433070866141736" bottom="0.27559055118110237" header="0.19685039370078741" footer="0"/>
  <pageSetup scale="80" orientation="portrait" verticalDpi="300" r:id="rId1"/>
  <headerFooter alignWithMargins="0"/>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FF66"/>
  </sheetPr>
  <dimension ref="A1:I23"/>
  <sheetViews>
    <sheetView workbookViewId="0">
      <selection activeCell="K25" sqref="K25"/>
    </sheetView>
  </sheetViews>
  <sheetFormatPr baseColWidth="10" defaultRowHeight="12.75"/>
  <cols>
    <col min="1" max="1" width="54.5703125" customWidth="1"/>
    <col min="2" max="6" width="4.85546875" customWidth="1"/>
    <col min="7" max="7" width="20.42578125" customWidth="1"/>
    <col min="8" max="8" width="17.42578125" customWidth="1"/>
    <col min="9" max="9" width="16.42578125" customWidth="1"/>
  </cols>
  <sheetData>
    <row r="1" spans="1:9" ht="30.75" customHeight="1">
      <c r="A1" s="2457" t="s">
        <v>1014</v>
      </c>
      <c r="B1" s="2457"/>
      <c r="C1" s="2457"/>
      <c r="D1" s="2457"/>
      <c r="E1" s="2457"/>
      <c r="F1" s="2457"/>
      <c r="G1" s="2457"/>
      <c r="H1" s="2457"/>
      <c r="I1" s="2457"/>
    </row>
    <row r="2" spans="1:9" ht="42" customHeight="1">
      <c r="A2" s="2456" t="s">
        <v>893</v>
      </c>
      <c r="B2" s="2456"/>
      <c r="C2" s="2456"/>
      <c r="D2" s="2456"/>
      <c r="E2" s="2456"/>
      <c r="F2" s="2456"/>
      <c r="G2" s="2456"/>
      <c r="H2" s="2456"/>
      <c r="I2" s="2456"/>
    </row>
    <row r="3" spans="1:9" ht="14.25">
      <c r="A3" s="746"/>
      <c r="B3" s="531" t="s">
        <v>381</v>
      </c>
      <c r="C3" s="531" t="s">
        <v>69</v>
      </c>
      <c r="D3" s="531" t="s">
        <v>59</v>
      </c>
      <c r="E3" s="531" t="s">
        <v>62</v>
      </c>
      <c r="F3" s="531" t="s">
        <v>65</v>
      </c>
      <c r="G3" s="537" t="s">
        <v>636</v>
      </c>
      <c r="H3" s="529" t="s">
        <v>633</v>
      </c>
      <c r="I3" s="733"/>
    </row>
    <row r="4" spans="1:9" ht="14.25">
      <c r="A4" s="746"/>
      <c r="B4" s="531" t="s">
        <v>381</v>
      </c>
      <c r="C4" s="531" t="s">
        <v>69</v>
      </c>
      <c r="D4" s="531" t="s">
        <v>59</v>
      </c>
      <c r="E4" s="531" t="s">
        <v>62</v>
      </c>
      <c r="F4" s="531" t="s">
        <v>65</v>
      </c>
      <c r="G4" s="537" t="s">
        <v>636</v>
      </c>
      <c r="H4" s="529" t="s">
        <v>638</v>
      </c>
      <c r="I4" s="733"/>
    </row>
    <row r="5" spans="1:9" ht="14.25">
      <c r="A5" s="746"/>
      <c r="B5" s="531" t="s">
        <v>380</v>
      </c>
      <c r="C5" s="531" t="s">
        <v>64</v>
      </c>
      <c r="D5" s="531" t="s">
        <v>61</v>
      </c>
      <c r="E5" s="531" t="s">
        <v>62</v>
      </c>
      <c r="F5" s="531" t="s">
        <v>65</v>
      </c>
      <c r="G5" s="395" t="s">
        <v>634</v>
      </c>
      <c r="H5" s="529" t="s">
        <v>638</v>
      </c>
      <c r="I5" s="733"/>
    </row>
    <row r="6" spans="1:9" ht="16.5">
      <c r="A6" s="746"/>
      <c r="B6" s="532" t="s">
        <v>381</v>
      </c>
      <c r="C6" s="532" t="s">
        <v>69</v>
      </c>
      <c r="D6" s="532" t="s">
        <v>59</v>
      </c>
      <c r="E6" s="532" t="s">
        <v>62</v>
      </c>
      <c r="F6" s="532" t="s">
        <v>65</v>
      </c>
      <c r="G6" s="537" t="s">
        <v>636</v>
      </c>
      <c r="H6" s="529" t="s">
        <v>633</v>
      </c>
      <c r="I6" s="123"/>
    </row>
    <row r="7" spans="1:9" ht="14.25">
      <c r="A7" s="746"/>
      <c r="B7" s="531" t="s">
        <v>380</v>
      </c>
      <c r="C7" s="531" t="s">
        <v>64</v>
      </c>
      <c r="D7" s="531" t="s">
        <v>61</v>
      </c>
      <c r="E7" s="531" t="s">
        <v>62</v>
      </c>
      <c r="F7" s="531" t="s">
        <v>65</v>
      </c>
      <c r="G7" s="395" t="s">
        <v>634</v>
      </c>
      <c r="H7" s="529" t="s">
        <v>638</v>
      </c>
      <c r="I7" s="733"/>
    </row>
    <row r="8" spans="1:9" ht="14.25">
      <c r="A8" s="746"/>
      <c r="B8" s="531" t="s">
        <v>380</v>
      </c>
      <c r="C8" s="531" t="s">
        <v>64</v>
      </c>
      <c r="D8" s="531" t="s">
        <v>61</v>
      </c>
      <c r="E8" s="531" t="s">
        <v>62</v>
      </c>
      <c r="F8" s="531" t="s">
        <v>65</v>
      </c>
      <c r="G8" s="395" t="s">
        <v>634</v>
      </c>
      <c r="H8" s="529" t="s">
        <v>638</v>
      </c>
      <c r="I8" s="733"/>
    </row>
    <row r="9" spans="1:9" ht="14.25">
      <c r="A9" s="746"/>
      <c r="B9" s="531" t="s">
        <v>380</v>
      </c>
      <c r="C9" s="531" t="s">
        <v>64</v>
      </c>
      <c r="D9" s="531" t="s">
        <v>61</v>
      </c>
      <c r="E9" s="531" t="s">
        <v>62</v>
      </c>
      <c r="F9" s="531" t="s">
        <v>65</v>
      </c>
      <c r="G9" s="395" t="s">
        <v>634</v>
      </c>
      <c r="H9" s="529" t="s">
        <v>638</v>
      </c>
      <c r="I9" s="733"/>
    </row>
    <row r="10" spans="1:9" ht="14.25">
      <c r="A10" s="746"/>
      <c r="B10" s="531" t="s">
        <v>380</v>
      </c>
      <c r="C10" s="531" t="s">
        <v>64</v>
      </c>
      <c r="D10" s="531" t="s">
        <v>59</v>
      </c>
      <c r="E10" s="531" t="s">
        <v>62</v>
      </c>
      <c r="F10" s="531" t="s">
        <v>65</v>
      </c>
      <c r="G10" s="392" t="s">
        <v>630</v>
      </c>
      <c r="H10" s="529" t="s">
        <v>638</v>
      </c>
      <c r="I10" s="733"/>
    </row>
    <row r="11" spans="1:9" ht="14.25">
      <c r="A11" s="746"/>
      <c r="B11" s="531" t="s">
        <v>380</v>
      </c>
      <c r="C11" s="531" t="s">
        <v>64</v>
      </c>
      <c r="D11" s="531" t="s">
        <v>59</v>
      </c>
      <c r="E11" s="531" t="s">
        <v>62</v>
      </c>
      <c r="F11" s="531" t="s">
        <v>65</v>
      </c>
      <c r="G11" s="392" t="s">
        <v>630</v>
      </c>
      <c r="H11" s="529" t="s">
        <v>638</v>
      </c>
      <c r="I11" s="733"/>
    </row>
    <row r="12" spans="1:9" ht="14.25">
      <c r="A12" s="746"/>
      <c r="B12" s="531" t="s">
        <v>381</v>
      </c>
      <c r="C12" s="531" t="s">
        <v>69</v>
      </c>
      <c r="D12" s="531" t="s">
        <v>59</v>
      </c>
      <c r="E12" s="531" t="s">
        <v>62</v>
      </c>
      <c r="F12" s="531" t="s">
        <v>65</v>
      </c>
      <c r="G12" s="537" t="s">
        <v>636</v>
      </c>
      <c r="H12" s="529" t="s">
        <v>638</v>
      </c>
      <c r="I12" s="733"/>
    </row>
    <row r="13" spans="1:9" ht="14.25">
      <c r="A13" s="746"/>
      <c r="B13" s="531" t="s">
        <v>381</v>
      </c>
      <c r="C13" s="531" t="s">
        <v>69</v>
      </c>
      <c r="D13" s="531" t="s">
        <v>59</v>
      </c>
      <c r="E13" s="531" t="s">
        <v>62</v>
      </c>
      <c r="F13" s="531" t="s">
        <v>65</v>
      </c>
      <c r="G13" s="537" t="s">
        <v>636</v>
      </c>
      <c r="H13" s="529" t="s">
        <v>638</v>
      </c>
      <c r="I13" s="733"/>
    </row>
    <row r="14" spans="1:9" ht="16.5" hidden="1">
      <c r="A14" s="137"/>
      <c r="B14" s="531" t="s">
        <v>381</v>
      </c>
      <c r="C14" s="531" t="s">
        <v>69</v>
      </c>
      <c r="D14" s="531" t="s">
        <v>59</v>
      </c>
      <c r="E14" s="531" t="s">
        <v>62</v>
      </c>
      <c r="F14" s="531" t="s">
        <v>65</v>
      </c>
      <c r="G14" s="537" t="s">
        <v>636</v>
      </c>
      <c r="H14" s="529" t="s">
        <v>638</v>
      </c>
      <c r="I14" s="123"/>
    </row>
    <row r="15" spans="1:9" ht="16.5" hidden="1">
      <c r="A15" s="137"/>
      <c r="B15" s="531" t="s">
        <v>381</v>
      </c>
      <c r="C15" s="531" t="s">
        <v>69</v>
      </c>
      <c r="D15" s="531" t="s">
        <v>59</v>
      </c>
      <c r="E15" s="531" t="s">
        <v>62</v>
      </c>
      <c r="F15" s="531" t="s">
        <v>65</v>
      </c>
      <c r="G15" s="537" t="s">
        <v>636</v>
      </c>
      <c r="H15" s="529" t="s">
        <v>633</v>
      </c>
      <c r="I15" s="123"/>
    </row>
    <row r="16" spans="1:9" ht="16.5" hidden="1">
      <c r="A16" s="137"/>
      <c r="B16" s="531" t="s">
        <v>380</v>
      </c>
      <c r="C16" s="888" t="s">
        <v>64</v>
      </c>
      <c r="D16" s="531" t="s">
        <v>59</v>
      </c>
      <c r="E16" s="531" t="s">
        <v>62</v>
      </c>
      <c r="F16" s="531" t="s">
        <v>65</v>
      </c>
      <c r="G16" s="392" t="s">
        <v>630</v>
      </c>
      <c r="H16" s="529" t="s">
        <v>633</v>
      </c>
      <c r="I16" s="123"/>
    </row>
    <row r="17" spans="1:9" ht="16.5" hidden="1">
      <c r="A17" s="137"/>
      <c r="B17" s="532" t="s">
        <v>381</v>
      </c>
      <c r="C17" s="889" t="s">
        <v>69</v>
      </c>
      <c r="D17" s="532" t="s">
        <v>59</v>
      </c>
      <c r="E17" s="532" t="s">
        <v>62</v>
      </c>
      <c r="F17" s="532" t="s">
        <v>65</v>
      </c>
      <c r="G17" s="537" t="s">
        <v>636</v>
      </c>
      <c r="H17" s="529" t="s">
        <v>638</v>
      </c>
      <c r="I17" s="123"/>
    </row>
    <row r="18" spans="1:9" ht="16.5" hidden="1">
      <c r="A18" s="137"/>
      <c r="B18" s="532" t="s">
        <v>381</v>
      </c>
      <c r="C18" s="889" t="s">
        <v>69</v>
      </c>
      <c r="D18" s="532" t="s">
        <v>59</v>
      </c>
      <c r="E18" s="532" t="s">
        <v>62</v>
      </c>
      <c r="F18" s="532" t="s">
        <v>65</v>
      </c>
      <c r="G18" s="537" t="s">
        <v>636</v>
      </c>
      <c r="H18" s="529" t="s">
        <v>638</v>
      </c>
      <c r="I18" s="123"/>
    </row>
    <row r="19" spans="1:9" ht="16.5" hidden="1">
      <c r="A19" s="137"/>
      <c r="B19" s="532" t="s">
        <v>380</v>
      </c>
      <c r="C19" s="532" t="s">
        <v>64</v>
      </c>
      <c r="D19" s="532" t="s">
        <v>61</v>
      </c>
      <c r="E19" s="532" t="s">
        <v>62</v>
      </c>
      <c r="F19" s="532" t="s">
        <v>65</v>
      </c>
      <c r="G19" s="395" t="s">
        <v>634</v>
      </c>
      <c r="H19" s="529" t="s">
        <v>638</v>
      </c>
      <c r="I19" s="123"/>
    </row>
    <row r="20" spans="1:9" ht="18" hidden="1" customHeight="1">
      <c r="A20" s="137"/>
      <c r="B20" s="532" t="s">
        <v>381</v>
      </c>
      <c r="C20" s="532" t="s">
        <v>69</v>
      </c>
      <c r="D20" s="532" t="s">
        <v>59</v>
      </c>
      <c r="E20" s="532" t="s">
        <v>62</v>
      </c>
      <c r="F20" s="532" t="s">
        <v>65</v>
      </c>
      <c r="G20" s="537" t="s">
        <v>636</v>
      </c>
      <c r="H20" s="529" t="s">
        <v>638</v>
      </c>
      <c r="I20" s="530"/>
    </row>
    <row r="21" spans="1:9" ht="40.5" hidden="1" customHeight="1"/>
    <row r="22" spans="1:9" ht="24" customHeight="1" thickBot="1">
      <c r="A22" s="2458" t="s">
        <v>199</v>
      </c>
      <c r="B22" s="2458"/>
      <c r="C22" s="2458"/>
      <c r="D22" s="2458"/>
      <c r="E22" s="2458"/>
      <c r="F22" s="2458"/>
      <c r="G22" s="2458"/>
      <c r="H22" s="2458"/>
      <c r="I22" s="998">
        <f>SUM(I3:I21)</f>
        <v>0</v>
      </c>
    </row>
    <row r="23" spans="1:9" ht="13.5" thickTop="1"/>
  </sheetData>
  <mergeCells count="3">
    <mergeCell ref="A2:I2"/>
    <mergeCell ref="A1:I1"/>
    <mergeCell ref="A22:H22"/>
  </mergeCells>
  <pageMargins left="0.76" right="0.11811023622047245" top="1.27" bottom="0.39370078740157483" header="0.12" footer="0.31496062992125984"/>
  <pageSetup scale="73" orientation="portrait" horizontalDpi="0" verticalDpi="0" r:id="rId1"/>
  <ignoredErrors>
    <ignoredError sqref="B3" numberStoredAsText="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2F0BB5"/>
  </sheetPr>
  <dimension ref="A1:K34"/>
  <sheetViews>
    <sheetView topLeftCell="A4" workbookViewId="0">
      <selection activeCell="F19" sqref="F19"/>
    </sheetView>
  </sheetViews>
  <sheetFormatPr baseColWidth="10" defaultRowHeight="12.75"/>
  <cols>
    <col min="1" max="1" width="9.140625" customWidth="1"/>
    <col min="2" max="2" width="22.5703125" customWidth="1"/>
    <col min="3" max="3" width="25.28515625" customWidth="1"/>
    <col min="4" max="4" width="27.85546875" customWidth="1"/>
    <col min="6" max="6" width="13.85546875" bestFit="1" customWidth="1"/>
    <col min="7" max="7" width="18.42578125" customWidth="1"/>
  </cols>
  <sheetData>
    <row r="1" spans="1:11" ht="39" customHeight="1">
      <c r="A1" s="1989" t="s">
        <v>111</v>
      </c>
      <c r="B1" s="1989"/>
      <c r="C1" s="1989"/>
      <c r="D1" s="1989"/>
      <c r="E1" s="154"/>
      <c r="F1" s="154"/>
      <c r="G1" s="154"/>
      <c r="H1" s="154"/>
      <c r="I1" s="154"/>
      <c r="J1" s="154"/>
      <c r="K1" s="154"/>
    </row>
    <row r="2" spans="1:11" ht="18" customHeight="1">
      <c r="A2" s="1990" t="s">
        <v>110</v>
      </c>
      <c r="B2" s="1990"/>
      <c r="C2" s="1990"/>
      <c r="D2" s="1990"/>
      <c r="E2" s="154"/>
      <c r="F2" s="154"/>
      <c r="G2" s="154"/>
      <c r="H2" s="154"/>
      <c r="I2" s="154"/>
      <c r="J2" s="154"/>
      <c r="K2" s="154"/>
    </row>
    <row r="3" spans="1:11" ht="24" customHeight="1">
      <c r="A3" s="1991" t="s">
        <v>1211</v>
      </c>
      <c r="B3" s="1991"/>
      <c r="C3" s="1991"/>
      <c r="D3" s="1991"/>
      <c r="E3" s="155"/>
      <c r="F3" s="155"/>
      <c r="G3" s="155"/>
      <c r="H3" s="155"/>
      <c r="I3" s="155"/>
      <c r="J3" s="155"/>
      <c r="K3" s="155"/>
    </row>
    <row r="4" spans="1:11" ht="18.75">
      <c r="A4" s="1992" t="s">
        <v>30</v>
      </c>
      <c r="B4" s="1992"/>
      <c r="C4" s="1992"/>
      <c r="D4" s="1992"/>
      <c r="E4" s="156"/>
      <c r="F4" s="156"/>
      <c r="G4" s="156"/>
      <c r="H4" s="156"/>
      <c r="I4" s="156"/>
      <c r="J4" s="156"/>
      <c r="K4" s="156"/>
    </row>
    <row r="6" spans="1:11" ht="13.5" thickBot="1"/>
    <row r="7" spans="1:11" ht="14.25">
      <c r="A7" s="1996" t="s">
        <v>437</v>
      </c>
      <c r="B7" s="1997"/>
      <c r="C7" s="1997"/>
      <c r="D7" s="1998"/>
    </row>
    <row r="8" spans="1:11" ht="14.25">
      <c r="A8" s="1993" t="s">
        <v>438</v>
      </c>
      <c r="B8" s="1994"/>
      <c r="C8" s="1994"/>
      <c r="D8" s="1995"/>
    </row>
    <row r="9" spans="1:11" ht="14.25">
      <c r="A9" s="2002" t="s">
        <v>439</v>
      </c>
      <c r="B9" s="2003"/>
      <c r="C9" s="2003"/>
      <c r="D9" s="2004"/>
    </row>
    <row r="10" spans="1:11" ht="13.5" thickBot="1">
      <c r="A10" s="1999"/>
      <c r="B10" s="2000"/>
      <c r="C10" s="2000"/>
      <c r="D10" s="2001"/>
    </row>
    <row r="11" spans="1:11">
      <c r="A11" s="1150"/>
      <c r="B11" s="2005"/>
      <c r="C11" s="2006"/>
      <c r="D11" s="1150"/>
    </row>
    <row r="12" spans="1:11">
      <c r="A12" s="1151" t="s">
        <v>440</v>
      </c>
      <c r="B12" s="2007" t="s">
        <v>441</v>
      </c>
      <c r="C12" s="2008"/>
      <c r="D12" s="1152">
        <f>SUM('CONCENTRACION DE EGRESOS'!D97:E97,'CONCENTRACION DE EGRESOS'!H97:I97)</f>
        <v>904037.30999999982</v>
      </c>
    </row>
    <row r="13" spans="1:11">
      <c r="A13" s="1151"/>
      <c r="B13" s="2009"/>
      <c r="C13" s="2010"/>
      <c r="D13" s="1153">
        <v>0</v>
      </c>
    </row>
    <row r="14" spans="1:11">
      <c r="A14" s="1151" t="s">
        <v>442</v>
      </c>
      <c r="B14" s="2007" t="s">
        <v>443</v>
      </c>
      <c r="C14" s="2011"/>
      <c r="D14" s="1154">
        <f>SUM('concent, de egresos. carta'!K96,'concent, de egresos. carta'!N96,'concent, de egresos. carta'!P96,'concent, de egresos. carta'!R96,'concent, de egresos. carta'!S96,'concent, de egresos. carta'!W96)</f>
        <v>2986144.4899999998</v>
      </c>
    </row>
    <row r="15" spans="1:11">
      <c r="A15" s="1151"/>
      <c r="B15" s="2009"/>
      <c r="C15" s="2010"/>
      <c r="D15" s="1153">
        <v>0</v>
      </c>
    </row>
    <row r="16" spans="1:11" hidden="1">
      <c r="A16" s="1151" t="s">
        <v>444</v>
      </c>
      <c r="B16" s="2007" t="s">
        <v>445</v>
      </c>
      <c r="C16" s="2011"/>
      <c r="D16" s="1152"/>
    </row>
    <row r="17" spans="1:4" ht="13.5" thickBot="1">
      <c r="A17" s="1150"/>
      <c r="B17" s="2005"/>
      <c r="C17" s="2006"/>
      <c r="D17" s="1153"/>
    </row>
    <row r="18" spans="1:4" ht="23.25" customHeight="1" thickBot="1">
      <c r="A18" s="1358"/>
      <c r="B18" s="2012" t="s">
        <v>199</v>
      </c>
      <c r="C18" s="2013"/>
      <c r="D18" s="1359">
        <f>SUM(D11:D17)</f>
        <v>3890181.8</v>
      </c>
    </row>
    <row r="19" spans="1:4">
      <c r="B19" s="30"/>
      <c r="C19" s="30"/>
    </row>
    <row r="20" spans="1:4">
      <c r="B20" s="30"/>
      <c r="C20" s="30"/>
    </row>
    <row r="21" spans="1:4">
      <c r="B21" s="30"/>
      <c r="C21" s="30"/>
    </row>
    <row r="22" spans="1:4" ht="13.5" thickBot="1">
      <c r="B22" s="30"/>
      <c r="C22" s="30"/>
    </row>
    <row r="23" spans="1:4" ht="15">
      <c r="A23" s="2014" t="s">
        <v>446</v>
      </c>
      <c r="B23" s="2015"/>
      <c r="C23" s="2015"/>
      <c r="D23" s="2016"/>
    </row>
    <row r="24" spans="1:4" ht="13.5" thickBot="1">
      <c r="A24" s="1999"/>
      <c r="B24" s="2000"/>
      <c r="C24" s="2000"/>
      <c r="D24" s="2001"/>
    </row>
    <row r="25" spans="1:4" ht="15.75" thickBot="1">
      <c r="A25" s="1355" t="s">
        <v>447</v>
      </c>
      <c r="B25" s="1356" t="s">
        <v>448</v>
      </c>
      <c r="C25" s="1357" t="s">
        <v>449</v>
      </c>
      <c r="D25" s="1357" t="s">
        <v>450</v>
      </c>
    </row>
    <row r="26" spans="1:4">
      <c r="A26" s="1155"/>
      <c r="C26" s="1156"/>
      <c r="D26" s="1156"/>
    </row>
    <row r="27" spans="1:4">
      <c r="A27" s="1157">
        <v>1</v>
      </c>
      <c r="B27" s="38" t="s">
        <v>451</v>
      </c>
      <c r="C27" s="1152">
        <f>SUM(Ingresos!G50,Ingresos!J50)</f>
        <v>3615388.8000000003</v>
      </c>
      <c r="D27" s="1152">
        <f>SUM('concent, de egresos. carta'!H97:I97,'concent, de egresos. carta'!N97:O97,'concent, de egresos. carta'!P96)+406554.77</f>
        <v>3615388.8000000003</v>
      </c>
    </row>
    <row r="28" spans="1:4">
      <c r="A28" s="1157"/>
      <c r="B28" s="38"/>
      <c r="C28" s="1152"/>
      <c r="D28" s="1153">
        <v>0</v>
      </c>
    </row>
    <row r="29" spans="1:4">
      <c r="A29" s="1157">
        <v>2</v>
      </c>
      <c r="B29" s="38" t="s">
        <v>233</v>
      </c>
      <c r="C29" s="1152">
        <f>SUM(Ingresos!H50)</f>
        <v>274792.99999999994</v>
      </c>
      <c r="D29" s="1152">
        <f>SUM('CONCENTRACION DE EGRESOS'!D97:E97)</f>
        <v>274792.99999999994</v>
      </c>
    </row>
    <row r="30" spans="1:4">
      <c r="A30" s="1157"/>
      <c r="B30" s="38"/>
      <c r="C30" s="1152"/>
      <c r="D30" s="1153"/>
    </row>
    <row r="31" spans="1:4">
      <c r="A31" s="1157"/>
      <c r="B31" s="38"/>
      <c r="C31" s="1152"/>
      <c r="D31" s="1152"/>
    </row>
    <row r="32" spans="1:4" ht="13.5" thickBot="1">
      <c r="A32" s="1158"/>
      <c r="C32" s="1152"/>
      <c r="D32" s="1153"/>
    </row>
    <row r="33" spans="1:7" ht="24.75" customHeight="1" thickBot="1">
      <c r="A33" s="1360"/>
      <c r="B33" s="1361" t="s">
        <v>104</v>
      </c>
      <c r="C33" s="1362">
        <f>SUM(C26:C32)</f>
        <v>3890181.8000000003</v>
      </c>
      <c r="D33" s="1362">
        <f>SUM(D26:D32)</f>
        <v>3890181.8000000003</v>
      </c>
      <c r="F33" s="1141">
        <f>D33-D18</f>
        <v>0</v>
      </c>
      <c r="G33" s="1141">
        <f>C33-D33</f>
        <v>0</v>
      </c>
    </row>
    <row r="34" spans="1:7">
      <c r="A34" s="1032"/>
      <c r="B34" s="1033"/>
      <c r="C34" s="1033"/>
      <c r="D34" s="1032"/>
    </row>
  </sheetData>
  <mergeCells count="18">
    <mergeCell ref="A24:D24"/>
    <mergeCell ref="A9:D9"/>
    <mergeCell ref="A10:D10"/>
    <mergeCell ref="B11:C11"/>
    <mergeCell ref="B12:C12"/>
    <mergeCell ref="B13:C13"/>
    <mergeCell ref="B14:C14"/>
    <mergeCell ref="B15:C15"/>
    <mergeCell ref="B16:C16"/>
    <mergeCell ref="B17:C17"/>
    <mergeCell ref="B18:C18"/>
    <mergeCell ref="A23:D23"/>
    <mergeCell ref="A1:D1"/>
    <mergeCell ref="A2:D2"/>
    <mergeCell ref="A3:D3"/>
    <mergeCell ref="A4:D4"/>
    <mergeCell ref="A8:D8"/>
    <mergeCell ref="A7:D7"/>
  </mergeCells>
  <pageMargins left="0.9" right="0.7" top="0.75" bottom="0.75" header="0.3" footer="0.3"/>
  <pageSetup orientation="portrait" verticalDpi="300" r:id="rId1"/>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2F0BB5"/>
  </sheetPr>
  <dimension ref="A1:Z215"/>
  <sheetViews>
    <sheetView zoomScale="106" zoomScaleNormal="106" workbookViewId="0">
      <selection activeCell="M12" sqref="M12"/>
    </sheetView>
  </sheetViews>
  <sheetFormatPr baseColWidth="10" defaultRowHeight="12.75"/>
  <cols>
    <col min="1" max="1" width="3.85546875" style="547" customWidth="1"/>
    <col min="2" max="2" width="50.85546875" style="387" customWidth="1"/>
    <col min="3" max="7" width="4.7109375" style="394" customWidth="1"/>
    <col min="8" max="8" width="21" style="390" customWidth="1"/>
    <col min="9" max="9" width="13.28515625" style="391" customWidth="1"/>
    <col min="10" max="10" width="15.7109375" style="388" customWidth="1"/>
    <col min="11" max="11" width="6.42578125" style="388" hidden="1" customWidth="1"/>
    <col min="12" max="12" width="13.7109375" style="389" customWidth="1"/>
    <col min="13" max="13" width="16.28515625" style="389" customWidth="1"/>
    <col min="14" max="14" width="13.140625" bestFit="1" customWidth="1"/>
    <col min="15" max="15" width="15.85546875" customWidth="1"/>
    <col min="16" max="16" width="15.7109375" customWidth="1"/>
    <col min="19" max="19" width="12.85546875" customWidth="1"/>
    <col min="20" max="20" width="14" customWidth="1"/>
  </cols>
  <sheetData>
    <row r="1" spans="1:15" ht="21.75" customHeight="1">
      <c r="A1" s="2494" t="s">
        <v>894</v>
      </c>
      <c r="B1" s="2494"/>
      <c r="C1" s="2494"/>
      <c r="D1" s="2494"/>
      <c r="E1" s="2494"/>
      <c r="F1" s="2494"/>
      <c r="G1" s="2494"/>
      <c r="H1" s="2494"/>
      <c r="I1" s="2494"/>
      <c r="J1" s="2494"/>
      <c r="K1" s="2494"/>
      <c r="L1" s="2494"/>
      <c r="M1" s="2494"/>
    </row>
    <row r="2" spans="1:15" ht="21.75" customHeight="1">
      <c r="A2" s="2508" t="s">
        <v>1219</v>
      </c>
      <c r="B2" s="2494"/>
      <c r="C2" s="2494"/>
      <c r="D2" s="2494"/>
      <c r="E2" s="2494"/>
      <c r="F2" s="2494"/>
      <c r="G2" s="2494"/>
      <c r="H2" s="2494"/>
      <c r="I2" s="2494"/>
      <c r="J2" s="2494"/>
      <c r="K2" s="2494"/>
      <c r="L2" s="2494"/>
      <c r="M2" s="2494"/>
    </row>
    <row r="3" spans="1:15" ht="21.75" customHeight="1">
      <c r="A3" s="2495" t="s">
        <v>895</v>
      </c>
      <c r="B3" s="2495"/>
      <c r="C3" s="2495"/>
      <c r="D3" s="2495"/>
      <c r="E3" s="2495"/>
      <c r="F3" s="2495"/>
      <c r="G3" s="2495"/>
      <c r="H3" s="2495"/>
      <c r="I3" s="2495"/>
      <c r="J3" s="2495"/>
      <c r="K3" s="2495"/>
      <c r="L3" s="2495"/>
      <c r="M3" s="2495"/>
    </row>
    <row r="4" spans="1:15" ht="31.5" customHeight="1" thickBot="1">
      <c r="A4" s="2496" t="s">
        <v>1220</v>
      </c>
      <c r="B4" s="2497"/>
      <c r="C4" s="2497"/>
      <c r="D4" s="2497"/>
      <c r="E4" s="2497"/>
      <c r="F4" s="2497"/>
      <c r="G4" s="2497"/>
      <c r="H4" s="2497"/>
      <c r="I4" s="2497"/>
      <c r="J4" s="2497"/>
      <c r="K4" s="2497"/>
      <c r="L4" s="2497"/>
      <c r="M4" s="2497"/>
    </row>
    <row r="5" spans="1:15" ht="15" customHeight="1" thickBot="1">
      <c r="A5" s="2467" t="s">
        <v>600</v>
      </c>
      <c r="B5" s="2469" t="s">
        <v>1221</v>
      </c>
      <c r="C5" s="2498" t="s">
        <v>620</v>
      </c>
      <c r="D5" s="2499"/>
      <c r="E5" s="2499"/>
      <c r="F5" s="2499"/>
      <c r="G5" s="2500"/>
      <c r="H5" s="2474" t="s">
        <v>624</v>
      </c>
      <c r="I5" s="2501" t="s">
        <v>627</v>
      </c>
      <c r="J5" s="2503" t="s">
        <v>629</v>
      </c>
      <c r="K5" s="2504"/>
      <c r="L5" s="2506" t="s">
        <v>1239</v>
      </c>
      <c r="M5" s="2478" t="s">
        <v>628</v>
      </c>
    </row>
    <row r="6" spans="1:15" ht="12.75" customHeight="1">
      <c r="A6" s="2468"/>
      <c r="B6" s="2470"/>
      <c r="C6" s="771" t="s">
        <v>474</v>
      </c>
      <c r="D6" s="771" t="s">
        <v>621</v>
      </c>
      <c r="E6" s="771" t="s">
        <v>622</v>
      </c>
      <c r="F6" s="771" t="s">
        <v>623</v>
      </c>
      <c r="G6" s="771" t="s">
        <v>626</v>
      </c>
      <c r="H6" s="2475"/>
      <c r="I6" s="2502"/>
      <c r="J6" s="2463"/>
      <c r="K6" s="2505"/>
      <c r="L6" s="2507"/>
      <c r="M6" s="2479"/>
    </row>
    <row r="7" spans="1:15" ht="17.25" customHeight="1">
      <c r="A7" s="1803"/>
      <c r="B7" s="1804" t="s">
        <v>1155</v>
      </c>
      <c r="C7" s="1724" t="s">
        <v>381</v>
      </c>
      <c r="D7" s="1724" t="s">
        <v>69</v>
      </c>
      <c r="E7" s="1724" t="s">
        <v>59</v>
      </c>
      <c r="F7" s="1724" t="s">
        <v>62</v>
      </c>
      <c r="G7" s="1724" t="s">
        <v>65</v>
      </c>
      <c r="H7" s="1708" t="s">
        <v>636</v>
      </c>
      <c r="I7" s="1805" t="s">
        <v>633</v>
      </c>
      <c r="J7" s="1783">
        <v>60000</v>
      </c>
      <c r="K7" s="1806"/>
      <c r="L7" s="1807"/>
      <c r="M7" s="1728">
        <f t="shared" ref="M7:M46" si="0">SUM(J7:L7)</f>
        <v>60000</v>
      </c>
    </row>
    <row r="8" spans="1:15" ht="17.25" customHeight="1">
      <c r="A8" s="1803"/>
      <c r="B8" s="1808" t="s">
        <v>1187</v>
      </c>
      <c r="C8" s="1724" t="s">
        <v>381</v>
      </c>
      <c r="D8" s="1724" t="s">
        <v>69</v>
      </c>
      <c r="E8" s="1724" t="s">
        <v>59</v>
      </c>
      <c r="F8" s="1724" t="s">
        <v>62</v>
      </c>
      <c r="G8" s="1724" t="s">
        <v>65</v>
      </c>
      <c r="H8" s="1708" t="s">
        <v>636</v>
      </c>
      <c r="I8" s="1758" t="s">
        <v>635</v>
      </c>
      <c r="J8" s="1777">
        <f>16197.18-6197.18+5000+5000</f>
        <v>20000</v>
      </c>
      <c r="K8" s="1809"/>
      <c r="L8" s="1810"/>
      <c r="M8" s="1715">
        <f t="shared" si="0"/>
        <v>20000</v>
      </c>
      <c r="O8" t="s">
        <v>1367</v>
      </c>
    </row>
    <row r="9" spans="1:15" ht="17.25" customHeight="1">
      <c r="A9" s="1803"/>
      <c r="B9" s="1811" t="s">
        <v>1152</v>
      </c>
      <c r="C9" s="1724" t="s">
        <v>381</v>
      </c>
      <c r="D9" s="1724" t="s">
        <v>69</v>
      </c>
      <c r="E9" s="1724" t="s">
        <v>59</v>
      </c>
      <c r="F9" s="1724" t="s">
        <v>62</v>
      </c>
      <c r="G9" s="1724" t="s">
        <v>65</v>
      </c>
      <c r="H9" s="1769" t="s">
        <v>636</v>
      </c>
      <c r="I9" s="870" t="s">
        <v>635</v>
      </c>
      <c r="J9" s="1732">
        <v>15000</v>
      </c>
      <c r="K9" s="1809"/>
      <c r="L9" s="1810"/>
      <c r="M9" s="1715">
        <f t="shared" si="0"/>
        <v>15000</v>
      </c>
    </row>
    <row r="10" spans="1:15" ht="17.25" customHeight="1">
      <c r="A10" s="1803"/>
      <c r="B10" s="1812" t="s">
        <v>1171</v>
      </c>
      <c r="C10" s="1565" t="s">
        <v>381</v>
      </c>
      <c r="D10" s="1565" t="s">
        <v>69</v>
      </c>
      <c r="E10" s="1565" t="s">
        <v>59</v>
      </c>
      <c r="F10" s="1565" t="s">
        <v>62</v>
      </c>
      <c r="G10" s="1565" t="s">
        <v>65</v>
      </c>
      <c r="H10" s="1769" t="s">
        <v>636</v>
      </c>
      <c r="I10" s="870" t="s">
        <v>635</v>
      </c>
      <c r="J10" s="1732">
        <v>31614.95</v>
      </c>
      <c r="K10" s="1809"/>
      <c r="L10" s="1810"/>
      <c r="M10" s="1715">
        <f t="shared" si="0"/>
        <v>31614.95</v>
      </c>
    </row>
    <row r="11" spans="1:15" ht="17.25" customHeight="1">
      <c r="A11" s="1803"/>
      <c r="B11" s="1813" t="s">
        <v>1151</v>
      </c>
      <c r="C11" s="1565" t="s">
        <v>381</v>
      </c>
      <c r="D11" s="1565" t="s">
        <v>69</v>
      </c>
      <c r="E11" s="1565" t="s">
        <v>59</v>
      </c>
      <c r="F11" s="1565" t="s">
        <v>62</v>
      </c>
      <c r="G11" s="1565" t="s">
        <v>65</v>
      </c>
      <c r="H11" s="1769" t="s">
        <v>636</v>
      </c>
      <c r="I11" s="870" t="s">
        <v>635</v>
      </c>
      <c r="J11" s="1732">
        <v>20000</v>
      </c>
      <c r="K11" s="1809"/>
      <c r="L11" s="1810"/>
      <c r="M11" s="1715">
        <f t="shared" si="0"/>
        <v>20000</v>
      </c>
    </row>
    <row r="12" spans="1:15" ht="17.25" customHeight="1">
      <c r="A12" s="1803"/>
      <c r="B12" s="1808" t="s">
        <v>1038</v>
      </c>
      <c r="C12" s="1724" t="s">
        <v>381</v>
      </c>
      <c r="D12" s="1724" t="s">
        <v>69</v>
      </c>
      <c r="E12" s="1724" t="s">
        <v>59</v>
      </c>
      <c r="F12" s="1724" t="s">
        <v>62</v>
      </c>
      <c r="G12" s="1724" t="s">
        <v>65</v>
      </c>
      <c r="H12" s="1769" t="s">
        <v>636</v>
      </c>
      <c r="I12" s="870" t="s">
        <v>635</v>
      </c>
      <c r="J12" s="1732">
        <v>20000</v>
      </c>
      <c r="K12" s="1809"/>
      <c r="L12" s="1810"/>
      <c r="M12" s="1715">
        <f t="shared" si="0"/>
        <v>20000</v>
      </c>
    </row>
    <row r="13" spans="1:15" ht="25.5">
      <c r="A13" s="1803"/>
      <c r="B13" s="1814" t="s">
        <v>1154</v>
      </c>
      <c r="C13" s="1724" t="s">
        <v>380</v>
      </c>
      <c r="D13" s="1724" t="s">
        <v>64</v>
      </c>
      <c r="E13" s="1724" t="s">
        <v>61</v>
      </c>
      <c r="F13" s="1724" t="s">
        <v>62</v>
      </c>
      <c r="G13" s="1724" t="s">
        <v>65</v>
      </c>
      <c r="H13" s="1758" t="s">
        <v>634</v>
      </c>
      <c r="I13" s="1758" t="s">
        <v>635</v>
      </c>
      <c r="J13" s="1759">
        <v>10000</v>
      </c>
      <c r="K13" s="1809"/>
      <c r="L13" s="1810"/>
      <c r="M13" s="1715">
        <f t="shared" si="0"/>
        <v>10000</v>
      </c>
    </row>
    <row r="14" spans="1:15" ht="18.75" hidden="1" customHeight="1">
      <c r="A14" s="772"/>
      <c r="B14" s="1583"/>
      <c r="C14" s="867"/>
      <c r="D14" s="867"/>
      <c r="E14" s="867"/>
      <c r="F14" s="867"/>
      <c r="G14" s="867"/>
      <c r="H14" s="1602"/>
      <c r="I14" s="1564"/>
      <c r="J14" s="868"/>
      <c r="K14" s="861"/>
      <c r="L14" s="862"/>
      <c r="M14" s="773">
        <f t="shared" si="0"/>
        <v>0</v>
      </c>
    </row>
    <row r="15" spans="1:15" ht="18.75" hidden="1" customHeight="1">
      <c r="A15" s="772"/>
      <c r="B15" s="1583"/>
      <c r="C15" s="867"/>
      <c r="D15" s="867"/>
      <c r="E15" s="867"/>
      <c r="F15" s="867"/>
      <c r="G15" s="867"/>
      <c r="H15" s="1602"/>
      <c r="I15" s="1564"/>
      <c r="J15" s="868"/>
      <c r="K15" s="861"/>
      <c r="L15" s="862"/>
      <c r="M15" s="773">
        <f t="shared" si="0"/>
        <v>0</v>
      </c>
    </row>
    <row r="16" spans="1:15" ht="18.75" hidden="1" customHeight="1">
      <c r="A16" s="772"/>
      <c r="B16" s="1583"/>
      <c r="C16" s="867"/>
      <c r="D16" s="867"/>
      <c r="E16" s="867"/>
      <c r="F16" s="867"/>
      <c r="G16" s="867"/>
      <c r="H16" s="1602"/>
      <c r="I16" s="1564"/>
      <c r="J16" s="868"/>
      <c r="K16" s="861"/>
      <c r="L16" s="862"/>
      <c r="M16" s="773">
        <f t="shared" si="0"/>
        <v>0</v>
      </c>
    </row>
    <row r="17" spans="1:13" ht="18.75" hidden="1" customHeight="1">
      <c r="A17" s="772"/>
      <c r="B17" s="1583"/>
      <c r="C17" s="867"/>
      <c r="D17" s="867"/>
      <c r="E17" s="867"/>
      <c r="F17" s="867"/>
      <c r="G17" s="867"/>
      <c r="H17" s="1602"/>
      <c r="I17" s="1564"/>
      <c r="J17" s="868"/>
      <c r="K17" s="861"/>
      <c r="L17" s="862"/>
      <c r="M17" s="773">
        <f t="shared" si="0"/>
        <v>0</v>
      </c>
    </row>
    <row r="18" spans="1:13" ht="18.75" hidden="1" customHeight="1">
      <c r="A18" s="772"/>
      <c r="B18" s="1583"/>
      <c r="C18" s="867"/>
      <c r="D18" s="867"/>
      <c r="E18" s="867"/>
      <c r="F18" s="867"/>
      <c r="G18" s="867"/>
      <c r="H18" s="1602"/>
      <c r="I18" s="1564"/>
      <c r="J18" s="868"/>
      <c r="K18" s="861"/>
      <c r="L18" s="862"/>
      <c r="M18" s="773">
        <f t="shared" si="0"/>
        <v>0</v>
      </c>
    </row>
    <row r="19" spans="1:13" ht="20.25">
      <c r="A19" s="2459" t="s">
        <v>199</v>
      </c>
      <c r="B19" s="2460"/>
      <c r="C19" s="2460"/>
      <c r="D19" s="2460"/>
      <c r="E19" s="2460"/>
      <c r="F19" s="2460"/>
      <c r="G19" s="2460"/>
      <c r="H19" s="2460"/>
      <c r="I19" s="2461"/>
      <c r="J19" s="1567">
        <f>SUM(J7:J18)</f>
        <v>176614.95</v>
      </c>
      <c r="K19" s="1567">
        <f>SUM(K7:K18)</f>
        <v>0</v>
      </c>
      <c r="L19" s="1567">
        <f>SUM(L7:L18)</f>
        <v>0</v>
      </c>
      <c r="M19" s="1567">
        <f>SUM(M7:M18)</f>
        <v>176614.95</v>
      </c>
    </row>
    <row r="20" spans="1:13" ht="50.25" customHeight="1">
      <c r="A20" s="2464" t="s">
        <v>1262</v>
      </c>
      <c r="B20" s="2465"/>
      <c r="C20" s="2465"/>
      <c r="D20" s="2465"/>
      <c r="E20" s="2465"/>
      <c r="F20" s="2465"/>
      <c r="G20" s="2465"/>
      <c r="H20" s="2465"/>
      <c r="I20" s="2465"/>
      <c r="J20" s="2465"/>
      <c r="K20" s="2465"/>
      <c r="L20" s="2465"/>
      <c r="M20" s="2466"/>
    </row>
    <row r="21" spans="1:13" ht="14.25">
      <c r="A21" s="2467" t="s">
        <v>600</v>
      </c>
      <c r="B21" s="2469" t="s">
        <v>1223</v>
      </c>
      <c r="C21" s="2471" t="s">
        <v>620</v>
      </c>
      <c r="D21" s="2472"/>
      <c r="E21" s="2472"/>
      <c r="F21" s="2472"/>
      <c r="G21" s="2473"/>
      <c r="H21" s="2474" t="s">
        <v>624</v>
      </c>
      <c r="I21" s="2462" t="s">
        <v>627</v>
      </c>
      <c r="J21" s="2476" t="s">
        <v>625</v>
      </c>
      <c r="K21" s="777"/>
      <c r="L21" s="2462" t="s">
        <v>1239</v>
      </c>
      <c r="M21" s="2478" t="s">
        <v>628</v>
      </c>
    </row>
    <row r="22" spans="1:13">
      <c r="A22" s="2468"/>
      <c r="B22" s="2470"/>
      <c r="C22" s="778" t="s">
        <v>474</v>
      </c>
      <c r="D22" s="778" t="s">
        <v>621</v>
      </c>
      <c r="E22" s="778" t="s">
        <v>622</v>
      </c>
      <c r="F22" s="778" t="s">
        <v>623</v>
      </c>
      <c r="G22" s="778" t="s">
        <v>626</v>
      </c>
      <c r="H22" s="2475"/>
      <c r="I22" s="2463"/>
      <c r="J22" s="2477"/>
      <c r="K22" s="779"/>
      <c r="L22" s="2463"/>
      <c r="M22" s="2479"/>
    </row>
    <row r="23" spans="1:13" ht="15.75">
      <c r="A23" s="1603"/>
      <c r="B23" s="1755" t="s">
        <v>1264</v>
      </c>
      <c r="C23" s="1565" t="s">
        <v>1265</v>
      </c>
      <c r="D23" s="1565" t="s">
        <v>59</v>
      </c>
      <c r="E23" s="1565" t="s">
        <v>59</v>
      </c>
      <c r="F23" s="1565" t="s">
        <v>62</v>
      </c>
      <c r="G23" s="1565" t="s">
        <v>1266</v>
      </c>
      <c r="H23" s="1708" t="s">
        <v>632</v>
      </c>
      <c r="I23" s="1708" t="s">
        <v>1267</v>
      </c>
      <c r="J23" s="1759"/>
      <c r="K23" s="1780"/>
      <c r="L23" s="1781">
        <v>15000</v>
      </c>
      <c r="M23" s="1715">
        <f t="shared" si="0"/>
        <v>15000</v>
      </c>
    </row>
    <row r="24" spans="1:13" ht="25.5">
      <c r="A24" s="1603"/>
      <c r="B24" s="1755" t="s">
        <v>1359</v>
      </c>
      <c r="C24" s="1565" t="s">
        <v>1265</v>
      </c>
      <c r="D24" s="1565" t="s">
        <v>69</v>
      </c>
      <c r="E24" s="1565" t="s">
        <v>59</v>
      </c>
      <c r="F24" s="1565" t="s">
        <v>62</v>
      </c>
      <c r="G24" s="1565" t="s">
        <v>1266</v>
      </c>
      <c r="H24" s="1708" t="s">
        <v>636</v>
      </c>
      <c r="I24" s="1717" t="s">
        <v>633</v>
      </c>
      <c r="J24" s="1759"/>
      <c r="K24" s="1780"/>
      <c r="L24" s="1781">
        <v>85994.43</v>
      </c>
      <c r="M24" s="1715">
        <f t="shared" si="0"/>
        <v>85994.43</v>
      </c>
    </row>
    <row r="25" spans="1:13" ht="19.5" customHeight="1">
      <c r="A25" s="1603"/>
      <c r="B25" s="1717" t="s">
        <v>1360</v>
      </c>
      <c r="C25" s="1565" t="s">
        <v>1265</v>
      </c>
      <c r="D25" s="1565" t="s">
        <v>69</v>
      </c>
      <c r="E25" s="1565" t="s">
        <v>59</v>
      </c>
      <c r="F25" s="1565" t="s">
        <v>62</v>
      </c>
      <c r="G25" s="1565" t="s">
        <v>1266</v>
      </c>
      <c r="H25" s="1708" t="s">
        <v>636</v>
      </c>
      <c r="I25" s="1782" t="s">
        <v>633</v>
      </c>
      <c r="J25" s="1783"/>
      <c r="K25" s="1780"/>
      <c r="L25" s="1781">
        <v>17100</v>
      </c>
      <c r="M25" s="1715">
        <f t="shared" si="0"/>
        <v>17100</v>
      </c>
    </row>
    <row r="26" spans="1:13" ht="15.75">
      <c r="A26" s="1603"/>
      <c r="B26" s="1717" t="s">
        <v>1361</v>
      </c>
      <c r="C26" s="1565" t="s">
        <v>1265</v>
      </c>
      <c r="D26" s="1565" t="s">
        <v>69</v>
      </c>
      <c r="E26" s="1565" t="s">
        <v>59</v>
      </c>
      <c r="F26" s="1565" t="s">
        <v>62</v>
      </c>
      <c r="G26" s="1565" t="s">
        <v>1266</v>
      </c>
      <c r="H26" s="1708" t="s">
        <v>636</v>
      </c>
      <c r="I26" s="1782" t="s">
        <v>633</v>
      </c>
      <c r="J26" s="1783"/>
      <c r="K26" s="1780"/>
      <c r="L26" s="1781">
        <v>28500</v>
      </c>
      <c r="M26" s="1715">
        <f t="shared" si="0"/>
        <v>28500</v>
      </c>
    </row>
    <row r="27" spans="1:13" ht="33.75" customHeight="1">
      <c r="A27" s="1603"/>
      <c r="B27" s="1717" t="s">
        <v>1362</v>
      </c>
      <c r="C27" s="1565" t="s">
        <v>1265</v>
      </c>
      <c r="D27" s="1565" t="s">
        <v>69</v>
      </c>
      <c r="E27" s="1565" t="s">
        <v>59</v>
      </c>
      <c r="F27" s="1565" t="s">
        <v>62</v>
      </c>
      <c r="G27" s="1565" t="s">
        <v>1266</v>
      </c>
      <c r="H27" s="1708" t="s">
        <v>636</v>
      </c>
      <c r="I27" s="1708" t="s">
        <v>1267</v>
      </c>
      <c r="J27" s="1783"/>
      <c r="K27" s="1780"/>
      <c r="L27" s="1781">
        <v>19018</v>
      </c>
      <c r="M27" s="1715">
        <f t="shared" si="0"/>
        <v>19018</v>
      </c>
    </row>
    <row r="28" spans="1:13" ht="15.75" hidden="1" customHeight="1">
      <c r="A28" s="1603"/>
      <c r="B28" s="1717"/>
      <c r="C28" s="775"/>
      <c r="D28" s="775"/>
      <c r="E28" s="775"/>
      <c r="F28" s="775" t="s">
        <v>62</v>
      </c>
      <c r="G28" s="775" t="s">
        <v>65</v>
      </c>
      <c r="H28" s="1708" t="s">
        <v>636</v>
      </c>
      <c r="I28" s="1782" t="s">
        <v>638</v>
      </c>
      <c r="J28" s="1783"/>
      <c r="K28" s="1780"/>
      <c r="L28" s="1781"/>
      <c r="M28" s="1715">
        <f t="shared" si="0"/>
        <v>0</v>
      </c>
    </row>
    <row r="29" spans="1:13" ht="15.75" hidden="1" customHeight="1">
      <c r="A29" s="1603"/>
      <c r="B29" s="1717"/>
      <c r="C29" s="775"/>
      <c r="D29" s="775"/>
      <c r="E29" s="775"/>
      <c r="F29" s="775" t="s">
        <v>62</v>
      </c>
      <c r="G29" s="775" t="s">
        <v>65</v>
      </c>
      <c r="H29" s="1708" t="s">
        <v>636</v>
      </c>
      <c r="I29" s="1782" t="s">
        <v>638</v>
      </c>
      <c r="J29" s="1783"/>
      <c r="K29" s="1780"/>
      <c r="L29" s="1781"/>
      <c r="M29" s="1715">
        <f t="shared" si="0"/>
        <v>0</v>
      </c>
    </row>
    <row r="30" spans="1:13" ht="15.75" hidden="1" customHeight="1">
      <c r="A30" s="1603"/>
      <c r="B30" s="1717"/>
      <c r="C30" s="775"/>
      <c r="D30" s="775"/>
      <c r="E30" s="775"/>
      <c r="F30" s="775" t="s">
        <v>62</v>
      </c>
      <c r="G30" s="775" t="s">
        <v>65</v>
      </c>
      <c r="H30" s="1708" t="s">
        <v>636</v>
      </c>
      <c r="I30" s="1782" t="s">
        <v>638</v>
      </c>
      <c r="J30" s="1783"/>
      <c r="K30" s="1780"/>
      <c r="L30" s="1781"/>
      <c r="M30" s="1715">
        <f t="shared" si="0"/>
        <v>0</v>
      </c>
    </row>
    <row r="31" spans="1:13" ht="15.75" hidden="1" customHeight="1">
      <c r="A31" s="1603"/>
      <c r="B31" s="1717"/>
      <c r="C31" s="775"/>
      <c r="D31" s="775"/>
      <c r="E31" s="775"/>
      <c r="F31" s="775" t="s">
        <v>62</v>
      </c>
      <c r="G31" s="775" t="s">
        <v>65</v>
      </c>
      <c r="H31" s="1708" t="s">
        <v>636</v>
      </c>
      <c r="I31" s="1782" t="s">
        <v>638</v>
      </c>
      <c r="J31" s="1783"/>
      <c r="K31" s="1780"/>
      <c r="L31" s="1781"/>
      <c r="M31" s="1715">
        <f t="shared" si="0"/>
        <v>0</v>
      </c>
    </row>
    <row r="32" spans="1:13" ht="16.5" hidden="1" customHeight="1">
      <c r="A32" s="1603"/>
      <c r="B32" s="1717"/>
      <c r="C32" s="775" t="s">
        <v>380</v>
      </c>
      <c r="D32" s="775" t="s">
        <v>64</v>
      </c>
      <c r="E32" s="775" t="s">
        <v>59</v>
      </c>
      <c r="F32" s="775" t="s">
        <v>62</v>
      </c>
      <c r="G32" s="775" t="s">
        <v>65</v>
      </c>
      <c r="H32" s="1708" t="s">
        <v>636</v>
      </c>
      <c r="I32" s="1782" t="s">
        <v>633</v>
      </c>
      <c r="J32" s="1784"/>
      <c r="K32" s="1780"/>
      <c r="L32" s="1781"/>
      <c r="M32" s="1715">
        <f t="shared" si="0"/>
        <v>0</v>
      </c>
    </row>
    <row r="33" spans="1:20" ht="15.75" hidden="1" customHeight="1">
      <c r="A33" s="1603"/>
      <c r="B33" s="1717"/>
      <c r="C33" s="775" t="s">
        <v>380</v>
      </c>
      <c r="D33" s="775" t="s">
        <v>64</v>
      </c>
      <c r="E33" s="775" t="s">
        <v>61</v>
      </c>
      <c r="F33" s="775" t="s">
        <v>62</v>
      </c>
      <c r="G33" s="775" t="s">
        <v>65</v>
      </c>
      <c r="H33" s="1708" t="s">
        <v>636</v>
      </c>
      <c r="I33" s="1782" t="s">
        <v>638</v>
      </c>
      <c r="J33" s="1783"/>
      <c r="K33" s="1780"/>
      <c r="L33" s="1781"/>
      <c r="M33" s="1715">
        <f t="shared" si="0"/>
        <v>0</v>
      </c>
    </row>
    <row r="34" spans="1:20" ht="15.75" hidden="1" customHeight="1">
      <c r="A34" s="1603"/>
      <c r="B34" s="1717"/>
      <c r="C34" s="775" t="s">
        <v>380</v>
      </c>
      <c r="D34" s="775" t="s">
        <v>64</v>
      </c>
      <c r="E34" s="775" t="s">
        <v>61</v>
      </c>
      <c r="F34" s="775" t="s">
        <v>62</v>
      </c>
      <c r="G34" s="775" t="s">
        <v>65</v>
      </c>
      <c r="H34" s="1708" t="s">
        <v>636</v>
      </c>
      <c r="I34" s="1782" t="s">
        <v>638</v>
      </c>
      <c r="J34" s="1783"/>
      <c r="K34" s="1780"/>
      <c r="L34" s="1781"/>
      <c r="M34" s="1715">
        <f t="shared" si="0"/>
        <v>0</v>
      </c>
    </row>
    <row r="35" spans="1:20" ht="15.75" hidden="1" customHeight="1">
      <c r="A35" s="1603"/>
      <c r="B35" s="1785"/>
      <c r="C35" s="775" t="s">
        <v>381</v>
      </c>
      <c r="D35" s="775" t="s">
        <v>69</v>
      </c>
      <c r="E35" s="775" t="s">
        <v>59</v>
      </c>
      <c r="F35" s="775" t="s">
        <v>62</v>
      </c>
      <c r="G35" s="775" t="s">
        <v>65</v>
      </c>
      <c r="H35" s="1708" t="s">
        <v>636</v>
      </c>
      <c r="I35" s="1782" t="s">
        <v>638</v>
      </c>
      <c r="J35" s="1781"/>
      <c r="K35" s="1780"/>
      <c r="L35" s="1781"/>
      <c r="M35" s="1715">
        <f t="shared" si="0"/>
        <v>0</v>
      </c>
    </row>
    <row r="36" spans="1:20" ht="1.5" hidden="1" customHeight="1">
      <c r="A36" s="1603"/>
      <c r="B36" s="1786"/>
      <c r="C36" s="775"/>
      <c r="D36" s="775"/>
      <c r="E36" s="775"/>
      <c r="F36" s="775"/>
      <c r="G36" s="775"/>
      <c r="H36" s="1708" t="s">
        <v>636</v>
      </c>
      <c r="I36" s="1787"/>
      <c r="J36" s="1788"/>
      <c r="K36" s="1780"/>
      <c r="L36" s="1781"/>
      <c r="M36" s="1715">
        <f t="shared" si="0"/>
        <v>0</v>
      </c>
    </row>
    <row r="37" spans="1:20" ht="16.5" hidden="1" customHeight="1">
      <c r="A37" s="1644"/>
      <c r="B37" s="1789"/>
      <c r="C37" s="775" t="s">
        <v>381</v>
      </c>
      <c r="D37" s="775" t="s">
        <v>69</v>
      </c>
      <c r="E37" s="775" t="s">
        <v>59</v>
      </c>
      <c r="F37" s="775" t="s">
        <v>62</v>
      </c>
      <c r="G37" s="775" t="s">
        <v>65</v>
      </c>
      <c r="H37" s="1708" t="s">
        <v>636</v>
      </c>
      <c r="I37" s="1787" t="s">
        <v>638</v>
      </c>
      <c r="J37" s="1790"/>
      <c r="K37" s="1780"/>
      <c r="L37" s="1781"/>
      <c r="M37" s="1715">
        <f t="shared" si="0"/>
        <v>0</v>
      </c>
    </row>
    <row r="38" spans="1:20" ht="16.5" hidden="1" customHeight="1">
      <c r="A38" s="1603"/>
      <c r="B38" s="1789"/>
      <c r="C38" s="775" t="s">
        <v>380</v>
      </c>
      <c r="D38" s="775" t="s">
        <v>64</v>
      </c>
      <c r="E38" s="775" t="s">
        <v>61</v>
      </c>
      <c r="F38" s="775" t="s">
        <v>62</v>
      </c>
      <c r="G38" s="775" t="s">
        <v>65</v>
      </c>
      <c r="H38" s="1708" t="s">
        <v>636</v>
      </c>
      <c r="I38" s="1787" t="s">
        <v>638</v>
      </c>
      <c r="J38" s="1790"/>
      <c r="K38" s="1780"/>
      <c r="L38" s="1781"/>
      <c r="M38" s="1715">
        <f t="shared" si="0"/>
        <v>0</v>
      </c>
    </row>
    <row r="39" spans="1:20" ht="32.25" customHeight="1">
      <c r="A39" s="1603"/>
      <c r="B39" s="1782" t="s">
        <v>1363</v>
      </c>
      <c r="C39" s="1565" t="s">
        <v>1265</v>
      </c>
      <c r="D39" s="1565" t="s">
        <v>69</v>
      </c>
      <c r="E39" s="1565" t="s">
        <v>59</v>
      </c>
      <c r="F39" s="1565" t="s">
        <v>62</v>
      </c>
      <c r="G39" s="1565" t="s">
        <v>1266</v>
      </c>
      <c r="H39" s="1708" t="s">
        <v>636</v>
      </c>
      <c r="I39" s="1787" t="s">
        <v>1268</v>
      </c>
      <c r="J39" s="1790"/>
      <c r="K39" s="1780"/>
      <c r="L39" s="1859">
        <v>25000</v>
      </c>
      <c r="M39" s="1715">
        <f t="shared" si="0"/>
        <v>25000</v>
      </c>
    </row>
    <row r="40" spans="1:20" ht="19.5" customHeight="1">
      <c r="A40" s="1603"/>
      <c r="B40" s="1782" t="s">
        <v>1365</v>
      </c>
      <c r="C40" s="1565" t="s">
        <v>1265</v>
      </c>
      <c r="D40" s="1565" t="s">
        <v>69</v>
      </c>
      <c r="E40" s="1565" t="s">
        <v>59</v>
      </c>
      <c r="F40" s="1565" t="s">
        <v>62</v>
      </c>
      <c r="G40" s="1565" t="s">
        <v>1266</v>
      </c>
      <c r="H40" s="1708" t="s">
        <v>636</v>
      </c>
      <c r="I40" s="1787" t="s">
        <v>1268</v>
      </c>
      <c r="J40" s="1790"/>
      <c r="K40" s="1780"/>
      <c r="L40" s="1859">
        <v>28000</v>
      </c>
      <c r="M40" s="1715">
        <f t="shared" si="0"/>
        <v>28000</v>
      </c>
    </row>
    <row r="41" spans="1:20" ht="19.5" customHeight="1">
      <c r="A41" s="1603"/>
      <c r="B41" s="1782" t="s">
        <v>1269</v>
      </c>
      <c r="C41" s="1565" t="s">
        <v>1265</v>
      </c>
      <c r="D41" s="1565" t="s">
        <v>69</v>
      </c>
      <c r="E41" s="1565" t="s">
        <v>59</v>
      </c>
      <c r="F41" s="1565" t="s">
        <v>62</v>
      </c>
      <c r="G41" s="1565" t="s">
        <v>1266</v>
      </c>
      <c r="H41" s="1708" t="s">
        <v>636</v>
      </c>
      <c r="I41" s="1787" t="s">
        <v>1268</v>
      </c>
      <c r="J41" s="1790"/>
      <c r="K41" s="1780"/>
      <c r="L41" s="1859">
        <v>25000</v>
      </c>
      <c r="M41" s="1715">
        <f t="shared" si="0"/>
        <v>25000</v>
      </c>
    </row>
    <row r="42" spans="1:20" ht="19.5" customHeight="1">
      <c r="A42" s="1645"/>
      <c r="B42" s="1782" t="s">
        <v>1364</v>
      </c>
      <c r="C42" s="1565" t="s">
        <v>1265</v>
      </c>
      <c r="D42" s="1565" t="s">
        <v>69</v>
      </c>
      <c r="E42" s="1565" t="s">
        <v>59</v>
      </c>
      <c r="F42" s="1565" t="s">
        <v>62</v>
      </c>
      <c r="G42" s="1565" t="s">
        <v>1266</v>
      </c>
      <c r="H42" s="1708" t="s">
        <v>636</v>
      </c>
      <c r="I42" s="1787" t="s">
        <v>1268</v>
      </c>
      <c r="J42" s="1790"/>
      <c r="K42" s="1780"/>
      <c r="L42" s="1859">
        <v>29000</v>
      </c>
      <c r="M42" s="1715">
        <f t="shared" si="0"/>
        <v>29000</v>
      </c>
      <c r="N42" s="217"/>
      <c r="O42" s="217"/>
      <c r="P42" s="217"/>
      <c r="Q42" s="217"/>
      <c r="R42" s="217"/>
      <c r="S42" s="217"/>
      <c r="T42" s="217"/>
    </row>
    <row r="43" spans="1:20" ht="46.5" customHeight="1">
      <c r="A43" s="776"/>
      <c r="B43" s="1791" t="s">
        <v>1386</v>
      </c>
      <c r="C43" s="1792" t="s">
        <v>1366</v>
      </c>
      <c r="D43" s="1792" t="s">
        <v>69</v>
      </c>
      <c r="E43" s="1792" t="s">
        <v>59</v>
      </c>
      <c r="F43" s="1792" t="s">
        <v>62</v>
      </c>
      <c r="G43" s="1792" t="s">
        <v>1266</v>
      </c>
      <c r="H43" s="1769" t="s">
        <v>632</v>
      </c>
      <c r="I43" s="1793" t="s">
        <v>1268</v>
      </c>
      <c r="J43" s="1794"/>
      <c r="K43" s="1795"/>
      <c r="L43" s="1796">
        <v>63513.3</v>
      </c>
      <c r="M43" s="1797">
        <f t="shared" si="0"/>
        <v>63513.3</v>
      </c>
      <c r="N43" s="508"/>
      <c r="O43" s="508"/>
      <c r="P43" s="508"/>
      <c r="Q43" s="508"/>
      <c r="R43" s="508"/>
      <c r="S43" s="508"/>
    </row>
    <row r="44" spans="1:20" ht="42.75" customHeight="1">
      <c r="A44" s="776"/>
      <c r="B44" s="1798" t="s">
        <v>1373</v>
      </c>
      <c r="C44" s="1799" t="s">
        <v>1366</v>
      </c>
      <c r="D44" s="1799" t="s">
        <v>69</v>
      </c>
      <c r="E44" s="1799" t="s">
        <v>59</v>
      </c>
      <c r="F44" s="1799" t="s">
        <v>62</v>
      </c>
      <c r="G44" s="1799" t="s">
        <v>1266</v>
      </c>
      <c r="H44" s="1800" t="s">
        <v>632</v>
      </c>
      <c r="I44" s="1801" t="s">
        <v>633</v>
      </c>
      <c r="J44" s="1802"/>
      <c r="K44" s="1795"/>
      <c r="L44" s="1796">
        <v>208</v>
      </c>
      <c r="M44" s="1715">
        <f t="shared" si="0"/>
        <v>208</v>
      </c>
      <c r="N44" s="508"/>
      <c r="O44" s="508"/>
      <c r="P44" s="508"/>
      <c r="Q44" s="508"/>
      <c r="R44" s="508"/>
      <c r="S44" s="508"/>
    </row>
    <row r="45" spans="1:20" ht="45" customHeight="1">
      <c r="A45" s="776"/>
      <c r="B45" s="1798" t="s">
        <v>1390</v>
      </c>
      <c r="C45" s="1799" t="s">
        <v>1366</v>
      </c>
      <c r="D45" s="1799" t="s">
        <v>59</v>
      </c>
      <c r="E45" s="1799" t="s">
        <v>59</v>
      </c>
      <c r="F45" s="1799" t="s">
        <v>62</v>
      </c>
      <c r="G45" s="1799" t="s">
        <v>1266</v>
      </c>
      <c r="H45" s="1800" t="s">
        <v>632</v>
      </c>
      <c r="I45" s="1801" t="s">
        <v>633</v>
      </c>
      <c r="J45" s="1802"/>
      <c r="K45" s="1795"/>
      <c r="L45" s="1796">
        <v>17328.63</v>
      </c>
      <c r="M45" s="1715">
        <f t="shared" si="0"/>
        <v>17328.63</v>
      </c>
      <c r="N45" s="508"/>
      <c r="O45" s="508"/>
      <c r="P45" s="508"/>
      <c r="Q45" s="508"/>
      <c r="R45" s="508"/>
      <c r="S45" s="508"/>
    </row>
    <row r="46" spans="1:20" ht="46.5" customHeight="1">
      <c r="A46" s="776"/>
      <c r="B46" s="1798" t="s">
        <v>1387</v>
      </c>
      <c r="C46" s="1799" t="s">
        <v>1366</v>
      </c>
      <c r="D46" s="1799" t="s">
        <v>69</v>
      </c>
      <c r="E46" s="1799" t="s">
        <v>59</v>
      </c>
      <c r="F46" s="1799" t="s">
        <v>62</v>
      </c>
      <c r="G46" s="1799" t="s">
        <v>1266</v>
      </c>
      <c r="H46" s="1800" t="s">
        <v>632</v>
      </c>
      <c r="I46" s="1801" t="s">
        <v>633</v>
      </c>
      <c r="J46" s="1802"/>
      <c r="K46" s="1795"/>
      <c r="L46" s="1796">
        <v>875</v>
      </c>
      <c r="M46" s="1715">
        <f t="shared" si="0"/>
        <v>875</v>
      </c>
      <c r="N46" s="508"/>
      <c r="O46" s="508"/>
      <c r="P46" s="508"/>
      <c r="Q46" s="508"/>
      <c r="R46" s="508"/>
      <c r="S46" s="508"/>
    </row>
    <row r="47" spans="1:20" ht="23.25" customHeight="1">
      <c r="A47" s="2459" t="s">
        <v>199</v>
      </c>
      <c r="B47" s="2460"/>
      <c r="C47" s="2460"/>
      <c r="D47" s="2460"/>
      <c r="E47" s="2460"/>
      <c r="F47" s="2460"/>
      <c r="G47" s="2460"/>
      <c r="H47" s="2460"/>
      <c r="I47" s="2461"/>
      <c r="J47" s="1566">
        <f>SUM(J23:J46)</f>
        <v>0</v>
      </c>
      <c r="K47" s="1566">
        <f>SUM(K7:K46)</f>
        <v>0</v>
      </c>
      <c r="L47" s="1817">
        <f>SUM(L23:L46)</f>
        <v>354537.36</v>
      </c>
      <c r="M47" s="1566">
        <f>SUM(M23:M46)</f>
        <v>354537.36</v>
      </c>
    </row>
    <row r="48" spans="1:20" ht="41.25" customHeight="1">
      <c r="A48" s="2481" t="s">
        <v>1222</v>
      </c>
      <c r="B48" s="2482"/>
      <c r="C48" s="2482"/>
      <c r="D48" s="2482"/>
      <c r="E48" s="2482"/>
      <c r="F48" s="2482"/>
      <c r="G48" s="2482"/>
      <c r="H48" s="2482"/>
      <c r="I48" s="2482"/>
      <c r="J48" s="2482"/>
      <c r="K48" s="2482"/>
      <c r="L48" s="2482"/>
      <c r="M48" s="2520"/>
    </row>
    <row r="49" spans="1:15" ht="23.25" customHeight="1">
      <c r="A49" s="2467" t="s">
        <v>600</v>
      </c>
      <c r="B49" s="2469" t="s">
        <v>1223</v>
      </c>
      <c r="C49" s="2471" t="s">
        <v>620</v>
      </c>
      <c r="D49" s="2472"/>
      <c r="E49" s="2472"/>
      <c r="F49" s="2472"/>
      <c r="G49" s="2473"/>
      <c r="H49" s="2474" t="s">
        <v>624</v>
      </c>
      <c r="I49" s="2462" t="s">
        <v>627</v>
      </c>
      <c r="J49" s="2476" t="s">
        <v>625</v>
      </c>
      <c r="K49" s="777"/>
      <c r="L49" s="777"/>
      <c r="M49" s="2478" t="s">
        <v>628</v>
      </c>
    </row>
    <row r="50" spans="1:15" ht="12.75" customHeight="1">
      <c r="A50" s="2468"/>
      <c r="B50" s="2470"/>
      <c r="C50" s="778" t="s">
        <v>474</v>
      </c>
      <c r="D50" s="778" t="s">
        <v>621</v>
      </c>
      <c r="E50" s="778" t="s">
        <v>622</v>
      </c>
      <c r="F50" s="778" t="s">
        <v>623</v>
      </c>
      <c r="G50" s="778" t="s">
        <v>626</v>
      </c>
      <c r="H50" s="2475"/>
      <c r="I50" s="2463"/>
      <c r="J50" s="2477"/>
      <c r="K50" s="779"/>
      <c r="L50" s="779"/>
      <c r="M50" s="2479"/>
    </row>
    <row r="51" spans="1:15" ht="23.25" customHeight="1">
      <c r="A51" s="780"/>
      <c r="B51" s="1778" t="s">
        <v>1132</v>
      </c>
      <c r="C51" s="771" t="s">
        <v>380</v>
      </c>
      <c r="D51" s="771" t="s">
        <v>64</v>
      </c>
      <c r="E51" s="771" t="s">
        <v>59</v>
      </c>
      <c r="F51" s="771" t="s">
        <v>62</v>
      </c>
      <c r="G51" s="771" t="s">
        <v>65</v>
      </c>
      <c r="H51" s="1713" t="s">
        <v>630</v>
      </c>
      <c r="I51" s="1709" t="s">
        <v>633</v>
      </c>
      <c r="J51" s="890">
        <v>17000</v>
      </c>
      <c r="K51" s="1714"/>
      <c r="L51" s="890"/>
      <c r="M51" s="1715">
        <f t="shared" ref="M51:M57" si="1">J51+K51+L51</f>
        <v>17000</v>
      </c>
    </row>
    <row r="52" spans="1:15" ht="18" customHeight="1">
      <c r="A52" s="774"/>
      <c r="B52" s="1717" t="s">
        <v>1153</v>
      </c>
      <c r="C52" s="1718" t="s">
        <v>380</v>
      </c>
      <c r="D52" s="771" t="s">
        <v>64</v>
      </c>
      <c r="E52" s="771" t="s">
        <v>59</v>
      </c>
      <c r="F52" s="771" t="s">
        <v>62</v>
      </c>
      <c r="G52" s="771" t="s">
        <v>65</v>
      </c>
      <c r="H52" s="1713" t="s">
        <v>630</v>
      </c>
      <c r="I52" s="1709" t="s">
        <v>638</v>
      </c>
      <c r="J52" s="890">
        <v>30000</v>
      </c>
      <c r="K52" s="1714"/>
      <c r="L52" s="890"/>
      <c r="M52" s="1715">
        <f t="shared" si="1"/>
        <v>30000</v>
      </c>
    </row>
    <row r="53" spans="1:15" ht="16.5" customHeight="1">
      <c r="A53" s="780"/>
      <c r="B53" s="1816" t="s">
        <v>1031</v>
      </c>
      <c r="C53" s="771" t="s">
        <v>380</v>
      </c>
      <c r="D53" s="771" t="s">
        <v>64</v>
      </c>
      <c r="E53" s="771" t="s">
        <v>59</v>
      </c>
      <c r="F53" s="771" t="s">
        <v>62</v>
      </c>
      <c r="G53" s="771" t="s">
        <v>65</v>
      </c>
      <c r="H53" s="1713" t="s">
        <v>630</v>
      </c>
      <c r="I53" s="1709" t="s">
        <v>638</v>
      </c>
      <c r="J53" s="890">
        <v>20000</v>
      </c>
      <c r="K53" s="1714"/>
      <c r="L53" s="890"/>
      <c r="M53" s="1715">
        <f t="shared" si="1"/>
        <v>20000</v>
      </c>
    </row>
    <row r="54" spans="1:15" ht="42.75" customHeight="1">
      <c r="A54" s="780"/>
      <c r="B54" s="1720" t="s">
        <v>1182</v>
      </c>
      <c r="C54" s="771" t="s">
        <v>380</v>
      </c>
      <c r="D54" s="771" t="s">
        <v>64</v>
      </c>
      <c r="E54" s="771" t="s">
        <v>59</v>
      </c>
      <c r="F54" s="771" t="s">
        <v>62</v>
      </c>
      <c r="G54" s="771" t="s">
        <v>65</v>
      </c>
      <c r="H54" s="1713" t="s">
        <v>630</v>
      </c>
      <c r="I54" s="1709" t="s">
        <v>638</v>
      </c>
      <c r="J54" s="890">
        <v>10000</v>
      </c>
      <c r="K54" s="1714"/>
      <c r="L54" s="890"/>
      <c r="M54" s="1715">
        <f t="shared" si="1"/>
        <v>10000</v>
      </c>
      <c r="O54" s="494" t="s">
        <v>1395</v>
      </c>
    </row>
    <row r="55" spans="1:15" ht="19.5" customHeight="1">
      <c r="A55" s="780"/>
      <c r="B55" s="1779" t="s">
        <v>1170</v>
      </c>
      <c r="C55" s="771" t="s">
        <v>380</v>
      </c>
      <c r="D55" s="771" t="s">
        <v>64</v>
      </c>
      <c r="E55" s="771" t="s">
        <v>59</v>
      </c>
      <c r="F55" s="771" t="s">
        <v>62</v>
      </c>
      <c r="G55" s="771" t="s">
        <v>65</v>
      </c>
      <c r="H55" s="1713" t="s">
        <v>630</v>
      </c>
      <c r="I55" s="1709" t="s">
        <v>638</v>
      </c>
      <c r="J55" s="1722">
        <v>5000</v>
      </c>
      <c r="K55" s="1714"/>
      <c r="L55" s="890"/>
      <c r="M55" s="1715">
        <f t="shared" si="1"/>
        <v>5000</v>
      </c>
    </row>
    <row r="56" spans="1:15" ht="42.75" customHeight="1">
      <c r="A56" s="780"/>
      <c r="B56" s="1779" t="s">
        <v>1310</v>
      </c>
      <c r="C56" s="771" t="s">
        <v>380</v>
      </c>
      <c r="D56" s="771" t="s">
        <v>64</v>
      </c>
      <c r="E56" s="771" t="s">
        <v>59</v>
      </c>
      <c r="F56" s="771" t="s">
        <v>62</v>
      </c>
      <c r="G56" s="771" t="s">
        <v>65</v>
      </c>
      <c r="H56" s="1713" t="s">
        <v>630</v>
      </c>
      <c r="I56" s="1709" t="s">
        <v>1311</v>
      </c>
      <c r="J56" s="1722">
        <v>10000</v>
      </c>
      <c r="K56" s="1714"/>
      <c r="L56" s="890"/>
      <c r="M56" s="1715">
        <f t="shared" si="1"/>
        <v>10000</v>
      </c>
    </row>
    <row r="57" spans="1:15" ht="27.75" customHeight="1">
      <c r="A57" s="780"/>
      <c r="B57" s="1779" t="s">
        <v>1312</v>
      </c>
      <c r="C57" s="771" t="s">
        <v>380</v>
      </c>
      <c r="D57" s="771" t="s">
        <v>64</v>
      </c>
      <c r="E57" s="771" t="s">
        <v>59</v>
      </c>
      <c r="F57" s="771" t="s">
        <v>62</v>
      </c>
      <c r="G57" s="771" t="s">
        <v>65</v>
      </c>
      <c r="H57" s="1713" t="s">
        <v>630</v>
      </c>
      <c r="I57" s="1709" t="s">
        <v>633</v>
      </c>
      <c r="J57" s="1722">
        <f>30000-2085.97</f>
        <v>27914.03</v>
      </c>
      <c r="K57" s="1714"/>
      <c r="L57" s="890"/>
      <c r="M57" s="1715">
        <f t="shared" si="1"/>
        <v>27914.03</v>
      </c>
    </row>
    <row r="58" spans="1:15" ht="27.75" customHeight="1">
      <c r="A58" s="774"/>
      <c r="B58" s="1737" t="s">
        <v>1439</v>
      </c>
      <c r="C58" s="1565" t="s">
        <v>380</v>
      </c>
      <c r="D58" s="1565" t="s">
        <v>64</v>
      </c>
      <c r="E58" s="1565" t="s">
        <v>59</v>
      </c>
      <c r="F58" s="1565" t="s">
        <v>62</v>
      </c>
      <c r="G58" s="1565" t="s">
        <v>65</v>
      </c>
      <c r="H58" s="1713" t="s">
        <v>630</v>
      </c>
      <c r="I58" s="1708" t="s">
        <v>323</v>
      </c>
      <c r="J58" s="1777">
        <v>35000</v>
      </c>
      <c r="K58" s="1714"/>
      <c r="L58" s="1714"/>
      <c r="M58" s="1715">
        <f>J58+K58+L58</f>
        <v>35000</v>
      </c>
    </row>
    <row r="59" spans="1:15" ht="20.25" customHeight="1">
      <c r="A59" s="774"/>
      <c r="B59" s="1737" t="s">
        <v>1477</v>
      </c>
      <c r="C59" s="1565" t="s">
        <v>380</v>
      </c>
      <c r="D59" s="1565" t="s">
        <v>64</v>
      </c>
      <c r="E59" s="1565" t="s">
        <v>59</v>
      </c>
      <c r="F59" s="1565" t="s">
        <v>62</v>
      </c>
      <c r="G59" s="1565" t="s">
        <v>65</v>
      </c>
      <c r="H59" s="1713" t="s">
        <v>630</v>
      </c>
      <c r="I59" s="1708" t="s">
        <v>1028</v>
      </c>
      <c r="J59" s="1777">
        <v>10000</v>
      </c>
      <c r="K59" s="890"/>
      <c r="L59" s="890"/>
      <c r="M59" s="1715">
        <f t="shared" ref="M59:M62" si="2">J59+K59+L59</f>
        <v>10000</v>
      </c>
    </row>
    <row r="60" spans="1:15" ht="18.75" customHeight="1">
      <c r="A60" s="774"/>
      <c r="B60" s="1737" t="s">
        <v>1478</v>
      </c>
      <c r="C60" s="1565" t="s">
        <v>380</v>
      </c>
      <c r="D60" s="1565" t="s">
        <v>64</v>
      </c>
      <c r="E60" s="1565" t="s">
        <v>59</v>
      </c>
      <c r="F60" s="1565" t="s">
        <v>62</v>
      </c>
      <c r="G60" s="1565" t="s">
        <v>65</v>
      </c>
      <c r="H60" s="1713" t="s">
        <v>630</v>
      </c>
      <c r="I60" s="1708" t="s">
        <v>1028</v>
      </c>
      <c r="J60" s="1777">
        <v>10000</v>
      </c>
      <c r="K60" s="890"/>
      <c r="L60" s="890"/>
      <c r="M60" s="1715">
        <f t="shared" si="2"/>
        <v>10000</v>
      </c>
    </row>
    <row r="61" spans="1:15" ht="27.75" customHeight="1">
      <c r="A61" s="1644"/>
      <c r="B61" s="1737" t="s">
        <v>1497</v>
      </c>
      <c r="C61" s="1565" t="s">
        <v>380</v>
      </c>
      <c r="D61" s="1565" t="s">
        <v>64</v>
      </c>
      <c r="E61" s="1565" t="s">
        <v>59</v>
      </c>
      <c r="F61" s="1565" t="s">
        <v>62</v>
      </c>
      <c r="G61" s="1565" t="s">
        <v>65</v>
      </c>
      <c r="H61" s="1713" t="s">
        <v>630</v>
      </c>
      <c r="I61" s="1708" t="s">
        <v>1028</v>
      </c>
      <c r="J61" s="1777">
        <v>15000</v>
      </c>
      <c r="K61" s="890"/>
      <c r="L61" s="890"/>
      <c r="M61" s="1715">
        <f t="shared" si="2"/>
        <v>15000</v>
      </c>
    </row>
    <row r="62" spans="1:15" ht="22.5" customHeight="1">
      <c r="A62" s="1644"/>
      <c r="B62" s="1737" t="s">
        <v>1503</v>
      </c>
      <c r="C62" s="1565" t="s">
        <v>380</v>
      </c>
      <c r="D62" s="1565" t="s">
        <v>64</v>
      </c>
      <c r="E62" s="1565" t="s">
        <v>59</v>
      </c>
      <c r="F62" s="1565" t="s">
        <v>62</v>
      </c>
      <c r="G62" s="1565" t="s">
        <v>65</v>
      </c>
      <c r="H62" s="1713" t="s">
        <v>630</v>
      </c>
      <c r="I62" s="1708" t="s">
        <v>1028</v>
      </c>
      <c r="J62" s="1777">
        <v>5000</v>
      </c>
      <c r="K62" s="890"/>
      <c r="L62" s="890"/>
      <c r="M62" s="1715">
        <f t="shared" si="2"/>
        <v>5000</v>
      </c>
    </row>
    <row r="63" spans="1:15" ht="23.25" customHeight="1">
      <c r="A63" s="2523" t="s">
        <v>199</v>
      </c>
      <c r="B63" s="2524"/>
      <c r="C63" s="2524"/>
      <c r="D63" s="2524"/>
      <c r="E63" s="2524"/>
      <c r="F63" s="2524"/>
      <c r="G63" s="2524"/>
      <c r="H63" s="2524"/>
      <c r="I63" s="2524"/>
      <c r="J63" s="1567">
        <f>SUM(J51:J62)</f>
        <v>194914.03</v>
      </c>
      <c r="K63" s="1567">
        <f>SUM(K50:K57)</f>
        <v>0</v>
      </c>
      <c r="L63" s="1568">
        <f>SUM(L51:L57)</f>
        <v>0</v>
      </c>
      <c r="M63" s="1569">
        <f>SUM(M50:M61)</f>
        <v>189914.03</v>
      </c>
    </row>
    <row r="64" spans="1:15" ht="46.5" customHeight="1">
      <c r="A64" s="2464" t="s">
        <v>1263</v>
      </c>
      <c r="B64" s="2465"/>
      <c r="C64" s="2465"/>
      <c r="D64" s="2465"/>
      <c r="E64" s="2465"/>
      <c r="F64" s="2465"/>
      <c r="G64" s="2465"/>
      <c r="H64" s="2465"/>
      <c r="I64" s="2465"/>
      <c r="J64" s="2465"/>
      <c r="K64" s="2465"/>
      <c r="L64" s="2465"/>
      <c r="M64" s="2466"/>
    </row>
    <row r="65" spans="1:15" ht="14.25" customHeight="1">
      <c r="A65" s="2467" t="s">
        <v>600</v>
      </c>
      <c r="B65" s="2469" t="s">
        <v>1223</v>
      </c>
      <c r="C65" s="2471" t="s">
        <v>620</v>
      </c>
      <c r="D65" s="2472"/>
      <c r="E65" s="2472"/>
      <c r="F65" s="2472"/>
      <c r="G65" s="2473"/>
      <c r="H65" s="2474" t="s">
        <v>624</v>
      </c>
      <c r="I65" s="2462" t="s">
        <v>627</v>
      </c>
      <c r="J65" s="2476" t="s">
        <v>625</v>
      </c>
      <c r="K65" s="777"/>
      <c r="L65" s="777"/>
      <c r="M65" s="2478" t="s">
        <v>628</v>
      </c>
    </row>
    <row r="66" spans="1:15" ht="15" customHeight="1">
      <c r="A66" s="2468"/>
      <c r="B66" s="2470"/>
      <c r="C66" s="778" t="s">
        <v>474</v>
      </c>
      <c r="D66" s="778" t="s">
        <v>621</v>
      </c>
      <c r="E66" s="778" t="s">
        <v>622</v>
      </c>
      <c r="F66" s="778" t="s">
        <v>623</v>
      </c>
      <c r="G66" s="778" t="s">
        <v>626</v>
      </c>
      <c r="H66" s="2475"/>
      <c r="I66" s="2463"/>
      <c r="J66" s="2477"/>
      <c r="K66" s="779"/>
      <c r="L66" s="779"/>
      <c r="M66" s="2479"/>
    </row>
    <row r="67" spans="1:15">
      <c r="A67" s="1711"/>
      <c r="B67" s="1712" t="s">
        <v>1384</v>
      </c>
      <c r="C67" s="771" t="s">
        <v>380</v>
      </c>
      <c r="D67" s="771" t="s">
        <v>64</v>
      </c>
      <c r="E67" s="771" t="s">
        <v>59</v>
      </c>
      <c r="F67" s="771" t="s">
        <v>62</v>
      </c>
      <c r="G67" s="771" t="s">
        <v>65</v>
      </c>
      <c r="H67" s="1713" t="s">
        <v>630</v>
      </c>
      <c r="I67" s="1709" t="s">
        <v>1268</v>
      </c>
      <c r="J67" s="890">
        <v>31446.45</v>
      </c>
      <c r="K67" s="1714"/>
      <c r="L67" s="890"/>
      <c r="M67" s="1715">
        <f t="shared" ref="M67:M74" si="3">J67+K67+L67</f>
        <v>31446.45</v>
      </c>
    </row>
    <row r="68" spans="1:15" ht="22.5" customHeight="1">
      <c r="A68" s="1716"/>
      <c r="B68" s="1717" t="s">
        <v>1027</v>
      </c>
      <c r="C68" s="1718" t="s">
        <v>381</v>
      </c>
      <c r="D68" s="771" t="s">
        <v>69</v>
      </c>
      <c r="E68" s="771" t="s">
        <v>59</v>
      </c>
      <c r="F68" s="771" t="s">
        <v>62</v>
      </c>
      <c r="G68" s="771" t="s">
        <v>65</v>
      </c>
      <c r="H68" s="783" t="s">
        <v>636</v>
      </c>
      <c r="I68" s="1719" t="s">
        <v>1028</v>
      </c>
      <c r="J68" s="890">
        <v>24603.26</v>
      </c>
      <c r="K68" s="1714"/>
      <c r="L68" s="890"/>
      <c r="M68" s="1715">
        <f t="shared" si="3"/>
        <v>24603.26</v>
      </c>
    </row>
    <row r="69" spans="1:15" ht="25.5">
      <c r="A69" s="1711"/>
      <c r="B69" s="1720" t="s">
        <v>1029</v>
      </c>
      <c r="C69" s="771" t="s">
        <v>380</v>
      </c>
      <c r="D69" s="771" t="s">
        <v>64</v>
      </c>
      <c r="E69" s="771" t="s">
        <v>59</v>
      </c>
      <c r="F69" s="771" t="s">
        <v>62</v>
      </c>
      <c r="G69" s="771" t="s">
        <v>65</v>
      </c>
      <c r="H69" s="1713" t="s">
        <v>630</v>
      </c>
      <c r="I69" s="1709" t="s">
        <v>633</v>
      </c>
      <c r="J69" s="890">
        <v>68000</v>
      </c>
      <c r="K69" s="1714"/>
      <c r="L69" s="890"/>
      <c r="M69" s="1715">
        <f t="shared" si="3"/>
        <v>68000</v>
      </c>
    </row>
    <row r="70" spans="1:15" hidden="1">
      <c r="A70" s="1711"/>
      <c r="B70" s="1721"/>
      <c r="C70" s="771" t="s">
        <v>380</v>
      </c>
      <c r="D70" s="771" t="s">
        <v>64</v>
      </c>
      <c r="E70" s="771" t="s">
        <v>59</v>
      </c>
      <c r="F70" s="771" t="s">
        <v>62</v>
      </c>
      <c r="G70" s="771" t="s">
        <v>65</v>
      </c>
      <c r="H70" s="1713" t="s">
        <v>630</v>
      </c>
      <c r="I70" s="1709" t="s">
        <v>633</v>
      </c>
      <c r="J70" s="1722"/>
      <c r="K70" s="1714"/>
      <c r="L70" s="890"/>
      <c r="M70" s="1715">
        <f t="shared" si="3"/>
        <v>0</v>
      </c>
    </row>
    <row r="71" spans="1:15">
      <c r="A71" s="1711"/>
      <c r="B71" s="1723" t="s">
        <v>1159</v>
      </c>
      <c r="C71" s="1724" t="s">
        <v>381</v>
      </c>
      <c r="D71" s="1724" t="s">
        <v>69</v>
      </c>
      <c r="E71" s="1724" t="s">
        <v>59</v>
      </c>
      <c r="F71" s="1724" t="s">
        <v>62</v>
      </c>
      <c r="G71" s="1724" t="s">
        <v>65</v>
      </c>
      <c r="H71" s="783" t="s">
        <v>636</v>
      </c>
      <c r="I71" s="1725" t="s">
        <v>633</v>
      </c>
      <c r="J71" s="1726">
        <v>50000</v>
      </c>
      <c r="K71" s="1727"/>
      <c r="L71" s="1726"/>
      <c r="M71" s="1728">
        <f t="shared" si="3"/>
        <v>50000</v>
      </c>
    </row>
    <row r="72" spans="1:15" ht="20.25" customHeight="1">
      <c r="A72" s="1729"/>
      <c r="B72" s="1717" t="s">
        <v>1197</v>
      </c>
      <c r="C72" s="771" t="s">
        <v>380</v>
      </c>
      <c r="D72" s="771" t="s">
        <v>64</v>
      </c>
      <c r="E72" s="771" t="s">
        <v>59</v>
      </c>
      <c r="F72" s="771" t="s">
        <v>62</v>
      </c>
      <c r="G72" s="771" t="s">
        <v>65</v>
      </c>
      <c r="H72" s="1713" t="s">
        <v>630</v>
      </c>
      <c r="I72" s="1730" t="s">
        <v>633</v>
      </c>
      <c r="J72" s="1726">
        <v>60000</v>
      </c>
      <c r="K72" s="1714"/>
      <c r="L72" s="890"/>
      <c r="M72" s="1715">
        <f t="shared" si="3"/>
        <v>60000</v>
      </c>
    </row>
    <row r="73" spans="1:15" ht="18.75" customHeight="1">
      <c r="A73" s="1729"/>
      <c r="B73" s="1712" t="s">
        <v>1036</v>
      </c>
      <c r="C73" s="775" t="s">
        <v>381</v>
      </c>
      <c r="D73" s="775" t="s">
        <v>69</v>
      </c>
      <c r="E73" s="775" t="s">
        <v>59</v>
      </c>
      <c r="F73" s="775" t="s">
        <v>62</v>
      </c>
      <c r="G73" s="775" t="s">
        <v>65</v>
      </c>
      <c r="H73" s="783" t="s">
        <v>636</v>
      </c>
      <c r="I73" s="1731" t="s">
        <v>635</v>
      </c>
      <c r="J73" s="1732">
        <v>20000</v>
      </c>
      <c r="K73" s="1733"/>
      <c r="L73" s="1734"/>
      <c r="M73" s="1735">
        <f t="shared" si="3"/>
        <v>20000</v>
      </c>
    </row>
    <row r="74" spans="1:15" ht="18.75" customHeight="1">
      <c r="A74" s="1736"/>
      <c r="B74" s="1737" t="s">
        <v>1126</v>
      </c>
      <c r="C74" s="771" t="s">
        <v>380</v>
      </c>
      <c r="D74" s="771" t="s">
        <v>64</v>
      </c>
      <c r="E74" s="771" t="s">
        <v>59</v>
      </c>
      <c r="F74" s="771" t="s">
        <v>62</v>
      </c>
      <c r="G74" s="771" t="s">
        <v>65</v>
      </c>
      <c r="H74" s="1709" t="s">
        <v>632</v>
      </c>
      <c r="I74" s="1709" t="s">
        <v>633</v>
      </c>
      <c r="J74" s="1726">
        <v>20000</v>
      </c>
      <c r="K74" s="890"/>
      <c r="L74" s="890"/>
      <c r="M74" s="1715">
        <f t="shared" si="3"/>
        <v>20000</v>
      </c>
    </row>
    <row r="75" spans="1:15" ht="18.75" customHeight="1">
      <c r="A75" s="1716"/>
      <c r="B75" s="1717" t="s">
        <v>1030</v>
      </c>
      <c r="C75" s="771" t="s">
        <v>381</v>
      </c>
      <c r="D75" s="771" t="s">
        <v>69</v>
      </c>
      <c r="E75" s="771" t="s">
        <v>59</v>
      </c>
      <c r="F75" s="771" t="s">
        <v>62</v>
      </c>
      <c r="G75" s="771" t="s">
        <v>65</v>
      </c>
      <c r="H75" s="1709" t="s">
        <v>1504</v>
      </c>
      <c r="I75" s="1709" t="s">
        <v>633</v>
      </c>
      <c r="J75" s="890">
        <v>50000</v>
      </c>
      <c r="K75" s="890"/>
      <c r="L75" s="890"/>
      <c r="M75" s="1715">
        <f t="shared" ref="M75:M90" si="4">J75+K75+L75</f>
        <v>50000</v>
      </c>
    </row>
    <row r="76" spans="1:15" ht="25.5">
      <c r="A76" s="1716"/>
      <c r="B76" s="1737" t="s">
        <v>1302</v>
      </c>
      <c r="C76" s="771" t="s">
        <v>381</v>
      </c>
      <c r="D76" s="771" t="s">
        <v>69</v>
      </c>
      <c r="E76" s="771" t="s">
        <v>59</v>
      </c>
      <c r="F76" s="771" t="s">
        <v>62</v>
      </c>
      <c r="G76" s="771" t="s">
        <v>65</v>
      </c>
      <c r="H76" s="1738" t="s">
        <v>636</v>
      </c>
      <c r="I76" s="1709" t="s">
        <v>633</v>
      </c>
      <c r="J76" s="1726">
        <v>60000</v>
      </c>
      <c r="K76" s="890"/>
      <c r="L76" s="890"/>
      <c r="M76" s="1715">
        <f t="shared" si="4"/>
        <v>60000</v>
      </c>
      <c r="O76" s="494" t="s">
        <v>1396</v>
      </c>
    </row>
    <row r="77" spans="1:15" ht="15.75" customHeight="1">
      <c r="A77" s="1716"/>
      <c r="B77" s="1737" t="s">
        <v>1303</v>
      </c>
      <c r="C77" s="771" t="s">
        <v>381</v>
      </c>
      <c r="D77" s="771" t="s">
        <v>69</v>
      </c>
      <c r="E77" s="771" t="s">
        <v>59</v>
      </c>
      <c r="F77" s="771" t="s">
        <v>62</v>
      </c>
      <c r="G77" s="771" t="s">
        <v>65</v>
      </c>
      <c r="H77" s="1738" t="s">
        <v>636</v>
      </c>
      <c r="I77" s="1709" t="s">
        <v>323</v>
      </c>
      <c r="J77" s="1726">
        <v>40000</v>
      </c>
      <c r="K77" s="890"/>
      <c r="L77" s="890"/>
      <c r="M77" s="1715">
        <f t="shared" si="4"/>
        <v>40000</v>
      </c>
    </row>
    <row r="78" spans="1:15" ht="15.75" customHeight="1">
      <c r="A78" s="1716"/>
      <c r="B78" s="1737" t="s">
        <v>1304</v>
      </c>
      <c r="C78" s="771" t="s">
        <v>381</v>
      </c>
      <c r="D78" s="771" t="s">
        <v>69</v>
      </c>
      <c r="E78" s="771" t="s">
        <v>59</v>
      </c>
      <c r="F78" s="771" t="s">
        <v>62</v>
      </c>
      <c r="G78" s="771" t="s">
        <v>65</v>
      </c>
      <c r="H78" s="1738" t="s">
        <v>636</v>
      </c>
      <c r="I78" s="1709" t="s">
        <v>635</v>
      </c>
      <c r="J78" s="1726">
        <v>20000</v>
      </c>
      <c r="K78" s="890"/>
      <c r="L78" s="890"/>
      <c r="M78" s="1715">
        <f t="shared" si="4"/>
        <v>20000</v>
      </c>
    </row>
    <row r="79" spans="1:15" ht="15.75" customHeight="1">
      <c r="A79" s="1716"/>
      <c r="B79" s="1737" t="s">
        <v>1305</v>
      </c>
      <c r="C79" s="771" t="s">
        <v>381</v>
      </c>
      <c r="D79" s="771" t="s">
        <v>69</v>
      </c>
      <c r="E79" s="771" t="s">
        <v>59</v>
      </c>
      <c r="F79" s="771" t="s">
        <v>62</v>
      </c>
      <c r="G79" s="771" t="s">
        <v>65</v>
      </c>
      <c r="H79" s="1738" t="s">
        <v>636</v>
      </c>
      <c r="I79" s="1709" t="s">
        <v>635</v>
      </c>
      <c r="J79" s="1726">
        <v>20000</v>
      </c>
      <c r="K79" s="890"/>
      <c r="L79" s="890"/>
      <c r="M79" s="1715">
        <f t="shared" si="4"/>
        <v>20000</v>
      </c>
    </row>
    <row r="80" spans="1:15" ht="23.25" customHeight="1">
      <c r="A80" s="1716"/>
      <c r="B80" s="1737" t="s">
        <v>1438</v>
      </c>
      <c r="C80" s="771" t="s">
        <v>381</v>
      </c>
      <c r="D80" s="771" t="s">
        <v>69</v>
      </c>
      <c r="E80" s="771" t="s">
        <v>59</v>
      </c>
      <c r="F80" s="771" t="s">
        <v>62</v>
      </c>
      <c r="G80" s="771" t="s">
        <v>65</v>
      </c>
      <c r="H80" s="1738" t="s">
        <v>636</v>
      </c>
      <c r="I80" s="1709" t="s">
        <v>635</v>
      </c>
      <c r="J80" s="1726">
        <v>20000</v>
      </c>
      <c r="K80" s="890"/>
      <c r="L80" s="890"/>
      <c r="M80" s="1715">
        <f t="shared" si="4"/>
        <v>20000</v>
      </c>
    </row>
    <row r="81" spans="1:15">
      <c r="A81" s="1716"/>
      <c r="B81" s="1737" t="s">
        <v>1306</v>
      </c>
      <c r="C81" s="771" t="s">
        <v>381</v>
      </c>
      <c r="D81" s="771" t="s">
        <v>69</v>
      </c>
      <c r="E81" s="771" t="s">
        <v>59</v>
      </c>
      <c r="F81" s="771" t="s">
        <v>62</v>
      </c>
      <c r="G81" s="771" t="s">
        <v>65</v>
      </c>
      <c r="H81" s="1738" t="s">
        <v>636</v>
      </c>
      <c r="I81" s="1709" t="s">
        <v>323</v>
      </c>
      <c r="J81" s="1726">
        <v>40000</v>
      </c>
      <c r="K81" s="890"/>
      <c r="L81" s="890"/>
      <c r="M81" s="1715">
        <f t="shared" si="4"/>
        <v>40000</v>
      </c>
    </row>
    <row r="82" spans="1:15">
      <c r="A82" s="1716"/>
      <c r="B82" s="1737" t="s">
        <v>1307</v>
      </c>
      <c r="C82" s="771" t="s">
        <v>381</v>
      </c>
      <c r="D82" s="771" t="s">
        <v>69</v>
      </c>
      <c r="E82" s="771" t="s">
        <v>59</v>
      </c>
      <c r="F82" s="771" t="s">
        <v>62</v>
      </c>
      <c r="G82" s="771" t="s">
        <v>65</v>
      </c>
      <c r="H82" s="1738" t="s">
        <v>636</v>
      </c>
      <c r="I82" s="1709" t="s">
        <v>635</v>
      </c>
      <c r="J82" s="1726">
        <v>10000</v>
      </c>
      <c r="K82" s="890"/>
      <c r="L82" s="890"/>
      <c r="M82" s="1715">
        <f t="shared" si="4"/>
        <v>10000</v>
      </c>
    </row>
    <row r="83" spans="1:15" ht="17.25" customHeight="1">
      <c r="A83" s="1716"/>
      <c r="B83" s="1737" t="s">
        <v>1308</v>
      </c>
      <c r="C83" s="771" t="s">
        <v>381</v>
      </c>
      <c r="D83" s="771" t="s">
        <v>69</v>
      </c>
      <c r="E83" s="771" t="s">
        <v>59</v>
      </c>
      <c r="F83" s="771" t="s">
        <v>62</v>
      </c>
      <c r="G83" s="771" t="s">
        <v>65</v>
      </c>
      <c r="H83" s="1738" t="s">
        <v>636</v>
      </c>
      <c r="I83" s="1709" t="s">
        <v>633</v>
      </c>
      <c r="J83" s="1726">
        <v>60000</v>
      </c>
      <c r="K83" s="890"/>
      <c r="L83" s="890"/>
      <c r="M83" s="1715">
        <f t="shared" si="4"/>
        <v>60000</v>
      </c>
    </row>
    <row r="84" spans="1:15" ht="26.25" customHeight="1">
      <c r="A84" s="1716"/>
      <c r="B84" s="1717" t="s">
        <v>1309</v>
      </c>
      <c r="C84" s="771" t="s">
        <v>381</v>
      </c>
      <c r="D84" s="771" t="s">
        <v>69</v>
      </c>
      <c r="E84" s="771" t="s">
        <v>59</v>
      </c>
      <c r="F84" s="771" t="s">
        <v>62</v>
      </c>
      <c r="G84" s="771" t="s">
        <v>65</v>
      </c>
      <c r="H84" s="1709" t="s">
        <v>1504</v>
      </c>
      <c r="I84" s="1709" t="s">
        <v>633</v>
      </c>
      <c r="J84" s="890">
        <v>42603.26</v>
      </c>
      <c r="K84" s="890"/>
      <c r="L84" s="890"/>
      <c r="M84" s="1715">
        <f t="shared" si="4"/>
        <v>42603.26</v>
      </c>
    </row>
    <row r="85" spans="1:15" ht="21.75" customHeight="1">
      <c r="A85" s="1716"/>
      <c r="B85" s="1717" t="s">
        <v>1391</v>
      </c>
      <c r="C85" s="771" t="s">
        <v>380</v>
      </c>
      <c r="D85" s="771" t="s">
        <v>64</v>
      </c>
      <c r="E85" s="771" t="s">
        <v>61</v>
      </c>
      <c r="F85" s="771" t="s">
        <v>62</v>
      </c>
      <c r="G85" s="771" t="s">
        <v>65</v>
      </c>
      <c r="H85" s="1709" t="s">
        <v>632</v>
      </c>
      <c r="I85" s="1709" t="s">
        <v>633</v>
      </c>
      <c r="J85" s="890">
        <v>1215.29</v>
      </c>
      <c r="K85" s="890"/>
      <c r="L85" s="890"/>
      <c r="M85" s="1739">
        <f t="shared" si="4"/>
        <v>1215.29</v>
      </c>
    </row>
    <row r="86" spans="1:15" ht="21.75" customHeight="1">
      <c r="A86" s="1740"/>
      <c r="B86" s="1717" t="s">
        <v>1474</v>
      </c>
      <c r="C86" s="771" t="s">
        <v>381</v>
      </c>
      <c r="D86" s="771" t="s">
        <v>69</v>
      </c>
      <c r="E86" s="771" t="s">
        <v>59</v>
      </c>
      <c r="F86" s="771" t="s">
        <v>62</v>
      </c>
      <c r="G86" s="771" t="s">
        <v>65</v>
      </c>
      <c r="H86" s="1738" t="s">
        <v>636</v>
      </c>
      <c r="I86" s="1709" t="s">
        <v>635</v>
      </c>
      <c r="J86" s="890">
        <v>10000</v>
      </c>
      <c r="K86" s="890"/>
      <c r="L86" s="890"/>
      <c r="M86" s="1715">
        <f t="shared" si="4"/>
        <v>10000</v>
      </c>
    </row>
    <row r="87" spans="1:15" ht="24.75" customHeight="1">
      <c r="A87" s="1740"/>
      <c r="B87" s="1717" t="s">
        <v>1485</v>
      </c>
      <c r="C87" s="771" t="s">
        <v>380</v>
      </c>
      <c r="D87" s="771" t="s">
        <v>64</v>
      </c>
      <c r="E87" s="771" t="s">
        <v>59</v>
      </c>
      <c r="F87" s="771" t="s">
        <v>62</v>
      </c>
      <c r="G87" s="771" t="s">
        <v>65</v>
      </c>
      <c r="H87" s="1709" t="s">
        <v>632</v>
      </c>
      <c r="I87" s="1709" t="s">
        <v>638</v>
      </c>
      <c r="J87" s="890">
        <v>15000</v>
      </c>
      <c r="K87" s="890"/>
      <c r="L87" s="890"/>
      <c r="M87" s="1715">
        <f t="shared" si="4"/>
        <v>15000</v>
      </c>
    </row>
    <row r="88" spans="1:15" ht="25.5" customHeight="1">
      <c r="A88" s="1740"/>
      <c r="B88" s="1717" t="s">
        <v>1476</v>
      </c>
      <c r="C88" s="771" t="s">
        <v>381</v>
      </c>
      <c r="D88" s="771" t="s">
        <v>69</v>
      </c>
      <c r="E88" s="771" t="s">
        <v>59</v>
      </c>
      <c r="F88" s="771" t="s">
        <v>62</v>
      </c>
      <c r="G88" s="771" t="s">
        <v>65</v>
      </c>
      <c r="H88" s="1738" t="s">
        <v>636</v>
      </c>
      <c r="I88" s="1709" t="s">
        <v>1311</v>
      </c>
      <c r="J88" s="890">
        <v>17323.509999999998</v>
      </c>
      <c r="K88" s="890"/>
      <c r="L88" s="890"/>
      <c r="M88" s="1715">
        <f t="shared" si="4"/>
        <v>17323.509999999998</v>
      </c>
    </row>
    <row r="89" spans="1:15" ht="4.5" hidden="1" customHeight="1">
      <c r="A89" s="1716"/>
      <c r="B89" s="1741"/>
      <c r="C89" s="1742"/>
      <c r="D89" s="1742"/>
      <c r="E89" s="1742"/>
      <c r="F89" s="1742"/>
      <c r="G89" s="1742"/>
      <c r="H89" s="1743"/>
      <c r="I89" s="1743"/>
      <c r="J89" s="1640">
        <v>9204.6299999999992</v>
      </c>
      <c r="K89" s="1640"/>
      <c r="L89" s="1640"/>
      <c r="M89" s="1715">
        <f t="shared" si="4"/>
        <v>9204.6299999999992</v>
      </c>
    </row>
    <row r="90" spans="1:15" ht="24" customHeight="1">
      <c r="A90" s="1162"/>
      <c r="B90" s="1737" t="s">
        <v>1045</v>
      </c>
      <c r="C90" s="1724" t="s">
        <v>381</v>
      </c>
      <c r="D90" s="1724" t="s">
        <v>69</v>
      </c>
      <c r="E90" s="1724" t="s">
        <v>59</v>
      </c>
      <c r="F90" s="1724" t="s">
        <v>62</v>
      </c>
      <c r="G90" s="1724" t="s">
        <v>65</v>
      </c>
      <c r="H90" s="1708" t="s">
        <v>636</v>
      </c>
      <c r="I90" s="1758" t="s">
        <v>635</v>
      </c>
      <c r="J90" s="1777">
        <v>10000</v>
      </c>
      <c r="K90" s="1818"/>
      <c r="L90" s="1818"/>
      <c r="M90" s="1715">
        <f t="shared" si="4"/>
        <v>10000</v>
      </c>
    </row>
    <row r="91" spans="1:15" ht="22.5" customHeight="1">
      <c r="A91" s="2525" t="s">
        <v>199</v>
      </c>
      <c r="B91" s="2526"/>
      <c r="C91" s="2526"/>
      <c r="D91" s="2526"/>
      <c r="E91" s="2526"/>
      <c r="F91" s="2526"/>
      <c r="G91" s="2526"/>
      <c r="H91" s="2526"/>
      <c r="I91" s="2526"/>
      <c r="J91" s="1639">
        <f>SUM(J67:J90)</f>
        <v>699396.4</v>
      </c>
      <c r="K91" s="1639">
        <f>SUM(K67:K71)</f>
        <v>0</v>
      </c>
      <c r="L91" s="1639">
        <f>SUM(L67:L84)</f>
        <v>0</v>
      </c>
      <c r="M91" s="1744">
        <f>SUM(M67:M90)</f>
        <v>699396.4</v>
      </c>
      <c r="N91" s="91">
        <v>699396.4</v>
      </c>
    </row>
    <row r="92" spans="1:15" ht="31.5" customHeight="1">
      <c r="A92" s="2481" t="s">
        <v>1224</v>
      </c>
      <c r="B92" s="2482"/>
      <c r="C92" s="2482"/>
      <c r="D92" s="2482"/>
      <c r="E92" s="2482"/>
      <c r="F92" s="2482"/>
      <c r="G92" s="2482"/>
      <c r="H92" s="2482"/>
      <c r="I92" s="2482"/>
      <c r="J92" s="2482"/>
      <c r="K92" s="2482"/>
      <c r="L92" s="2482"/>
      <c r="M92" s="2520"/>
      <c r="N92" s="1141">
        <f>M91-N91</f>
        <v>0</v>
      </c>
    </row>
    <row r="93" spans="1:15" ht="14.25" customHeight="1">
      <c r="A93" s="2527" t="s">
        <v>600</v>
      </c>
      <c r="B93" s="2469" t="s">
        <v>1223</v>
      </c>
      <c r="C93" s="2515" t="s">
        <v>620</v>
      </c>
      <c r="D93" s="2516"/>
      <c r="E93" s="2516"/>
      <c r="F93" s="2516"/>
      <c r="G93" s="2517"/>
      <c r="H93" s="2518" t="s">
        <v>624</v>
      </c>
      <c r="I93" s="2519" t="s">
        <v>627</v>
      </c>
      <c r="J93" s="2512" t="s">
        <v>625</v>
      </c>
      <c r="K93" s="781"/>
      <c r="L93" s="781"/>
      <c r="M93" s="2513" t="s">
        <v>628</v>
      </c>
    </row>
    <row r="94" spans="1:15" ht="12.75" customHeight="1">
      <c r="A94" s="2468"/>
      <c r="B94" s="2470"/>
      <c r="C94" s="778" t="s">
        <v>474</v>
      </c>
      <c r="D94" s="778" t="s">
        <v>621</v>
      </c>
      <c r="E94" s="778" t="s">
        <v>622</v>
      </c>
      <c r="F94" s="778" t="s">
        <v>623</v>
      </c>
      <c r="G94" s="778" t="s">
        <v>626</v>
      </c>
      <c r="H94" s="2475"/>
      <c r="I94" s="2463"/>
      <c r="J94" s="2477"/>
      <c r="K94" s="779"/>
      <c r="L94" s="779"/>
      <c r="M94" s="2479"/>
    </row>
    <row r="95" spans="1:15" ht="19.5" customHeight="1">
      <c r="A95" s="782"/>
      <c r="B95" s="1712"/>
      <c r="C95" s="771"/>
      <c r="D95" s="771"/>
      <c r="E95" s="771"/>
      <c r="F95" s="771"/>
      <c r="G95" s="771"/>
      <c r="H95" s="1745"/>
      <c r="I95" s="813"/>
      <c r="J95" s="1746"/>
      <c r="K95" s="1713"/>
      <c r="L95" s="1709"/>
      <c r="M95" s="1709">
        <f t="shared" ref="M95:M155" si="5">J95+K95+L95</f>
        <v>0</v>
      </c>
    </row>
    <row r="96" spans="1:15" ht="19.5" customHeight="1">
      <c r="A96" s="782"/>
      <c r="B96" s="1712" t="s">
        <v>1278</v>
      </c>
      <c r="C96" s="771" t="s">
        <v>380</v>
      </c>
      <c r="D96" s="771" t="s">
        <v>64</v>
      </c>
      <c r="E96" s="771" t="s">
        <v>61</v>
      </c>
      <c r="F96" s="771" t="s">
        <v>62</v>
      </c>
      <c r="G96" s="771" t="s">
        <v>65</v>
      </c>
      <c r="H96" s="1745" t="s">
        <v>634</v>
      </c>
      <c r="I96" s="1731" t="s">
        <v>635</v>
      </c>
      <c r="J96" s="1747">
        <f>SUM('Detalle de proy. diversos 2020'!C42)</f>
        <v>101202.51</v>
      </c>
      <c r="K96" s="1713"/>
      <c r="L96" s="1709"/>
      <c r="M96" s="1709">
        <f t="shared" si="5"/>
        <v>101202.51</v>
      </c>
      <c r="O96" s="488"/>
    </row>
    <row r="97" spans="1:26" ht="19.5" customHeight="1">
      <c r="A97" s="782"/>
      <c r="B97" s="1748" t="s">
        <v>1279</v>
      </c>
      <c r="C97" s="1724" t="s">
        <v>380</v>
      </c>
      <c r="D97" s="1724" t="s">
        <v>64</v>
      </c>
      <c r="E97" s="1724" t="s">
        <v>61</v>
      </c>
      <c r="F97" s="1724" t="s">
        <v>62</v>
      </c>
      <c r="G97" s="1724" t="s">
        <v>65</v>
      </c>
      <c r="H97" s="396" t="s">
        <v>634</v>
      </c>
      <c r="I97" s="870" t="s">
        <v>635</v>
      </c>
      <c r="J97" s="1749">
        <v>13000</v>
      </c>
      <c r="K97" s="1750"/>
      <c r="L97" s="1751"/>
      <c r="M97" s="1709">
        <f t="shared" si="5"/>
        <v>13000</v>
      </c>
    </row>
    <row r="98" spans="1:26" ht="25.5">
      <c r="A98" s="782"/>
      <c r="B98" s="1752" t="s">
        <v>1280</v>
      </c>
      <c r="C98" s="1724" t="s">
        <v>380</v>
      </c>
      <c r="D98" s="1724" t="s">
        <v>64</v>
      </c>
      <c r="E98" s="1724" t="s">
        <v>61</v>
      </c>
      <c r="F98" s="1724" t="s">
        <v>62</v>
      </c>
      <c r="G98" s="1724" t="s">
        <v>65</v>
      </c>
      <c r="H98" s="396" t="s">
        <v>634</v>
      </c>
      <c r="I98" s="870" t="s">
        <v>635</v>
      </c>
      <c r="J98" s="1749">
        <v>6500</v>
      </c>
      <c r="K98" s="1750"/>
      <c r="L98" s="1751"/>
      <c r="M98" s="1709">
        <f t="shared" si="5"/>
        <v>6500</v>
      </c>
    </row>
    <row r="99" spans="1:26" ht="56.25" customHeight="1">
      <c r="A99" s="782"/>
      <c r="B99" s="1752" t="s">
        <v>1281</v>
      </c>
      <c r="C99" s="1724" t="s">
        <v>380</v>
      </c>
      <c r="D99" s="1724" t="s">
        <v>64</v>
      </c>
      <c r="E99" s="1724" t="s">
        <v>61</v>
      </c>
      <c r="F99" s="1724" t="s">
        <v>62</v>
      </c>
      <c r="G99" s="1724" t="s">
        <v>65</v>
      </c>
      <c r="H99" s="396" t="s">
        <v>634</v>
      </c>
      <c r="I99" s="870" t="s">
        <v>635</v>
      </c>
      <c r="J99" s="1749">
        <v>50000</v>
      </c>
      <c r="K99" s="1750"/>
      <c r="L99" s="1751"/>
      <c r="M99" s="1709">
        <f>J99+K99+L99</f>
        <v>50000</v>
      </c>
      <c r="R99" s="1172" t="s">
        <v>1475</v>
      </c>
      <c r="S99" s="2521"/>
      <c r="T99" s="2522"/>
      <c r="U99" s="2522"/>
      <c r="V99" s="2522"/>
      <c r="W99" s="2522"/>
      <c r="X99" s="2522"/>
      <c r="Y99" s="2522"/>
      <c r="Z99" s="2522"/>
    </row>
    <row r="100" spans="1:26" ht="14.25" hidden="1" customHeight="1">
      <c r="A100" s="782"/>
      <c r="B100" s="1748"/>
      <c r="C100" s="1724" t="s">
        <v>380</v>
      </c>
      <c r="D100" s="1724" t="s">
        <v>64</v>
      </c>
      <c r="E100" s="1724" t="s">
        <v>61</v>
      </c>
      <c r="F100" s="1724" t="s">
        <v>62</v>
      </c>
      <c r="G100" s="1724" t="s">
        <v>65</v>
      </c>
      <c r="H100" s="396" t="s">
        <v>634</v>
      </c>
      <c r="I100" s="870" t="s">
        <v>635</v>
      </c>
      <c r="J100" s="1749"/>
      <c r="K100" s="1750"/>
      <c r="L100" s="1751"/>
      <c r="M100" s="1709">
        <f t="shared" si="5"/>
        <v>0</v>
      </c>
    </row>
    <row r="101" spans="1:26" ht="19.5" customHeight="1">
      <c r="A101" s="782"/>
      <c r="B101" s="1748" t="s">
        <v>1282</v>
      </c>
      <c r="C101" s="1724" t="s">
        <v>380</v>
      </c>
      <c r="D101" s="1724" t="s">
        <v>64</v>
      </c>
      <c r="E101" s="1724" t="s">
        <v>61</v>
      </c>
      <c r="F101" s="1724" t="s">
        <v>62</v>
      </c>
      <c r="G101" s="1724" t="s">
        <v>65</v>
      </c>
      <c r="H101" s="396" t="s">
        <v>634</v>
      </c>
      <c r="I101" s="870" t="s">
        <v>635</v>
      </c>
      <c r="J101" s="1749">
        <v>90000</v>
      </c>
      <c r="K101" s="1750"/>
      <c r="L101" s="1751"/>
      <c r="M101" s="1709">
        <f t="shared" si="5"/>
        <v>90000</v>
      </c>
    </row>
    <row r="102" spans="1:26" ht="14.25">
      <c r="A102" s="782"/>
      <c r="B102" s="1752" t="s">
        <v>1283</v>
      </c>
      <c r="C102" s="1724" t="s">
        <v>380</v>
      </c>
      <c r="D102" s="1724" t="s">
        <v>64</v>
      </c>
      <c r="E102" s="1724" t="s">
        <v>61</v>
      </c>
      <c r="F102" s="1724" t="s">
        <v>62</v>
      </c>
      <c r="G102" s="1724" t="s">
        <v>65</v>
      </c>
      <c r="H102" s="396" t="s">
        <v>634</v>
      </c>
      <c r="I102" s="870" t="s">
        <v>635</v>
      </c>
      <c r="J102" s="1749">
        <v>74500</v>
      </c>
      <c r="K102" s="1750"/>
      <c r="L102" s="1751"/>
      <c r="M102" s="1709">
        <f>J102+K102+L102</f>
        <v>74500</v>
      </c>
    </row>
    <row r="103" spans="1:26" ht="20.25" customHeight="1">
      <c r="A103" s="782"/>
      <c r="B103" s="1748" t="s">
        <v>1284</v>
      </c>
      <c r="C103" s="1724" t="s">
        <v>380</v>
      </c>
      <c r="D103" s="1724" t="s">
        <v>64</v>
      </c>
      <c r="E103" s="1724" t="s">
        <v>61</v>
      </c>
      <c r="F103" s="1724" t="s">
        <v>62</v>
      </c>
      <c r="G103" s="1724" t="s">
        <v>65</v>
      </c>
      <c r="H103" s="396" t="s">
        <v>634</v>
      </c>
      <c r="I103" s="870" t="s">
        <v>635</v>
      </c>
      <c r="J103" s="1749">
        <v>20000</v>
      </c>
      <c r="K103" s="1753"/>
      <c r="L103" s="1754"/>
      <c r="M103" s="1722">
        <f t="shared" si="5"/>
        <v>20000</v>
      </c>
    </row>
    <row r="104" spans="1:26" ht="17.25" customHeight="1">
      <c r="A104" s="782"/>
      <c r="B104" s="1748" t="s">
        <v>1506</v>
      </c>
      <c r="C104" s="1724" t="s">
        <v>380</v>
      </c>
      <c r="D104" s="1724" t="s">
        <v>64</v>
      </c>
      <c r="E104" s="1724" t="s">
        <v>61</v>
      </c>
      <c r="F104" s="1724" t="s">
        <v>62</v>
      </c>
      <c r="G104" s="1724" t="s">
        <v>65</v>
      </c>
      <c r="H104" s="396" t="s">
        <v>634</v>
      </c>
      <c r="I104" s="870" t="s">
        <v>635</v>
      </c>
      <c r="J104" s="1749">
        <v>3000</v>
      </c>
      <c r="K104" s="1750"/>
      <c r="L104" s="1751"/>
      <c r="M104" s="1709">
        <f t="shared" si="5"/>
        <v>3000</v>
      </c>
    </row>
    <row r="105" spans="1:26" ht="6" hidden="1" customHeight="1">
      <c r="A105" s="782"/>
      <c r="B105" s="1748"/>
      <c r="C105" s="1724" t="s">
        <v>380</v>
      </c>
      <c r="D105" s="1724" t="s">
        <v>64</v>
      </c>
      <c r="E105" s="1724" t="s">
        <v>61</v>
      </c>
      <c r="F105" s="1724" t="s">
        <v>62</v>
      </c>
      <c r="G105" s="1724" t="s">
        <v>65</v>
      </c>
      <c r="H105" s="396" t="s">
        <v>634</v>
      </c>
      <c r="I105" s="870" t="s">
        <v>635</v>
      </c>
      <c r="J105" s="1749"/>
      <c r="K105" s="1750"/>
      <c r="L105" s="1751"/>
      <c r="M105" s="1709">
        <f t="shared" si="5"/>
        <v>0</v>
      </c>
    </row>
    <row r="106" spans="1:26" ht="17.25" customHeight="1">
      <c r="A106" s="782"/>
      <c r="B106" s="1748" t="s">
        <v>1285</v>
      </c>
      <c r="C106" s="1724" t="s">
        <v>380</v>
      </c>
      <c r="D106" s="1724" t="s">
        <v>64</v>
      </c>
      <c r="E106" s="1724" t="s">
        <v>61</v>
      </c>
      <c r="F106" s="1724" t="s">
        <v>62</v>
      </c>
      <c r="G106" s="1724" t="s">
        <v>65</v>
      </c>
      <c r="H106" s="396" t="s">
        <v>634</v>
      </c>
      <c r="I106" s="870" t="s">
        <v>635</v>
      </c>
      <c r="J106" s="1749">
        <v>80000</v>
      </c>
      <c r="K106" s="1750"/>
      <c r="L106" s="1751"/>
      <c r="M106" s="1709">
        <f t="shared" si="5"/>
        <v>80000</v>
      </c>
    </row>
    <row r="107" spans="1:26" ht="14.25">
      <c r="A107" s="782"/>
      <c r="B107" s="1755" t="s">
        <v>1286</v>
      </c>
      <c r="C107" s="1724" t="s">
        <v>380</v>
      </c>
      <c r="D107" s="1724" t="s">
        <v>64</v>
      </c>
      <c r="E107" s="1724" t="s">
        <v>61</v>
      </c>
      <c r="F107" s="1724" t="s">
        <v>62</v>
      </c>
      <c r="G107" s="1724" t="s">
        <v>65</v>
      </c>
      <c r="H107" s="396" t="s">
        <v>634</v>
      </c>
      <c r="I107" s="870" t="s">
        <v>635</v>
      </c>
      <c r="J107" s="1756">
        <v>9000</v>
      </c>
      <c r="K107" s="1757"/>
      <c r="L107" s="1722"/>
      <c r="M107" s="1722">
        <f t="shared" si="5"/>
        <v>9000</v>
      </c>
    </row>
    <row r="108" spans="1:26" ht="19.5" customHeight="1">
      <c r="A108" s="1162"/>
      <c r="B108" s="1755" t="s">
        <v>1287</v>
      </c>
      <c r="C108" s="1724" t="s">
        <v>380</v>
      </c>
      <c r="D108" s="1724" t="s">
        <v>64</v>
      </c>
      <c r="E108" s="1724" t="s">
        <v>61</v>
      </c>
      <c r="F108" s="1724" t="s">
        <v>62</v>
      </c>
      <c r="G108" s="1724" t="s">
        <v>65</v>
      </c>
      <c r="H108" s="1758" t="s">
        <v>634</v>
      </c>
      <c r="I108" s="1758" t="s">
        <v>635</v>
      </c>
      <c r="J108" s="1759">
        <v>20000</v>
      </c>
      <c r="K108" s="1709"/>
      <c r="L108" s="1709"/>
      <c r="M108" s="1709">
        <f t="shared" si="5"/>
        <v>20000</v>
      </c>
    </row>
    <row r="109" spans="1:26" ht="28.5" hidden="1" customHeight="1">
      <c r="A109" s="1162"/>
      <c r="B109" s="1755"/>
      <c r="C109" s="1724" t="s">
        <v>380</v>
      </c>
      <c r="D109" s="1724" t="s">
        <v>64</v>
      </c>
      <c r="E109" s="1724" t="s">
        <v>61</v>
      </c>
      <c r="F109" s="1724" t="s">
        <v>62</v>
      </c>
      <c r="G109" s="1724" t="s">
        <v>65</v>
      </c>
      <c r="H109" s="1758" t="s">
        <v>634</v>
      </c>
      <c r="I109" s="1758" t="s">
        <v>635</v>
      </c>
      <c r="J109" s="1759"/>
      <c r="K109" s="1760"/>
      <c r="L109" s="1722"/>
      <c r="M109" s="1722">
        <f t="shared" si="5"/>
        <v>0</v>
      </c>
    </row>
    <row r="110" spans="1:26" ht="39" customHeight="1">
      <c r="A110" s="1162"/>
      <c r="B110" s="1758" t="s">
        <v>1405</v>
      </c>
      <c r="C110" s="1724" t="s">
        <v>380</v>
      </c>
      <c r="D110" s="1724" t="s">
        <v>64</v>
      </c>
      <c r="E110" s="1724" t="s">
        <v>61</v>
      </c>
      <c r="F110" s="1724" t="s">
        <v>62</v>
      </c>
      <c r="G110" s="1724" t="s">
        <v>65</v>
      </c>
      <c r="H110" s="1758" t="s">
        <v>634</v>
      </c>
      <c r="I110" s="1758" t="s">
        <v>635</v>
      </c>
      <c r="J110" s="1759">
        <v>10000</v>
      </c>
      <c r="K110" s="1761"/>
      <c r="L110" s="1722"/>
      <c r="M110" s="1722">
        <f t="shared" si="5"/>
        <v>10000</v>
      </c>
    </row>
    <row r="111" spans="1:26" ht="23.25" customHeight="1">
      <c r="A111" s="1162"/>
      <c r="B111" s="1762" t="s">
        <v>1341</v>
      </c>
      <c r="C111" s="771" t="s">
        <v>380</v>
      </c>
      <c r="D111" s="771" t="s">
        <v>64</v>
      </c>
      <c r="E111" s="771" t="s">
        <v>61</v>
      </c>
      <c r="F111" s="771" t="s">
        <v>62</v>
      </c>
      <c r="G111" s="771" t="s">
        <v>65</v>
      </c>
      <c r="H111" s="813" t="s">
        <v>634</v>
      </c>
      <c r="I111" s="813" t="s">
        <v>635</v>
      </c>
      <c r="J111" s="1763">
        <v>15000</v>
      </c>
      <c r="K111" s="1713"/>
      <c r="L111" s="1709"/>
      <c r="M111" s="1709">
        <f t="shared" ref="M111" si="6">J111+K111+L111</f>
        <v>15000</v>
      </c>
    </row>
    <row r="112" spans="1:26" ht="21" thickBot="1">
      <c r="A112" s="1570"/>
      <c r="B112" s="2459" t="s">
        <v>199</v>
      </c>
      <c r="C112" s="2460"/>
      <c r="D112" s="2460"/>
      <c r="E112" s="2460"/>
      <c r="F112" s="2460"/>
      <c r="G112" s="2460"/>
      <c r="H112" s="2460"/>
      <c r="I112" s="2514"/>
      <c r="J112" s="1571">
        <f>SUM(J95:J111)</f>
        <v>492202.51</v>
      </c>
      <c r="K112" s="1572"/>
      <c r="L112" s="1568">
        <f>SUM(L95:L111)</f>
        <v>0</v>
      </c>
      <c r="M112" s="1573">
        <f>SUM(M95:M111)</f>
        <v>492202.51</v>
      </c>
    </row>
    <row r="113" spans="1:15" ht="5.25" customHeight="1" thickTop="1">
      <c r="A113" s="2509"/>
      <c r="B113" s="2510"/>
      <c r="C113" s="2510"/>
      <c r="D113" s="2510"/>
      <c r="E113" s="2510"/>
      <c r="F113" s="2510"/>
      <c r="G113" s="2510"/>
      <c r="H113" s="2510"/>
      <c r="I113" s="2510"/>
      <c r="J113" s="2510"/>
      <c r="K113" s="2510"/>
      <c r="L113" s="2510"/>
      <c r="M113" s="2511"/>
    </row>
    <row r="114" spans="1:15" ht="44.25" customHeight="1">
      <c r="A114" s="2481" t="s">
        <v>1225</v>
      </c>
      <c r="B114" s="2482"/>
      <c r="C114" s="2482"/>
      <c r="D114" s="2482"/>
      <c r="E114" s="2482"/>
      <c r="F114" s="2482"/>
      <c r="G114" s="2482"/>
      <c r="H114" s="2483"/>
      <c r="I114" s="2483"/>
      <c r="J114" s="2483"/>
      <c r="K114" s="2483"/>
      <c r="L114" s="2483"/>
      <c r="M114" s="2484"/>
    </row>
    <row r="115" spans="1:15" ht="14.25" customHeight="1">
      <c r="A115" s="2467" t="s">
        <v>600</v>
      </c>
      <c r="B115" s="2469" t="s">
        <v>1223</v>
      </c>
      <c r="C115" s="2471" t="s">
        <v>620</v>
      </c>
      <c r="D115" s="2472"/>
      <c r="E115" s="2472"/>
      <c r="F115" s="2472"/>
      <c r="G115" s="2473"/>
      <c r="H115" s="2474" t="s">
        <v>624</v>
      </c>
      <c r="I115" s="2462" t="s">
        <v>627</v>
      </c>
      <c r="J115" s="2476" t="s">
        <v>625</v>
      </c>
      <c r="K115" s="777"/>
      <c r="L115" s="777"/>
      <c r="M115" s="2478" t="s">
        <v>628</v>
      </c>
    </row>
    <row r="116" spans="1:15" ht="12.75" customHeight="1">
      <c r="A116" s="2468"/>
      <c r="B116" s="2470"/>
      <c r="C116" s="778" t="s">
        <v>474</v>
      </c>
      <c r="D116" s="778" t="s">
        <v>621</v>
      </c>
      <c r="E116" s="778" t="s">
        <v>622</v>
      </c>
      <c r="F116" s="778" t="s">
        <v>623</v>
      </c>
      <c r="G116" s="778" t="s">
        <v>626</v>
      </c>
      <c r="H116" s="2475"/>
      <c r="I116" s="2463"/>
      <c r="J116" s="2477"/>
      <c r="K116" s="779"/>
      <c r="L116" s="779"/>
      <c r="M116" s="2479"/>
    </row>
    <row r="117" spans="1:15" ht="15.75">
      <c r="A117" s="780"/>
      <c r="B117" s="1712" t="s">
        <v>631</v>
      </c>
      <c r="C117" s="775" t="s">
        <v>381</v>
      </c>
      <c r="D117" s="775" t="s">
        <v>69</v>
      </c>
      <c r="E117" s="775" t="s">
        <v>59</v>
      </c>
      <c r="F117" s="775" t="s">
        <v>62</v>
      </c>
      <c r="G117" s="775" t="s">
        <v>65</v>
      </c>
      <c r="H117" s="783" t="s">
        <v>632</v>
      </c>
      <c r="I117" s="813" t="s">
        <v>323</v>
      </c>
      <c r="J117" s="1764">
        <v>75000</v>
      </c>
      <c r="K117" s="1733"/>
      <c r="L117" s="1734"/>
      <c r="M117" s="1735">
        <f t="shared" si="5"/>
        <v>75000</v>
      </c>
      <c r="O117" s="519"/>
    </row>
    <row r="118" spans="1:15" ht="28.5" hidden="1" customHeight="1">
      <c r="A118" s="782">
        <v>30</v>
      </c>
      <c r="B118" s="1765" t="s">
        <v>1032</v>
      </c>
      <c r="C118" s="771" t="s">
        <v>381</v>
      </c>
      <c r="D118" s="771" t="s">
        <v>69</v>
      </c>
      <c r="E118" s="771" t="s">
        <v>59</v>
      </c>
      <c r="F118" s="771" t="s">
        <v>62</v>
      </c>
      <c r="G118" s="771" t="s">
        <v>65</v>
      </c>
      <c r="H118" s="1745" t="s">
        <v>634</v>
      </c>
      <c r="I118" s="1731" t="s">
        <v>635</v>
      </c>
      <c r="J118" s="1756"/>
      <c r="K118" s="1733"/>
      <c r="L118" s="1734"/>
      <c r="M118" s="1735">
        <f t="shared" si="5"/>
        <v>0</v>
      </c>
      <c r="O118" s="519"/>
    </row>
    <row r="119" spans="1:15" ht="14.25" hidden="1" customHeight="1">
      <c r="A119" s="782">
        <f t="shared" ref="A119:A120" si="7">A118+1</f>
        <v>31</v>
      </c>
      <c r="B119" s="1766" t="s">
        <v>1033</v>
      </c>
      <c r="C119" s="775" t="s">
        <v>381</v>
      </c>
      <c r="D119" s="775" t="s">
        <v>69</v>
      </c>
      <c r="E119" s="775" t="s">
        <v>59</v>
      </c>
      <c r="F119" s="775" t="s">
        <v>62</v>
      </c>
      <c r="G119" s="775" t="s">
        <v>65</v>
      </c>
      <c r="H119" s="783" t="s">
        <v>636</v>
      </c>
      <c r="I119" s="1731" t="s">
        <v>635</v>
      </c>
      <c r="J119" s="1767"/>
      <c r="K119" s="1733"/>
      <c r="L119" s="1734"/>
      <c r="M119" s="1735">
        <f t="shared" si="5"/>
        <v>0</v>
      </c>
      <c r="O119" s="519"/>
    </row>
    <row r="120" spans="1:15" ht="28.5" hidden="1" customHeight="1">
      <c r="A120" s="782">
        <f t="shared" si="7"/>
        <v>32</v>
      </c>
      <c r="B120" s="1768" t="s">
        <v>1034</v>
      </c>
      <c r="C120" s="775" t="s">
        <v>381</v>
      </c>
      <c r="D120" s="775" t="s">
        <v>69</v>
      </c>
      <c r="E120" s="775" t="s">
        <v>59</v>
      </c>
      <c r="F120" s="775" t="s">
        <v>62</v>
      </c>
      <c r="G120" s="775" t="s">
        <v>65</v>
      </c>
      <c r="H120" s="783" t="s">
        <v>636</v>
      </c>
      <c r="I120" s="1731" t="s">
        <v>635</v>
      </c>
      <c r="J120" s="1767"/>
      <c r="K120" s="1733"/>
      <c r="L120" s="1734"/>
      <c r="M120" s="1735">
        <f t="shared" si="5"/>
        <v>0</v>
      </c>
      <c r="O120" s="519"/>
    </row>
    <row r="121" spans="1:15" ht="18" customHeight="1">
      <c r="A121" s="782"/>
      <c r="B121" s="1712" t="s">
        <v>1035</v>
      </c>
      <c r="C121" s="775" t="s">
        <v>381</v>
      </c>
      <c r="D121" s="775" t="s">
        <v>69</v>
      </c>
      <c r="E121" s="775" t="s">
        <v>59</v>
      </c>
      <c r="F121" s="775" t="s">
        <v>62</v>
      </c>
      <c r="G121" s="775" t="s">
        <v>65</v>
      </c>
      <c r="H121" s="783" t="s">
        <v>636</v>
      </c>
      <c r="I121" s="1731" t="s">
        <v>635</v>
      </c>
      <c r="J121" s="1732">
        <v>25000</v>
      </c>
      <c r="K121" s="1733"/>
      <c r="L121" s="1734"/>
      <c r="M121" s="1735">
        <f t="shared" si="5"/>
        <v>25000</v>
      </c>
      <c r="O121" s="519"/>
    </row>
    <row r="122" spans="1:15" ht="27.75" customHeight="1">
      <c r="A122" s="782"/>
      <c r="B122" s="1752" t="s">
        <v>1037</v>
      </c>
      <c r="C122" s="1565" t="s">
        <v>381</v>
      </c>
      <c r="D122" s="1565" t="s">
        <v>69</v>
      </c>
      <c r="E122" s="1565" t="s">
        <v>59</v>
      </c>
      <c r="F122" s="1565" t="s">
        <v>62</v>
      </c>
      <c r="G122" s="1565" t="s">
        <v>65</v>
      </c>
      <c r="H122" s="1769" t="s">
        <v>636</v>
      </c>
      <c r="I122" s="870" t="s">
        <v>635</v>
      </c>
      <c r="J122" s="1732">
        <v>20000</v>
      </c>
      <c r="K122" s="1770"/>
      <c r="L122" s="1771"/>
      <c r="M122" s="1759">
        <f t="shared" si="5"/>
        <v>20000</v>
      </c>
      <c r="O122" s="519"/>
    </row>
    <row r="123" spans="1:15" ht="25.5">
      <c r="A123" s="782"/>
      <c r="B123" s="1772" t="s">
        <v>1133</v>
      </c>
      <c r="C123" s="1724" t="s">
        <v>381</v>
      </c>
      <c r="D123" s="1724" t="s">
        <v>69</v>
      </c>
      <c r="E123" s="1724" t="s">
        <v>59</v>
      </c>
      <c r="F123" s="1724" t="s">
        <v>62</v>
      </c>
      <c r="G123" s="1724" t="s">
        <v>65</v>
      </c>
      <c r="H123" s="1769" t="s">
        <v>636</v>
      </c>
      <c r="I123" s="870" t="s">
        <v>635</v>
      </c>
      <c r="J123" s="1732">
        <v>5000</v>
      </c>
      <c r="K123" s="1770"/>
      <c r="L123" s="1771"/>
      <c r="M123" s="1759">
        <f t="shared" si="5"/>
        <v>5000</v>
      </c>
    </row>
    <row r="124" spans="1:15" ht="19.5" customHeight="1">
      <c r="A124" s="782"/>
      <c r="B124" s="1772" t="s">
        <v>1039</v>
      </c>
      <c r="C124" s="1724" t="s">
        <v>381</v>
      </c>
      <c r="D124" s="1724" t="s">
        <v>69</v>
      </c>
      <c r="E124" s="1724" t="s">
        <v>59</v>
      </c>
      <c r="F124" s="1724" t="s">
        <v>62</v>
      </c>
      <c r="G124" s="1724" t="s">
        <v>65</v>
      </c>
      <c r="H124" s="1769" t="s">
        <v>636</v>
      </c>
      <c r="I124" s="870" t="s">
        <v>635</v>
      </c>
      <c r="J124" s="1732">
        <v>10000</v>
      </c>
      <c r="K124" s="1770"/>
      <c r="L124" s="1771"/>
      <c r="M124" s="1773">
        <f t="shared" si="5"/>
        <v>10000</v>
      </c>
      <c r="N124" s="488"/>
    </row>
    <row r="125" spans="1:15" ht="19.5" customHeight="1">
      <c r="A125" s="782"/>
      <c r="B125" s="1772" t="s">
        <v>1040</v>
      </c>
      <c r="C125" s="1724" t="s">
        <v>381</v>
      </c>
      <c r="D125" s="1724" t="s">
        <v>69</v>
      </c>
      <c r="E125" s="1724" t="s">
        <v>59</v>
      </c>
      <c r="F125" s="1724" t="s">
        <v>62</v>
      </c>
      <c r="G125" s="1724" t="s">
        <v>65</v>
      </c>
      <c r="H125" s="1769" t="s">
        <v>636</v>
      </c>
      <c r="I125" s="870" t="s">
        <v>635</v>
      </c>
      <c r="J125" s="1732">
        <v>20000</v>
      </c>
      <c r="K125" s="1770"/>
      <c r="L125" s="1771"/>
      <c r="M125" s="1773">
        <f t="shared" si="5"/>
        <v>20000</v>
      </c>
      <c r="N125" s="488"/>
    </row>
    <row r="126" spans="1:15" ht="19.5" customHeight="1">
      <c r="A126" s="782"/>
      <c r="B126" s="1772" t="s">
        <v>1041</v>
      </c>
      <c r="C126" s="1724" t="s">
        <v>381</v>
      </c>
      <c r="D126" s="1724" t="s">
        <v>69</v>
      </c>
      <c r="E126" s="1724" t="s">
        <v>59</v>
      </c>
      <c r="F126" s="1724" t="s">
        <v>62</v>
      </c>
      <c r="G126" s="1724" t="s">
        <v>65</v>
      </c>
      <c r="H126" s="1769" t="s">
        <v>636</v>
      </c>
      <c r="I126" s="870" t="s">
        <v>635</v>
      </c>
      <c r="J126" s="1732">
        <v>20000</v>
      </c>
      <c r="K126" s="1770"/>
      <c r="L126" s="1771"/>
      <c r="M126" s="1773">
        <f t="shared" si="5"/>
        <v>20000</v>
      </c>
    </row>
    <row r="127" spans="1:15" ht="19.5" customHeight="1">
      <c r="A127" s="782"/>
      <c r="B127" s="1772" t="s">
        <v>1042</v>
      </c>
      <c r="C127" s="1724" t="s">
        <v>381</v>
      </c>
      <c r="D127" s="1724" t="s">
        <v>69</v>
      </c>
      <c r="E127" s="1724" t="s">
        <v>59</v>
      </c>
      <c r="F127" s="1724" t="s">
        <v>62</v>
      </c>
      <c r="G127" s="1724" t="s">
        <v>65</v>
      </c>
      <c r="H127" s="1769" t="s">
        <v>636</v>
      </c>
      <c r="I127" s="870" t="s">
        <v>635</v>
      </c>
      <c r="J127" s="1732">
        <v>20000</v>
      </c>
      <c r="K127" s="1770"/>
      <c r="L127" s="1771"/>
      <c r="M127" s="1774">
        <f t="shared" si="5"/>
        <v>20000</v>
      </c>
    </row>
    <row r="128" spans="1:15" ht="19.5" customHeight="1">
      <c r="A128" s="782"/>
      <c r="B128" s="1772" t="s">
        <v>1058</v>
      </c>
      <c r="C128" s="1724" t="s">
        <v>381</v>
      </c>
      <c r="D128" s="1724" t="s">
        <v>69</v>
      </c>
      <c r="E128" s="1724" t="s">
        <v>59</v>
      </c>
      <c r="F128" s="1724" t="s">
        <v>62</v>
      </c>
      <c r="G128" s="1724" t="s">
        <v>65</v>
      </c>
      <c r="H128" s="1769" t="s">
        <v>636</v>
      </c>
      <c r="I128" s="870" t="s">
        <v>635</v>
      </c>
      <c r="J128" s="1732">
        <v>20000</v>
      </c>
      <c r="K128" s="1770"/>
      <c r="L128" s="1771"/>
      <c r="M128" s="1774">
        <f t="shared" si="5"/>
        <v>20000</v>
      </c>
    </row>
    <row r="129" spans="1:14" ht="19.5" customHeight="1">
      <c r="A129" s="782"/>
      <c r="B129" s="1772" t="s">
        <v>1043</v>
      </c>
      <c r="C129" s="1724" t="s">
        <v>381</v>
      </c>
      <c r="D129" s="1724" t="s">
        <v>69</v>
      </c>
      <c r="E129" s="1724" t="s">
        <v>59</v>
      </c>
      <c r="F129" s="1724" t="s">
        <v>62</v>
      </c>
      <c r="G129" s="1724" t="s">
        <v>65</v>
      </c>
      <c r="H129" s="1769" t="s">
        <v>636</v>
      </c>
      <c r="I129" s="870" t="s">
        <v>635</v>
      </c>
      <c r="J129" s="1732">
        <v>10000</v>
      </c>
      <c r="K129" s="1770"/>
      <c r="L129" s="1771"/>
      <c r="M129" s="1774">
        <f t="shared" si="5"/>
        <v>10000</v>
      </c>
    </row>
    <row r="130" spans="1:14" ht="45" customHeight="1">
      <c r="A130" s="782"/>
      <c r="B130" s="1737" t="s">
        <v>1445</v>
      </c>
      <c r="C130" s="1565" t="s">
        <v>381</v>
      </c>
      <c r="D130" s="1565" t="s">
        <v>69</v>
      </c>
      <c r="E130" s="1565" t="s">
        <v>59</v>
      </c>
      <c r="F130" s="1565" t="s">
        <v>62</v>
      </c>
      <c r="G130" s="1565" t="s">
        <v>65</v>
      </c>
      <c r="H130" s="1769" t="s">
        <v>1505</v>
      </c>
      <c r="I130" s="1775" t="s">
        <v>633</v>
      </c>
      <c r="J130" s="1732">
        <v>35000</v>
      </c>
      <c r="K130" s="1776"/>
      <c r="L130" s="1771"/>
      <c r="M130" s="1774">
        <f t="shared" si="5"/>
        <v>35000</v>
      </c>
    </row>
    <row r="131" spans="1:14" ht="20.25" customHeight="1">
      <c r="A131" s="782"/>
      <c r="B131" s="1772" t="s">
        <v>1044</v>
      </c>
      <c r="C131" s="1724" t="s">
        <v>381</v>
      </c>
      <c r="D131" s="1724" t="s">
        <v>69</v>
      </c>
      <c r="E131" s="1724" t="s">
        <v>59</v>
      </c>
      <c r="F131" s="1724" t="s">
        <v>62</v>
      </c>
      <c r="G131" s="1724" t="s">
        <v>65</v>
      </c>
      <c r="H131" s="1769" t="s">
        <v>636</v>
      </c>
      <c r="I131" s="870" t="s">
        <v>635</v>
      </c>
      <c r="J131" s="1732">
        <v>10000</v>
      </c>
      <c r="K131" s="1770"/>
      <c r="L131" s="1771"/>
      <c r="M131" s="1774">
        <f t="shared" si="5"/>
        <v>10000</v>
      </c>
    </row>
    <row r="132" spans="1:14" ht="20.25" customHeight="1">
      <c r="A132" s="782"/>
      <c r="B132" s="1772" t="s">
        <v>1046</v>
      </c>
      <c r="C132" s="1724" t="s">
        <v>381</v>
      </c>
      <c r="D132" s="1724" t="s">
        <v>69</v>
      </c>
      <c r="E132" s="1724" t="s">
        <v>59</v>
      </c>
      <c r="F132" s="1724" t="s">
        <v>62</v>
      </c>
      <c r="G132" s="1724" t="s">
        <v>65</v>
      </c>
      <c r="H132" s="1769" t="s">
        <v>636</v>
      </c>
      <c r="I132" s="870" t="s">
        <v>635</v>
      </c>
      <c r="J132" s="1732">
        <v>5000</v>
      </c>
      <c r="K132" s="1770"/>
      <c r="L132" s="1771"/>
      <c r="M132" s="1774">
        <f t="shared" si="5"/>
        <v>5000</v>
      </c>
    </row>
    <row r="133" spans="1:14" ht="20.25" customHeight="1">
      <c r="A133" s="782"/>
      <c r="B133" s="1737" t="s">
        <v>1191</v>
      </c>
      <c r="C133" s="1724" t="s">
        <v>381</v>
      </c>
      <c r="D133" s="1724" t="s">
        <v>69</v>
      </c>
      <c r="E133" s="1724" t="s">
        <v>59</v>
      </c>
      <c r="F133" s="1724" t="s">
        <v>62</v>
      </c>
      <c r="G133" s="1724" t="s">
        <v>65</v>
      </c>
      <c r="H133" s="1708" t="s">
        <v>636</v>
      </c>
      <c r="I133" s="1758" t="s">
        <v>635</v>
      </c>
      <c r="J133" s="1777">
        <v>3000</v>
      </c>
      <c r="K133" s="1770"/>
      <c r="L133" s="1771"/>
      <c r="M133" s="1774">
        <f t="shared" si="5"/>
        <v>3000</v>
      </c>
    </row>
    <row r="134" spans="1:14" ht="20.25" customHeight="1">
      <c r="A134" s="782"/>
      <c r="B134" s="1772" t="s">
        <v>1414</v>
      </c>
      <c r="C134" s="1724" t="s">
        <v>381</v>
      </c>
      <c r="D134" s="1724" t="s">
        <v>69</v>
      </c>
      <c r="E134" s="1724" t="s">
        <v>59</v>
      </c>
      <c r="F134" s="1724" t="s">
        <v>62</v>
      </c>
      <c r="G134" s="1724" t="s">
        <v>65</v>
      </c>
      <c r="H134" s="1708" t="s">
        <v>636</v>
      </c>
      <c r="I134" s="870" t="s">
        <v>635</v>
      </c>
      <c r="J134" s="1732">
        <v>40000</v>
      </c>
      <c r="K134" s="1770"/>
      <c r="L134" s="1771"/>
      <c r="M134" s="1774">
        <f t="shared" si="5"/>
        <v>40000</v>
      </c>
    </row>
    <row r="135" spans="1:14" ht="24.75" customHeight="1">
      <c r="A135" s="782"/>
      <c r="B135" s="1737" t="s">
        <v>1507</v>
      </c>
      <c r="C135" s="1724" t="s">
        <v>381</v>
      </c>
      <c r="D135" s="1724" t="s">
        <v>69</v>
      </c>
      <c r="E135" s="1724" t="s">
        <v>59</v>
      </c>
      <c r="F135" s="1724" t="s">
        <v>62</v>
      </c>
      <c r="G135" s="1724" t="s">
        <v>65</v>
      </c>
      <c r="H135" s="813" t="s">
        <v>634</v>
      </c>
      <c r="I135" s="1775" t="s">
        <v>323</v>
      </c>
      <c r="J135" s="1732">
        <v>120000</v>
      </c>
      <c r="K135" s="1770"/>
      <c r="L135" s="1771"/>
      <c r="M135" s="1774">
        <f t="shared" si="5"/>
        <v>120000</v>
      </c>
    </row>
    <row r="136" spans="1:14" ht="20.25" customHeight="1">
      <c r="A136" s="782"/>
      <c r="B136" s="1772" t="s">
        <v>1313</v>
      </c>
      <c r="C136" s="1724" t="s">
        <v>381</v>
      </c>
      <c r="D136" s="1724" t="s">
        <v>69</v>
      </c>
      <c r="E136" s="1724" t="s">
        <v>59</v>
      </c>
      <c r="F136" s="1724" t="s">
        <v>62</v>
      </c>
      <c r="G136" s="1724" t="s">
        <v>65</v>
      </c>
      <c r="H136" s="1769" t="s">
        <v>636</v>
      </c>
      <c r="I136" s="870" t="s">
        <v>635</v>
      </c>
      <c r="J136" s="1732">
        <v>20000</v>
      </c>
      <c r="K136" s="1770"/>
      <c r="L136" s="1771"/>
      <c r="M136" s="1774">
        <f t="shared" si="5"/>
        <v>20000</v>
      </c>
    </row>
    <row r="137" spans="1:14" ht="20.25" customHeight="1">
      <c r="A137" s="782"/>
      <c r="B137" s="1772" t="s">
        <v>1314</v>
      </c>
      <c r="C137" s="1724"/>
      <c r="D137" s="1724" t="s">
        <v>69</v>
      </c>
      <c r="E137" s="1724" t="s">
        <v>59</v>
      </c>
      <c r="F137" s="1724" t="s">
        <v>62</v>
      </c>
      <c r="G137" s="1724" t="s">
        <v>65</v>
      </c>
      <c r="H137" s="1769" t="s">
        <v>636</v>
      </c>
      <c r="I137" s="870" t="s">
        <v>635</v>
      </c>
      <c r="J137" s="1732">
        <v>20000</v>
      </c>
      <c r="K137" s="1770"/>
      <c r="L137" s="1771"/>
      <c r="M137" s="1774">
        <f t="shared" si="5"/>
        <v>20000</v>
      </c>
    </row>
    <row r="138" spans="1:14" ht="20.25" customHeight="1">
      <c r="A138" s="782"/>
      <c r="B138" s="1772" t="s">
        <v>1315</v>
      </c>
      <c r="C138" s="1724" t="s">
        <v>381</v>
      </c>
      <c r="D138" s="1724" t="s">
        <v>69</v>
      </c>
      <c r="E138" s="1724" t="s">
        <v>59</v>
      </c>
      <c r="F138" s="1724" t="s">
        <v>62</v>
      </c>
      <c r="G138" s="1724" t="s">
        <v>65</v>
      </c>
      <c r="H138" s="1769" t="s">
        <v>636</v>
      </c>
      <c r="I138" s="870" t="s">
        <v>635</v>
      </c>
      <c r="J138" s="1732">
        <v>20000</v>
      </c>
      <c r="K138" s="1770"/>
      <c r="L138" s="1771"/>
      <c r="M138" s="1774">
        <f t="shared" si="5"/>
        <v>20000</v>
      </c>
    </row>
    <row r="139" spans="1:14" ht="20.25" customHeight="1">
      <c r="A139" s="782"/>
      <c r="B139" s="1772" t="s">
        <v>1316</v>
      </c>
      <c r="C139" s="1724" t="s">
        <v>381</v>
      </c>
      <c r="D139" s="1724" t="s">
        <v>69</v>
      </c>
      <c r="E139" s="1724" t="s">
        <v>59</v>
      </c>
      <c r="F139" s="1724" t="s">
        <v>62</v>
      </c>
      <c r="G139" s="1724" t="s">
        <v>65</v>
      </c>
      <c r="H139" s="1769" t="s">
        <v>636</v>
      </c>
      <c r="I139" s="870" t="s">
        <v>635</v>
      </c>
      <c r="J139" s="1732">
        <v>20000</v>
      </c>
      <c r="K139" s="1770"/>
      <c r="L139" s="1771"/>
      <c r="M139" s="1774">
        <f t="shared" si="5"/>
        <v>20000</v>
      </c>
    </row>
    <row r="140" spans="1:14" ht="30.75" customHeight="1">
      <c r="A140" s="782"/>
      <c r="B140" s="1755" t="s">
        <v>1317</v>
      </c>
      <c r="C140" s="1724" t="s">
        <v>381</v>
      </c>
      <c r="D140" s="1724" t="s">
        <v>69</v>
      </c>
      <c r="E140" s="1724" t="s">
        <v>59</v>
      </c>
      <c r="F140" s="1724" t="s">
        <v>62</v>
      </c>
      <c r="G140" s="1724" t="s">
        <v>65</v>
      </c>
      <c r="H140" s="1769" t="s">
        <v>636</v>
      </c>
      <c r="I140" s="1758" t="s">
        <v>323</v>
      </c>
      <c r="J140" s="1777">
        <v>33861.54</v>
      </c>
      <c r="K140" s="1771"/>
      <c r="L140" s="1771"/>
      <c r="M140" s="1759">
        <f t="shared" si="5"/>
        <v>33861.54</v>
      </c>
    </row>
    <row r="141" spans="1:14" ht="24" customHeight="1">
      <c r="A141" s="1162"/>
      <c r="B141" s="1737" t="s">
        <v>1318</v>
      </c>
      <c r="C141" s="1724" t="s">
        <v>381</v>
      </c>
      <c r="D141" s="1724" t="s">
        <v>69</v>
      </c>
      <c r="E141" s="1724" t="s">
        <v>59</v>
      </c>
      <c r="F141" s="1724" t="s">
        <v>62</v>
      </c>
      <c r="G141" s="1724" t="s">
        <v>65</v>
      </c>
      <c r="H141" s="1708" t="s">
        <v>636</v>
      </c>
      <c r="I141" s="1758" t="s">
        <v>323</v>
      </c>
      <c r="J141" s="1777">
        <v>50000</v>
      </c>
      <c r="K141" s="1771"/>
      <c r="L141" s="1771"/>
      <c r="M141" s="1759">
        <f t="shared" si="5"/>
        <v>50000</v>
      </c>
    </row>
    <row r="142" spans="1:14" ht="24" customHeight="1">
      <c r="A142" s="1162"/>
      <c r="B142" s="1737" t="s">
        <v>1319</v>
      </c>
      <c r="C142" s="1724" t="s">
        <v>381</v>
      </c>
      <c r="D142" s="1724" t="s">
        <v>69</v>
      </c>
      <c r="E142" s="1724" t="s">
        <v>59</v>
      </c>
      <c r="F142" s="1724" t="s">
        <v>62</v>
      </c>
      <c r="G142" s="1724" t="s">
        <v>65</v>
      </c>
      <c r="H142" s="1708" t="s">
        <v>636</v>
      </c>
      <c r="I142" s="1758" t="s">
        <v>323</v>
      </c>
      <c r="J142" s="1777">
        <v>25000</v>
      </c>
      <c r="K142" s="1771"/>
      <c r="L142" s="1771"/>
      <c r="M142" s="1759">
        <f t="shared" si="5"/>
        <v>25000</v>
      </c>
      <c r="N142" s="1353"/>
    </row>
    <row r="143" spans="1:14" ht="30.75" customHeight="1">
      <c r="A143" s="1161"/>
      <c r="B143" s="1737" t="s">
        <v>1320</v>
      </c>
      <c r="C143" s="1724" t="s">
        <v>381</v>
      </c>
      <c r="D143" s="1724" t="s">
        <v>69</v>
      </c>
      <c r="E143" s="1724" t="s">
        <v>59</v>
      </c>
      <c r="F143" s="1724" t="s">
        <v>62</v>
      </c>
      <c r="G143" s="1724" t="s">
        <v>65</v>
      </c>
      <c r="H143" s="1708" t="s">
        <v>636</v>
      </c>
      <c r="I143" s="1758" t="s">
        <v>323</v>
      </c>
      <c r="J143" s="1777">
        <v>27396.74</v>
      </c>
      <c r="K143" s="1771"/>
      <c r="L143" s="1771"/>
      <c r="M143" s="1759">
        <f t="shared" si="5"/>
        <v>27396.74</v>
      </c>
    </row>
    <row r="144" spans="1:14" ht="22.5" customHeight="1">
      <c r="A144" s="1161"/>
      <c r="B144" s="1737" t="s">
        <v>1340</v>
      </c>
      <c r="C144" s="1724" t="s">
        <v>381</v>
      </c>
      <c r="D144" s="1724" t="s">
        <v>69</v>
      </c>
      <c r="E144" s="1724" t="s">
        <v>59</v>
      </c>
      <c r="F144" s="1724" t="s">
        <v>62</v>
      </c>
      <c r="G144" s="1724" t="s">
        <v>65</v>
      </c>
      <c r="H144" s="1708" t="s">
        <v>636</v>
      </c>
      <c r="I144" s="1708" t="s">
        <v>323</v>
      </c>
      <c r="J144" s="1777">
        <v>65000</v>
      </c>
      <c r="K144" s="1771"/>
      <c r="L144" s="1771"/>
      <c r="M144" s="1759">
        <f t="shared" si="5"/>
        <v>65000</v>
      </c>
    </row>
    <row r="145" spans="1:15" ht="22.5" customHeight="1">
      <c r="A145" s="1161"/>
      <c r="B145" s="1737" t="s">
        <v>1397</v>
      </c>
      <c r="C145" s="1565" t="s">
        <v>381</v>
      </c>
      <c r="D145" s="1565" t="s">
        <v>59</v>
      </c>
      <c r="E145" s="1565" t="s">
        <v>59</v>
      </c>
      <c r="F145" s="1565" t="s">
        <v>62</v>
      </c>
      <c r="G145" s="1565" t="s">
        <v>65</v>
      </c>
      <c r="H145" s="1769" t="s">
        <v>1505</v>
      </c>
      <c r="I145" s="1708" t="s">
        <v>323</v>
      </c>
      <c r="J145" s="1777">
        <v>12000</v>
      </c>
      <c r="K145" s="1771"/>
      <c r="L145" s="1771"/>
      <c r="M145" s="1759">
        <f t="shared" si="5"/>
        <v>12000</v>
      </c>
    </row>
    <row r="146" spans="1:15" ht="22.5" customHeight="1">
      <c r="A146" s="1161"/>
      <c r="B146" s="1737" t="s">
        <v>1398</v>
      </c>
      <c r="C146" s="1565" t="s">
        <v>381</v>
      </c>
      <c r="D146" s="1565" t="s">
        <v>69</v>
      </c>
      <c r="E146" s="1565" t="s">
        <v>59</v>
      </c>
      <c r="F146" s="1565" t="s">
        <v>62</v>
      </c>
      <c r="G146" s="1565" t="s">
        <v>65</v>
      </c>
      <c r="H146" s="1769" t="s">
        <v>1505</v>
      </c>
      <c r="I146" s="1708" t="s">
        <v>323</v>
      </c>
      <c r="J146" s="1777">
        <v>20000</v>
      </c>
      <c r="K146" s="1771"/>
      <c r="L146" s="1771"/>
      <c r="M146" s="1759">
        <f t="shared" si="5"/>
        <v>20000</v>
      </c>
    </row>
    <row r="147" spans="1:15" ht="22.5" customHeight="1">
      <c r="A147" s="1162"/>
      <c r="B147" s="1737" t="s">
        <v>1408</v>
      </c>
      <c r="C147" s="1565" t="s">
        <v>381</v>
      </c>
      <c r="D147" s="1565" t="s">
        <v>69</v>
      </c>
      <c r="E147" s="1565" t="s">
        <v>59</v>
      </c>
      <c r="F147" s="1565" t="s">
        <v>62</v>
      </c>
      <c r="G147" s="1565" t="s">
        <v>65</v>
      </c>
      <c r="H147" s="1769" t="s">
        <v>1505</v>
      </c>
      <c r="I147" s="1708" t="s">
        <v>323</v>
      </c>
      <c r="J147" s="1777">
        <v>20000</v>
      </c>
      <c r="K147" s="1771"/>
      <c r="L147" s="1771"/>
      <c r="M147" s="1759">
        <f t="shared" si="5"/>
        <v>20000</v>
      </c>
    </row>
    <row r="148" spans="1:15" ht="32.25" customHeight="1">
      <c r="A148" s="1162"/>
      <c r="B148" s="1737" t="s">
        <v>1409</v>
      </c>
      <c r="C148" s="1565" t="s">
        <v>381</v>
      </c>
      <c r="D148" s="1565" t="s">
        <v>69</v>
      </c>
      <c r="E148" s="1565" t="s">
        <v>59</v>
      </c>
      <c r="F148" s="1565" t="s">
        <v>62</v>
      </c>
      <c r="G148" s="1565" t="s">
        <v>65</v>
      </c>
      <c r="H148" s="1708" t="s">
        <v>636</v>
      </c>
      <c r="I148" s="1708" t="s">
        <v>635</v>
      </c>
      <c r="J148" s="1777">
        <v>20000</v>
      </c>
      <c r="K148" s="1771"/>
      <c r="L148" s="1771"/>
      <c r="M148" s="1759">
        <f t="shared" si="5"/>
        <v>20000</v>
      </c>
    </row>
    <row r="149" spans="1:15" ht="35.25" customHeight="1">
      <c r="A149" s="1643"/>
      <c r="B149" s="1737" t="s">
        <v>1428</v>
      </c>
      <c r="C149" s="1565" t="s">
        <v>381</v>
      </c>
      <c r="D149" s="1565" t="s">
        <v>69</v>
      </c>
      <c r="E149" s="1565" t="s">
        <v>59</v>
      </c>
      <c r="F149" s="1565" t="s">
        <v>62</v>
      </c>
      <c r="G149" s="1565" t="s">
        <v>65</v>
      </c>
      <c r="H149" s="1708" t="s">
        <v>636</v>
      </c>
      <c r="I149" s="1708" t="s">
        <v>323</v>
      </c>
      <c r="J149" s="1777">
        <v>25000</v>
      </c>
      <c r="K149" s="1771"/>
      <c r="L149" s="1771"/>
      <c r="M149" s="1759">
        <f t="shared" si="5"/>
        <v>25000</v>
      </c>
      <c r="O149" s="1141">
        <f>M19+M156-10000+21175.5</f>
        <v>1160749.55</v>
      </c>
    </row>
    <row r="150" spans="1:15" ht="26.25" customHeight="1">
      <c r="A150" s="1162"/>
      <c r="B150" s="1737" t="s">
        <v>1479</v>
      </c>
      <c r="C150" s="1565" t="s">
        <v>381</v>
      </c>
      <c r="D150" s="1565" t="s">
        <v>69</v>
      </c>
      <c r="E150" s="1565" t="s">
        <v>59</v>
      </c>
      <c r="F150" s="1565" t="s">
        <v>62</v>
      </c>
      <c r="G150" s="1565" t="s">
        <v>65</v>
      </c>
      <c r="H150" s="1708" t="s">
        <v>636</v>
      </c>
      <c r="I150" s="1708" t="s">
        <v>635</v>
      </c>
      <c r="J150" s="1777">
        <v>31700.82</v>
      </c>
      <c r="K150" s="1771"/>
      <c r="L150" s="1771"/>
      <c r="M150" s="1759">
        <f t="shared" si="5"/>
        <v>31700.82</v>
      </c>
      <c r="O150" s="1141"/>
    </row>
    <row r="151" spans="1:15" ht="35.25" customHeight="1">
      <c r="A151" s="1162"/>
      <c r="B151" s="1737" t="s">
        <v>1480</v>
      </c>
      <c r="C151" s="1565" t="s">
        <v>381</v>
      </c>
      <c r="D151" s="1565" t="s">
        <v>69</v>
      </c>
      <c r="E151" s="1565" t="s">
        <v>59</v>
      </c>
      <c r="F151" s="1565" t="s">
        <v>62</v>
      </c>
      <c r="G151" s="1565" t="s">
        <v>65</v>
      </c>
      <c r="H151" s="1708" t="s">
        <v>636</v>
      </c>
      <c r="I151" s="1708" t="s">
        <v>635</v>
      </c>
      <c r="J151" s="1777">
        <v>30000</v>
      </c>
      <c r="K151" s="1771"/>
      <c r="L151" s="1771"/>
      <c r="M151" s="1759">
        <f t="shared" si="5"/>
        <v>30000</v>
      </c>
      <c r="O151" s="1141"/>
    </row>
    <row r="152" spans="1:15" ht="35.25" customHeight="1">
      <c r="A152" s="1162"/>
      <c r="B152" s="1737" t="s">
        <v>1481</v>
      </c>
      <c r="C152" s="1565" t="s">
        <v>381</v>
      </c>
      <c r="D152" s="1565" t="s">
        <v>69</v>
      </c>
      <c r="E152" s="1565" t="s">
        <v>59</v>
      </c>
      <c r="F152" s="1565" t="s">
        <v>62</v>
      </c>
      <c r="G152" s="1565" t="s">
        <v>65</v>
      </c>
      <c r="H152" s="1708" t="s">
        <v>636</v>
      </c>
      <c r="I152" s="1708" t="s">
        <v>635</v>
      </c>
      <c r="J152" s="1777">
        <v>15000</v>
      </c>
      <c r="K152" s="1771"/>
      <c r="L152" s="1771"/>
      <c r="M152" s="1759">
        <f t="shared" si="5"/>
        <v>15000</v>
      </c>
      <c r="O152" s="1141"/>
    </row>
    <row r="153" spans="1:15" ht="35.25" customHeight="1">
      <c r="A153" s="1162"/>
      <c r="B153" s="1737" t="s">
        <v>1482</v>
      </c>
      <c r="C153" s="1565" t="s">
        <v>381</v>
      </c>
      <c r="D153" s="1565" t="s">
        <v>69</v>
      </c>
      <c r="E153" s="1565" t="s">
        <v>59</v>
      </c>
      <c r="F153" s="1565" t="s">
        <v>62</v>
      </c>
      <c r="G153" s="1565" t="s">
        <v>65</v>
      </c>
      <c r="H153" s="1708" t="s">
        <v>636</v>
      </c>
      <c r="I153" s="1708" t="s">
        <v>635</v>
      </c>
      <c r="J153" s="1777">
        <v>20000</v>
      </c>
      <c r="K153" s="1771"/>
      <c r="L153" s="1771"/>
      <c r="M153" s="1759">
        <f t="shared" si="5"/>
        <v>20000</v>
      </c>
      <c r="O153" s="1141"/>
    </row>
    <row r="154" spans="1:15" ht="35.25" customHeight="1">
      <c r="A154" s="1162"/>
      <c r="B154" s="1737" t="s">
        <v>1483</v>
      </c>
      <c r="C154" s="1565" t="s">
        <v>381</v>
      </c>
      <c r="D154" s="1565" t="s">
        <v>69</v>
      </c>
      <c r="E154" s="1565" t="s">
        <v>59</v>
      </c>
      <c r="F154" s="1565" t="s">
        <v>62</v>
      </c>
      <c r="G154" s="1565" t="s">
        <v>65</v>
      </c>
      <c r="H154" s="1708" t="s">
        <v>636</v>
      </c>
      <c r="I154" s="1708" t="s">
        <v>323</v>
      </c>
      <c r="J154" s="1777">
        <v>40000</v>
      </c>
      <c r="K154" s="1771"/>
      <c r="L154" s="1771"/>
      <c r="M154" s="1759">
        <f t="shared" si="5"/>
        <v>40000</v>
      </c>
      <c r="O154" s="1141"/>
    </row>
    <row r="155" spans="1:15" ht="35.25" customHeight="1">
      <c r="A155" s="1162"/>
      <c r="B155" s="1737" t="s">
        <v>1484</v>
      </c>
      <c r="C155" s="1565" t="s">
        <v>381</v>
      </c>
      <c r="D155" s="1565" t="s">
        <v>69</v>
      </c>
      <c r="E155" s="1565" t="s">
        <v>59</v>
      </c>
      <c r="F155" s="1565" t="s">
        <v>62</v>
      </c>
      <c r="G155" s="1565" t="s">
        <v>65</v>
      </c>
      <c r="H155" s="1708" t="s">
        <v>636</v>
      </c>
      <c r="I155" s="1708" t="s">
        <v>635</v>
      </c>
      <c r="J155" s="1777">
        <v>20000</v>
      </c>
      <c r="K155" s="1771"/>
      <c r="L155" s="1771"/>
      <c r="M155" s="1759">
        <f t="shared" si="5"/>
        <v>20000</v>
      </c>
      <c r="O155" s="1141"/>
    </row>
    <row r="156" spans="1:15" ht="21" thickBot="1">
      <c r="A156" s="2459" t="s">
        <v>199</v>
      </c>
      <c r="B156" s="2460"/>
      <c r="C156" s="2460"/>
      <c r="D156" s="2460"/>
      <c r="E156" s="2460"/>
      <c r="F156" s="2460"/>
      <c r="G156" s="2460"/>
      <c r="H156" s="2460"/>
      <c r="I156" s="2460"/>
      <c r="J156" s="1815">
        <f>SUM(J117:J155)</f>
        <v>972959.1</v>
      </c>
      <c r="K156" s="1815">
        <f>SUM(K117:K143)</f>
        <v>0</v>
      </c>
      <c r="L156" s="1815">
        <f>SUM(L117:L146)</f>
        <v>0</v>
      </c>
      <c r="M156" s="1815">
        <f>SUM(M117:M155)</f>
        <v>972959.1</v>
      </c>
    </row>
    <row r="157" spans="1:15" ht="15" hidden="1" thickTop="1">
      <c r="A157" s="543"/>
      <c r="B157" s="520"/>
      <c r="C157" s="521"/>
      <c r="D157" s="521"/>
      <c r="E157" s="521"/>
      <c r="F157" s="521"/>
      <c r="G157" s="521"/>
      <c r="H157" s="396"/>
      <c r="I157" s="396"/>
      <c r="J157" s="522"/>
      <c r="K157" s="523"/>
      <c r="L157" s="524"/>
      <c r="M157" s="525"/>
    </row>
    <row r="158" spans="1:15" ht="34.5" hidden="1" customHeight="1">
      <c r="A158" s="2485" t="s">
        <v>1226</v>
      </c>
      <c r="B158" s="2486"/>
      <c r="C158" s="2486"/>
      <c r="D158" s="2486"/>
      <c r="E158" s="2486"/>
      <c r="F158" s="2486"/>
      <c r="G158" s="2486"/>
      <c r="H158" s="2487"/>
      <c r="I158" s="2487"/>
      <c r="J158" s="2487"/>
      <c r="K158" s="2487"/>
      <c r="L158" s="2487"/>
      <c r="M158" s="2488"/>
    </row>
    <row r="159" spans="1:15" ht="8.25" customHeight="1" thickTop="1" thickBot="1">
      <c r="A159" s="544"/>
      <c r="B159" s="869"/>
      <c r="C159" s="867"/>
      <c r="D159" s="867"/>
      <c r="E159" s="867"/>
      <c r="F159" s="867"/>
      <c r="G159" s="867"/>
      <c r="H159" s="396"/>
      <c r="I159" s="1225"/>
      <c r="J159" s="1226"/>
      <c r="K159" s="401"/>
      <c r="L159" s="1227"/>
      <c r="M159" s="1228">
        <f>J159+K159+L159</f>
        <v>0</v>
      </c>
    </row>
    <row r="160" spans="1:15" ht="18.75" customHeight="1" thickTop="1">
      <c r="A160" s="544"/>
      <c r="B160" s="2489"/>
      <c r="C160" s="2490"/>
      <c r="D160" s="2490"/>
      <c r="E160" s="2490"/>
      <c r="F160" s="2490"/>
      <c r="G160" s="2490"/>
      <c r="H160" s="2490"/>
      <c r="I160" s="2490"/>
      <c r="J160" s="2490"/>
      <c r="K160" s="401"/>
      <c r="L160" s="402"/>
      <c r="M160" s="535"/>
    </row>
    <row r="161" spans="1:13" ht="32.25" hidden="1" customHeight="1">
      <c r="A161" s="544"/>
      <c r="B161" s="385"/>
      <c r="C161" s="393"/>
      <c r="D161" s="393"/>
      <c r="E161" s="393"/>
      <c r="F161" s="393"/>
      <c r="G161" s="397"/>
      <c r="H161" s="398"/>
      <c r="I161" s="399"/>
      <c r="J161" s="400"/>
      <c r="K161" s="401"/>
      <c r="L161" s="402"/>
      <c r="M161" s="386">
        <f>J161+K161+L161</f>
        <v>0</v>
      </c>
    </row>
    <row r="162" spans="1:13" ht="21" customHeight="1" thickBot="1">
      <c r="A162" s="2491"/>
      <c r="B162" s="2491"/>
      <c r="C162" s="2491"/>
      <c r="D162" s="2491"/>
      <c r="E162" s="2491"/>
      <c r="F162" s="2491"/>
      <c r="G162" s="2491"/>
      <c r="H162" s="2492"/>
      <c r="I162" s="2492"/>
      <c r="J162" s="1574">
        <f>SUM(J19+J63+J91+J112+J156+J159)</f>
        <v>2536086.9899999998</v>
      </c>
      <c r="K162" s="1574">
        <f>SUM(K47+K63+K91+K112+K156+K159)</f>
        <v>0</v>
      </c>
      <c r="L162" s="1574">
        <f>SUM(L47+L63+L91+L112+L156+L159)</f>
        <v>354537.36</v>
      </c>
      <c r="M162" s="1574">
        <f>SUM(M19+M63+M91+M112+M156+M159)</f>
        <v>2531086.9899999998</v>
      </c>
    </row>
    <row r="163" spans="1:13" ht="18.75" customHeight="1">
      <c r="A163" s="545"/>
      <c r="H163" s="2493"/>
      <c r="I163" s="2493"/>
      <c r="J163" s="629">
        <f>SUM('Saldos de ctas. Bancarias'!C94)</f>
        <v>2536086.9900000002</v>
      </c>
    </row>
    <row r="164" spans="1:13" ht="18.75" customHeight="1">
      <c r="A164" s="546"/>
      <c r="H164" s="2480"/>
      <c r="I164" s="2480"/>
      <c r="J164" s="629">
        <f>J162</f>
        <v>2536086.9899999998</v>
      </c>
    </row>
    <row r="165" spans="1:13">
      <c r="A165" s="546"/>
      <c r="H165" s="534" t="s">
        <v>362</v>
      </c>
      <c r="J165" s="536">
        <f>J163-J164</f>
        <v>0</v>
      </c>
      <c r="K165" s="533"/>
      <c r="L165" s="1696">
        <f>-J165-N92</f>
        <v>0</v>
      </c>
    </row>
    <row r="166" spans="1:13">
      <c r="A166" s="546"/>
    </row>
    <row r="167" spans="1:13">
      <c r="A167" s="546"/>
    </row>
    <row r="168" spans="1:13">
      <c r="A168" s="546"/>
    </row>
    <row r="169" spans="1:13">
      <c r="A169" s="546"/>
    </row>
    <row r="170" spans="1:13">
      <c r="A170" s="546"/>
    </row>
    <row r="171" spans="1:13">
      <c r="A171" s="546"/>
    </row>
    <row r="172" spans="1:13">
      <c r="A172" s="546"/>
    </row>
    <row r="173" spans="1:13">
      <c r="A173" s="546"/>
    </row>
    <row r="174" spans="1:13">
      <c r="A174" s="546"/>
    </row>
    <row r="175" spans="1:13">
      <c r="A175" s="546"/>
    </row>
    <row r="176" spans="1:13">
      <c r="A176" s="546"/>
    </row>
    <row r="177" spans="1:1">
      <c r="A177" s="546"/>
    </row>
    <row r="178" spans="1:1">
      <c r="A178" s="546"/>
    </row>
    <row r="179" spans="1:1">
      <c r="A179" s="546"/>
    </row>
    <row r="180" spans="1:1">
      <c r="A180" s="546"/>
    </row>
    <row r="181" spans="1:1">
      <c r="A181" s="546"/>
    </row>
    <row r="182" spans="1:1">
      <c r="A182" s="546"/>
    </row>
    <row r="183" spans="1:1">
      <c r="A183" s="546"/>
    </row>
    <row r="184" spans="1:1">
      <c r="A184" s="546"/>
    </row>
    <row r="185" spans="1:1">
      <c r="A185" s="546"/>
    </row>
    <row r="186" spans="1:1">
      <c r="A186" s="546"/>
    </row>
    <row r="187" spans="1:1">
      <c r="A187" s="546"/>
    </row>
    <row r="188" spans="1:1">
      <c r="A188" s="546"/>
    </row>
    <row r="189" spans="1:1">
      <c r="A189" s="546"/>
    </row>
    <row r="190" spans="1:1">
      <c r="A190" s="546"/>
    </row>
    <row r="191" spans="1:1">
      <c r="A191" s="546"/>
    </row>
    <row r="192" spans="1:1">
      <c r="A192" s="546"/>
    </row>
    <row r="193" spans="1:1">
      <c r="A193" s="546"/>
    </row>
    <row r="194" spans="1:1">
      <c r="A194" s="546"/>
    </row>
    <row r="195" spans="1:1">
      <c r="A195" s="546"/>
    </row>
    <row r="196" spans="1:1">
      <c r="A196" s="546"/>
    </row>
    <row r="197" spans="1:1">
      <c r="A197" s="546"/>
    </row>
    <row r="198" spans="1:1">
      <c r="A198" s="546"/>
    </row>
    <row r="199" spans="1:1">
      <c r="A199" s="546"/>
    </row>
    <row r="200" spans="1:1">
      <c r="A200" s="546"/>
    </row>
    <row r="201" spans="1:1">
      <c r="A201" s="546"/>
    </row>
    <row r="202" spans="1:1">
      <c r="A202" s="546"/>
    </row>
    <row r="203" spans="1:1">
      <c r="A203" s="546"/>
    </row>
    <row r="204" spans="1:1">
      <c r="A204" s="546"/>
    </row>
    <row r="205" spans="1:1">
      <c r="A205" s="546"/>
    </row>
    <row r="206" spans="1:1">
      <c r="A206" s="546"/>
    </row>
    <row r="207" spans="1:1">
      <c r="A207" s="546"/>
    </row>
    <row r="208" spans="1:1">
      <c r="A208" s="546"/>
    </row>
    <row r="209" spans="1:1">
      <c r="A209" s="546"/>
    </row>
    <row r="210" spans="1:1">
      <c r="A210" s="546"/>
    </row>
    <row r="211" spans="1:1">
      <c r="A211" s="546"/>
    </row>
    <row r="212" spans="1:1">
      <c r="A212" s="546"/>
    </row>
    <row r="213" spans="1:1">
      <c r="A213" s="546"/>
    </row>
    <row r="214" spans="1:1">
      <c r="A214" s="546"/>
    </row>
    <row r="215" spans="1:1">
      <c r="A215" s="546"/>
    </row>
  </sheetData>
  <mergeCells count="67">
    <mergeCell ref="S99:Z99"/>
    <mergeCell ref="J49:J50"/>
    <mergeCell ref="M49:M50"/>
    <mergeCell ref="A63:I63"/>
    <mergeCell ref="A49:A50"/>
    <mergeCell ref="B49:B50"/>
    <mergeCell ref="C49:G49"/>
    <mergeCell ref="H49:H50"/>
    <mergeCell ref="I49:I50"/>
    <mergeCell ref="B93:B94"/>
    <mergeCell ref="A91:I91"/>
    <mergeCell ref="B65:B66"/>
    <mergeCell ref="A92:M92"/>
    <mergeCell ref="A93:A94"/>
    <mergeCell ref="A47:I47"/>
    <mergeCell ref="A113:M113"/>
    <mergeCell ref="A64:M64"/>
    <mergeCell ref="J93:J94"/>
    <mergeCell ref="M93:M94"/>
    <mergeCell ref="B112:I112"/>
    <mergeCell ref="C93:G93"/>
    <mergeCell ref="H93:H94"/>
    <mergeCell ref="I93:I94"/>
    <mergeCell ref="H65:H66"/>
    <mergeCell ref="I65:I66"/>
    <mergeCell ref="J65:J66"/>
    <mergeCell ref="M65:M66"/>
    <mergeCell ref="A65:A66"/>
    <mergeCell ref="C65:G65"/>
    <mergeCell ref="A48:M48"/>
    <mergeCell ref="A1:M1"/>
    <mergeCell ref="A3:M3"/>
    <mergeCell ref="A4:M4"/>
    <mergeCell ref="A5:A6"/>
    <mergeCell ref="B5:B6"/>
    <mergeCell ref="C5:G5"/>
    <mergeCell ref="H5:H6"/>
    <mergeCell ref="I5:I6"/>
    <mergeCell ref="J5:J6"/>
    <mergeCell ref="K5:K6"/>
    <mergeCell ref="L5:L6"/>
    <mergeCell ref="M5:M6"/>
    <mergeCell ref="A2:M2"/>
    <mergeCell ref="H164:I164"/>
    <mergeCell ref="A114:M114"/>
    <mergeCell ref="A115:A116"/>
    <mergeCell ref="B115:B116"/>
    <mergeCell ref="C115:G115"/>
    <mergeCell ref="H115:H116"/>
    <mergeCell ref="I115:I116"/>
    <mergeCell ref="J115:J116"/>
    <mergeCell ref="M115:M116"/>
    <mergeCell ref="A158:M158"/>
    <mergeCell ref="B160:J160"/>
    <mergeCell ref="A162:I162"/>
    <mergeCell ref="H163:I163"/>
    <mergeCell ref="A156:I156"/>
    <mergeCell ref="A19:I19"/>
    <mergeCell ref="L21:L22"/>
    <mergeCell ref="A20:M20"/>
    <mergeCell ref="A21:A22"/>
    <mergeCell ref="B21:B22"/>
    <mergeCell ref="C21:G21"/>
    <mergeCell ref="H21:H22"/>
    <mergeCell ref="I21:I22"/>
    <mergeCell ref="J21:J22"/>
    <mergeCell ref="M21:M22"/>
  </mergeCells>
  <pageMargins left="0" right="0" top="0.62992125984251968" bottom="0.78740157480314965" header="0.31496062992125984" footer="0.15748031496062992"/>
  <pageSetup scale="83" orientation="landscape" horizontalDpi="0" verticalDpi="0" r:id="rId1"/>
  <rowBreaks count="5" manualBreakCount="5">
    <brk id="42" max="16383" man="1"/>
    <brk id="63" max="16383" man="1"/>
    <brk id="91" max="16383" man="1"/>
    <brk id="125" max="25" man="1"/>
    <brk id="145" max="25" man="1"/>
  </rowBreaks>
  <colBreaks count="1" manualBreakCount="1">
    <brk id="13" max="167" man="1"/>
  </colBreaks>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2F0BB5"/>
  </sheetPr>
  <dimension ref="A1:J79"/>
  <sheetViews>
    <sheetView topLeftCell="A19" zoomScale="130" zoomScaleNormal="130" workbookViewId="0">
      <selection activeCell="H38" sqref="H38"/>
    </sheetView>
  </sheetViews>
  <sheetFormatPr baseColWidth="10" defaultRowHeight="12.75"/>
  <cols>
    <col min="1" max="1" width="6.5703125" style="147" customWidth="1"/>
    <col min="2" max="2" width="51.28515625" customWidth="1"/>
    <col min="3" max="3" width="15.140625" customWidth="1"/>
    <col min="4" max="4" width="14.7109375" customWidth="1"/>
    <col min="5" max="5" width="6.140625" customWidth="1"/>
    <col min="6" max="6" width="4" customWidth="1"/>
    <col min="7" max="7" width="24.28515625" customWidth="1"/>
  </cols>
  <sheetData>
    <row r="1" spans="1:10" ht="25.5" customHeight="1">
      <c r="A1" s="2536" t="s">
        <v>1509</v>
      </c>
      <c r="B1" s="2536"/>
      <c r="C1" s="2536"/>
      <c r="D1" s="1833"/>
      <c r="E1" s="768"/>
      <c r="F1" s="768"/>
    </row>
    <row r="2" spans="1:10" ht="15.75" customHeight="1">
      <c r="A2" s="2536"/>
      <c r="B2" s="2536"/>
      <c r="C2" s="2536"/>
      <c r="D2" s="1833"/>
      <c r="E2" s="769"/>
      <c r="F2" s="769"/>
    </row>
    <row r="3" spans="1:10" ht="1.5" customHeight="1">
      <c r="A3" s="2536"/>
      <c r="B3" s="2536"/>
      <c r="C3" s="2536"/>
      <c r="D3" s="1833"/>
      <c r="E3" s="769"/>
      <c r="F3" s="769"/>
    </row>
    <row r="4" spans="1:10" ht="40.5" customHeight="1">
      <c r="A4" s="2536"/>
      <c r="B4" s="2536"/>
      <c r="C4" s="2536"/>
      <c r="D4" s="476"/>
      <c r="E4" s="476"/>
      <c r="F4" s="476"/>
    </row>
    <row r="5" spans="1:10" ht="25.5" customHeight="1">
      <c r="A5" s="2540" t="s">
        <v>378</v>
      </c>
      <c r="B5" s="2540"/>
      <c r="C5" s="2540"/>
      <c r="D5" s="476"/>
      <c r="E5" s="476"/>
      <c r="F5" s="476"/>
    </row>
    <row r="6" spans="1:10" ht="27" customHeight="1">
      <c r="A6" s="1820">
        <v>1</v>
      </c>
      <c r="B6" s="1821" t="s">
        <v>913</v>
      </c>
      <c r="C6" s="1822">
        <v>4400</v>
      </c>
      <c r="D6" s="476"/>
      <c r="E6" s="476"/>
      <c r="F6" s="476"/>
    </row>
    <row r="7" spans="1:10" ht="99" customHeight="1">
      <c r="A7" s="1823">
        <v>2</v>
      </c>
      <c r="B7" s="1824" t="s">
        <v>908</v>
      </c>
      <c r="C7" s="1825">
        <f>5200+300+320+2000-1500</f>
        <v>6320</v>
      </c>
      <c r="D7" s="476"/>
      <c r="E7" s="476"/>
      <c r="F7" s="476"/>
      <c r="G7" s="489" t="s">
        <v>960</v>
      </c>
      <c r="H7" s="990"/>
      <c r="I7" s="990"/>
      <c r="J7" s="990"/>
    </row>
    <row r="8" spans="1:10" ht="23.25" customHeight="1">
      <c r="A8" s="2539" t="s">
        <v>379</v>
      </c>
      <c r="B8" s="2539"/>
      <c r="C8" s="2539"/>
      <c r="D8" s="476"/>
      <c r="E8" s="476"/>
      <c r="F8" s="476"/>
    </row>
    <row r="9" spans="1:10" ht="43.5" customHeight="1">
      <c r="A9" s="1823">
        <v>3</v>
      </c>
      <c r="B9" s="1708" t="s">
        <v>517</v>
      </c>
      <c r="C9" s="1826">
        <v>800</v>
      </c>
      <c r="D9" s="476"/>
      <c r="E9" s="476"/>
      <c r="F9" s="476"/>
    </row>
    <row r="10" spans="1:10" ht="30.75" customHeight="1">
      <c r="A10" s="1823">
        <v>4</v>
      </c>
      <c r="B10" s="1708" t="s">
        <v>717</v>
      </c>
      <c r="C10" s="1825">
        <f>4000+7000</f>
        <v>11000</v>
      </c>
      <c r="D10" s="476"/>
      <c r="E10" s="476"/>
      <c r="F10" s="476"/>
    </row>
    <row r="11" spans="1:10" ht="28.5" customHeight="1">
      <c r="A11" s="1823">
        <v>5</v>
      </c>
      <c r="B11" s="1708" t="s">
        <v>718</v>
      </c>
      <c r="C11" s="1825">
        <f>3000+3700-141.16</f>
        <v>6558.84</v>
      </c>
      <c r="D11" s="476"/>
      <c r="E11" s="476"/>
      <c r="F11" s="476"/>
    </row>
    <row r="12" spans="1:10" ht="41.25" customHeight="1">
      <c r="A12" s="1823">
        <v>6</v>
      </c>
      <c r="B12" s="1708" t="s">
        <v>719</v>
      </c>
      <c r="C12" s="1825">
        <v>3500</v>
      </c>
      <c r="D12" s="476"/>
      <c r="E12" s="476"/>
      <c r="F12" s="476"/>
    </row>
    <row r="13" spans="1:10" ht="44.25" customHeight="1">
      <c r="A13" s="1823">
        <v>7</v>
      </c>
      <c r="B13" s="1708" t="s">
        <v>720</v>
      </c>
      <c r="C13" s="1825">
        <v>1000</v>
      </c>
      <c r="D13" s="476"/>
      <c r="E13" s="476"/>
      <c r="F13" s="476"/>
    </row>
    <row r="14" spans="1:10" ht="30" customHeight="1">
      <c r="A14" s="1823">
        <v>8</v>
      </c>
      <c r="B14" s="1708" t="s">
        <v>721</v>
      </c>
      <c r="C14" s="1825">
        <f>19500+1000</f>
        <v>20500</v>
      </c>
      <c r="D14" s="476"/>
      <c r="E14" s="476"/>
      <c r="F14" s="476"/>
    </row>
    <row r="15" spans="1:10" ht="36" customHeight="1">
      <c r="A15" s="2539" t="s">
        <v>475</v>
      </c>
      <c r="B15" s="2539"/>
      <c r="C15" s="2539"/>
      <c r="D15" s="476"/>
      <c r="E15" s="476"/>
      <c r="F15" s="476"/>
    </row>
    <row r="16" spans="1:10" ht="52.5" customHeight="1">
      <c r="A16" s="1823">
        <v>9</v>
      </c>
      <c r="B16" s="1824" t="s">
        <v>518</v>
      </c>
      <c r="C16" s="1828">
        <v>5000</v>
      </c>
      <c r="D16" s="476"/>
      <c r="E16" s="476"/>
      <c r="F16" s="476"/>
    </row>
    <row r="17" spans="1:7" ht="0.75" customHeight="1">
      <c r="A17" s="475"/>
      <c r="B17" s="478"/>
      <c r="C17" s="478"/>
      <c r="D17" s="478"/>
      <c r="E17" s="478"/>
      <c r="F17" s="478"/>
    </row>
    <row r="18" spans="1:7" ht="26.25" customHeight="1">
      <c r="A18" s="2538" t="s">
        <v>476</v>
      </c>
      <c r="B18" s="2538"/>
      <c r="C18" s="2538"/>
      <c r="D18" s="476"/>
      <c r="E18" s="476"/>
      <c r="F18" s="476"/>
    </row>
    <row r="19" spans="1:7" ht="40.5" customHeight="1">
      <c r="A19" s="1823">
        <v>10</v>
      </c>
      <c r="B19" s="1824" t="s">
        <v>519</v>
      </c>
      <c r="C19" s="1828">
        <f>1000+2000+315.36+0.04</f>
        <v>3315.4</v>
      </c>
      <c r="D19" s="476"/>
      <c r="E19" s="476"/>
      <c r="F19" s="476"/>
    </row>
    <row r="20" spans="1:7" ht="26.25" customHeight="1">
      <c r="A20" s="2532" t="s">
        <v>390</v>
      </c>
      <c r="B20" s="2532"/>
      <c r="C20" s="2532"/>
      <c r="D20" s="476"/>
      <c r="E20" s="476"/>
      <c r="F20" s="476"/>
    </row>
    <row r="21" spans="1:7" ht="49.5" customHeight="1">
      <c r="A21" s="2537" t="s">
        <v>456</v>
      </c>
      <c r="B21" s="2537"/>
      <c r="C21" s="2537"/>
      <c r="D21" s="476"/>
      <c r="E21" s="476"/>
      <c r="F21" s="476"/>
    </row>
    <row r="22" spans="1:7" ht="54.75" customHeight="1">
      <c r="A22" s="1823">
        <v>11</v>
      </c>
      <c r="B22" s="1708" t="s">
        <v>526</v>
      </c>
      <c r="C22" s="1825">
        <f>6000+500</f>
        <v>6500</v>
      </c>
      <c r="D22" s="476"/>
      <c r="E22" s="476"/>
      <c r="F22" s="476"/>
    </row>
    <row r="23" spans="1:7" ht="26.25" customHeight="1">
      <c r="A23" s="2533" t="s">
        <v>912</v>
      </c>
      <c r="B23" s="2533"/>
      <c r="C23" s="2533"/>
      <c r="D23" s="476"/>
      <c r="E23" s="476"/>
      <c r="F23" s="476"/>
    </row>
    <row r="24" spans="1:7" ht="52.5" customHeight="1">
      <c r="A24" s="2534" t="s">
        <v>911</v>
      </c>
      <c r="B24" s="2534"/>
      <c r="C24" s="2534"/>
      <c r="D24" s="476"/>
      <c r="E24" s="476"/>
      <c r="F24" s="476"/>
    </row>
    <row r="25" spans="1:7" ht="39" customHeight="1">
      <c r="A25" s="1823">
        <v>12</v>
      </c>
      <c r="B25" s="1827" t="s">
        <v>1201</v>
      </c>
      <c r="C25" s="1828">
        <v>7000</v>
      </c>
      <c r="D25" s="476"/>
      <c r="E25" s="476"/>
      <c r="F25" s="476"/>
      <c r="G25" s="2535" t="s">
        <v>992</v>
      </c>
    </row>
    <row r="26" spans="1:7" ht="27.75" customHeight="1">
      <c r="A26" s="1823">
        <v>13</v>
      </c>
      <c r="B26" s="1827" t="s">
        <v>1236</v>
      </c>
      <c r="C26" s="1828">
        <v>6000</v>
      </c>
      <c r="D26" s="476"/>
      <c r="E26" s="476"/>
      <c r="F26" s="476"/>
      <c r="G26" s="2535"/>
    </row>
    <row r="27" spans="1:7" ht="26.25" customHeight="1">
      <c r="A27" s="2533" t="s">
        <v>681</v>
      </c>
      <c r="B27" s="2533"/>
      <c r="C27" s="2533"/>
      <c r="D27" s="476"/>
      <c r="E27" s="476"/>
      <c r="F27" s="476"/>
      <c r="G27" s="2535"/>
    </row>
    <row r="28" spans="1:7" ht="18.75" customHeight="1">
      <c r="A28" s="1823">
        <v>14</v>
      </c>
      <c r="B28" s="1827" t="s">
        <v>682</v>
      </c>
      <c r="C28" s="2529">
        <v>1000</v>
      </c>
      <c r="D28" s="476"/>
      <c r="E28" s="476"/>
      <c r="F28" s="476"/>
    </row>
    <row r="29" spans="1:7" ht="18" customHeight="1">
      <c r="A29" s="1823">
        <v>15</v>
      </c>
      <c r="B29" s="1827" t="s">
        <v>909</v>
      </c>
      <c r="C29" s="2529"/>
      <c r="D29" s="476"/>
      <c r="E29" s="476"/>
      <c r="F29" s="476"/>
    </row>
    <row r="30" spans="1:7" ht="18" customHeight="1">
      <c r="A30" s="1823">
        <v>16</v>
      </c>
      <c r="B30" s="1827" t="s">
        <v>910</v>
      </c>
      <c r="C30" s="2529"/>
      <c r="D30" s="476"/>
      <c r="E30" s="476"/>
      <c r="F30" s="476"/>
    </row>
    <row r="31" spans="1:7" ht="16.5" customHeight="1">
      <c r="A31" s="1823">
        <v>17</v>
      </c>
      <c r="B31" s="1827" t="s">
        <v>683</v>
      </c>
      <c r="C31" s="2529"/>
      <c r="D31" s="476"/>
      <c r="E31" s="476"/>
      <c r="F31" s="476"/>
    </row>
    <row r="32" spans="1:7" ht="16.5" customHeight="1">
      <c r="A32" s="2530" t="s">
        <v>943</v>
      </c>
      <c r="B32" s="2530"/>
      <c r="C32" s="2530"/>
      <c r="D32" s="476"/>
      <c r="E32" s="476"/>
      <c r="F32" s="476"/>
    </row>
    <row r="33" spans="1:6" ht="46.5" customHeight="1">
      <c r="A33" s="1823">
        <v>18</v>
      </c>
      <c r="B33" s="1829" t="s">
        <v>944</v>
      </c>
      <c r="C33" s="1828">
        <v>2000</v>
      </c>
      <c r="D33" s="476"/>
      <c r="E33" s="476"/>
      <c r="F33" s="476"/>
    </row>
    <row r="34" spans="1:6" ht="16.5" customHeight="1">
      <c r="A34" s="2531" t="s">
        <v>684</v>
      </c>
      <c r="B34" s="2531"/>
      <c r="C34" s="2531"/>
      <c r="D34" s="476"/>
      <c r="E34" s="476"/>
      <c r="F34" s="476"/>
    </row>
    <row r="35" spans="1:6" ht="18.75" customHeight="1">
      <c r="A35" s="1823">
        <v>19</v>
      </c>
      <c r="B35" s="1827" t="s">
        <v>685</v>
      </c>
      <c r="C35" s="2529">
        <f>800+700</f>
        <v>1500</v>
      </c>
      <c r="D35" s="476"/>
      <c r="E35" s="476"/>
      <c r="F35" s="476"/>
    </row>
    <row r="36" spans="1:6" ht="18.75" customHeight="1">
      <c r="A36" s="1823">
        <v>20</v>
      </c>
      <c r="B36" s="1827" t="s">
        <v>686</v>
      </c>
      <c r="C36" s="2529"/>
      <c r="D36" s="476"/>
      <c r="E36" s="476"/>
      <c r="F36" s="476"/>
    </row>
    <row r="37" spans="1:6" ht="18.75" customHeight="1">
      <c r="A37" s="1823">
        <v>21</v>
      </c>
      <c r="B37" s="1830" t="s">
        <v>687</v>
      </c>
      <c r="C37" s="2529"/>
      <c r="D37" s="477"/>
      <c r="E37" s="477"/>
      <c r="F37" s="477"/>
    </row>
    <row r="38" spans="1:6" ht="18.75" customHeight="1">
      <c r="A38" s="2532" t="s">
        <v>1202</v>
      </c>
      <c r="B38" s="2532"/>
      <c r="C38" s="2532"/>
      <c r="D38" s="476"/>
      <c r="E38" s="476"/>
      <c r="F38" s="476"/>
    </row>
    <row r="39" spans="1:6" ht="27.75" customHeight="1">
      <c r="A39" s="1823">
        <v>22</v>
      </c>
      <c r="B39" s="1831" t="s">
        <v>688</v>
      </c>
      <c r="C39" s="1832">
        <v>3500</v>
      </c>
      <c r="D39" s="476"/>
      <c r="E39" s="476"/>
      <c r="F39" s="476"/>
    </row>
    <row r="40" spans="1:6" ht="33.75" customHeight="1">
      <c r="A40" s="1823">
        <v>23</v>
      </c>
      <c r="B40" s="1831" t="s">
        <v>1203</v>
      </c>
      <c r="C40" s="1828">
        <f>5000-220-1000+2000+197.18+1331.09+4000</f>
        <v>11308.27</v>
      </c>
      <c r="D40" s="476"/>
      <c r="E40" s="476"/>
      <c r="F40" s="476"/>
    </row>
    <row r="41" spans="1:6" ht="21" customHeight="1">
      <c r="A41" s="475"/>
      <c r="B41" s="1834"/>
      <c r="C41" s="477"/>
      <c r="D41" s="476"/>
      <c r="E41" s="476"/>
      <c r="F41" s="476"/>
    </row>
    <row r="42" spans="1:6" ht="22.5" customHeight="1" thickBot="1">
      <c r="A42" s="2528" t="s">
        <v>202</v>
      </c>
      <c r="B42" s="2528"/>
      <c r="C42" s="1835">
        <f>SUM(C6:C41)</f>
        <v>101202.51</v>
      </c>
      <c r="D42" s="477"/>
      <c r="E42" s="477"/>
      <c r="F42" s="477"/>
    </row>
    <row r="43" spans="1:6" ht="22.5" customHeight="1" thickTop="1">
      <c r="A43" s="479"/>
      <c r="B43" s="478"/>
      <c r="C43" s="478"/>
      <c r="D43" s="478"/>
      <c r="E43" s="478"/>
      <c r="F43" s="478"/>
    </row>
    <row r="44" spans="1:6" ht="22.5" customHeight="1">
      <c r="A44" s="475"/>
      <c r="B44" s="480"/>
      <c r="C44" s="476"/>
      <c r="D44" s="476"/>
      <c r="E44" s="476"/>
      <c r="F44" s="476"/>
    </row>
    <row r="45" spans="1:6" ht="22.5" customHeight="1">
      <c r="A45" s="146"/>
      <c r="B45" s="41"/>
      <c r="C45" s="46"/>
      <c r="D45" s="44"/>
      <c r="E45" s="44"/>
      <c r="F45" s="44"/>
    </row>
    <row r="46" spans="1:6" ht="26.25" customHeight="1">
      <c r="A46" s="146"/>
      <c r="B46" s="133"/>
      <c r="C46" s="299"/>
      <c r="D46" s="44"/>
      <c r="E46" s="44"/>
      <c r="F46" s="44"/>
    </row>
    <row r="47" spans="1:6" ht="48.75" customHeight="1">
      <c r="A47" s="146"/>
      <c r="B47" s="134"/>
      <c r="C47" s="44"/>
      <c r="D47" s="44"/>
      <c r="E47" s="44"/>
      <c r="F47" s="44"/>
    </row>
    <row r="48" spans="1:6" ht="34.5" customHeight="1">
      <c r="A48" s="146"/>
      <c r="B48" s="134"/>
      <c r="C48" s="44"/>
      <c r="D48" s="44"/>
      <c r="E48" s="44"/>
      <c r="F48" s="44"/>
    </row>
    <row r="49" spans="1:6" ht="22.5" customHeight="1">
      <c r="A49" s="146"/>
      <c r="B49" s="135"/>
      <c r="C49" s="136"/>
      <c r="D49" s="44"/>
      <c r="E49" s="44"/>
      <c r="F49" s="44"/>
    </row>
    <row r="50" spans="1:6" ht="22.5" customHeight="1">
      <c r="A50" s="146"/>
      <c r="B50" s="49"/>
      <c r="C50" s="44"/>
      <c r="D50" s="136"/>
      <c r="E50" s="136"/>
      <c r="F50" s="136"/>
    </row>
    <row r="51" spans="1:6" ht="22.5" customHeight="1"/>
    <row r="52" spans="1:6" ht="30.75" customHeight="1"/>
    <row r="53" spans="1:6" ht="30.75" customHeight="1"/>
    <row r="54" spans="1:6" ht="30.75" customHeight="1"/>
    <row r="55" spans="1:6" ht="30.75" customHeight="1"/>
    <row r="56" spans="1:6" ht="30.75" customHeight="1"/>
    <row r="57" spans="1:6" ht="30.75" customHeight="1"/>
    <row r="58" spans="1:6" ht="30.75" customHeight="1"/>
    <row r="59" spans="1:6" ht="30.75" customHeight="1"/>
    <row r="60" spans="1:6" ht="30.75" customHeight="1"/>
    <row r="61" spans="1:6" ht="30.75" customHeight="1"/>
    <row r="62" spans="1:6" ht="30.75" customHeight="1"/>
    <row r="63" spans="1:6" ht="30.75" customHeight="1"/>
    <row r="64" spans="1:6" ht="30.75" customHeight="1"/>
    <row r="65" ht="30.75" customHeight="1"/>
    <row r="66" ht="30.75" customHeight="1"/>
    <row r="67" ht="30.75" customHeight="1"/>
    <row r="68" ht="30.75" customHeight="1"/>
    <row r="69" ht="30.75" customHeight="1"/>
    <row r="70" ht="30.75" customHeight="1"/>
    <row r="71" ht="30.75" customHeight="1"/>
    <row r="72" ht="30.75" customHeight="1"/>
    <row r="73" ht="30.75" customHeight="1"/>
    <row r="74" ht="30.75" customHeight="1"/>
    <row r="75" ht="30.75" customHeight="1"/>
    <row r="76" ht="30.75" customHeight="1"/>
    <row r="77" ht="30.75" customHeight="1"/>
    <row r="78" ht="30.75" customHeight="1"/>
    <row r="79" ht="30.75" customHeight="1"/>
  </sheetData>
  <mergeCells count="17">
    <mergeCell ref="A27:C27"/>
    <mergeCell ref="A24:C24"/>
    <mergeCell ref="A23:C23"/>
    <mergeCell ref="G25:G27"/>
    <mergeCell ref="A1:C4"/>
    <mergeCell ref="A21:C21"/>
    <mergeCell ref="A20:C20"/>
    <mergeCell ref="A18:C18"/>
    <mergeCell ref="A15:C15"/>
    <mergeCell ref="A8:C8"/>
    <mergeCell ref="A5:C5"/>
    <mergeCell ref="A42:B42"/>
    <mergeCell ref="C35:C37"/>
    <mergeCell ref="C28:C31"/>
    <mergeCell ref="A32:C32"/>
    <mergeCell ref="A34:C34"/>
    <mergeCell ref="A38:C38"/>
  </mergeCells>
  <phoneticPr fontId="11" type="noConversion"/>
  <pageMargins left="1.1417322834645669" right="0.15748031496062992" top="0.19685039370078741" bottom="0.19685039370078741" header="0" footer="0"/>
  <pageSetup scale="110" orientation="portrait" verticalDpi="300" r:id="rId1"/>
  <headerFooter alignWithMargins="0"/>
  <rowBreaks count="1" manualBreakCount="1">
    <brk id="19" max="6" man="1"/>
  </rowBreaks>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T506"/>
  <sheetViews>
    <sheetView topLeftCell="A169" zoomScale="80" zoomScaleNormal="80" workbookViewId="0">
      <selection activeCell="T193" sqref="S193:T194"/>
    </sheetView>
  </sheetViews>
  <sheetFormatPr baseColWidth="10" defaultRowHeight="12.75"/>
  <cols>
    <col min="1" max="1" width="8.140625" customWidth="1"/>
    <col min="2" max="5" width="7.140625" customWidth="1"/>
    <col min="6" max="6" width="15" customWidth="1"/>
    <col min="7" max="7" width="40.85546875" customWidth="1"/>
    <col min="8" max="8" width="20.5703125" customWidth="1"/>
  </cols>
  <sheetData>
    <row r="1" spans="1:8" ht="18.75">
      <c r="A1" s="2217" t="s">
        <v>111</v>
      </c>
      <c r="B1" s="2164"/>
      <c r="C1" s="2164"/>
      <c r="D1" s="2164"/>
      <c r="E1" s="2164"/>
      <c r="F1" s="2164"/>
      <c r="G1" s="2164"/>
      <c r="H1" s="2164"/>
    </row>
    <row r="2" spans="1:8" ht="18.75">
      <c r="A2" s="2217" t="s">
        <v>757</v>
      </c>
      <c r="B2" s="2164"/>
      <c r="C2" s="2164"/>
      <c r="D2" s="2164"/>
      <c r="E2" s="2164"/>
      <c r="F2" s="2164"/>
      <c r="G2" s="2164"/>
      <c r="H2" s="2164"/>
    </row>
    <row r="3" spans="1:8" ht="18.75">
      <c r="A3" s="2185" t="s">
        <v>211</v>
      </c>
      <c r="B3" s="2164"/>
      <c r="C3" s="2164"/>
      <c r="D3" s="2164"/>
      <c r="E3" s="2164"/>
      <c r="F3" s="2164"/>
      <c r="G3" s="2164"/>
      <c r="H3" s="2164"/>
    </row>
    <row r="4" spans="1:8" ht="18.75">
      <c r="A4" s="2185" t="s">
        <v>1212</v>
      </c>
      <c r="B4" s="2164"/>
      <c r="C4" s="2164"/>
      <c r="D4" s="2164"/>
      <c r="E4" s="2164"/>
      <c r="F4" s="2164"/>
      <c r="G4" s="2164"/>
      <c r="H4" s="2164"/>
    </row>
    <row r="5" spans="1:8" ht="18.75">
      <c r="A5" s="2185" t="s">
        <v>32</v>
      </c>
      <c r="B5" s="2164"/>
      <c r="C5" s="2164"/>
      <c r="D5" s="2164"/>
      <c r="E5" s="2164"/>
      <c r="F5" s="2164"/>
      <c r="G5" s="2164"/>
      <c r="H5" s="2164"/>
    </row>
    <row r="6" spans="1:8" ht="15">
      <c r="A6" s="850"/>
      <c r="B6" s="198"/>
      <c r="C6" s="851"/>
      <c r="D6" s="41"/>
      <c r="E6" s="41"/>
      <c r="F6" s="41"/>
      <c r="G6" s="21"/>
      <c r="H6" s="203"/>
    </row>
    <row r="7" spans="1:8" ht="18.75">
      <c r="A7" s="2613" t="s">
        <v>49</v>
      </c>
      <c r="B7" s="2613"/>
      <c r="C7" s="2613"/>
      <c r="D7" s="2613"/>
      <c r="E7" s="2613"/>
      <c r="F7" s="2613"/>
      <c r="G7" s="2613"/>
      <c r="H7" s="2613"/>
    </row>
    <row r="8" spans="1:8" ht="40.5" customHeight="1">
      <c r="A8" s="2614" t="s">
        <v>945</v>
      </c>
      <c r="B8" s="2615"/>
      <c r="C8" s="2615"/>
      <c r="D8" s="2615"/>
      <c r="E8" s="2615"/>
      <c r="F8" s="2615"/>
      <c r="G8" s="2615"/>
      <c r="H8" s="2615"/>
    </row>
    <row r="9" spans="1:8" ht="15.75" customHeight="1" thickBot="1">
      <c r="A9" s="2567" t="s">
        <v>29</v>
      </c>
      <c r="B9" s="2568"/>
      <c r="C9" s="2568"/>
      <c r="D9" s="2568"/>
      <c r="E9" s="2568"/>
      <c r="F9" s="2569"/>
      <c r="G9" s="2570" t="s">
        <v>640</v>
      </c>
      <c r="H9" s="2572" t="s">
        <v>639</v>
      </c>
    </row>
    <row r="10" spans="1:8" ht="90.75" thickBot="1">
      <c r="A10" s="411" t="s">
        <v>39</v>
      </c>
      <c r="B10" s="412" t="s">
        <v>40</v>
      </c>
      <c r="C10" s="412" t="s">
        <v>41</v>
      </c>
      <c r="D10" s="412" t="s">
        <v>45</v>
      </c>
      <c r="E10" s="413" t="s">
        <v>42</v>
      </c>
      <c r="F10" s="407" t="s">
        <v>43</v>
      </c>
      <c r="G10" s="2571"/>
      <c r="H10" s="2595"/>
    </row>
    <row r="11" spans="1:8" ht="15">
      <c r="A11" s="852" t="s">
        <v>380</v>
      </c>
      <c r="B11" s="853" t="s">
        <v>64</v>
      </c>
      <c r="C11" s="853" t="s">
        <v>59</v>
      </c>
      <c r="D11" s="853" t="s">
        <v>62</v>
      </c>
      <c r="E11" s="853" t="s">
        <v>65</v>
      </c>
      <c r="F11" s="854" t="s">
        <v>986</v>
      </c>
      <c r="G11" s="415" t="s">
        <v>987</v>
      </c>
      <c r="H11" s="491">
        <f>11350+4750</f>
        <v>16100</v>
      </c>
    </row>
    <row r="12" spans="1:8" ht="42.75" hidden="1" customHeight="1">
      <c r="A12" s="852" t="s">
        <v>380</v>
      </c>
      <c r="B12" s="853" t="s">
        <v>64</v>
      </c>
      <c r="C12" s="853" t="s">
        <v>59</v>
      </c>
      <c r="D12" s="853" t="s">
        <v>62</v>
      </c>
      <c r="E12" s="853" t="s">
        <v>65</v>
      </c>
      <c r="F12" s="856"/>
      <c r="G12" s="539"/>
      <c r="H12" s="491"/>
    </row>
    <row r="13" spans="1:8" ht="28.5" hidden="1" customHeight="1">
      <c r="A13" s="852" t="s">
        <v>380</v>
      </c>
      <c r="B13" s="853" t="s">
        <v>64</v>
      </c>
      <c r="C13" s="853" t="s">
        <v>59</v>
      </c>
      <c r="D13" s="853" t="s">
        <v>62</v>
      </c>
      <c r="E13" s="853" t="s">
        <v>65</v>
      </c>
      <c r="F13" s="856"/>
      <c r="G13" s="539"/>
      <c r="H13" s="491"/>
    </row>
    <row r="14" spans="1:8" ht="42.75" hidden="1" customHeight="1">
      <c r="A14" s="852" t="s">
        <v>380</v>
      </c>
      <c r="B14" s="853" t="s">
        <v>64</v>
      </c>
      <c r="C14" s="853" t="s">
        <v>59</v>
      </c>
      <c r="D14" s="853" t="s">
        <v>62</v>
      </c>
      <c r="E14" s="853" t="s">
        <v>65</v>
      </c>
      <c r="F14" s="856"/>
      <c r="G14" s="416"/>
      <c r="H14" s="491"/>
    </row>
    <row r="15" spans="1:8" ht="57" hidden="1" customHeight="1">
      <c r="A15" s="852" t="s">
        <v>380</v>
      </c>
      <c r="B15" s="853" t="s">
        <v>64</v>
      </c>
      <c r="C15" s="853" t="s">
        <v>59</v>
      </c>
      <c r="D15" s="853" t="s">
        <v>62</v>
      </c>
      <c r="E15" s="853" t="s">
        <v>65</v>
      </c>
      <c r="F15" s="856"/>
      <c r="G15" s="539"/>
      <c r="H15" s="491"/>
    </row>
    <row r="16" spans="1:8" ht="15">
      <c r="A16" s="852" t="s">
        <v>380</v>
      </c>
      <c r="B16" s="853" t="s">
        <v>64</v>
      </c>
      <c r="C16" s="853" t="s">
        <v>59</v>
      </c>
      <c r="D16" s="853" t="s">
        <v>62</v>
      </c>
      <c r="E16" s="853" t="s">
        <v>65</v>
      </c>
      <c r="F16" s="856" t="s">
        <v>735</v>
      </c>
      <c r="G16" s="540" t="s">
        <v>736</v>
      </c>
      <c r="H16" s="491">
        <f>650+250</f>
        <v>900</v>
      </c>
    </row>
    <row r="17" spans="1:8" ht="15.75" thickBot="1">
      <c r="A17" s="1627"/>
      <c r="B17" s="1628"/>
      <c r="C17" s="1628"/>
      <c r="D17" s="1628"/>
      <c r="E17" s="1629"/>
      <c r="F17" s="1630"/>
      <c r="G17" s="1631"/>
      <c r="H17" s="1632">
        <f>SUM(H11:H16)</f>
        <v>17000</v>
      </c>
    </row>
    <row r="18" spans="1:8" ht="15.75" thickBot="1">
      <c r="A18" s="200"/>
      <c r="B18" s="200"/>
      <c r="C18" s="201"/>
      <c r="D18" s="202"/>
      <c r="E18" s="202"/>
      <c r="F18" s="202"/>
      <c r="G18" s="21"/>
      <c r="H18" s="203"/>
    </row>
    <row r="19" spans="1:8" ht="15" customHeight="1">
      <c r="A19" s="2541" t="s">
        <v>693</v>
      </c>
      <c r="B19" s="2542"/>
      <c r="C19" s="2542"/>
      <c r="D19" s="2542"/>
      <c r="E19" s="2542"/>
      <c r="F19" s="2542"/>
      <c r="G19" s="2543" t="s">
        <v>1323</v>
      </c>
      <c r="H19" s="2544"/>
    </row>
    <row r="20" spans="1:8" ht="15" customHeight="1">
      <c r="A20" s="857"/>
      <c r="B20" s="47"/>
      <c r="C20" s="160"/>
      <c r="D20" s="160"/>
      <c r="E20" s="160"/>
      <c r="F20" s="160"/>
      <c r="G20" s="858"/>
      <c r="H20" s="859"/>
    </row>
    <row r="21" spans="1:8" ht="26.25" customHeight="1">
      <c r="A21" s="2551" t="s">
        <v>946</v>
      </c>
      <c r="B21" s="2598"/>
      <c r="C21" s="2598"/>
      <c r="D21" s="2598"/>
      <c r="E21" s="2598"/>
      <c r="F21" s="2552"/>
      <c r="G21" s="2551" t="s">
        <v>1070</v>
      </c>
      <c r="H21" s="2552"/>
    </row>
    <row r="22" spans="1:8" ht="15" customHeight="1">
      <c r="A22" s="2553" t="s">
        <v>947</v>
      </c>
      <c r="B22" s="2554"/>
      <c r="C22" s="2554"/>
      <c r="D22" s="2554"/>
      <c r="E22" s="2554"/>
      <c r="F22" s="2555"/>
      <c r="G22" s="858"/>
      <c r="H22" s="859"/>
    </row>
    <row r="23" spans="1:8" ht="26.25" customHeight="1">
      <c r="A23" s="2556"/>
      <c r="B23" s="2557"/>
      <c r="C23" s="2557"/>
      <c r="D23" s="2557"/>
      <c r="E23" s="2557"/>
      <c r="F23" s="2558"/>
      <c r="G23" s="2559" t="s">
        <v>988</v>
      </c>
      <c r="H23" s="2552"/>
    </row>
    <row r="24" spans="1:8" ht="15" customHeight="1">
      <c r="A24" s="857"/>
      <c r="B24" s="47"/>
      <c r="C24" s="47"/>
      <c r="D24" s="47"/>
      <c r="E24" s="47"/>
      <c r="F24" s="47"/>
      <c r="G24" s="860"/>
      <c r="H24" s="859"/>
    </row>
    <row r="25" spans="1:8" ht="15" customHeight="1" thickBot="1">
      <c r="A25" s="2560" t="s">
        <v>692</v>
      </c>
      <c r="B25" s="2561"/>
      <c r="C25" s="2561"/>
      <c r="D25" s="2561"/>
      <c r="E25" s="2561"/>
      <c r="F25" s="2562"/>
      <c r="G25" s="2563" t="s">
        <v>696</v>
      </c>
      <c r="H25" s="2562"/>
    </row>
    <row r="31" spans="1:8" ht="18.75">
      <c r="A31" s="2217" t="s">
        <v>757</v>
      </c>
      <c r="B31" s="2164"/>
      <c r="C31" s="2164"/>
      <c r="D31" s="2164"/>
      <c r="E31" s="2164"/>
      <c r="F31" s="2164"/>
      <c r="G31" s="2164"/>
      <c r="H31" s="2164"/>
    </row>
    <row r="32" spans="1:8" ht="18.75">
      <c r="A32" s="2185" t="s">
        <v>211</v>
      </c>
      <c r="B32" s="2164"/>
      <c r="C32" s="2164"/>
      <c r="D32" s="2164"/>
      <c r="E32" s="2164"/>
      <c r="F32" s="2164"/>
      <c r="G32" s="2164"/>
      <c r="H32" s="2164"/>
    </row>
    <row r="33" spans="1:8" ht="18.75">
      <c r="A33" s="2185" t="s">
        <v>1212</v>
      </c>
      <c r="B33" s="2164"/>
      <c r="C33" s="2164"/>
      <c r="D33" s="2164"/>
      <c r="E33" s="2164"/>
      <c r="F33" s="2164"/>
      <c r="G33" s="2164"/>
      <c r="H33" s="2164"/>
    </row>
    <row r="34" spans="1:8" ht="18.75">
      <c r="A34" s="2185" t="s">
        <v>32</v>
      </c>
      <c r="B34" s="2164"/>
      <c r="C34" s="2164"/>
      <c r="D34" s="2164"/>
      <c r="E34" s="2164"/>
      <c r="F34" s="2164"/>
      <c r="G34" s="2164"/>
      <c r="H34" s="2164"/>
    </row>
    <row r="35" spans="1:8" ht="15">
      <c r="A35" s="850"/>
      <c r="B35" s="198"/>
      <c r="C35" s="851"/>
      <c r="D35" s="41"/>
      <c r="E35" s="41"/>
      <c r="F35" s="41"/>
      <c r="G35" s="21"/>
      <c r="H35" s="203"/>
    </row>
    <row r="36" spans="1:8" ht="18.75">
      <c r="A36" s="2613" t="s">
        <v>49</v>
      </c>
      <c r="B36" s="2613"/>
      <c r="C36" s="2613"/>
      <c r="D36" s="2613"/>
      <c r="E36" s="2613"/>
      <c r="F36" s="2613"/>
      <c r="G36" s="2613"/>
      <c r="H36" s="2613"/>
    </row>
    <row r="37" spans="1:8" ht="54.75" customHeight="1">
      <c r="A37" s="2593" t="s">
        <v>1376</v>
      </c>
      <c r="B37" s="2594"/>
      <c r="C37" s="2594"/>
      <c r="D37" s="2594"/>
      <c r="E37" s="2594"/>
      <c r="F37" s="2594"/>
      <c r="G37" s="2594"/>
      <c r="H37" s="2594"/>
    </row>
    <row r="38" spans="1:8" ht="15.75" thickBot="1">
      <c r="A38" s="2567" t="s">
        <v>29</v>
      </c>
      <c r="B38" s="2568"/>
      <c r="C38" s="2568"/>
      <c r="D38" s="2568"/>
      <c r="E38" s="2568"/>
      <c r="F38" s="2569"/>
      <c r="G38" s="2570" t="s">
        <v>640</v>
      </c>
      <c r="H38" s="2572" t="s">
        <v>639</v>
      </c>
    </row>
    <row r="39" spans="1:8" ht="90.75" thickBot="1">
      <c r="A39" s="411" t="s">
        <v>39</v>
      </c>
      <c r="B39" s="412" t="s">
        <v>40</v>
      </c>
      <c r="C39" s="412" t="s">
        <v>41</v>
      </c>
      <c r="D39" s="412" t="s">
        <v>45</v>
      </c>
      <c r="E39" s="413" t="s">
        <v>42</v>
      </c>
      <c r="F39" s="407" t="s">
        <v>43</v>
      </c>
      <c r="G39" s="2571"/>
      <c r="H39" s="2595"/>
    </row>
    <row r="40" spans="1:8" ht="15">
      <c r="A40" s="852" t="s">
        <v>380</v>
      </c>
      <c r="B40" s="853" t="s">
        <v>64</v>
      </c>
      <c r="C40" s="853" t="s">
        <v>59</v>
      </c>
      <c r="D40" s="853" t="s">
        <v>62</v>
      </c>
      <c r="E40" s="853" t="s">
        <v>65</v>
      </c>
      <c r="F40" s="854" t="s">
        <v>209</v>
      </c>
      <c r="G40" s="415" t="s">
        <v>777</v>
      </c>
      <c r="H40" s="491">
        <v>2500</v>
      </c>
    </row>
    <row r="41" spans="1:8" ht="15">
      <c r="A41" s="852"/>
      <c r="B41" s="853"/>
      <c r="C41" s="853"/>
      <c r="D41" s="853"/>
      <c r="E41" s="853"/>
      <c r="F41" s="856" t="s">
        <v>498</v>
      </c>
      <c r="G41" s="561" t="s">
        <v>725</v>
      </c>
      <c r="H41" s="491">
        <v>1500</v>
      </c>
    </row>
    <row r="42" spans="1:8" ht="15">
      <c r="A42" s="852"/>
      <c r="B42" s="853"/>
      <c r="C42" s="853"/>
      <c r="D42" s="853"/>
      <c r="E42" s="853"/>
      <c r="F42" s="856" t="s">
        <v>726</v>
      </c>
      <c r="G42" s="539" t="s">
        <v>769</v>
      </c>
      <c r="H42" s="491">
        <v>1500</v>
      </c>
    </row>
    <row r="43" spans="1:8" ht="15">
      <c r="A43" s="852"/>
      <c r="B43" s="853"/>
      <c r="C43" s="853"/>
      <c r="D43" s="853"/>
      <c r="E43" s="853"/>
      <c r="F43" s="856" t="s">
        <v>771</v>
      </c>
      <c r="G43" s="539" t="s">
        <v>1378</v>
      </c>
      <c r="H43" s="491">
        <v>4000</v>
      </c>
    </row>
    <row r="44" spans="1:8" ht="15">
      <c r="A44" s="852" t="s">
        <v>380</v>
      </c>
      <c r="B44" s="853" t="s">
        <v>64</v>
      </c>
      <c r="C44" s="853" t="s">
        <v>59</v>
      </c>
      <c r="D44" s="853" t="s">
        <v>62</v>
      </c>
      <c r="E44" s="853" t="s">
        <v>65</v>
      </c>
      <c r="F44" s="856" t="s">
        <v>735</v>
      </c>
      <c r="G44" s="540" t="s">
        <v>736</v>
      </c>
      <c r="H44" s="491">
        <v>500</v>
      </c>
    </row>
    <row r="45" spans="1:8" ht="15.75" thickBot="1">
      <c r="A45" s="1627"/>
      <c r="B45" s="1628"/>
      <c r="C45" s="1628"/>
      <c r="D45" s="1628"/>
      <c r="E45" s="1629"/>
      <c r="F45" s="1630"/>
      <c r="G45" s="1631"/>
      <c r="H45" s="1632">
        <f>SUM(H40:H44)</f>
        <v>10000</v>
      </c>
    </row>
    <row r="46" spans="1:8" ht="15.75" thickBot="1">
      <c r="A46" s="200"/>
      <c r="B46" s="200"/>
      <c r="C46" s="201"/>
      <c r="D46" s="202"/>
      <c r="E46" s="202"/>
      <c r="F46" s="202"/>
      <c r="G46" s="21"/>
      <c r="H46" s="203"/>
    </row>
    <row r="47" spans="1:8" ht="15">
      <c r="A47" s="2541" t="s">
        <v>1116</v>
      </c>
      <c r="B47" s="2542"/>
      <c r="C47" s="2542"/>
      <c r="D47" s="2542"/>
      <c r="E47" s="2542"/>
      <c r="F47" s="2542"/>
      <c r="G47" s="2543" t="s">
        <v>1323</v>
      </c>
      <c r="H47" s="2544"/>
    </row>
    <row r="48" spans="1:8" ht="15">
      <c r="A48" s="857"/>
      <c r="B48" s="47"/>
      <c r="C48" s="160"/>
      <c r="D48" s="160"/>
      <c r="E48" s="160"/>
      <c r="F48" s="160"/>
      <c r="G48" s="858"/>
      <c r="H48" s="859"/>
    </row>
    <row r="49" spans="1:8" ht="36.75" customHeight="1">
      <c r="A49" s="2551" t="s">
        <v>1376</v>
      </c>
      <c r="B49" s="2598"/>
      <c r="C49" s="2598"/>
      <c r="D49" s="2598"/>
      <c r="E49" s="2598"/>
      <c r="F49" s="2552"/>
      <c r="G49" s="2551" t="s">
        <v>1069</v>
      </c>
      <c r="H49" s="2552"/>
    </row>
    <row r="50" spans="1:8" ht="15">
      <c r="A50" s="2553" t="s">
        <v>1377</v>
      </c>
      <c r="B50" s="2554"/>
      <c r="C50" s="2554"/>
      <c r="D50" s="2554"/>
      <c r="E50" s="2554"/>
      <c r="F50" s="2555"/>
      <c r="G50" s="858"/>
      <c r="H50" s="859"/>
    </row>
    <row r="51" spans="1:8" ht="14.25">
      <c r="A51" s="2556"/>
      <c r="B51" s="2557"/>
      <c r="C51" s="2557"/>
      <c r="D51" s="2557"/>
      <c r="E51" s="2557"/>
      <c r="F51" s="2558"/>
      <c r="G51" s="2559" t="s">
        <v>988</v>
      </c>
      <c r="H51" s="2552"/>
    </row>
    <row r="52" spans="1:8" ht="15">
      <c r="A52" s="857"/>
      <c r="B52" s="47"/>
      <c r="C52" s="47"/>
      <c r="D52" s="47"/>
      <c r="E52" s="47"/>
      <c r="F52" s="47"/>
      <c r="G52" s="860"/>
      <c r="H52" s="859"/>
    </row>
    <row r="53" spans="1:8" ht="15" thickBot="1">
      <c r="A53" s="2560" t="s">
        <v>692</v>
      </c>
      <c r="B53" s="2561"/>
      <c r="C53" s="2561"/>
      <c r="D53" s="2561"/>
      <c r="E53" s="2561"/>
      <c r="F53" s="2562"/>
      <c r="G53" s="2563" t="s">
        <v>696</v>
      </c>
      <c r="H53" s="2562"/>
    </row>
    <row r="59" spans="1:8" ht="18.75">
      <c r="A59" s="2162" t="s">
        <v>111</v>
      </c>
      <c r="B59" s="2164"/>
      <c r="C59" s="2164"/>
      <c r="D59" s="2164"/>
      <c r="E59" s="2164"/>
      <c r="F59" s="2164"/>
      <c r="G59" s="2164"/>
      <c r="H59" s="2164"/>
    </row>
    <row r="60" spans="1:8" ht="18.75">
      <c r="A60" s="2162" t="s">
        <v>757</v>
      </c>
      <c r="B60" s="2164"/>
      <c r="C60" s="2164"/>
      <c r="D60" s="2164"/>
      <c r="E60" s="2164"/>
      <c r="F60" s="2164"/>
      <c r="G60" s="2164"/>
      <c r="H60" s="2164"/>
    </row>
    <row r="61" spans="1:8" ht="18.75">
      <c r="A61" s="2163" t="s">
        <v>211</v>
      </c>
      <c r="B61" s="2164"/>
      <c r="C61" s="2164"/>
      <c r="D61" s="2164"/>
      <c r="E61" s="2164"/>
      <c r="F61" s="2164"/>
      <c r="G61" s="2164"/>
      <c r="H61" s="2164"/>
    </row>
    <row r="62" spans="1:8" ht="18.75">
      <c r="A62" s="2163" t="s">
        <v>1212</v>
      </c>
      <c r="B62" s="2164"/>
      <c r="C62" s="2164"/>
      <c r="D62" s="2164"/>
      <c r="E62" s="2164"/>
      <c r="F62" s="2164"/>
      <c r="G62" s="2164"/>
      <c r="H62" s="2164"/>
    </row>
    <row r="63" spans="1:8" ht="18.75">
      <c r="A63" s="2163" t="s">
        <v>32</v>
      </c>
      <c r="B63" s="2164"/>
      <c r="C63" s="2164"/>
      <c r="D63" s="2164"/>
      <c r="E63" s="2164"/>
      <c r="F63" s="2164"/>
      <c r="G63" s="2164"/>
      <c r="H63" s="2164"/>
    </row>
    <row r="64" spans="1:8" ht="15">
      <c r="A64" s="33"/>
      <c r="B64" s="5"/>
      <c r="C64" s="4"/>
      <c r="D64" s="1"/>
      <c r="E64" s="1"/>
      <c r="F64" s="1"/>
      <c r="G64" s="2"/>
      <c r="H64" s="8"/>
    </row>
    <row r="65" spans="1:8" ht="18.75">
      <c r="A65" s="2596" t="s">
        <v>49</v>
      </c>
      <c r="B65" s="2596"/>
      <c r="C65" s="2596"/>
      <c r="D65" s="2596"/>
      <c r="E65" s="2596"/>
      <c r="F65" s="2596"/>
      <c r="G65" s="2596"/>
      <c r="H65" s="2596"/>
    </row>
    <row r="66" spans="1:8" ht="30" customHeight="1">
      <c r="A66" s="2611" t="s">
        <v>1048</v>
      </c>
      <c r="B66" s="2612"/>
      <c r="C66" s="2612"/>
      <c r="D66" s="2612"/>
      <c r="E66" s="2612"/>
      <c r="F66" s="2612"/>
      <c r="G66" s="2612"/>
      <c r="H66" s="2612"/>
    </row>
    <row r="67" spans="1:8" ht="15.75" customHeight="1" thickBot="1">
      <c r="A67" s="2567" t="s">
        <v>29</v>
      </c>
      <c r="B67" s="2568"/>
      <c r="C67" s="2568"/>
      <c r="D67" s="2568"/>
      <c r="E67" s="2568"/>
      <c r="F67" s="2569"/>
      <c r="G67" s="2570" t="s">
        <v>640</v>
      </c>
      <c r="H67" s="2572" t="s">
        <v>639</v>
      </c>
    </row>
    <row r="68" spans="1:8" ht="72.75" customHeight="1" thickBot="1">
      <c r="A68" s="411" t="s">
        <v>39</v>
      </c>
      <c r="B68" s="412" t="s">
        <v>40</v>
      </c>
      <c r="C68" s="412" t="s">
        <v>41</v>
      </c>
      <c r="D68" s="412" t="s">
        <v>45</v>
      </c>
      <c r="E68" s="413" t="s">
        <v>42</v>
      </c>
      <c r="F68" s="407" t="s">
        <v>43</v>
      </c>
      <c r="G68" s="2571"/>
      <c r="H68" s="2572"/>
    </row>
    <row r="69" spans="1:8" ht="18">
      <c r="A69" s="34">
        <v>3</v>
      </c>
      <c r="B69" s="23" t="s">
        <v>64</v>
      </c>
      <c r="C69" s="23" t="s">
        <v>59</v>
      </c>
      <c r="D69" s="23" t="s">
        <v>62</v>
      </c>
      <c r="E69" s="23" t="s">
        <v>65</v>
      </c>
      <c r="F69" s="423" t="s">
        <v>209</v>
      </c>
      <c r="G69" s="561" t="s">
        <v>1047</v>
      </c>
      <c r="H69" s="1054">
        <v>8000</v>
      </c>
    </row>
    <row r="70" spans="1:8" ht="18">
      <c r="A70" s="34">
        <v>3</v>
      </c>
      <c r="B70" s="23" t="s">
        <v>64</v>
      </c>
      <c r="C70" s="23" t="s">
        <v>59</v>
      </c>
      <c r="D70" s="23" t="s">
        <v>62</v>
      </c>
      <c r="E70" s="23" t="s">
        <v>65</v>
      </c>
      <c r="F70" s="550" t="s">
        <v>726</v>
      </c>
      <c r="G70" s="539" t="s">
        <v>769</v>
      </c>
      <c r="H70" s="1054">
        <v>9000</v>
      </c>
    </row>
    <row r="71" spans="1:8" ht="18">
      <c r="A71" s="34">
        <v>3</v>
      </c>
      <c r="B71" s="23" t="s">
        <v>64</v>
      </c>
      <c r="C71" s="23" t="s">
        <v>59</v>
      </c>
      <c r="D71" s="23" t="s">
        <v>62</v>
      </c>
      <c r="E71" s="23" t="s">
        <v>65</v>
      </c>
      <c r="F71" s="550" t="s">
        <v>771</v>
      </c>
      <c r="G71" s="539" t="s">
        <v>1378</v>
      </c>
      <c r="H71" s="1054">
        <v>700</v>
      </c>
    </row>
    <row r="72" spans="1:8" ht="18">
      <c r="A72" s="34">
        <v>3</v>
      </c>
      <c r="B72" s="23" t="s">
        <v>64</v>
      </c>
      <c r="C72" s="23" t="s">
        <v>59</v>
      </c>
      <c r="D72" s="23" t="s">
        <v>62</v>
      </c>
      <c r="E72" s="23" t="s">
        <v>65</v>
      </c>
      <c r="F72" s="550" t="s">
        <v>773</v>
      </c>
      <c r="G72" s="539" t="s">
        <v>774</v>
      </c>
      <c r="H72" s="1054">
        <v>500</v>
      </c>
    </row>
    <row r="73" spans="1:8" ht="18">
      <c r="A73" s="34" t="s">
        <v>380</v>
      </c>
      <c r="B73" s="23" t="s">
        <v>64</v>
      </c>
      <c r="C73" s="23" t="s">
        <v>59</v>
      </c>
      <c r="D73" s="23" t="s">
        <v>62</v>
      </c>
      <c r="E73" s="23" t="s">
        <v>65</v>
      </c>
      <c r="F73" s="548" t="s">
        <v>657</v>
      </c>
      <c r="G73" s="848" t="s">
        <v>658</v>
      </c>
      <c r="H73" s="1054">
        <v>300</v>
      </c>
    </row>
    <row r="74" spans="1:8" ht="18">
      <c r="A74" s="34" t="s">
        <v>380</v>
      </c>
      <c r="B74" s="23" t="s">
        <v>64</v>
      </c>
      <c r="C74" s="23" t="s">
        <v>59</v>
      </c>
      <c r="D74" s="23" t="s">
        <v>62</v>
      </c>
      <c r="E74" s="23" t="s">
        <v>65</v>
      </c>
      <c r="F74" s="548" t="s">
        <v>677</v>
      </c>
      <c r="G74" s="540" t="s">
        <v>776</v>
      </c>
      <c r="H74" s="1054">
        <v>500</v>
      </c>
    </row>
    <row r="75" spans="1:8" ht="18">
      <c r="A75" s="34">
        <v>3</v>
      </c>
      <c r="B75" s="23" t="s">
        <v>64</v>
      </c>
      <c r="C75" s="23" t="s">
        <v>59</v>
      </c>
      <c r="D75" s="23" t="s">
        <v>62</v>
      </c>
      <c r="E75" s="23" t="s">
        <v>65</v>
      </c>
      <c r="F75" s="424" t="s">
        <v>735</v>
      </c>
      <c r="G75" s="540" t="s">
        <v>736</v>
      </c>
      <c r="H75" s="1054">
        <v>1000</v>
      </c>
    </row>
    <row r="76" spans="1:8" ht="15.75" thickBot="1">
      <c r="A76" s="1633"/>
      <c r="B76" s="1634"/>
      <c r="C76" s="1634"/>
      <c r="D76" s="1634"/>
      <c r="E76" s="1635"/>
      <c r="F76" s="1636"/>
      <c r="G76" s="1637"/>
      <c r="H76" s="1638">
        <f>SUM(H69:H75)</f>
        <v>20000</v>
      </c>
    </row>
    <row r="77" spans="1:8" ht="15.75" thickBot="1">
      <c r="A77" s="9"/>
      <c r="B77" s="9"/>
      <c r="C77" s="10"/>
      <c r="D77" s="3"/>
      <c r="E77" s="3"/>
      <c r="F77" s="3"/>
      <c r="G77" s="2"/>
      <c r="H77" s="8"/>
    </row>
    <row r="78" spans="1:8" ht="15" customHeight="1">
      <c r="A78" s="2573" t="s">
        <v>693</v>
      </c>
      <c r="B78" s="2574"/>
      <c r="C78" s="2574"/>
      <c r="D78" s="2574"/>
      <c r="E78" s="2574"/>
      <c r="F78" s="2574"/>
      <c r="G78" s="2575" t="s">
        <v>1323</v>
      </c>
      <c r="H78" s="2576"/>
    </row>
    <row r="79" spans="1:8" ht="15">
      <c r="A79" s="482"/>
      <c r="B79" s="551"/>
      <c r="C79" s="19"/>
      <c r="D79" s="19"/>
      <c r="E79" s="19"/>
      <c r="F79" s="19"/>
      <c r="G79" s="483"/>
      <c r="H79" s="484"/>
    </row>
    <row r="80" spans="1:8" ht="33.75" customHeight="1">
      <c r="A80" s="2580" t="s">
        <v>1048</v>
      </c>
      <c r="B80" s="2598"/>
      <c r="C80" s="2598"/>
      <c r="D80" s="2598"/>
      <c r="E80" s="2598"/>
      <c r="F80" s="2552"/>
      <c r="G80" s="2580" t="s">
        <v>1071</v>
      </c>
      <c r="H80" s="2552"/>
    </row>
    <row r="81" spans="1:8" ht="15" customHeight="1">
      <c r="A81" s="2597" t="s">
        <v>1049</v>
      </c>
      <c r="B81" s="2584"/>
      <c r="C81" s="2584"/>
      <c r="D81" s="2584"/>
      <c r="E81" s="2584"/>
      <c r="F81" s="2585"/>
      <c r="G81" s="483"/>
      <c r="H81" s="484"/>
    </row>
    <row r="82" spans="1:8" ht="31.5" customHeight="1">
      <c r="A82" s="2586"/>
      <c r="B82" s="2587"/>
      <c r="C82" s="2587"/>
      <c r="D82" s="2587"/>
      <c r="E82" s="2587"/>
      <c r="F82" s="2588"/>
      <c r="G82" s="2589" t="s">
        <v>1072</v>
      </c>
      <c r="H82" s="2552"/>
    </row>
    <row r="83" spans="1:8" ht="15">
      <c r="A83" s="482"/>
      <c r="B83" s="551"/>
      <c r="C83" s="551"/>
      <c r="D83" s="551"/>
      <c r="E83" s="551"/>
      <c r="F83" s="551"/>
      <c r="G83" s="485"/>
      <c r="H83" s="484"/>
    </row>
    <row r="84" spans="1:8" ht="15" customHeight="1" thickBot="1">
      <c r="A84" s="2590" t="s">
        <v>692</v>
      </c>
      <c r="B84" s="2561"/>
      <c r="C84" s="2561"/>
      <c r="D84" s="2561"/>
      <c r="E84" s="2561"/>
      <c r="F84" s="2562"/>
      <c r="G84" s="2591" t="s">
        <v>696</v>
      </c>
      <c r="H84" s="2562"/>
    </row>
    <row r="88" spans="1:8" ht="18.75">
      <c r="A88" s="2162" t="s">
        <v>111</v>
      </c>
      <c r="B88" s="2164"/>
      <c r="C88" s="2164"/>
      <c r="D88" s="2164"/>
      <c r="E88" s="2164"/>
      <c r="F88" s="2164"/>
      <c r="G88" s="2164"/>
      <c r="H88" s="2164"/>
    </row>
    <row r="89" spans="1:8" ht="18.75">
      <c r="A89" s="2162" t="s">
        <v>757</v>
      </c>
      <c r="B89" s="2164"/>
      <c r="C89" s="2164"/>
      <c r="D89" s="2164"/>
      <c r="E89" s="2164"/>
      <c r="F89" s="2164"/>
      <c r="G89" s="2164"/>
      <c r="H89" s="2164"/>
    </row>
    <row r="90" spans="1:8" ht="18.75">
      <c r="A90" s="2163" t="s">
        <v>211</v>
      </c>
      <c r="B90" s="2164"/>
      <c r="C90" s="2164"/>
      <c r="D90" s="2164"/>
      <c r="E90" s="2164"/>
      <c r="F90" s="2164"/>
      <c r="G90" s="2164"/>
      <c r="H90" s="2164"/>
    </row>
    <row r="91" spans="1:8" ht="18.75">
      <c r="A91" s="2163" t="s">
        <v>1212</v>
      </c>
      <c r="B91" s="2164"/>
      <c r="C91" s="2164"/>
      <c r="D91" s="2164"/>
      <c r="E91" s="2164"/>
      <c r="F91" s="2164"/>
      <c r="G91" s="2164"/>
      <c r="H91" s="2164"/>
    </row>
    <row r="92" spans="1:8" ht="18.75">
      <c r="A92" s="2163" t="s">
        <v>32</v>
      </c>
      <c r="B92" s="2164"/>
      <c r="C92" s="2164"/>
      <c r="D92" s="2164"/>
      <c r="E92" s="2164"/>
      <c r="F92" s="2164"/>
      <c r="G92" s="2164"/>
      <c r="H92" s="2164"/>
    </row>
    <row r="93" spans="1:8" ht="15">
      <c r="A93" s="33"/>
      <c r="B93" s="5"/>
      <c r="C93" s="4"/>
      <c r="D93" s="1"/>
      <c r="E93" s="1"/>
      <c r="F93" s="1"/>
      <c r="G93" s="2"/>
      <c r="H93" s="8"/>
    </row>
    <row r="94" spans="1:8" ht="18.75">
      <c r="A94" s="2596" t="s">
        <v>49</v>
      </c>
      <c r="B94" s="2596"/>
      <c r="C94" s="2596"/>
      <c r="D94" s="2596"/>
      <c r="E94" s="2596"/>
      <c r="F94" s="2596"/>
      <c r="G94" s="2596"/>
      <c r="H94" s="2596"/>
    </row>
    <row r="95" spans="1:8" ht="34.5" customHeight="1">
      <c r="A95" s="2593" t="s">
        <v>1156</v>
      </c>
      <c r="B95" s="2594"/>
      <c r="C95" s="2594"/>
      <c r="D95" s="2594"/>
      <c r="E95" s="2594"/>
      <c r="F95" s="2594"/>
      <c r="G95" s="2594"/>
      <c r="H95" s="2594"/>
    </row>
    <row r="96" spans="1:8" ht="15.75" thickBot="1">
      <c r="A96" s="2567" t="s">
        <v>29</v>
      </c>
      <c r="B96" s="2568"/>
      <c r="C96" s="2568"/>
      <c r="D96" s="2568"/>
      <c r="E96" s="2568"/>
      <c r="F96" s="2569"/>
      <c r="G96" s="2570" t="s">
        <v>640</v>
      </c>
      <c r="H96" s="2572" t="s">
        <v>639</v>
      </c>
    </row>
    <row r="97" spans="1:8" ht="90.75" thickBot="1">
      <c r="A97" s="411" t="s">
        <v>39</v>
      </c>
      <c r="B97" s="412" t="s">
        <v>40</v>
      </c>
      <c r="C97" s="412" t="s">
        <v>41</v>
      </c>
      <c r="D97" s="412" t="s">
        <v>45</v>
      </c>
      <c r="E97" s="413" t="s">
        <v>42</v>
      </c>
      <c r="F97" s="1070" t="s">
        <v>43</v>
      </c>
      <c r="G97" s="2571"/>
      <c r="H97" s="2595"/>
    </row>
    <row r="98" spans="1:8" ht="18.75" customHeight="1">
      <c r="A98" s="34">
        <v>3</v>
      </c>
      <c r="B98" s="23" t="s">
        <v>64</v>
      </c>
      <c r="C98" s="23" t="s">
        <v>59</v>
      </c>
      <c r="D98" s="23" t="s">
        <v>62</v>
      </c>
      <c r="E98" s="549" t="s">
        <v>65</v>
      </c>
      <c r="F98" s="550" t="s">
        <v>209</v>
      </c>
      <c r="G98" s="1705" t="s">
        <v>1047</v>
      </c>
      <c r="H98" s="24">
        <v>9000</v>
      </c>
    </row>
    <row r="99" spans="1:8" ht="18.75" customHeight="1">
      <c r="A99" s="34" t="s">
        <v>380</v>
      </c>
      <c r="B99" s="23" t="s">
        <v>64</v>
      </c>
      <c r="C99" s="23" t="s">
        <v>59</v>
      </c>
      <c r="D99" s="23" t="s">
        <v>62</v>
      </c>
      <c r="E99" s="549" t="s">
        <v>65</v>
      </c>
      <c r="F99" s="550" t="s">
        <v>498</v>
      </c>
      <c r="G99" s="1052" t="s">
        <v>725</v>
      </c>
      <c r="H99" s="1053">
        <v>2000</v>
      </c>
    </row>
    <row r="100" spans="1:8" ht="20.25" customHeight="1">
      <c r="A100" s="34">
        <v>3</v>
      </c>
      <c r="B100" s="23" t="s">
        <v>64</v>
      </c>
      <c r="C100" s="23" t="s">
        <v>59</v>
      </c>
      <c r="D100" s="23" t="s">
        <v>62</v>
      </c>
      <c r="E100" s="549" t="s">
        <v>65</v>
      </c>
      <c r="F100" s="550" t="s">
        <v>726</v>
      </c>
      <c r="G100" s="539" t="s">
        <v>769</v>
      </c>
      <c r="H100" s="541">
        <v>6200</v>
      </c>
    </row>
    <row r="101" spans="1:8" ht="15.75" customHeight="1">
      <c r="A101" s="34">
        <v>3</v>
      </c>
      <c r="B101" s="23" t="s">
        <v>64</v>
      </c>
      <c r="C101" s="23" t="s">
        <v>59</v>
      </c>
      <c r="D101" s="23" t="s">
        <v>62</v>
      </c>
      <c r="E101" s="549" t="s">
        <v>65</v>
      </c>
      <c r="F101" s="550" t="s">
        <v>771</v>
      </c>
      <c r="G101" s="539" t="s">
        <v>770</v>
      </c>
      <c r="H101" s="541">
        <v>10000</v>
      </c>
    </row>
    <row r="102" spans="1:8" ht="18.75" customHeight="1">
      <c r="A102" s="34">
        <v>3</v>
      </c>
      <c r="B102" s="23" t="s">
        <v>64</v>
      </c>
      <c r="C102" s="23" t="s">
        <v>59</v>
      </c>
      <c r="D102" s="23" t="s">
        <v>62</v>
      </c>
      <c r="E102" s="549" t="s">
        <v>65</v>
      </c>
      <c r="F102" s="550" t="s">
        <v>773</v>
      </c>
      <c r="G102" s="1704" t="s">
        <v>774</v>
      </c>
      <c r="H102" s="541">
        <v>500</v>
      </c>
    </row>
    <row r="103" spans="1:8" ht="18.75" customHeight="1">
      <c r="A103" s="34" t="s">
        <v>380</v>
      </c>
      <c r="B103" s="23" t="s">
        <v>64</v>
      </c>
      <c r="C103" s="23" t="s">
        <v>59</v>
      </c>
      <c r="D103" s="23" t="s">
        <v>62</v>
      </c>
      <c r="E103" s="23" t="s">
        <v>65</v>
      </c>
      <c r="F103" s="548" t="s">
        <v>657</v>
      </c>
      <c r="G103" s="419" t="s">
        <v>658</v>
      </c>
      <c r="H103" s="541">
        <v>300</v>
      </c>
    </row>
    <row r="104" spans="1:8" ht="15" customHeight="1">
      <c r="A104" s="34" t="s">
        <v>380</v>
      </c>
      <c r="B104" s="23" t="s">
        <v>64</v>
      </c>
      <c r="C104" s="23" t="s">
        <v>59</v>
      </c>
      <c r="D104" s="23" t="s">
        <v>62</v>
      </c>
      <c r="E104" s="23" t="s">
        <v>65</v>
      </c>
      <c r="F104" s="548" t="s">
        <v>677</v>
      </c>
      <c r="G104" s="416" t="s">
        <v>776</v>
      </c>
      <c r="H104" s="541">
        <v>500</v>
      </c>
    </row>
    <row r="105" spans="1:8" ht="15">
      <c r="A105" s="34">
        <v>3</v>
      </c>
      <c r="B105" s="23" t="s">
        <v>64</v>
      </c>
      <c r="C105" s="23" t="s">
        <v>59</v>
      </c>
      <c r="D105" s="23" t="s">
        <v>62</v>
      </c>
      <c r="E105" s="23" t="s">
        <v>65</v>
      </c>
      <c r="F105" s="424" t="s">
        <v>735</v>
      </c>
      <c r="G105" s="540" t="s">
        <v>736</v>
      </c>
      <c r="H105" s="18">
        <v>1500</v>
      </c>
    </row>
    <row r="106" spans="1:8" ht="15.75" thickBot="1">
      <c r="A106" s="1633"/>
      <c r="B106" s="1634"/>
      <c r="C106" s="1634"/>
      <c r="D106" s="1634"/>
      <c r="E106" s="1635"/>
      <c r="F106" s="1636"/>
      <c r="G106" s="1637"/>
      <c r="H106" s="1638">
        <f>SUM(H98:H105)</f>
        <v>30000</v>
      </c>
    </row>
    <row r="107" spans="1:8" ht="15.75" thickBot="1">
      <c r="A107" s="9"/>
      <c r="B107" s="9"/>
      <c r="C107" s="10"/>
      <c r="D107" s="3"/>
      <c r="E107" s="3"/>
      <c r="F107" s="3"/>
      <c r="G107" s="2"/>
      <c r="H107" s="8"/>
    </row>
    <row r="108" spans="1:8" ht="15">
      <c r="A108" s="2573" t="s">
        <v>693</v>
      </c>
      <c r="B108" s="2574"/>
      <c r="C108" s="2574"/>
      <c r="D108" s="2574"/>
      <c r="E108" s="2574"/>
      <c r="F108" s="2574"/>
      <c r="G108" s="2575" t="s">
        <v>1323</v>
      </c>
      <c r="H108" s="2576"/>
    </row>
    <row r="109" spans="1:8" ht="18.75" customHeight="1">
      <c r="A109" s="482"/>
      <c r="B109" s="551"/>
      <c r="C109" s="19"/>
      <c r="D109" s="19"/>
      <c r="E109" s="19"/>
      <c r="F109" s="19"/>
      <c r="G109" s="483"/>
      <c r="H109" s="484"/>
    </row>
    <row r="110" spans="1:8" ht="30" customHeight="1">
      <c r="A110" s="2580" t="s">
        <v>1053</v>
      </c>
      <c r="B110" s="2598"/>
      <c r="C110" s="2598"/>
      <c r="D110" s="2598"/>
      <c r="E110" s="2598"/>
      <c r="F110" s="2552"/>
      <c r="G110" s="2580" t="s">
        <v>1069</v>
      </c>
      <c r="H110" s="2552"/>
    </row>
    <row r="111" spans="1:8" ht="15">
      <c r="A111" s="2597" t="s">
        <v>826</v>
      </c>
      <c r="B111" s="2584"/>
      <c r="C111" s="2584"/>
      <c r="D111" s="2584"/>
      <c r="E111" s="2584"/>
      <c r="F111" s="2585"/>
      <c r="G111" s="483"/>
      <c r="H111" s="484"/>
    </row>
    <row r="112" spans="1:8" ht="46.5" customHeight="1">
      <c r="A112" s="2586"/>
      <c r="B112" s="2587"/>
      <c r="C112" s="2587"/>
      <c r="D112" s="2587"/>
      <c r="E112" s="2587"/>
      <c r="F112" s="2588"/>
      <c r="G112" s="2589" t="s">
        <v>695</v>
      </c>
      <c r="H112" s="2552"/>
    </row>
    <row r="113" spans="1:8" ht="15">
      <c r="A113" s="482"/>
      <c r="B113" s="551"/>
      <c r="C113" s="551"/>
      <c r="D113" s="551"/>
      <c r="E113" s="551"/>
      <c r="F113" s="551"/>
      <c r="G113" s="485"/>
      <c r="H113" s="484"/>
    </row>
    <row r="114" spans="1:8" ht="15" thickBot="1">
      <c r="A114" s="2590" t="s">
        <v>692</v>
      </c>
      <c r="B114" s="2561"/>
      <c r="C114" s="2561"/>
      <c r="D114" s="2561"/>
      <c r="E114" s="2561"/>
      <c r="F114" s="2562"/>
      <c r="G114" s="2591" t="s">
        <v>696</v>
      </c>
      <c r="H114" s="2562"/>
    </row>
    <row r="118" spans="1:8" ht="18.75">
      <c r="A118" s="2162" t="s">
        <v>111</v>
      </c>
      <c r="B118" s="2164"/>
      <c r="C118" s="2164"/>
      <c r="D118" s="2164"/>
      <c r="E118" s="2164"/>
      <c r="F118" s="2164"/>
      <c r="G118" s="2164"/>
      <c r="H118" s="2164"/>
    </row>
    <row r="119" spans="1:8" ht="18.75">
      <c r="A119" s="2162" t="s">
        <v>757</v>
      </c>
      <c r="B119" s="2164"/>
      <c r="C119" s="2164"/>
      <c r="D119" s="2164"/>
      <c r="E119" s="2164"/>
      <c r="F119" s="2164"/>
      <c r="G119" s="2164"/>
      <c r="H119" s="2164"/>
    </row>
    <row r="120" spans="1:8" ht="18.75">
      <c r="A120" s="2163" t="s">
        <v>211</v>
      </c>
      <c r="B120" s="2164"/>
      <c r="C120" s="2164"/>
      <c r="D120" s="2164"/>
      <c r="E120" s="2164"/>
      <c r="F120" s="2164"/>
      <c r="G120" s="2164"/>
      <c r="H120" s="2164"/>
    </row>
    <row r="121" spans="1:8" ht="18.75">
      <c r="A121" s="2163" t="s">
        <v>1212</v>
      </c>
      <c r="B121" s="2164"/>
      <c r="C121" s="2164"/>
      <c r="D121" s="2164"/>
      <c r="E121" s="2164"/>
      <c r="F121" s="2164"/>
      <c r="G121" s="2164"/>
      <c r="H121" s="2164"/>
    </row>
    <row r="122" spans="1:8" ht="18.75">
      <c r="A122" s="2163" t="s">
        <v>32</v>
      </c>
      <c r="B122" s="2164"/>
      <c r="C122" s="2164"/>
      <c r="D122" s="2164"/>
      <c r="E122" s="2164"/>
      <c r="F122" s="2164"/>
      <c r="G122" s="2164"/>
      <c r="H122" s="2164"/>
    </row>
    <row r="123" spans="1:8" ht="15">
      <c r="A123" s="33"/>
      <c r="B123" s="5"/>
      <c r="C123" s="4"/>
      <c r="D123" s="1"/>
      <c r="E123" s="1"/>
      <c r="F123" s="1"/>
      <c r="G123" s="2"/>
      <c r="H123" s="8"/>
    </row>
    <row r="124" spans="1:8" ht="18.75">
      <c r="A124" s="2596" t="s">
        <v>49</v>
      </c>
      <c r="B124" s="2596"/>
      <c r="C124" s="2596"/>
      <c r="D124" s="2596"/>
      <c r="E124" s="2596"/>
      <c r="F124" s="2596"/>
      <c r="G124" s="2596"/>
      <c r="H124" s="2596"/>
    </row>
    <row r="125" spans="1:8" ht="43.5" customHeight="1">
      <c r="A125" s="2593" t="s">
        <v>1050</v>
      </c>
      <c r="B125" s="2594"/>
      <c r="C125" s="2594"/>
      <c r="D125" s="2594"/>
      <c r="E125" s="2594"/>
      <c r="F125" s="2594"/>
      <c r="G125" s="2594"/>
      <c r="H125" s="2594"/>
    </row>
    <row r="126" spans="1:8" ht="15.75" thickBot="1">
      <c r="A126" s="2567" t="s">
        <v>29</v>
      </c>
      <c r="B126" s="2568"/>
      <c r="C126" s="2568"/>
      <c r="D126" s="2568"/>
      <c r="E126" s="2568"/>
      <c r="F126" s="2569"/>
      <c r="G126" s="2570" t="s">
        <v>640</v>
      </c>
      <c r="H126" s="2572" t="s">
        <v>639</v>
      </c>
    </row>
    <row r="127" spans="1:8" ht="90.75" thickBot="1">
      <c r="A127" s="411" t="s">
        <v>39</v>
      </c>
      <c r="B127" s="412" t="s">
        <v>40</v>
      </c>
      <c r="C127" s="412" t="s">
        <v>41</v>
      </c>
      <c r="D127" s="412" t="s">
        <v>45</v>
      </c>
      <c r="E127" s="413" t="s">
        <v>42</v>
      </c>
      <c r="F127" s="407" t="s">
        <v>43</v>
      </c>
      <c r="G127" s="2571"/>
      <c r="H127" s="2595"/>
    </row>
    <row r="128" spans="1:8" ht="15">
      <c r="A128" s="34">
        <v>3</v>
      </c>
      <c r="B128" s="23" t="s">
        <v>64</v>
      </c>
      <c r="C128" s="23" t="s">
        <v>59</v>
      </c>
      <c r="D128" s="23" t="s">
        <v>62</v>
      </c>
      <c r="E128" s="23" t="s">
        <v>980</v>
      </c>
      <c r="F128" s="423" t="s">
        <v>209</v>
      </c>
      <c r="G128" s="415" t="s">
        <v>777</v>
      </c>
      <c r="H128" s="24">
        <v>1500</v>
      </c>
    </row>
    <row r="129" spans="1:8" ht="14.25" customHeight="1">
      <c r="A129" s="34">
        <v>3</v>
      </c>
      <c r="B129" s="23" t="s">
        <v>64</v>
      </c>
      <c r="C129" s="23" t="s">
        <v>59</v>
      </c>
      <c r="D129" s="23" t="s">
        <v>62</v>
      </c>
      <c r="E129" s="23" t="s">
        <v>65</v>
      </c>
      <c r="F129" s="550" t="s">
        <v>498</v>
      </c>
      <c r="G129" s="539" t="s">
        <v>725</v>
      </c>
      <c r="H129" s="541">
        <v>500</v>
      </c>
    </row>
    <row r="130" spans="1:8" ht="20.25" customHeight="1">
      <c r="A130" s="34">
        <v>3</v>
      </c>
      <c r="B130" s="23" t="s">
        <v>64</v>
      </c>
      <c r="C130" s="23" t="s">
        <v>59</v>
      </c>
      <c r="D130" s="23" t="s">
        <v>62</v>
      </c>
      <c r="E130" s="23" t="s">
        <v>65</v>
      </c>
      <c r="F130" s="550" t="s">
        <v>771</v>
      </c>
      <c r="G130" s="539" t="s">
        <v>770</v>
      </c>
      <c r="H130" s="541">
        <f>2800-550</f>
        <v>2250</v>
      </c>
    </row>
    <row r="131" spans="1:8" ht="15.75" customHeight="1">
      <c r="A131" s="34">
        <v>3</v>
      </c>
      <c r="B131" s="23" t="s">
        <v>64</v>
      </c>
      <c r="C131" s="23" t="s">
        <v>59</v>
      </c>
      <c r="D131" s="23" t="s">
        <v>62</v>
      </c>
      <c r="E131" s="23" t="s">
        <v>65</v>
      </c>
      <c r="F131" s="550" t="s">
        <v>773</v>
      </c>
      <c r="G131" s="1704" t="s">
        <v>774</v>
      </c>
      <c r="H131" s="541">
        <v>200</v>
      </c>
    </row>
    <row r="132" spans="1:8" ht="18.75" customHeight="1">
      <c r="A132" s="34" t="s">
        <v>380</v>
      </c>
      <c r="B132" s="23" t="s">
        <v>64</v>
      </c>
      <c r="C132" s="23" t="s">
        <v>59</v>
      </c>
      <c r="D132" s="23" t="s">
        <v>62</v>
      </c>
      <c r="E132" s="23" t="s">
        <v>65</v>
      </c>
      <c r="F132" s="548" t="s">
        <v>677</v>
      </c>
      <c r="G132" s="416" t="s">
        <v>776</v>
      </c>
      <c r="H132" s="541">
        <v>300</v>
      </c>
    </row>
    <row r="133" spans="1:8" ht="15">
      <c r="A133" s="34">
        <v>3</v>
      </c>
      <c r="B133" s="23" t="s">
        <v>64</v>
      </c>
      <c r="C133" s="23" t="s">
        <v>59</v>
      </c>
      <c r="D133" s="23" t="s">
        <v>62</v>
      </c>
      <c r="E133" s="23" t="s">
        <v>980</v>
      </c>
      <c r="F133" s="424" t="s">
        <v>735</v>
      </c>
      <c r="G133" s="540" t="s">
        <v>736</v>
      </c>
      <c r="H133" s="18">
        <v>250</v>
      </c>
    </row>
    <row r="134" spans="1:8" ht="15.75" thickBot="1">
      <c r="A134" s="1633"/>
      <c r="B134" s="1634"/>
      <c r="C134" s="1634"/>
      <c r="D134" s="1634"/>
      <c r="E134" s="1635"/>
      <c r="F134" s="1636"/>
      <c r="G134" s="1637"/>
      <c r="H134" s="1638">
        <f>SUM(H128:H133)</f>
        <v>5000</v>
      </c>
    </row>
    <row r="135" spans="1:8" ht="15.75" thickBot="1">
      <c r="A135" s="9"/>
      <c r="B135" s="9"/>
      <c r="C135" s="10"/>
      <c r="D135" s="3"/>
      <c r="E135" s="3"/>
      <c r="F135" s="3"/>
      <c r="G135" s="2"/>
      <c r="H135" s="8"/>
    </row>
    <row r="136" spans="1:8" ht="15">
      <c r="A136" s="2573" t="s">
        <v>693</v>
      </c>
      <c r="B136" s="2574"/>
      <c r="C136" s="2574"/>
      <c r="D136" s="2574"/>
      <c r="E136" s="2574"/>
      <c r="F136" s="2574"/>
      <c r="G136" s="2575" t="s">
        <v>1323</v>
      </c>
      <c r="H136" s="2576"/>
    </row>
    <row r="137" spans="1:8" ht="15">
      <c r="A137" s="2577" t="s">
        <v>1050</v>
      </c>
      <c r="B137" s="2578"/>
      <c r="C137" s="2578"/>
      <c r="D137" s="2578"/>
      <c r="E137" s="2578"/>
      <c r="F137" s="2579"/>
      <c r="G137" s="483"/>
      <c r="H137" s="484"/>
    </row>
    <row r="138" spans="1:8" ht="18.75" customHeight="1">
      <c r="A138" s="2580"/>
      <c r="B138" s="2581"/>
      <c r="C138" s="2581"/>
      <c r="D138" s="2581"/>
      <c r="E138" s="2581"/>
      <c r="F138" s="2582"/>
      <c r="G138" s="2580" t="s">
        <v>1070</v>
      </c>
      <c r="H138" s="2552"/>
    </row>
    <row r="139" spans="1:8" ht="15">
      <c r="A139" s="2583" t="s">
        <v>1051</v>
      </c>
      <c r="B139" s="2584"/>
      <c r="C139" s="2584"/>
      <c r="D139" s="2584"/>
      <c r="E139" s="2584"/>
      <c r="F139" s="2585"/>
      <c r="G139" s="483"/>
      <c r="H139" s="484"/>
    </row>
    <row r="140" spans="1:8" ht="35.25" customHeight="1">
      <c r="A140" s="2586"/>
      <c r="B140" s="2587"/>
      <c r="C140" s="2587"/>
      <c r="D140" s="2587"/>
      <c r="E140" s="2587"/>
      <c r="F140" s="2588"/>
      <c r="G140" s="2589" t="s">
        <v>1052</v>
      </c>
      <c r="H140" s="2552"/>
    </row>
    <row r="141" spans="1:8" ht="15">
      <c r="A141" s="482"/>
      <c r="B141" s="551"/>
      <c r="C141" s="551"/>
      <c r="D141" s="551"/>
      <c r="E141" s="551"/>
      <c r="F141" s="551"/>
      <c r="G141" s="485"/>
      <c r="H141" s="484"/>
    </row>
    <row r="142" spans="1:8" ht="15" thickBot="1">
      <c r="A142" s="2590" t="s">
        <v>692</v>
      </c>
      <c r="B142" s="2561"/>
      <c r="C142" s="2561"/>
      <c r="D142" s="2561"/>
      <c r="E142" s="2561"/>
      <c r="F142" s="2562"/>
      <c r="G142" s="2591" t="s">
        <v>696</v>
      </c>
      <c r="H142" s="2562"/>
    </row>
    <row r="145" spans="1:8" ht="18.75">
      <c r="A145" s="2162" t="s">
        <v>111</v>
      </c>
      <c r="B145" s="2164"/>
      <c r="C145" s="2164"/>
      <c r="D145" s="2164"/>
      <c r="E145" s="2164"/>
      <c r="F145" s="2164"/>
      <c r="G145" s="2164"/>
      <c r="H145" s="2164"/>
    </row>
    <row r="146" spans="1:8" ht="18.75">
      <c r="A146" s="2162" t="s">
        <v>757</v>
      </c>
      <c r="B146" s="2164"/>
      <c r="C146" s="2164"/>
      <c r="D146" s="2164"/>
      <c r="E146" s="2164"/>
      <c r="F146" s="2164"/>
      <c r="G146" s="2164"/>
      <c r="H146" s="2164"/>
    </row>
    <row r="147" spans="1:8" ht="18.75">
      <c r="A147" s="2163" t="s">
        <v>211</v>
      </c>
      <c r="B147" s="2164"/>
      <c r="C147" s="2164"/>
      <c r="D147" s="2164"/>
      <c r="E147" s="2164"/>
      <c r="F147" s="2164"/>
      <c r="G147" s="2164"/>
      <c r="H147" s="2164"/>
    </row>
    <row r="148" spans="1:8" ht="18.75">
      <c r="A148" s="2163" t="s">
        <v>1212</v>
      </c>
      <c r="B148" s="2164"/>
      <c r="C148" s="2164"/>
      <c r="D148" s="2164"/>
      <c r="E148" s="2164"/>
      <c r="F148" s="2164"/>
      <c r="G148" s="2164"/>
      <c r="H148" s="2164"/>
    </row>
    <row r="149" spans="1:8" ht="18.75">
      <c r="A149" s="2163" t="s">
        <v>32</v>
      </c>
      <c r="B149" s="2164"/>
      <c r="C149" s="2164"/>
      <c r="D149" s="2164"/>
      <c r="E149" s="2164"/>
      <c r="F149" s="2164"/>
      <c r="G149" s="2164"/>
      <c r="H149" s="2164"/>
    </row>
    <row r="150" spans="1:8" ht="15">
      <c r="A150" s="33"/>
      <c r="B150" s="5"/>
      <c r="C150" s="4"/>
      <c r="D150" s="1"/>
      <c r="E150" s="1"/>
      <c r="F150" s="1"/>
      <c r="G150" s="2"/>
      <c r="H150" s="8"/>
    </row>
    <row r="151" spans="1:8" ht="18.75">
      <c r="A151" s="2596" t="s">
        <v>49</v>
      </c>
      <c r="B151" s="2596"/>
      <c r="C151" s="2596"/>
      <c r="D151" s="2596"/>
      <c r="E151" s="2596"/>
      <c r="F151" s="2596"/>
      <c r="G151" s="2596"/>
      <c r="H151" s="2596"/>
    </row>
    <row r="152" spans="1:8" ht="42" customHeight="1">
      <c r="A152" s="2599" t="s">
        <v>1200</v>
      </c>
      <c r="B152" s="2600"/>
      <c r="C152" s="2600"/>
      <c r="D152" s="2600"/>
      <c r="E152" s="2600"/>
      <c r="F152" s="2600"/>
      <c r="G152" s="2600"/>
      <c r="H152" s="2600"/>
    </row>
    <row r="153" spans="1:8" ht="15.75" thickBot="1">
      <c r="A153" s="2567" t="s">
        <v>29</v>
      </c>
      <c r="B153" s="2568"/>
      <c r="C153" s="2568"/>
      <c r="D153" s="2568"/>
      <c r="E153" s="2568"/>
      <c r="F153" s="2569"/>
      <c r="G153" s="2570" t="s">
        <v>640</v>
      </c>
      <c r="H153" s="2572" t="s">
        <v>639</v>
      </c>
    </row>
    <row r="154" spans="1:8" ht="90.75" thickBot="1">
      <c r="A154" s="411" t="s">
        <v>39</v>
      </c>
      <c r="B154" s="412" t="s">
        <v>40</v>
      </c>
      <c r="C154" s="412" t="s">
        <v>41</v>
      </c>
      <c r="D154" s="412" t="s">
        <v>45</v>
      </c>
      <c r="E154" s="413" t="s">
        <v>42</v>
      </c>
      <c r="F154" s="407" t="s">
        <v>43</v>
      </c>
      <c r="G154" s="2571"/>
      <c r="H154" s="2595"/>
    </row>
    <row r="155" spans="1:8" ht="15">
      <c r="A155" s="34">
        <v>3</v>
      </c>
      <c r="B155" s="23" t="s">
        <v>64</v>
      </c>
      <c r="C155" s="23" t="s">
        <v>59</v>
      </c>
      <c r="D155" s="23" t="s">
        <v>62</v>
      </c>
      <c r="E155" s="23" t="s">
        <v>980</v>
      </c>
      <c r="F155" s="423" t="s">
        <v>209</v>
      </c>
      <c r="G155" s="415" t="s">
        <v>777</v>
      </c>
      <c r="H155" s="24">
        <v>2000</v>
      </c>
    </row>
    <row r="156" spans="1:8" ht="15">
      <c r="A156" s="34">
        <v>3</v>
      </c>
      <c r="B156" s="23" t="s">
        <v>64</v>
      </c>
      <c r="C156" s="23" t="s">
        <v>59</v>
      </c>
      <c r="D156" s="23" t="s">
        <v>62</v>
      </c>
      <c r="E156" s="23" t="s">
        <v>65</v>
      </c>
      <c r="F156" s="538" t="s">
        <v>498</v>
      </c>
      <c r="G156" s="539" t="s">
        <v>725</v>
      </c>
      <c r="H156" s="541">
        <v>500</v>
      </c>
    </row>
    <row r="157" spans="1:8" ht="15">
      <c r="A157" s="34" t="s">
        <v>380</v>
      </c>
      <c r="B157" s="23" t="s">
        <v>64</v>
      </c>
      <c r="C157" s="23" t="s">
        <v>59</v>
      </c>
      <c r="D157" s="23" t="s">
        <v>62</v>
      </c>
      <c r="E157" s="23" t="s">
        <v>65</v>
      </c>
      <c r="F157" s="538" t="s">
        <v>726</v>
      </c>
      <c r="G157" s="539" t="s">
        <v>769</v>
      </c>
      <c r="H157" s="541">
        <v>2500</v>
      </c>
    </row>
    <row r="158" spans="1:8" ht="15">
      <c r="A158" s="34">
        <v>3</v>
      </c>
      <c r="B158" s="23" t="s">
        <v>64</v>
      </c>
      <c r="C158" s="23" t="s">
        <v>59</v>
      </c>
      <c r="D158" s="23" t="s">
        <v>62</v>
      </c>
      <c r="E158" s="23" t="s">
        <v>65</v>
      </c>
      <c r="F158" s="538" t="s">
        <v>771</v>
      </c>
      <c r="G158" s="539" t="s">
        <v>770</v>
      </c>
      <c r="H158" s="541">
        <f>4000-50-250</f>
        <v>3700</v>
      </c>
    </row>
    <row r="159" spans="1:8" ht="15">
      <c r="A159" s="34">
        <v>3</v>
      </c>
      <c r="B159" s="23" t="s">
        <v>64</v>
      </c>
      <c r="C159" s="23" t="s">
        <v>59</v>
      </c>
      <c r="D159" s="23" t="s">
        <v>62</v>
      </c>
      <c r="E159" s="23" t="s">
        <v>65</v>
      </c>
      <c r="F159" s="548" t="s">
        <v>773</v>
      </c>
      <c r="G159" s="416" t="s">
        <v>774</v>
      </c>
      <c r="H159" s="541">
        <v>500</v>
      </c>
    </row>
    <row r="160" spans="1:8" ht="15">
      <c r="A160" s="34" t="s">
        <v>380</v>
      </c>
      <c r="B160" s="23" t="s">
        <v>64</v>
      </c>
      <c r="C160" s="23" t="s">
        <v>59</v>
      </c>
      <c r="D160" s="23" t="s">
        <v>62</v>
      </c>
      <c r="E160" s="23" t="s">
        <v>65</v>
      </c>
      <c r="F160" s="548" t="s">
        <v>677</v>
      </c>
      <c r="G160" s="416" t="s">
        <v>776</v>
      </c>
      <c r="H160" s="541">
        <v>300</v>
      </c>
    </row>
    <row r="161" spans="1:8" ht="15">
      <c r="A161" s="34">
        <v>3</v>
      </c>
      <c r="B161" s="23" t="s">
        <v>64</v>
      </c>
      <c r="C161" s="23" t="s">
        <v>59</v>
      </c>
      <c r="D161" s="23" t="s">
        <v>62</v>
      </c>
      <c r="E161" s="23" t="s">
        <v>980</v>
      </c>
      <c r="F161" s="424" t="s">
        <v>735</v>
      </c>
      <c r="G161" s="540" t="s">
        <v>736</v>
      </c>
      <c r="H161" s="18">
        <v>500</v>
      </c>
    </row>
    <row r="162" spans="1:8" ht="15.75" thickBot="1">
      <c r="A162" s="1633"/>
      <c r="B162" s="1634"/>
      <c r="C162" s="1634"/>
      <c r="D162" s="1634"/>
      <c r="E162" s="1635"/>
      <c r="F162" s="1636"/>
      <c r="G162" s="1637"/>
      <c r="H162" s="1638">
        <f>SUM(H155:H161)</f>
        <v>10000</v>
      </c>
    </row>
    <row r="163" spans="1:8" ht="15.75" thickBot="1">
      <c r="A163" s="9"/>
      <c r="B163" s="9"/>
      <c r="C163" s="10"/>
      <c r="D163" s="3"/>
      <c r="E163" s="3"/>
      <c r="F163" s="3"/>
      <c r="G163" s="2"/>
      <c r="H163" s="8"/>
    </row>
    <row r="164" spans="1:8" ht="15">
      <c r="A164" s="2573" t="s">
        <v>693</v>
      </c>
      <c r="B164" s="2574"/>
      <c r="C164" s="2574"/>
      <c r="D164" s="2574"/>
      <c r="E164" s="2574"/>
      <c r="F164" s="2574"/>
      <c r="G164" s="2575" t="s">
        <v>1323</v>
      </c>
      <c r="H164" s="2576"/>
    </row>
    <row r="165" spans="1:8" ht="15">
      <c r="A165" s="2577" t="s">
        <v>1157</v>
      </c>
      <c r="B165" s="2578"/>
      <c r="C165" s="2578"/>
      <c r="D165" s="2578"/>
      <c r="E165" s="2578"/>
      <c r="F165" s="2579"/>
      <c r="G165" s="483"/>
      <c r="H165" s="484"/>
    </row>
    <row r="166" spans="1:8" ht="14.25">
      <c r="A166" s="2580"/>
      <c r="B166" s="2581"/>
      <c r="C166" s="2581"/>
      <c r="D166" s="2581"/>
      <c r="E166" s="2581"/>
      <c r="F166" s="2582"/>
      <c r="G166" s="2580" t="s">
        <v>1070</v>
      </c>
      <c r="H166" s="2552"/>
    </row>
    <row r="167" spans="1:8" ht="15">
      <c r="A167" s="2583" t="s">
        <v>1158</v>
      </c>
      <c r="B167" s="2584"/>
      <c r="C167" s="2584"/>
      <c r="D167" s="2584"/>
      <c r="E167" s="2584"/>
      <c r="F167" s="2585"/>
      <c r="G167" s="483"/>
      <c r="H167" s="484"/>
    </row>
    <row r="168" spans="1:8" ht="16.5" customHeight="1">
      <c r="A168" s="2586"/>
      <c r="B168" s="2587"/>
      <c r="C168" s="2587"/>
      <c r="D168" s="2587"/>
      <c r="E168" s="2587"/>
      <c r="F168" s="2588"/>
      <c r="G168" s="2589" t="s">
        <v>1052</v>
      </c>
      <c r="H168" s="2552"/>
    </row>
    <row r="169" spans="1:8" ht="15">
      <c r="A169" s="482"/>
      <c r="B169" s="551"/>
      <c r="C169" s="551"/>
      <c r="D169" s="551"/>
      <c r="E169" s="551"/>
      <c r="F169" s="551"/>
      <c r="G169" s="485"/>
      <c r="H169" s="484"/>
    </row>
    <row r="170" spans="1:8" ht="15" thickBot="1">
      <c r="A170" s="2590" t="s">
        <v>692</v>
      </c>
      <c r="B170" s="2561"/>
      <c r="C170" s="2561"/>
      <c r="D170" s="2561"/>
      <c r="E170" s="2561"/>
      <c r="F170" s="2562"/>
      <c r="G170" s="2591" t="s">
        <v>696</v>
      </c>
      <c r="H170" s="2562"/>
    </row>
    <row r="173" spans="1:8" ht="18.75">
      <c r="A173" s="2162" t="s">
        <v>111</v>
      </c>
      <c r="B173" s="2164"/>
      <c r="C173" s="2164"/>
      <c r="D173" s="2164"/>
      <c r="E173" s="2164"/>
      <c r="F173" s="2164"/>
      <c r="G173" s="2164"/>
      <c r="H173" s="2164"/>
    </row>
    <row r="174" spans="1:8" ht="18.75">
      <c r="A174" s="2162" t="s">
        <v>757</v>
      </c>
      <c r="B174" s="2164"/>
      <c r="C174" s="2164"/>
      <c r="D174" s="2164"/>
      <c r="E174" s="2164"/>
      <c r="F174" s="2164"/>
      <c r="G174" s="2164"/>
      <c r="H174" s="2164"/>
    </row>
    <row r="175" spans="1:8" ht="18.75">
      <c r="A175" s="2163" t="s">
        <v>211</v>
      </c>
      <c r="B175" s="2164"/>
      <c r="C175" s="2164"/>
      <c r="D175" s="2164"/>
      <c r="E175" s="2164"/>
      <c r="F175" s="2164"/>
      <c r="G175" s="2164"/>
      <c r="H175" s="2164"/>
    </row>
    <row r="176" spans="1:8" ht="18.75">
      <c r="A176" s="2163" t="s">
        <v>1212</v>
      </c>
      <c r="B176" s="2164"/>
      <c r="C176" s="2164"/>
      <c r="D176" s="2164"/>
      <c r="E176" s="2164"/>
      <c r="F176" s="2164"/>
      <c r="G176" s="2164"/>
      <c r="H176" s="2164"/>
    </row>
    <row r="177" spans="1:8" ht="18.75">
      <c r="A177" s="2163" t="s">
        <v>32</v>
      </c>
      <c r="B177" s="2164"/>
      <c r="C177" s="2164"/>
      <c r="D177" s="2164"/>
      <c r="E177" s="2164"/>
      <c r="F177" s="2164"/>
      <c r="G177" s="2164"/>
      <c r="H177" s="2164"/>
    </row>
    <row r="178" spans="1:8" ht="15">
      <c r="A178" s="33"/>
      <c r="B178" s="5"/>
      <c r="C178" s="4"/>
      <c r="D178" s="1"/>
      <c r="E178" s="1"/>
      <c r="F178" s="1"/>
      <c r="G178" s="2"/>
      <c r="H178" s="8"/>
    </row>
    <row r="179" spans="1:8" ht="18.75">
      <c r="A179" s="2596" t="s">
        <v>49</v>
      </c>
      <c r="B179" s="2596"/>
      <c r="C179" s="2596"/>
      <c r="D179" s="2596"/>
      <c r="E179" s="2596"/>
      <c r="F179" s="2596"/>
      <c r="G179" s="2596"/>
      <c r="H179" s="2596"/>
    </row>
    <row r="180" spans="1:8" ht="51" customHeight="1">
      <c r="A180" s="2593" t="s">
        <v>1379</v>
      </c>
      <c r="B180" s="2594"/>
      <c r="C180" s="2594"/>
      <c r="D180" s="2594"/>
      <c r="E180" s="2594"/>
      <c r="F180" s="2594"/>
      <c r="G180" s="2594"/>
      <c r="H180" s="2594"/>
    </row>
    <row r="181" spans="1:8" ht="15.75" thickBot="1">
      <c r="A181" s="2567" t="s">
        <v>29</v>
      </c>
      <c r="B181" s="2568"/>
      <c r="C181" s="2568"/>
      <c r="D181" s="2568"/>
      <c r="E181" s="2568"/>
      <c r="F181" s="2569"/>
      <c r="G181" s="2570" t="s">
        <v>640</v>
      </c>
      <c r="H181" s="2572" t="s">
        <v>639</v>
      </c>
    </row>
    <row r="182" spans="1:8" ht="90.75" thickBot="1">
      <c r="A182" s="411" t="s">
        <v>39</v>
      </c>
      <c r="B182" s="412" t="s">
        <v>40</v>
      </c>
      <c r="C182" s="412" t="s">
        <v>41</v>
      </c>
      <c r="D182" s="412" t="s">
        <v>45</v>
      </c>
      <c r="E182" s="413" t="s">
        <v>42</v>
      </c>
      <c r="F182" s="407" t="s">
        <v>43</v>
      </c>
      <c r="G182" s="2571"/>
      <c r="H182" s="2595"/>
    </row>
    <row r="183" spans="1:8" ht="15">
      <c r="A183" s="34">
        <v>3</v>
      </c>
      <c r="B183" s="23" t="s">
        <v>64</v>
      </c>
      <c r="C183" s="23" t="s">
        <v>59</v>
      </c>
      <c r="D183" s="23" t="s">
        <v>62</v>
      </c>
      <c r="E183" s="23" t="s">
        <v>980</v>
      </c>
      <c r="F183" s="423" t="s">
        <v>986</v>
      </c>
      <c r="G183" s="415" t="s">
        <v>1380</v>
      </c>
      <c r="H183" s="24">
        <v>26518.33</v>
      </c>
    </row>
    <row r="184" spans="1:8" ht="15">
      <c r="A184" s="34">
        <v>3</v>
      </c>
      <c r="B184" s="23" t="s">
        <v>64</v>
      </c>
      <c r="C184" s="23" t="s">
        <v>59</v>
      </c>
      <c r="D184" s="23" t="s">
        <v>62</v>
      </c>
      <c r="E184" s="23" t="s">
        <v>65</v>
      </c>
      <c r="F184" s="538" t="s">
        <v>498</v>
      </c>
      <c r="G184" s="540" t="s">
        <v>736</v>
      </c>
      <c r="H184" s="541">
        <v>1395.7</v>
      </c>
    </row>
    <row r="185" spans="1:8" ht="15.75" thickBot="1">
      <c r="A185" s="1633"/>
      <c r="B185" s="1634"/>
      <c r="C185" s="1634"/>
      <c r="D185" s="1634"/>
      <c r="E185" s="1635"/>
      <c r="F185" s="1636"/>
      <c r="G185" s="1637"/>
      <c r="H185" s="1638">
        <f>SUM(H183:H184)</f>
        <v>27914.030000000002</v>
      </c>
    </row>
    <row r="186" spans="1:8" ht="15.75" thickBot="1">
      <c r="A186" s="9"/>
      <c r="B186" s="9"/>
      <c r="C186" s="10"/>
      <c r="D186" s="3"/>
      <c r="E186" s="3"/>
      <c r="F186" s="3"/>
      <c r="G186" s="2"/>
      <c r="H186" s="8"/>
    </row>
    <row r="187" spans="1:8" ht="15">
      <c r="A187" s="2573" t="s">
        <v>693</v>
      </c>
      <c r="B187" s="2574"/>
      <c r="C187" s="2574"/>
      <c r="D187" s="2574"/>
      <c r="E187" s="2574"/>
      <c r="F187" s="2574"/>
      <c r="G187" s="2575" t="s">
        <v>1323</v>
      </c>
      <c r="H187" s="2576"/>
    </row>
    <row r="188" spans="1:8" ht="15">
      <c r="A188" s="2577" t="s">
        <v>1379</v>
      </c>
      <c r="B188" s="2578"/>
      <c r="C188" s="2578"/>
      <c r="D188" s="2578"/>
      <c r="E188" s="2578"/>
      <c r="F188" s="2579"/>
      <c r="G188" s="483"/>
      <c r="H188" s="484"/>
    </row>
    <row r="189" spans="1:8" ht="14.25">
      <c r="A189" s="2580"/>
      <c r="B189" s="2581"/>
      <c r="C189" s="2581"/>
      <c r="D189" s="2581"/>
      <c r="E189" s="2581"/>
      <c r="F189" s="2582"/>
      <c r="G189" s="2580" t="s">
        <v>1070</v>
      </c>
      <c r="H189" s="2552"/>
    </row>
    <row r="190" spans="1:8" ht="15">
      <c r="A190" s="2583" t="s">
        <v>1382</v>
      </c>
      <c r="B190" s="2584"/>
      <c r="C190" s="2584"/>
      <c r="D190" s="2584"/>
      <c r="E190" s="2584"/>
      <c r="F190" s="2585"/>
      <c r="G190" s="483"/>
      <c r="H190" s="484"/>
    </row>
    <row r="191" spans="1:8" ht="33" customHeight="1">
      <c r="A191" s="2586"/>
      <c r="B191" s="2587"/>
      <c r="C191" s="2587"/>
      <c r="D191" s="2587"/>
      <c r="E191" s="2587"/>
      <c r="F191" s="2588"/>
      <c r="G191" s="2589" t="s">
        <v>1381</v>
      </c>
      <c r="H191" s="2552"/>
    </row>
    <row r="192" spans="1:8" ht="15">
      <c r="A192" s="482"/>
      <c r="B192" s="551"/>
      <c r="C192" s="551"/>
      <c r="D192" s="551"/>
      <c r="E192" s="551"/>
      <c r="F192" s="551"/>
      <c r="G192" s="485"/>
      <c r="H192" s="484"/>
    </row>
    <row r="193" spans="1:8" ht="15" thickBot="1">
      <c r="A193" s="2590" t="s">
        <v>692</v>
      </c>
      <c r="B193" s="2561"/>
      <c r="C193" s="2561"/>
      <c r="D193" s="2561"/>
      <c r="E193" s="2561"/>
      <c r="F193" s="2562"/>
      <c r="G193" s="2591" t="s">
        <v>696</v>
      </c>
      <c r="H193" s="2562"/>
    </row>
    <row r="197" spans="1:8" ht="18.75">
      <c r="A197" s="2162" t="s">
        <v>111</v>
      </c>
      <c r="B197" s="2164"/>
      <c r="C197" s="2164"/>
      <c r="D197" s="2164"/>
      <c r="E197" s="2164"/>
      <c r="F197" s="2164"/>
      <c r="G197" s="2164"/>
      <c r="H197" s="2164"/>
    </row>
    <row r="198" spans="1:8" ht="18.75">
      <c r="A198" s="2162" t="s">
        <v>757</v>
      </c>
      <c r="B198" s="2164"/>
      <c r="C198" s="2164"/>
      <c r="D198" s="2164"/>
      <c r="E198" s="2164"/>
      <c r="F198" s="2164"/>
      <c r="G198" s="2164"/>
      <c r="H198" s="2164"/>
    </row>
    <row r="199" spans="1:8" ht="18.75">
      <c r="A199" s="2163" t="s">
        <v>211</v>
      </c>
      <c r="B199" s="2164"/>
      <c r="C199" s="2164"/>
      <c r="D199" s="2164"/>
      <c r="E199" s="2164"/>
      <c r="F199" s="2164"/>
      <c r="G199" s="2164"/>
      <c r="H199" s="2164"/>
    </row>
    <row r="200" spans="1:8" ht="18.75">
      <c r="A200" s="2163" t="s">
        <v>1212</v>
      </c>
      <c r="B200" s="2164"/>
      <c r="C200" s="2164"/>
      <c r="D200" s="2164"/>
      <c r="E200" s="2164"/>
      <c r="F200" s="2164"/>
      <c r="G200" s="2164"/>
      <c r="H200" s="2164"/>
    </row>
    <row r="201" spans="1:8" ht="18.75">
      <c r="A201" s="2163" t="s">
        <v>32</v>
      </c>
      <c r="B201" s="2164"/>
      <c r="C201" s="2164"/>
      <c r="D201" s="2164"/>
      <c r="E201" s="2164"/>
      <c r="F201" s="2164"/>
      <c r="G201" s="2164"/>
      <c r="H201" s="2164"/>
    </row>
    <row r="202" spans="1:8" ht="15">
      <c r="A202" s="33"/>
      <c r="B202" s="5"/>
      <c r="C202" s="4"/>
      <c r="D202" s="1"/>
      <c r="E202" s="1"/>
      <c r="F202" s="1"/>
      <c r="G202" s="2"/>
      <c r="H202" s="8"/>
    </row>
    <row r="203" spans="1:8" ht="18.75">
      <c r="A203" s="2592" t="s">
        <v>49</v>
      </c>
      <c r="B203" s="2592"/>
      <c r="C203" s="2592"/>
      <c r="D203" s="2592"/>
      <c r="E203" s="2592"/>
      <c r="F203" s="2592"/>
      <c r="G203" s="2592"/>
      <c r="H203" s="2592"/>
    </row>
    <row r="204" spans="1:8" ht="39.75" customHeight="1">
      <c r="A204" s="2593" t="s">
        <v>1442</v>
      </c>
      <c r="B204" s="2594"/>
      <c r="C204" s="2594"/>
      <c r="D204" s="2594"/>
      <c r="E204" s="2594"/>
      <c r="F204" s="2594"/>
      <c r="G204" s="2594"/>
      <c r="H204" s="2594"/>
    </row>
    <row r="205" spans="1:8" ht="15.75" thickBot="1">
      <c r="A205" s="2567" t="s">
        <v>29</v>
      </c>
      <c r="B205" s="2568"/>
      <c r="C205" s="2568"/>
      <c r="D205" s="2568"/>
      <c r="E205" s="2568"/>
      <c r="F205" s="2569"/>
      <c r="G205" s="2570" t="s">
        <v>640</v>
      </c>
      <c r="H205" s="2572" t="s">
        <v>639</v>
      </c>
    </row>
    <row r="206" spans="1:8" ht="90.75" thickBot="1">
      <c r="A206" s="411" t="s">
        <v>39</v>
      </c>
      <c r="B206" s="412" t="s">
        <v>40</v>
      </c>
      <c r="C206" s="412" t="s">
        <v>41</v>
      </c>
      <c r="D206" s="412" t="s">
        <v>45</v>
      </c>
      <c r="E206" s="413" t="s">
        <v>42</v>
      </c>
      <c r="F206" s="407" t="s">
        <v>43</v>
      </c>
      <c r="G206" s="2571"/>
      <c r="H206" s="2595"/>
    </row>
    <row r="207" spans="1:8" ht="15">
      <c r="A207" s="34">
        <v>3</v>
      </c>
      <c r="B207" s="23" t="s">
        <v>64</v>
      </c>
      <c r="C207" s="23" t="s">
        <v>59</v>
      </c>
      <c r="D207" s="23" t="s">
        <v>62</v>
      </c>
      <c r="E207" s="23" t="s">
        <v>980</v>
      </c>
      <c r="F207" s="423" t="s">
        <v>986</v>
      </c>
      <c r="G207" s="415" t="s">
        <v>1380</v>
      </c>
      <c r="H207" s="24">
        <v>33250</v>
      </c>
    </row>
    <row r="208" spans="1:8" ht="15">
      <c r="A208" s="34">
        <v>3</v>
      </c>
      <c r="B208" s="23" t="s">
        <v>64</v>
      </c>
      <c r="C208" s="23" t="s">
        <v>59</v>
      </c>
      <c r="D208" s="23" t="s">
        <v>62</v>
      </c>
      <c r="E208" s="23" t="s">
        <v>65</v>
      </c>
      <c r="F208" s="538" t="s">
        <v>498</v>
      </c>
      <c r="G208" s="540" t="s">
        <v>736</v>
      </c>
      <c r="H208" s="541">
        <v>1750</v>
      </c>
    </row>
    <row r="209" spans="1:8" ht="15.75" thickBot="1">
      <c r="A209" s="1633"/>
      <c r="B209" s="1634"/>
      <c r="C209" s="1634"/>
      <c r="D209" s="1634"/>
      <c r="E209" s="1635"/>
      <c r="F209" s="1636"/>
      <c r="G209" s="1637"/>
      <c r="H209" s="1638">
        <f>SUM(H207:H208)</f>
        <v>35000</v>
      </c>
    </row>
    <row r="210" spans="1:8" ht="15.75" thickBot="1">
      <c r="A210" s="9"/>
      <c r="B210" s="9"/>
      <c r="C210" s="10"/>
      <c r="D210" s="3"/>
      <c r="E210" s="3"/>
      <c r="F210" s="3"/>
      <c r="G210" s="2"/>
      <c r="H210" s="8"/>
    </row>
    <row r="211" spans="1:8" ht="15">
      <c r="A211" s="2573" t="s">
        <v>693</v>
      </c>
      <c r="B211" s="2574"/>
      <c r="C211" s="2574"/>
      <c r="D211" s="2574"/>
      <c r="E211" s="2574"/>
      <c r="F211" s="2574"/>
      <c r="G211" s="2575" t="s">
        <v>1323</v>
      </c>
      <c r="H211" s="2576"/>
    </row>
    <row r="212" spans="1:8" ht="15">
      <c r="A212" s="2577" t="s">
        <v>1442</v>
      </c>
      <c r="B212" s="2578"/>
      <c r="C212" s="2578"/>
      <c r="D212" s="2578"/>
      <c r="E212" s="2578"/>
      <c r="F212" s="2579"/>
      <c r="G212" s="483"/>
      <c r="H212" s="484"/>
    </row>
    <row r="213" spans="1:8" ht="14.25">
      <c r="A213" s="2580"/>
      <c r="B213" s="2581"/>
      <c r="C213" s="2581"/>
      <c r="D213" s="2581"/>
      <c r="E213" s="2581"/>
      <c r="F213" s="2582"/>
      <c r="G213" s="2580" t="s">
        <v>1070</v>
      </c>
      <c r="H213" s="2552"/>
    </row>
    <row r="214" spans="1:8" ht="15">
      <c r="A214" s="2583" t="s">
        <v>1382</v>
      </c>
      <c r="B214" s="2584"/>
      <c r="C214" s="2584"/>
      <c r="D214" s="2584"/>
      <c r="E214" s="2584"/>
      <c r="F214" s="2585"/>
      <c r="G214" s="483"/>
      <c r="H214" s="484"/>
    </row>
    <row r="215" spans="1:8" ht="32.25" customHeight="1">
      <c r="A215" s="2586"/>
      <c r="B215" s="2587"/>
      <c r="C215" s="2587"/>
      <c r="D215" s="2587"/>
      <c r="E215" s="2587"/>
      <c r="F215" s="2588"/>
      <c r="G215" s="2589" t="s">
        <v>1381</v>
      </c>
      <c r="H215" s="2552"/>
    </row>
    <row r="216" spans="1:8" ht="15">
      <c r="A216" s="482"/>
      <c r="B216" s="551"/>
      <c r="C216" s="551"/>
      <c r="D216" s="551"/>
      <c r="E216" s="551"/>
      <c r="F216" s="551"/>
      <c r="G216" s="485"/>
      <c r="H216" s="484"/>
    </row>
    <row r="217" spans="1:8" ht="15" thickBot="1">
      <c r="A217" s="2590" t="s">
        <v>692</v>
      </c>
      <c r="B217" s="2561"/>
      <c r="C217" s="2561"/>
      <c r="D217" s="2561"/>
      <c r="E217" s="2561"/>
      <c r="F217" s="2562"/>
      <c r="G217" s="2591" t="s">
        <v>696</v>
      </c>
      <c r="H217" s="2562"/>
    </row>
    <row r="221" spans="1:8" ht="18.75">
      <c r="A221" s="2217" t="s">
        <v>757</v>
      </c>
      <c r="B221" s="2164"/>
      <c r="C221" s="2164"/>
      <c r="D221" s="2164"/>
      <c r="E221" s="2164"/>
      <c r="F221" s="2164"/>
      <c r="G221" s="2164"/>
      <c r="H221" s="2164"/>
    </row>
    <row r="222" spans="1:8" ht="18.75">
      <c r="A222" s="2185" t="s">
        <v>211</v>
      </c>
      <c r="B222" s="2164"/>
      <c r="C222" s="2164"/>
      <c r="D222" s="2164"/>
      <c r="E222" s="2164"/>
      <c r="F222" s="2164"/>
      <c r="G222" s="2164"/>
      <c r="H222" s="2164"/>
    </row>
    <row r="223" spans="1:8" ht="18.75">
      <c r="A223" s="2185" t="s">
        <v>1212</v>
      </c>
      <c r="B223" s="2164"/>
      <c r="C223" s="2164"/>
      <c r="D223" s="2164"/>
      <c r="E223" s="2164"/>
      <c r="F223" s="2164"/>
      <c r="G223" s="2164"/>
      <c r="H223" s="2164"/>
    </row>
    <row r="224" spans="1:8" ht="18.75">
      <c r="A224" s="2185" t="s">
        <v>32</v>
      </c>
      <c r="B224" s="2164"/>
      <c r="C224" s="2164"/>
      <c r="D224" s="2164"/>
      <c r="E224" s="2164"/>
      <c r="F224" s="2164"/>
      <c r="G224" s="2164"/>
      <c r="H224" s="2164"/>
    </row>
    <row r="225" spans="1:11" ht="15">
      <c r="A225" s="850"/>
      <c r="B225" s="198"/>
      <c r="C225" s="851"/>
      <c r="D225" s="41"/>
      <c r="E225" s="41"/>
      <c r="F225" s="41"/>
      <c r="G225" s="21"/>
      <c r="H225" s="203"/>
    </row>
    <row r="226" spans="1:11" ht="18.75">
      <c r="A226" s="2616" t="s">
        <v>49</v>
      </c>
      <c r="B226" s="2616"/>
      <c r="C226" s="2616"/>
      <c r="D226" s="2616"/>
      <c r="E226" s="2616"/>
      <c r="F226" s="2616"/>
      <c r="G226" s="2616"/>
      <c r="H226" s="2616"/>
    </row>
    <row r="227" spans="1:11" ht="40.5" customHeight="1">
      <c r="A227" s="2599" t="s">
        <v>1461</v>
      </c>
      <c r="B227" s="2600"/>
      <c r="C227" s="2600"/>
      <c r="D227" s="2600"/>
      <c r="E227" s="2600"/>
      <c r="F227" s="2600"/>
      <c r="G227" s="2600"/>
      <c r="H227" s="2600"/>
    </row>
    <row r="228" spans="1:11" ht="15.75" thickBot="1">
      <c r="A228" s="2567" t="s">
        <v>29</v>
      </c>
      <c r="B228" s="2568"/>
      <c r="C228" s="2568"/>
      <c r="D228" s="2568"/>
      <c r="E228" s="2568"/>
      <c r="F228" s="2569"/>
      <c r="G228" s="2570" t="s">
        <v>640</v>
      </c>
      <c r="H228" s="2572" t="s">
        <v>639</v>
      </c>
    </row>
    <row r="229" spans="1:11" ht="90.75" thickBot="1">
      <c r="A229" s="411" t="s">
        <v>39</v>
      </c>
      <c r="B229" s="412" t="s">
        <v>40</v>
      </c>
      <c r="C229" s="412" t="s">
        <v>41</v>
      </c>
      <c r="D229" s="412" t="s">
        <v>45</v>
      </c>
      <c r="E229" s="413" t="s">
        <v>42</v>
      </c>
      <c r="F229" s="407" t="s">
        <v>43</v>
      </c>
      <c r="G229" s="2571"/>
      <c r="H229" s="2595"/>
      <c r="J229" s="2617" t="s">
        <v>1463</v>
      </c>
      <c r="K229" s="2617"/>
    </row>
    <row r="230" spans="1:11" ht="15">
      <c r="A230" s="852" t="s">
        <v>380</v>
      </c>
      <c r="B230" s="853" t="s">
        <v>64</v>
      </c>
      <c r="C230" s="853" t="s">
        <v>59</v>
      </c>
      <c r="D230" s="853" t="s">
        <v>62</v>
      </c>
      <c r="E230" s="853" t="s">
        <v>65</v>
      </c>
      <c r="F230" s="854" t="s">
        <v>209</v>
      </c>
      <c r="G230" s="415" t="s">
        <v>777</v>
      </c>
      <c r="H230" s="491">
        <v>2500</v>
      </c>
    </row>
    <row r="231" spans="1:11" ht="15">
      <c r="A231" s="852"/>
      <c r="B231" s="853"/>
      <c r="C231" s="853"/>
      <c r="D231" s="853"/>
      <c r="E231" s="853"/>
      <c r="F231" s="856" t="s">
        <v>498</v>
      </c>
      <c r="G231" s="561" t="s">
        <v>725</v>
      </c>
      <c r="H231" s="491">
        <v>1000</v>
      </c>
    </row>
    <row r="232" spans="1:11" ht="15">
      <c r="A232" s="852"/>
      <c r="B232" s="853"/>
      <c r="C232" s="853"/>
      <c r="D232" s="853"/>
      <c r="E232" s="853"/>
      <c r="F232" s="856" t="s">
        <v>726</v>
      </c>
      <c r="G232" s="539" t="s">
        <v>769</v>
      </c>
      <c r="H232" s="491">
        <v>1000</v>
      </c>
    </row>
    <row r="233" spans="1:11" ht="15">
      <c r="A233" s="852"/>
      <c r="B233" s="853"/>
      <c r="C233" s="853"/>
      <c r="D233" s="853"/>
      <c r="E233" s="853"/>
      <c r="F233" s="856" t="s">
        <v>771</v>
      </c>
      <c r="G233" s="539" t="s">
        <v>1378</v>
      </c>
      <c r="H233" s="491">
        <v>5000</v>
      </c>
    </row>
    <row r="234" spans="1:11" ht="15">
      <c r="A234" s="852" t="s">
        <v>380</v>
      </c>
      <c r="B234" s="853" t="s">
        <v>64</v>
      </c>
      <c r="C234" s="853" t="s">
        <v>59</v>
      </c>
      <c r="D234" s="853" t="s">
        <v>62</v>
      </c>
      <c r="E234" s="853" t="s">
        <v>65</v>
      </c>
      <c r="F234" s="856" t="s">
        <v>735</v>
      </c>
      <c r="G234" s="540" t="s">
        <v>736</v>
      </c>
      <c r="H234" s="491">
        <v>500</v>
      </c>
    </row>
    <row r="235" spans="1:11" ht="15.75" thickBot="1">
      <c r="A235" s="1627"/>
      <c r="B235" s="1628"/>
      <c r="C235" s="1628"/>
      <c r="D235" s="1628"/>
      <c r="E235" s="1629"/>
      <c r="F235" s="1630"/>
      <c r="G235" s="1631"/>
      <c r="H235" s="1632">
        <f>SUM(H230:H234)</f>
        <v>10000</v>
      </c>
    </row>
    <row r="236" spans="1:11" ht="15.75" thickBot="1">
      <c r="A236" s="200"/>
      <c r="B236" s="200"/>
      <c r="C236" s="201"/>
      <c r="D236" s="202"/>
      <c r="E236" s="202"/>
      <c r="F236" s="202"/>
      <c r="G236" s="21"/>
      <c r="H236" s="203"/>
    </row>
    <row r="237" spans="1:11" ht="15">
      <c r="A237" s="2541" t="s">
        <v>1116</v>
      </c>
      <c r="B237" s="2542"/>
      <c r="C237" s="2542"/>
      <c r="D237" s="2542"/>
      <c r="E237" s="2542"/>
      <c r="F237" s="2542"/>
      <c r="G237" s="2543" t="s">
        <v>1323</v>
      </c>
      <c r="H237" s="2544"/>
    </row>
    <row r="238" spans="1:11" ht="15">
      <c r="A238" s="857"/>
      <c r="B238" s="47"/>
      <c r="C238" s="160"/>
      <c r="D238" s="160"/>
      <c r="E238" s="160"/>
      <c r="F238" s="160"/>
      <c r="G238" s="858"/>
      <c r="H238" s="859"/>
    </row>
    <row r="239" spans="1:11" ht="39.75" customHeight="1">
      <c r="A239" s="2551" t="s">
        <v>1461</v>
      </c>
      <c r="B239" s="2598"/>
      <c r="C239" s="2598"/>
      <c r="D239" s="2598"/>
      <c r="E239" s="2598"/>
      <c r="F239" s="2552"/>
      <c r="G239" s="2551" t="s">
        <v>1069</v>
      </c>
      <c r="H239" s="2552"/>
    </row>
    <row r="240" spans="1:11" ht="15">
      <c r="A240" s="2553" t="s">
        <v>1462</v>
      </c>
      <c r="B240" s="2554"/>
      <c r="C240" s="2554"/>
      <c r="D240" s="2554"/>
      <c r="E240" s="2554"/>
      <c r="F240" s="2555"/>
      <c r="G240" s="858"/>
      <c r="H240" s="859"/>
    </row>
    <row r="241" spans="1:8" ht="31.5" customHeight="1">
      <c r="A241" s="2556"/>
      <c r="B241" s="2557"/>
      <c r="C241" s="2557"/>
      <c r="D241" s="2557"/>
      <c r="E241" s="2557"/>
      <c r="F241" s="2558"/>
      <c r="G241" s="2559" t="s">
        <v>988</v>
      </c>
      <c r="H241" s="2552"/>
    </row>
    <row r="242" spans="1:8" ht="15">
      <c r="A242" s="857"/>
      <c r="B242" s="47"/>
      <c r="C242" s="47"/>
      <c r="D242" s="47"/>
      <c r="E242" s="47"/>
      <c r="F242" s="47"/>
      <c r="G242" s="860"/>
      <c r="H242" s="859"/>
    </row>
    <row r="243" spans="1:8" ht="15" thickBot="1">
      <c r="A243" s="2560" t="s">
        <v>692</v>
      </c>
      <c r="B243" s="2561"/>
      <c r="C243" s="2561"/>
      <c r="D243" s="2561"/>
      <c r="E243" s="2561"/>
      <c r="F243" s="2562"/>
      <c r="G243" s="2563" t="s">
        <v>696</v>
      </c>
      <c r="H243" s="2562"/>
    </row>
    <row r="249" spans="1:8" ht="18.75">
      <c r="A249" s="2162" t="s">
        <v>111</v>
      </c>
      <c r="B249" s="2164"/>
      <c r="C249" s="2164"/>
      <c r="D249" s="2164"/>
      <c r="E249" s="2164"/>
      <c r="F249" s="2164"/>
      <c r="G249" s="2164"/>
      <c r="H249" s="2164"/>
    </row>
    <row r="250" spans="1:8" ht="18.75">
      <c r="A250" s="2162" t="s">
        <v>757</v>
      </c>
      <c r="B250" s="2164"/>
      <c r="C250" s="2164"/>
      <c r="D250" s="2164"/>
      <c r="E250" s="2164"/>
      <c r="F250" s="2164"/>
      <c r="G250" s="2164"/>
      <c r="H250" s="2164"/>
    </row>
    <row r="251" spans="1:8" ht="18.75">
      <c r="A251" s="2163" t="s">
        <v>211</v>
      </c>
      <c r="B251" s="2164"/>
      <c r="C251" s="2164"/>
      <c r="D251" s="2164"/>
      <c r="E251" s="2164"/>
      <c r="F251" s="2164"/>
      <c r="G251" s="2164"/>
      <c r="H251" s="2164"/>
    </row>
    <row r="252" spans="1:8" ht="18.75">
      <c r="A252" s="2163" t="s">
        <v>1212</v>
      </c>
      <c r="B252" s="2164"/>
      <c r="C252" s="2164"/>
      <c r="D252" s="2164"/>
      <c r="E252" s="2164"/>
      <c r="F252" s="2164"/>
      <c r="G252" s="2164"/>
      <c r="H252" s="2164"/>
    </row>
    <row r="253" spans="1:8" ht="18.75">
      <c r="A253" s="2163" t="s">
        <v>32</v>
      </c>
      <c r="B253" s="2164"/>
      <c r="C253" s="2164"/>
      <c r="D253" s="2164"/>
      <c r="E253" s="2164"/>
      <c r="F253" s="2164"/>
      <c r="G253" s="2164"/>
      <c r="H253" s="2164"/>
    </row>
    <row r="254" spans="1:8" ht="15">
      <c r="A254" s="33"/>
      <c r="B254" s="5"/>
      <c r="C254" s="4"/>
      <c r="D254" s="1"/>
      <c r="E254" s="1"/>
      <c r="F254" s="1"/>
      <c r="G254" s="2"/>
      <c r="H254" s="8"/>
    </row>
    <row r="255" spans="1:8" ht="18.75">
      <c r="A255" s="2596" t="s">
        <v>49</v>
      </c>
      <c r="B255" s="2596"/>
      <c r="C255" s="2596"/>
      <c r="D255" s="2596"/>
      <c r="E255" s="2596"/>
      <c r="F255" s="2596"/>
      <c r="G255" s="2596"/>
      <c r="H255" s="2596"/>
    </row>
    <row r="256" spans="1:8" ht="42.75" customHeight="1">
      <c r="A256" s="2593" t="s">
        <v>1470</v>
      </c>
      <c r="B256" s="2594"/>
      <c r="C256" s="2594"/>
      <c r="D256" s="2594"/>
      <c r="E256" s="2594"/>
      <c r="F256" s="2594"/>
      <c r="G256" s="2594"/>
      <c r="H256" s="2594"/>
    </row>
    <row r="257" spans="1:8" ht="15.75" thickBot="1">
      <c r="A257" s="2567" t="s">
        <v>29</v>
      </c>
      <c r="B257" s="2568"/>
      <c r="C257" s="2568"/>
      <c r="D257" s="2568"/>
      <c r="E257" s="2568"/>
      <c r="F257" s="2569"/>
      <c r="G257" s="2570" t="s">
        <v>640</v>
      </c>
      <c r="H257" s="2572" t="s">
        <v>639</v>
      </c>
    </row>
    <row r="258" spans="1:8" ht="90.75" thickBot="1">
      <c r="A258" s="411" t="s">
        <v>39</v>
      </c>
      <c r="B258" s="412" t="s">
        <v>40</v>
      </c>
      <c r="C258" s="412" t="s">
        <v>41</v>
      </c>
      <c r="D258" s="412" t="s">
        <v>45</v>
      </c>
      <c r="E258" s="413" t="s">
        <v>42</v>
      </c>
      <c r="F258" s="407" t="s">
        <v>43</v>
      </c>
      <c r="G258" s="2571"/>
      <c r="H258" s="2595"/>
    </row>
    <row r="259" spans="1:8" ht="15">
      <c r="A259" s="34">
        <v>3</v>
      </c>
      <c r="B259" s="23" t="s">
        <v>64</v>
      </c>
      <c r="C259" s="23" t="s">
        <v>59</v>
      </c>
      <c r="D259" s="23" t="s">
        <v>62</v>
      </c>
      <c r="E259" s="23" t="s">
        <v>65</v>
      </c>
      <c r="F259" s="423" t="s">
        <v>209</v>
      </c>
      <c r="G259" s="415" t="s">
        <v>1047</v>
      </c>
      <c r="H259" s="24">
        <v>3000</v>
      </c>
    </row>
    <row r="260" spans="1:8" ht="15">
      <c r="A260" s="34">
        <v>3</v>
      </c>
      <c r="B260" s="23" t="s">
        <v>64</v>
      </c>
      <c r="C260" s="23" t="s">
        <v>59</v>
      </c>
      <c r="D260" s="23" t="s">
        <v>62</v>
      </c>
      <c r="E260" s="23" t="s">
        <v>65</v>
      </c>
      <c r="F260" s="538" t="s">
        <v>726</v>
      </c>
      <c r="G260" s="539" t="s">
        <v>769</v>
      </c>
      <c r="H260" s="541">
        <v>5000</v>
      </c>
    </row>
    <row r="261" spans="1:8" ht="15">
      <c r="A261" s="34">
        <v>3</v>
      </c>
      <c r="B261" s="23" t="s">
        <v>64</v>
      </c>
      <c r="C261" s="23" t="s">
        <v>59</v>
      </c>
      <c r="D261" s="23" t="s">
        <v>62</v>
      </c>
      <c r="E261" s="23" t="s">
        <v>65</v>
      </c>
      <c r="F261" s="538" t="s">
        <v>771</v>
      </c>
      <c r="G261" s="539" t="s">
        <v>770</v>
      </c>
      <c r="H261" s="541">
        <v>400</v>
      </c>
    </row>
    <row r="262" spans="1:8" ht="15">
      <c r="A262" s="34">
        <v>3</v>
      </c>
      <c r="B262" s="23" t="s">
        <v>64</v>
      </c>
      <c r="C262" s="23" t="s">
        <v>59</v>
      </c>
      <c r="D262" s="23" t="s">
        <v>62</v>
      </c>
      <c r="E262" s="23" t="s">
        <v>65</v>
      </c>
      <c r="F262" s="548" t="s">
        <v>773</v>
      </c>
      <c r="G262" s="416" t="s">
        <v>774</v>
      </c>
      <c r="H262" s="541">
        <v>300</v>
      </c>
    </row>
    <row r="263" spans="1:8" ht="15">
      <c r="A263" s="34" t="s">
        <v>380</v>
      </c>
      <c r="B263" s="23" t="s">
        <v>64</v>
      </c>
      <c r="C263" s="23" t="s">
        <v>59</v>
      </c>
      <c r="D263" s="23" t="s">
        <v>62</v>
      </c>
      <c r="E263" s="23" t="s">
        <v>65</v>
      </c>
      <c r="F263" s="548" t="s">
        <v>657</v>
      </c>
      <c r="G263" s="419" t="s">
        <v>658</v>
      </c>
      <c r="H263" s="541">
        <v>300</v>
      </c>
    </row>
    <row r="264" spans="1:8" ht="15">
      <c r="A264" s="34" t="s">
        <v>380</v>
      </c>
      <c r="B264" s="23" t="s">
        <v>64</v>
      </c>
      <c r="C264" s="23" t="s">
        <v>59</v>
      </c>
      <c r="D264" s="23" t="s">
        <v>62</v>
      </c>
      <c r="E264" s="23" t="s">
        <v>65</v>
      </c>
      <c r="F264" s="548" t="s">
        <v>677</v>
      </c>
      <c r="G264" s="416" t="s">
        <v>776</v>
      </c>
      <c r="H264" s="541">
        <v>500</v>
      </c>
    </row>
    <row r="265" spans="1:8" ht="15">
      <c r="A265" s="34">
        <v>3</v>
      </c>
      <c r="B265" s="23" t="s">
        <v>64</v>
      </c>
      <c r="C265" s="23" t="s">
        <v>59</v>
      </c>
      <c r="D265" s="23" t="s">
        <v>62</v>
      </c>
      <c r="E265" s="23" t="s">
        <v>65</v>
      </c>
      <c r="F265" s="424" t="s">
        <v>735</v>
      </c>
      <c r="G265" s="540" t="s">
        <v>736</v>
      </c>
      <c r="H265" s="18">
        <v>500</v>
      </c>
    </row>
    <row r="266" spans="1:8" ht="15.75" thickBot="1">
      <c r="A266" s="1633"/>
      <c r="B266" s="1634"/>
      <c r="C266" s="1634"/>
      <c r="D266" s="1634"/>
      <c r="E266" s="1635"/>
      <c r="F266" s="1636"/>
      <c r="G266" s="1637"/>
      <c r="H266" s="1638">
        <f>SUM(H259:H265)</f>
        <v>10000</v>
      </c>
    </row>
    <row r="267" spans="1:8" ht="15.75" thickBot="1">
      <c r="A267" s="9"/>
      <c r="B267" s="9"/>
      <c r="C267" s="10"/>
      <c r="D267" s="3"/>
      <c r="E267" s="3"/>
      <c r="F267" s="3"/>
      <c r="G267" s="2"/>
      <c r="H267" s="8"/>
    </row>
    <row r="268" spans="1:8" ht="15">
      <c r="A268" s="2573" t="s">
        <v>1471</v>
      </c>
      <c r="B268" s="2574"/>
      <c r="C268" s="2574"/>
      <c r="D268" s="2574"/>
      <c r="E268" s="2574"/>
      <c r="F268" s="2574"/>
      <c r="G268" s="2575" t="s">
        <v>1323</v>
      </c>
      <c r="H268" s="2576"/>
    </row>
    <row r="269" spans="1:8" ht="15">
      <c r="A269" s="2577" t="s">
        <v>1470</v>
      </c>
      <c r="B269" s="2578"/>
      <c r="C269" s="2578"/>
      <c r="D269" s="2578"/>
      <c r="E269" s="2578"/>
      <c r="F269" s="2579"/>
      <c r="G269" s="483"/>
      <c r="H269" s="484"/>
    </row>
    <row r="270" spans="1:8" ht="14.25" customHeight="1">
      <c r="A270" s="2580"/>
      <c r="B270" s="2581"/>
      <c r="C270" s="2581"/>
      <c r="D270" s="2581"/>
      <c r="E270" s="2581"/>
      <c r="F270" s="2582"/>
      <c r="G270" s="2580" t="s">
        <v>1069</v>
      </c>
      <c r="H270" s="2552"/>
    </row>
    <row r="271" spans="1:8" ht="15">
      <c r="A271" s="2597" t="s">
        <v>826</v>
      </c>
      <c r="B271" s="2584"/>
      <c r="C271" s="2584"/>
      <c r="D271" s="2584"/>
      <c r="E271" s="2584"/>
      <c r="F271" s="2585"/>
      <c r="G271" s="483"/>
      <c r="H271" s="484"/>
    </row>
    <row r="272" spans="1:8" ht="47.25" customHeight="1">
      <c r="A272" s="2586"/>
      <c r="B272" s="2587"/>
      <c r="C272" s="2587"/>
      <c r="D272" s="2587"/>
      <c r="E272" s="2587"/>
      <c r="F272" s="2588"/>
      <c r="G272" s="2589" t="s">
        <v>695</v>
      </c>
      <c r="H272" s="2552"/>
    </row>
    <row r="273" spans="1:8" ht="15">
      <c r="A273" s="482"/>
      <c r="B273" s="551"/>
      <c r="C273" s="551"/>
      <c r="D273" s="551"/>
      <c r="E273" s="551"/>
      <c r="F273" s="551"/>
      <c r="G273" s="485"/>
      <c r="H273" s="484"/>
    </row>
    <row r="274" spans="1:8" ht="15" thickBot="1">
      <c r="A274" s="2590" t="s">
        <v>692</v>
      </c>
      <c r="B274" s="2561"/>
      <c r="C274" s="2561"/>
      <c r="D274" s="2561"/>
      <c r="E274" s="2561"/>
      <c r="F274" s="2562"/>
      <c r="G274" s="2591" t="s">
        <v>696</v>
      </c>
      <c r="H274" s="2562"/>
    </row>
    <row r="279" spans="1:8" ht="18.75">
      <c r="A279" s="2217" t="s">
        <v>111</v>
      </c>
      <c r="B279" s="2217"/>
      <c r="C279" s="2217"/>
      <c r="D279" s="2217"/>
      <c r="E279" s="2217"/>
      <c r="F279" s="2217"/>
      <c r="G279" s="2217"/>
      <c r="H279" s="2217"/>
    </row>
    <row r="280" spans="1:8" ht="18.75">
      <c r="A280" s="2217" t="s">
        <v>110</v>
      </c>
      <c r="B280" s="2217"/>
      <c r="C280" s="2217"/>
      <c r="D280" s="2217"/>
      <c r="E280" s="2217"/>
      <c r="F280" s="2217"/>
      <c r="G280" s="2217"/>
      <c r="H280" s="2217"/>
    </row>
    <row r="281" spans="1:8" ht="18.75">
      <c r="A281" s="2185" t="s">
        <v>211</v>
      </c>
      <c r="B281" s="2164"/>
      <c r="C281" s="2164"/>
      <c r="D281" s="2164"/>
      <c r="E281" s="2164"/>
      <c r="F281" s="2164"/>
      <c r="G281" s="2164"/>
      <c r="H281" s="2164"/>
    </row>
    <row r="282" spans="1:8" ht="18.75">
      <c r="A282" s="2185" t="s">
        <v>1212</v>
      </c>
      <c r="B282" s="2164"/>
      <c r="C282" s="2164"/>
      <c r="D282" s="2164"/>
      <c r="E282" s="2164"/>
      <c r="F282" s="2164"/>
      <c r="G282" s="2164"/>
      <c r="H282" s="2164"/>
    </row>
    <row r="283" spans="1:8" ht="18.75">
      <c r="A283" s="2185" t="s">
        <v>32</v>
      </c>
      <c r="B283" s="2164"/>
      <c r="C283" s="2164"/>
      <c r="D283" s="2164"/>
      <c r="E283" s="2164"/>
      <c r="F283" s="2164"/>
      <c r="G283" s="2164"/>
      <c r="H283" s="2164"/>
    </row>
    <row r="284" spans="1:8" ht="15">
      <c r="A284" s="850"/>
      <c r="B284" s="198"/>
      <c r="C284" s="851"/>
      <c r="D284" s="41"/>
      <c r="E284" s="41"/>
      <c r="F284" s="41"/>
      <c r="G284" s="21"/>
      <c r="H284" s="203"/>
    </row>
    <row r="285" spans="1:8" ht="18.75">
      <c r="A285" s="2564" t="s">
        <v>49</v>
      </c>
      <c r="B285" s="2564"/>
      <c r="C285" s="2564"/>
      <c r="D285" s="2564"/>
      <c r="E285" s="2564"/>
      <c r="F285" s="2564"/>
      <c r="G285" s="2564"/>
      <c r="H285" s="2564"/>
    </row>
    <row r="286" spans="1:8" ht="52.5" customHeight="1">
      <c r="A286" s="2611" t="s">
        <v>1493</v>
      </c>
      <c r="B286" s="2612"/>
      <c r="C286" s="2612"/>
      <c r="D286" s="2612"/>
      <c r="E286" s="2612"/>
      <c r="F286" s="2612"/>
      <c r="G286" s="2612"/>
      <c r="H286" s="2612"/>
    </row>
    <row r="287" spans="1:8" ht="15.75" thickBot="1">
      <c r="A287" s="2567" t="s">
        <v>29</v>
      </c>
      <c r="B287" s="2568"/>
      <c r="C287" s="2568"/>
      <c r="D287" s="2568"/>
      <c r="E287" s="2568"/>
      <c r="F287" s="2569"/>
      <c r="G287" s="2570" t="s">
        <v>640</v>
      </c>
      <c r="H287" s="2572" t="s">
        <v>639</v>
      </c>
    </row>
    <row r="288" spans="1:8" ht="90.75" thickBot="1">
      <c r="A288" s="411" t="s">
        <v>39</v>
      </c>
      <c r="B288" s="412" t="s">
        <v>40</v>
      </c>
      <c r="C288" s="412" t="s">
        <v>41</v>
      </c>
      <c r="D288" s="412" t="s">
        <v>45</v>
      </c>
      <c r="E288" s="413" t="s">
        <v>42</v>
      </c>
      <c r="F288" s="407" t="s">
        <v>43</v>
      </c>
      <c r="G288" s="2571"/>
      <c r="H288" s="2572"/>
    </row>
    <row r="289" spans="1:8" ht="15">
      <c r="A289" s="852" t="s">
        <v>380</v>
      </c>
      <c r="B289" s="853" t="s">
        <v>64</v>
      </c>
      <c r="C289" s="853" t="s">
        <v>59</v>
      </c>
      <c r="D289" s="853" t="s">
        <v>62</v>
      </c>
      <c r="E289" s="853" t="s">
        <v>65</v>
      </c>
      <c r="F289" s="854" t="s">
        <v>209</v>
      </c>
      <c r="G289" s="561" t="s">
        <v>724</v>
      </c>
      <c r="H289" s="855">
        <v>5000</v>
      </c>
    </row>
    <row r="290" spans="1:8" ht="28.5">
      <c r="A290" s="852" t="s">
        <v>380</v>
      </c>
      <c r="B290" s="853" t="s">
        <v>64</v>
      </c>
      <c r="C290" s="853" t="s">
        <v>59</v>
      </c>
      <c r="D290" s="853" t="s">
        <v>62</v>
      </c>
      <c r="E290" s="853" t="s">
        <v>65</v>
      </c>
      <c r="F290" s="424" t="s">
        <v>726</v>
      </c>
      <c r="G290" s="416" t="s">
        <v>727</v>
      </c>
      <c r="H290" s="855">
        <v>7750</v>
      </c>
    </row>
    <row r="291" spans="1:8" ht="28.5">
      <c r="A291" s="852" t="s">
        <v>380</v>
      </c>
      <c r="B291" s="853" t="s">
        <v>64</v>
      </c>
      <c r="C291" s="853" t="s">
        <v>59</v>
      </c>
      <c r="D291" s="853" t="s">
        <v>62</v>
      </c>
      <c r="E291" s="853" t="s">
        <v>65</v>
      </c>
      <c r="F291" s="425">
        <v>54112</v>
      </c>
      <c r="G291" s="416" t="s">
        <v>728</v>
      </c>
      <c r="H291" s="855">
        <v>1000</v>
      </c>
    </row>
    <row r="292" spans="1:8" ht="15">
      <c r="A292" s="852" t="s">
        <v>380</v>
      </c>
      <c r="B292" s="853" t="s">
        <v>64</v>
      </c>
      <c r="C292" s="853" t="s">
        <v>59</v>
      </c>
      <c r="D292" s="853" t="s">
        <v>62</v>
      </c>
      <c r="E292" s="853" t="s">
        <v>65</v>
      </c>
      <c r="F292" s="425">
        <v>54118</v>
      </c>
      <c r="G292" s="416" t="s">
        <v>729</v>
      </c>
      <c r="H292" s="855">
        <v>500</v>
      </c>
    </row>
    <row r="293" spans="1:8" ht="15">
      <c r="A293" s="852" t="s">
        <v>380</v>
      </c>
      <c r="B293" s="853" t="s">
        <v>64</v>
      </c>
      <c r="C293" s="853" t="s">
        <v>59</v>
      </c>
      <c r="D293" s="853" t="s">
        <v>62</v>
      </c>
      <c r="E293" s="853" t="s">
        <v>65</v>
      </c>
      <c r="F293" s="856" t="s">
        <v>735</v>
      </c>
      <c r="G293" s="539" t="s">
        <v>1494</v>
      </c>
      <c r="H293" s="855">
        <v>750</v>
      </c>
    </row>
    <row r="294" spans="1:8" ht="15.75" thickBot="1">
      <c r="A294" s="1627"/>
      <c r="B294" s="1628"/>
      <c r="C294" s="1628"/>
      <c r="D294" s="1628"/>
      <c r="E294" s="1629"/>
      <c r="F294" s="1630"/>
      <c r="G294" s="1631"/>
      <c r="H294" s="1632">
        <f>SUM(H289:H293)</f>
        <v>15000</v>
      </c>
    </row>
    <row r="295" spans="1:8" ht="15.75" thickBot="1">
      <c r="A295" s="200"/>
      <c r="B295" s="200"/>
      <c r="C295" s="201"/>
      <c r="D295" s="202"/>
      <c r="E295" s="202"/>
      <c r="F295" s="202"/>
      <c r="G295" s="21"/>
      <c r="H295" s="203"/>
    </row>
    <row r="296" spans="1:8" ht="15">
      <c r="A296" s="2541" t="s">
        <v>1496</v>
      </c>
      <c r="B296" s="2542"/>
      <c r="C296" s="2542"/>
      <c r="D296" s="2542"/>
      <c r="E296" s="2542"/>
      <c r="F296" s="2542"/>
      <c r="G296" s="2543" t="s">
        <v>1323</v>
      </c>
      <c r="H296" s="2544"/>
    </row>
    <row r="297" spans="1:8" ht="15">
      <c r="A297" s="2545" t="s">
        <v>1493</v>
      </c>
      <c r="B297" s="2546"/>
      <c r="C297" s="2546"/>
      <c r="D297" s="2546"/>
      <c r="E297" s="2546"/>
      <c r="F297" s="2547"/>
      <c r="G297" s="858"/>
      <c r="H297" s="859"/>
    </row>
    <row r="298" spans="1:8" ht="28.5" customHeight="1">
      <c r="A298" s="2548"/>
      <c r="B298" s="2549"/>
      <c r="C298" s="2549"/>
      <c r="D298" s="2549"/>
      <c r="E298" s="2549"/>
      <c r="F298" s="2550"/>
      <c r="G298" s="2551" t="s">
        <v>694</v>
      </c>
      <c r="H298" s="2552"/>
    </row>
    <row r="299" spans="1:8" ht="15">
      <c r="A299" s="2553" t="s">
        <v>1495</v>
      </c>
      <c r="B299" s="2554"/>
      <c r="C299" s="2554"/>
      <c r="D299" s="2554"/>
      <c r="E299" s="2554"/>
      <c r="F299" s="2555"/>
      <c r="G299" s="858"/>
      <c r="H299" s="859"/>
    </row>
    <row r="300" spans="1:8" ht="33.75" customHeight="1">
      <c r="A300" s="2556"/>
      <c r="B300" s="2557"/>
      <c r="C300" s="2557"/>
      <c r="D300" s="2557"/>
      <c r="E300" s="2557"/>
      <c r="F300" s="2558"/>
      <c r="G300" s="2559" t="s">
        <v>772</v>
      </c>
      <c r="H300" s="2552"/>
    </row>
    <row r="301" spans="1:8" ht="15">
      <c r="A301" s="857"/>
      <c r="B301" s="47"/>
      <c r="C301" s="47"/>
      <c r="D301" s="47"/>
      <c r="E301" s="47"/>
      <c r="F301" s="47"/>
      <c r="G301" s="860"/>
      <c r="H301" s="859"/>
    </row>
    <row r="302" spans="1:8" ht="15" thickBot="1">
      <c r="A302" s="2560" t="s">
        <v>692</v>
      </c>
      <c r="B302" s="2561"/>
      <c r="C302" s="2561"/>
      <c r="D302" s="2561"/>
      <c r="E302" s="2561"/>
      <c r="F302" s="2562"/>
      <c r="G302" s="2563" t="s">
        <v>696</v>
      </c>
      <c r="H302" s="2562"/>
    </row>
    <row r="306" spans="1:8" ht="18.75">
      <c r="A306" s="2217" t="s">
        <v>111</v>
      </c>
      <c r="B306" s="2217"/>
      <c r="C306" s="2217"/>
      <c r="D306" s="2217"/>
      <c r="E306" s="2217"/>
      <c r="F306" s="2217"/>
      <c r="G306" s="2217"/>
      <c r="H306" s="2217"/>
    </row>
    <row r="307" spans="1:8" ht="18.75">
      <c r="A307" s="2217" t="s">
        <v>110</v>
      </c>
      <c r="B307" s="2217"/>
      <c r="C307" s="2217"/>
      <c r="D307" s="2217"/>
      <c r="E307" s="2217"/>
      <c r="F307" s="2217"/>
      <c r="G307" s="2217"/>
      <c r="H307" s="2217"/>
    </row>
    <row r="308" spans="1:8" ht="18.75">
      <c r="A308" s="2185" t="s">
        <v>211</v>
      </c>
      <c r="B308" s="2164"/>
      <c r="C308" s="2164"/>
      <c r="D308" s="2164"/>
      <c r="E308" s="2164"/>
      <c r="F308" s="2164"/>
      <c r="G308" s="2164"/>
      <c r="H308" s="2164"/>
    </row>
    <row r="309" spans="1:8" ht="18.75">
      <c r="A309" s="2185" t="s">
        <v>1212</v>
      </c>
      <c r="B309" s="2164"/>
      <c r="C309" s="2164"/>
      <c r="D309" s="2164"/>
      <c r="E309" s="2164"/>
      <c r="F309" s="2164"/>
      <c r="G309" s="2164"/>
      <c r="H309" s="2164"/>
    </row>
    <row r="310" spans="1:8" ht="18.75">
      <c r="A310" s="2185" t="s">
        <v>32</v>
      </c>
      <c r="B310" s="2164"/>
      <c r="C310" s="2164"/>
      <c r="D310" s="2164"/>
      <c r="E310" s="2164"/>
      <c r="F310" s="2164"/>
      <c r="G310" s="2164"/>
      <c r="H310" s="2164"/>
    </row>
    <row r="311" spans="1:8" ht="15">
      <c r="A311" s="850"/>
      <c r="B311" s="198"/>
      <c r="C311" s="851"/>
      <c r="D311" s="41"/>
      <c r="E311" s="41"/>
      <c r="F311" s="41"/>
      <c r="G311" s="21"/>
      <c r="H311" s="203"/>
    </row>
    <row r="312" spans="1:8" ht="18.75">
      <c r="A312" s="2564" t="s">
        <v>49</v>
      </c>
      <c r="B312" s="2564"/>
      <c r="C312" s="2564"/>
      <c r="D312" s="2564"/>
      <c r="E312" s="2564"/>
      <c r="F312" s="2564"/>
      <c r="G312" s="2564"/>
      <c r="H312" s="2564"/>
    </row>
    <row r="313" spans="1:8" ht="47.25" customHeight="1">
      <c r="A313" s="2565" t="s">
        <v>1498</v>
      </c>
      <c r="B313" s="2566"/>
      <c r="C313" s="2566"/>
      <c r="D313" s="2566"/>
      <c r="E313" s="2566"/>
      <c r="F313" s="2566"/>
      <c r="G313" s="2566"/>
      <c r="H313" s="2566"/>
    </row>
    <row r="314" spans="1:8" ht="15.75" thickBot="1">
      <c r="A314" s="2567" t="s">
        <v>29</v>
      </c>
      <c r="B314" s="2568"/>
      <c r="C314" s="2568"/>
      <c r="D314" s="2568"/>
      <c r="E314" s="2568"/>
      <c r="F314" s="2569"/>
      <c r="G314" s="2570" t="s">
        <v>640</v>
      </c>
      <c r="H314" s="2572" t="s">
        <v>639</v>
      </c>
    </row>
    <row r="315" spans="1:8" ht="77.25" customHeight="1" thickBot="1">
      <c r="A315" s="411" t="s">
        <v>39</v>
      </c>
      <c r="B315" s="412" t="s">
        <v>40</v>
      </c>
      <c r="C315" s="412" t="s">
        <v>41</v>
      </c>
      <c r="D315" s="412" t="s">
        <v>45</v>
      </c>
      <c r="E315" s="413" t="s">
        <v>42</v>
      </c>
      <c r="F315" s="407" t="s">
        <v>43</v>
      </c>
      <c r="G315" s="2571"/>
      <c r="H315" s="2572"/>
    </row>
    <row r="316" spans="1:8" ht="15">
      <c r="A316" s="852" t="s">
        <v>380</v>
      </c>
      <c r="B316" s="853" t="s">
        <v>64</v>
      </c>
      <c r="C316" s="853" t="s">
        <v>59</v>
      </c>
      <c r="D316" s="853" t="s">
        <v>62</v>
      </c>
      <c r="E316" s="853" t="s">
        <v>65</v>
      </c>
      <c r="F316" s="854" t="s">
        <v>209</v>
      </c>
      <c r="G316" s="561" t="s">
        <v>724</v>
      </c>
      <c r="H316" s="855">
        <f>2688+312</f>
        <v>3000</v>
      </c>
    </row>
    <row r="317" spans="1:8" ht="28.5">
      <c r="A317" s="852" t="s">
        <v>380</v>
      </c>
      <c r="B317" s="853" t="s">
        <v>64</v>
      </c>
      <c r="C317" s="853" t="s">
        <v>59</v>
      </c>
      <c r="D317" s="853" t="s">
        <v>62</v>
      </c>
      <c r="E317" s="853" t="s">
        <v>65</v>
      </c>
      <c r="F317" s="424" t="s">
        <v>726</v>
      </c>
      <c r="G317" s="416" t="s">
        <v>727</v>
      </c>
      <c r="H317" s="855">
        <v>600</v>
      </c>
    </row>
    <row r="318" spans="1:8" ht="28.5">
      <c r="A318" s="852" t="s">
        <v>380</v>
      </c>
      <c r="B318" s="853" t="s">
        <v>64</v>
      </c>
      <c r="C318" s="853" t="s">
        <v>59</v>
      </c>
      <c r="D318" s="853" t="s">
        <v>62</v>
      </c>
      <c r="E318" s="853" t="s">
        <v>65</v>
      </c>
      <c r="F318" s="425">
        <v>54112</v>
      </c>
      <c r="G318" s="416" t="s">
        <v>728</v>
      </c>
      <c r="H318" s="855">
        <v>300</v>
      </c>
    </row>
    <row r="319" spans="1:8" ht="15">
      <c r="A319" s="852" t="s">
        <v>380</v>
      </c>
      <c r="B319" s="853" t="s">
        <v>64</v>
      </c>
      <c r="C319" s="853" t="s">
        <v>59</v>
      </c>
      <c r="D319" s="853" t="s">
        <v>62</v>
      </c>
      <c r="E319" s="853" t="s">
        <v>65</v>
      </c>
      <c r="F319" s="425">
        <v>54118</v>
      </c>
      <c r="G319" s="416" t="s">
        <v>729</v>
      </c>
      <c r="H319" s="855">
        <v>200</v>
      </c>
    </row>
    <row r="320" spans="1:8" ht="15">
      <c r="A320" s="852" t="s">
        <v>380</v>
      </c>
      <c r="B320" s="853" t="s">
        <v>64</v>
      </c>
      <c r="C320" s="853" t="s">
        <v>59</v>
      </c>
      <c r="D320" s="853" t="s">
        <v>62</v>
      </c>
      <c r="E320" s="853" t="s">
        <v>65</v>
      </c>
      <c r="F320" s="856" t="s">
        <v>1501</v>
      </c>
      <c r="G320" s="539" t="s">
        <v>1500</v>
      </c>
      <c r="H320" s="855">
        <v>600</v>
      </c>
    </row>
    <row r="321" spans="1:8" ht="15">
      <c r="A321" s="852" t="s">
        <v>380</v>
      </c>
      <c r="B321" s="853" t="s">
        <v>64</v>
      </c>
      <c r="C321" s="853" t="s">
        <v>59</v>
      </c>
      <c r="D321" s="853" t="s">
        <v>62</v>
      </c>
      <c r="E321" s="853" t="s">
        <v>65</v>
      </c>
      <c r="F321" s="1710" t="s">
        <v>914</v>
      </c>
      <c r="G321" s="416" t="s">
        <v>1502</v>
      </c>
      <c r="H321" s="855">
        <v>300</v>
      </c>
    </row>
    <row r="322" spans="1:8" ht="15.75" thickBot="1">
      <c r="A322" s="1627"/>
      <c r="B322" s="1628"/>
      <c r="C322" s="1628"/>
      <c r="D322" s="1628"/>
      <c r="E322" s="1629"/>
      <c r="F322" s="1630"/>
      <c r="G322" s="1631"/>
      <c r="H322" s="1632">
        <f>SUM(H316:H321)</f>
        <v>5000</v>
      </c>
    </row>
    <row r="323" spans="1:8" ht="15.75" thickBot="1">
      <c r="A323" s="200"/>
      <c r="B323" s="200"/>
      <c r="C323" s="201"/>
      <c r="D323" s="202"/>
      <c r="E323" s="202"/>
      <c r="F323" s="202"/>
      <c r="G323" s="21"/>
      <c r="H323" s="203"/>
    </row>
    <row r="324" spans="1:8" ht="15">
      <c r="A324" s="2541" t="s">
        <v>1496</v>
      </c>
      <c r="B324" s="2542"/>
      <c r="C324" s="2542"/>
      <c r="D324" s="2542"/>
      <c r="E324" s="2542"/>
      <c r="F324" s="2542"/>
      <c r="G324" s="2543" t="s">
        <v>1323</v>
      </c>
      <c r="H324" s="2544"/>
    </row>
    <row r="325" spans="1:8" ht="15">
      <c r="A325" s="2545" t="s">
        <v>1498</v>
      </c>
      <c r="B325" s="2546"/>
      <c r="C325" s="2546"/>
      <c r="D325" s="2546"/>
      <c r="E325" s="2546"/>
      <c r="F325" s="2547"/>
      <c r="G325" s="858"/>
      <c r="H325" s="859"/>
    </row>
    <row r="326" spans="1:8" ht="14.25">
      <c r="A326" s="2548"/>
      <c r="B326" s="2549"/>
      <c r="C326" s="2549"/>
      <c r="D326" s="2549"/>
      <c r="E326" s="2549"/>
      <c r="F326" s="2550"/>
      <c r="G326" s="2551" t="s">
        <v>694</v>
      </c>
      <c r="H326" s="2552"/>
    </row>
    <row r="327" spans="1:8" ht="15">
      <c r="A327" s="2553" t="s">
        <v>1499</v>
      </c>
      <c r="B327" s="2554"/>
      <c r="C327" s="2554"/>
      <c r="D327" s="2554"/>
      <c r="E327" s="2554"/>
      <c r="F327" s="2555"/>
      <c r="G327" s="858"/>
      <c r="H327" s="859"/>
    </row>
    <row r="328" spans="1:8" ht="14.25">
      <c r="A328" s="2556"/>
      <c r="B328" s="2557"/>
      <c r="C328" s="2557"/>
      <c r="D328" s="2557"/>
      <c r="E328" s="2557"/>
      <c r="F328" s="2558"/>
      <c r="G328" s="2559" t="s">
        <v>772</v>
      </c>
      <c r="H328" s="2552"/>
    </row>
    <row r="329" spans="1:8" ht="15">
      <c r="A329" s="857"/>
      <c r="B329" s="47"/>
      <c r="C329" s="47"/>
      <c r="D329" s="47"/>
      <c r="E329" s="47"/>
      <c r="F329" s="47"/>
      <c r="G329" s="860"/>
      <c r="H329" s="859"/>
    </row>
    <row r="330" spans="1:8" ht="15" thickBot="1">
      <c r="A330" s="2560" t="s">
        <v>692</v>
      </c>
      <c r="B330" s="2561"/>
      <c r="C330" s="2561"/>
      <c r="D330" s="2561"/>
      <c r="E330" s="2561"/>
      <c r="F330" s="2562"/>
      <c r="G330" s="2563" t="s">
        <v>696</v>
      </c>
      <c r="H330" s="2562"/>
    </row>
    <row r="341" spans="1:8" ht="17.25" customHeight="1"/>
    <row r="350" spans="1:8" ht="15">
      <c r="A350" s="1056"/>
      <c r="B350" s="554"/>
      <c r="C350" s="554"/>
      <c r="D350" s="554"/>
      <c r="E350" s="554"/>
      <c r="F350" s="554"/>
      <c r="G350" s="1057"/>
      <c r="H350" s="554"/>
    </row>
    <row r="351" spans="1:8" ht="15">
      <c r="A351" s="1056"/>
      <c r="B351" s="554"/>
      <c r="C351" s="554"/>
      <c r="D351" s="554"/>
      <c r="E351" s="554"/>
      <c r="F351" s="554"/>
      <c r="G351" s="1057"/>
      <c r="H351" s="554"/>
    </row>
    <row r="352" spans="1:8" ht="15">
      <c r="A352" s="1056"/>
      <c r="B352" s="554"/>
      <c r="C352" s="554"/>
      <c r="D352" s="554"/>
      <c r="E352" s="554"/>
      <c r="F352" s="554"/>
      <c r="G352" s="1057"/>
      <c r="H352" s="554"/>
    </row>
    <row r="353" spans="1:8" ht="24" customHeight="1">
      <c r="A353" s="1056"/>
      <c r="B353" s="554"/>
      <c r="C353" s="554"/>
      <c r="D353" s="554"/>
      <c r="E353" s="554"/>
      <c r="F353" s="554"/>
      <c r="G353" s="1057"/>
      <c r="H353" s="554"/>
    </row>
    <row r="354" spans="1:8" ht="15">
      <c r="A354" s="1056"/>
      <c r="B354" s="554"/>
      <c r="C354" s="554"/>
      <c r="D354" s="554"/>
      <c r="E354" s="554"/>
      <c r="F354" s="554"/>
      <c r="G354" s="1057"/>
      <c r="H354" s="554"/>
    </row>
    <row r="355" spans="1:8" ht="15">
      <c r="A355" s="1056"/>
      <c r="B355" s="554"/>
      <c r="C355" s="554"/>
      <c r="D355" s="554"/>
      <c r="E355" s="554"/>
      <c r="F355" s="554"/>
      <c r="G355" s="1057"/>
      <c r="H355" s="554"/>
    </row>
    <row r="356" spans="1:8" ht="15">
      <c r="A356" s="1056"/>
      <c r="B356" s="554"/>
      <c r="C356" s="554"/>
      <c r="D356" s="554"/>
      <c r="E356" s="554"/>
      <c r="F356" s="554"/>
      <c r="G356" s="1057"/>
      <c r="H356" s="554"/>
    </row>
    <row r="357" spans="1:8" ht="15">
      <c r="A357" s="1056"/>
      <c r="B357" s="554"/>
      <c r="C357" s="554"/>
      <c r="D357" s="554"/>
      <c r="E357" s="554"/>
      <c r="F357" s="554"/>
      <c r="G357" s="1057"/>
      <c r="H357" s="554"/>
    </row>
    <row r="358" spans="1:8" ht="15">
      <c r="A358" s="1056"/>
      <c r="B358" s="554"/>
      <c r="C358" s="554"/>
      <c r="D358" s="554"/>
      <c r="E358" s="554"/>
      <c r="F358" s="554"/>
      <c r="G358" s="1057"/>
      <c r="H358" s="554"/>
    </row>
    <row r="359" spans="1:8" ht="15">
      <c r="A359" s="1056"/>
      <c r="B359" s="554"/>
      <c r="C359" s="554"/>
      <c r="D359" s="554"/>
      <c r="E359" s="554"/>
      <c r="F359" s="554"/>
      <c r="G359" s="1057"/>
      <c r="H359" s="554"/>
    </row>
    <row r="360" spans="1:8" ht="15">
      <c r="A360" s="1056"/>
      <c r="B360" s="554"/>
      <c r="C360" s="554"/>
      <c r="D360" s="554"/>
      <c r="E360" s="554"/>
      <c r="F360" s="554"/>
      <c r="G360" s="1057"/>
      <c r="H360" s="554"/>
    </row>
    <row r="361" spans="1:8" ht="15">
      <c r="A361" s="1056"/>
      <c r="B361" s="554"/>
      <c r="C361" s="554"/>
      <c r="D361" s="554"/>
      <c r="E361" s="554"/>
      <c r="F361" s="554"/>
      <c r="G361" s="1057"/>
      <c r="H361" s="554"/>
    </row>
    <row r="362" spans="1:8" ht="15">
      <c r="A362" s="1056"/>
      <c r="B362" s="554"/>
      <c r="C362" s="554"/>
      <c r="D362" s="554"/>
      <c r="E362" s="554"/>
      <c r="F362" s="554"/>
      <c r="G362" s="1057"/>
      <c r="H362" s="554"/>
    </row>
    <row r="363" spans="1:8" ht="15" customHeight="1">
      <c r="A363" s="1056"/>
      <c r="B363" s="554"/>
      <c r="C363" s="554"/>
      <c r="D363" s="554"/>
      <c r="E363" s="554"/>
      <c r="F363" s="554"/>
      <c r="G363" s="1057"/>
      <c r="H363" s="554"/>
    </row>
    <row r="364" spans="1:8" ht="33" customHeight="1">
      <c r="A364" s="1056"/>
      <c r="B364" s="554"/>
      <c r="C364" s="554"/>
      <c r="D364" s="554"/>
      <c r="E364" s="554"/>
      <c r="F364" s="554"/>
      <c r="G364" s="1057"/>
      <c r="H364" s="554"/>
    </row>
    <row r="368" spans="1:8" ht="39" customHeight="1"/>
    <row r="369" spans="1:20" ht="18.75">
      <c r="A369" s="2162" t="s">
        <v>111</v>
      </c>
      <c r="B369" s="2162"/>
      <c r="C369" s="2162"/>
      <c r="D369" s="2162"/>
      <c r="E369" s="2162"/>
      <c r="F369" s="2162"/>
      <c r="G369" s="2162"/>
      <c r="H369" s="2162"/>
    </row>
    <row r="370" spans="1:20" ht="18.75">
      <c r="A370" s="2162" t="s">
        <v>110</v>
      </c>
      <c r="B370" s="2162"/>
      <c r="C370" s="2162"/>
      <c r="D370" s="2162"/>
      <c r="E370" s="2162"/>
      <c r="F370" s="2162"/>
      <c r="G370" s="2162"/>
      <c r="H370" s="2162"/>
    </row>
    <row r="371" spans="1:20" ht="18.75">
      <c r="A371" s="2163" t="s">
        <v>211</v>
      </c>
      <c r="B371" s="2164"/>
      <c r="C371" s="2164"/>
      <c r="D371" s="2164"/>
      <c r="E371" s="2164"/>
      <c r="F371" s="2164"/>
      <c r="G371" s="2164"/>
      <c r="H371" s="2164"/>
    </row>
    <row r="372" spans="1:20" ht="18.75">
      <c r="A372" s="2163" t="s">
        <v>641</v>
      </c>
      <c r="B372" s="2164"/>
      <c r="C372" s="2164"/>
      <c r="D372" s="2164"/>
      <c r="E372" s="2164"/>
      <c r="F372" s="2164"/>
      <c r="G372" s="2164"/>
      <c r="H372" s="2164"/>
    </row>
    <row r="373" spans="1:20" ht="18.75">
      <c r="A373" s="2163" t="s">
        <v>32</v>
      </c>
      <c r="B373" s="2164"/>
      <c r="C373" s="2164"/>
      <c r="D373" s="2164"/>
      <c r="E373" s="2164"/>
      <c r="F373" s="2164"/>
      <c r="G373" s="2164"/>
      <c r="H373" s="2164"/>
    </row>
    <row r="374" spans="1:20" ht="15">
      <c r="A374" s="33"/>
      <c r="B374" s="5"/>
      <c r="C374" s="4"/>
      <c r="D374" s="1"/>
      <c r="E374" s="1"/>
      <c r="F374" s="1"/>
      <c r="G374" s="2"/>
      <c r="H374" s="8"/>
    </row>
    <row r="375" spans="1:20" ht="18.75">
      <c r="A375" s="2596" t="s">
        <v>49</v>
      </c>
      <c r="B375" s="2596"/>
      <c r="C375" s="2596"/>
      <c r="D375" s="2596"/>
      <c r="E375" s="2596"/>
      <c r="F375" s="2596"/>
      <c r="G375" s="2596"/>
      <c r="H375" s="2596"/>
    </row>
    <row r="376" spans="1:20" ht="19.5" thickBot="1">
      <c r="A376" s="2604" t="s">
        <v>788</v>
      </c>
      <c r="B376" s="2605"/>
      <c r="C376" s="2605"/>
      <c r="D376" s="2605"/>
      <c r="E376" s="2605"/>
      <c r="F376" s="2605"/>
      <c r="G376" s="2605"/>
      <c r="H376" s="2605"/>
    </row>
    <row r="377" spans="1:20" ht="15.75" thickBot="1">
      <c r="A377" s="2606" t="s">
        <v>29</v>
      </c>
      <c r="B377" s="2607"/>
      <c r="C377" s="2607"/>
      <c r="D377" s="2607"/>
      <c r="E377" s="2607"/>
      <c r="F377" s="2608"/>
      <c r="G377" s="2609" t="s">
        <v>640</v>
      </c>
      <c r="H377" s="2610" t="s">
        <v>639</v>
      </c>
    </row>
    <row r="378" spans="1:20" ht="90.75" thickBot="1">
      <c r="A378" s="411" t="s">
        <v>39</v>
      </c>
      <c r="B378" s="412" t="s">
        <v>40</v>
      </c>
      <c r="C378" s="412" t="s">
        <v>41</v>
      </c>
      <c r="D378" s="412" t="s">
        <v>45</v>
      </c>
      <c r="E378" s="413" t="s">
        <v>42</v>
      </c>
      <c r="F378" s="407" t="s">
        <v>43</v>
      </c>
      <c r="G378" s="2571"/>
      <c r="H378" s="2572"/>
    </row>
    <row r="379" spans="1:20" ht="15">
      <c r="A379" s="34" t="s">
        <v>380</v>
      </c>
      <c r="B379" s="23" t="s">
        <v>64</v>
      </c>
      <c r="C379" s="23" t="s">
        <v>59</v>
      </c>
      <c r="D379" s="23" t="s">
        <v>62</v>
      </c>
      <c r="E379" s="23" t="s">
        <v>65</v>
      </c>
      <c r="F379" s="423" t="s">
        <v>786</v>
      </c>
      <c r="G379" s="561" t="s">
        <v>787</v>
      </c>
      <c r="H379" s="541">
        <v>9500</v>
      </c>
    </row>
    <row r="380" spans="1:20" ht="25.5" customHeight="1">
      <c r="A380" s="34" t="s">
        <v>380</v>
      </c>
      <c r="B380" s="23" t="s">
        <v>64</v>
      </c>
      <c r="C380" s="23" t="s">
        <v>59</v>
      </c>
      <c r="D380" s="23" t="s">
        <v>62</v>
      </c>
      <c r="E380" s="23" t="s">
        <v>65</v>
      </c>
      <c r="F380" s="424" t="s">
        <v>735</v>
      </c>
      <c r="G380" s="540" t="s">
        <v>736</v>
      </c>
      <c r="H380" s="563">
        <v>500</v>
      </c>
    </row>
    <row r="381" spans="1:20" ht="15.75" thickBot="1">
      <c r="A381" s="624"/>
      <c r="B381" s="625"/>
      <c r="C381" s="625"/>
      <c r="D381" s="625"/>
      <c r="E381" s="626"/>
      <c r="F381" s="627"/>
      <c r="G381" s="628"/>
      <c r="H381" s="623">
        <f>SUM(H379:H380)</f>
        <v>10000</v>
      </c>
    </row>
    <row r="382" spans="1:20" ht="15.75" thickBot="1">
      <c r="A382" s="9"/>
      <c r="B382" s="9"/>
      <c r="C382" s="10"/>
      <c r="D382" s="3"/>
      <c r="E382" s="3"/>
      <c r="F382" s="3"/>
      <c r="G382" s="2"/>
      <c r="H382" s="8"/>
      <c r="O382" s="2597" t="s">
        <v>828</v>
      </c>
      <c r="P382" s="2584"/>
      <c r="Q382" s="2584"/>
      <c r="R382" s="2584"/>
      <c r="S382" s="2584"/>
      <c r="T382" s="2585"/>
    </row>
    <row r="383" spans="1:20" ht="15">
      <c r="A383" s="2573" t="s">
        <v>693</v>
      </c>
      <c r="B383" s="2574"/>
      <c r="C383" s="2574"/>
      <c r="D383" s="2574"/>
      <c r="E383" s="2574"/>
      <c r="F383" s="2574"/>
      <c r="G383" s="2575" t="s">
        <v>715</v>
      </c>
      <c r="H383" s="2576"/>
      <c r="O383" s="2586"/>
      <c r="P383" s="2587"/>
      <c r="Q383" s="2587"/>
      <c r="R383" s="2587"/>
      <c r="S383" s="2587"/>
      <c r="T383" s="2588"/>
    </row>
    <row r="384" spans="1:20" ht="15">
      <c r="A384" s="482"/>
      <c r="B384" s="551"/>
      <c r="C384" s="19"/>
      <c r="D384" s="19"/>
      <c r="E384" s="19"/>
      <c r="F384" s="19"/>
      <c r="G384" s="483"/>
      <c r="H384" s="484"/>
    </row>
    <row r="385" spans="1:8" ht="14.25">
      <c r="A385" s="2580" t="s">
        <v>832</v>
      </c>
      <c r="B385" s="2598"/>
      <c r="C385" s="2598"/>
      <c r="D385" s="2598"/>
      <c r="E385" s="2598"/>
      <c r="F385" s="2552"/>
      <c r="G385" s="2580" t="s">
        <v>694</v>
      </c>
      <c r="H385" s="2552"/>
    </row>
    <row r="386" spans="1:8" ht="15">
      <c r="A386" s="2597" t="s">
        <v>833</v>
      </c>
      <c r="B386" s="2584"/>
      <c r="C386" s="2584"/>
      <c r="D386" s="2584"/>
      <c r="E386" s="2584"/>
      <c r="F386" s="2585"/>
      <c r="G386" s="483"/>
      <c r="H386" s="484"/>
    </row>
    <row r="387" spans="1:8" ht="14.25">
      <c r="A387" s="2586"/>
      <c r="B387" s="2587"/>
      <c r="C387" s="2587"/>
      <c r="D387" s="2587"/>
      <c r="E387" s="2587"/>
      <c r="F387" s="2588"/>
      <c r="G387" s="2589" t="s">
        <v>737</v>
      </c>
      <c r="H387" s="2552"/>
    </row>
    <row r="388" spans="1:8" ht="30" customHeight="1">
      <c r="A388" s="482"/>
      <c r="B388" s="551"/>
      <c r="C388" s="551"/>
      <c r="D388" s="551"/>
      <c r="E388" s="551"/>
      <c r="F388" s="551"/>
      <c r="G388" s="485"/>
      <c r="H388" s="484"/>
    </row>
    <row r="389" spans="1:8" ht="15" thickBot="1">
      <c r="A389" s="2590" t="s">
        <v>692</v>
      </c>
      <c r="B389" s="2561"/>
      <c r="C389" s="2561"/>
      <c r="D389" s="2561"/>
      <c r="E389" s="2561"/>
      <c r="F389" s="2562"/>
      <c r="G389" s="2591" t="s">
        <v>696</v>
      </c>
      <c r="H389" s="2562"/>
    </row>
    <row r="390" spans="1:8" ht="34.5" customHeight="1"/>
    <row r="391" spans="1:8" ht="18.75">
      <c r="A391" s="2601" t="s">
        <v>821</v>
      </c>
      <c r="B391" s="2601"/>
      <c r="C391" s="2601"/>
      <c r="D391" s="2601"/>
      <c r="E391" s="2601"/>
      <c r="F391" s="2601"/>
      <c r="G391" s="2601"/>
      <c r="H391" s="2601"/>
    </row>
    <row r="394" spans="1:8" ht="42.75" customHeight="1"/>
    <row r="396" spans="1:8" ht="18.75">
      <c r="A396" s="2162" t="s">
        <v>111</v>
      </c>
      <c r="B396" s="2162"/>
      <c r="C396" s="2162"/>
      <c r="D396" s="2162"/>
      <c r="E396" s="2162"/>
      <c r="F396" s="2162"/>
      <c r="G396" s="2162"/>
      <c r="H396" s="2162"/>
    </row>
    <row r="397" spans="1:8" ht="18.75">
      <c r="A397" s="2162" t="s">
        <v>110</v>
      </c>
      <c r="B397" s="2162"/>
      <c r="C397" s="2162"/>
      <c r="D397" s="2162"/>
      <c r="E397" s="2162"/>
      <c r="F397" s="2162"/>
      <c r="G397" s="2162"/>
      <c r="H397" s="2162"/>
    </row>
    <row r="398" spans="1:8" ht="18.75">
      <c r="A398" s="2163" t="s">
        <v>211</v>
      </c>
      <c r="B398" s="2164"/>
      <c r="C398" s="2164"/>
      <c r="D398" s="2164"/>
      <c r="E398" s="2164"/>
      <c r="F398" s="2164"/>
      <c r="G398" s="2164"/>
      <c r="H398" s="2164"/>
    </row>
    <row r="399" spans="1:8" ht="18.75">
      <c r="A399" s="2163" t="s">
        <v>641</v>
      </c>
      <c r="B399" s="2164"/>
      <c r="C399" s="2164"/>
      <c r="D399" s="2164"/>
      <c r="E399" s="2164"/>
      <c r="F399" s="2164"/>
      <c r="G399" s="2164"/>
      <c r="H399" s="2164"/>
    </row>
    <row r="400" spans="1:8" ht="18.75">
      <c r="A400" s="2163" t="s">
        <v>32</v>
      </c>
      <c r="B400" s="2164"/>
      <c r="C400" s="2164"/>
      <c r="D400" s="2164"/>
      <c r="E400" s="2164"/>
      <c r="F400" s="2164"/>
      <c r="G400" s="2164"/>
      <c r="H400" s="2164"/>
    </row>
    <row r="401" spans="1:8" ht="15">
      <c r="A401" s="33"/>
      <c r="B401" s="5"/>
      <c r="C401" s="4"/>
      <c r="D401" s="1"/>
      <c r="E401" s="1"/>
      <c r="F401" s="1"/>
      <c r="G401" s="2"/>
      <c r="H401" s="8"/>
    </row>
    <row r="402" spans="1:8" ht="18.75">
      <c r="A402" s="2596" t="s">
        <v>49</v>
      </c>
      <c r="B402" s="2596"/>
      <c r="C402" s="2596"/>
      <c r="D402" s="2596"/>
      <c r="E402" s="2596"/>
      <c r="F402" s="2596"/>
      <c r="G402" s="2596"/>
      <c r="H402" s="2596"/>
    </row>
    <row r="403" spans="1:8" ht="18.75">
      <c r="A403" s="2602" t="s">
        <v>789</v>
      </c>
      <c r="B403" s="2603"/>
      <c r="C403" s="2603"/>
      <c r="D403" s="2603"/>
      <c r="E403" s="2603"/>
      <c r="F403" s="2603"/>
      <c r="G403" s="2603"/>
      <c r="H403" s="2603"/>
    </row>
    <row r="404" spans="1:8" ht="15.75" thickBot="1">
      <c r="A404" s="2567" t="s">
        <v>29</v>
      </c>
      <c r="B404" s="2568"/>
      <c r="C404" s="2568"/>
      <c r="D404" s="2568"/>
      <c r="E404" s="2568"/>
      <c r="F404" s="2569"/>
      <c r="G404" s="2570" t="s">
        <v>640</v>
      </c>
      <c r="H404" s="2572" t="s">
        <v>639</v>
      </c>
    </row>
    <row r="405" spans="1:8" ht="90.75" thickBot="1">
      <c r="A405" s="411" t="s">
        <v>39</v>
      </c>
      <c r="B405" s="412" t="s">
        <v>40</v>
      </c>
      <c r="C405" s="412" t="s">
        <v>41</v>
      </c>
      <c r="D405" s="412" t="s">
        <v>45</v>
      </c>
      <c r="E405" s="413" t="s">
        <v>42</v>
      </c>
      <c r="F405" s="407" t="s">
        <v>43</v>
      </c>
      <c r="G405" s="2571"/>
      <c r="H405" s="2572"/>
    </row>
    <row r="406" spans="1:8" ht="15">
      <c r="A406" s="34" t="s">
        <v>380</v>
      </c>
      <c r="B406" s="23" t="s">
        <v>64</v>
      </c>
      <c r="C406" s="23" t="s">
        <v>59</v>
      </c>
      <c r="D406" s="23" t="s">
        <v>62</v>
      </c>
      <c r="E406" s="23" t="s">
        <v>65</v>
      </c>
      <c r="F406" s="423" t="s">
        <v>786</v>
      </c>
      <c r="G406" s="561" t="s">
        <v>787</v>
      </c>
      <c r="H406" s="541">
        <v>14250</v>
      </c>
    </row>
    <row r="407" spans="1:8" ht="15">
      <c r="A407" s="34" t="s">
        <v>380</v>
      </c>
      <c r="B407" s="23" t="s">
        <v>64</v>
      </c>
      <c r="C407" s="23" t="s">
        <v>59</v>
      </c>
      <c r="D407" s="23" t="s">
        <v>62</v>
      </c>
      <c r="E407" s="23" t="s">
        <v>65</v>
      </c>
      <c r="F407" s="424" t="s">
        <v>735</v>
      </c>
      <c r="G407" s="540" t="s">
        <v>736</v>
      </c>
      <c r="H407" s="563">
        <v>750</v>
      </c>
    </row>
    <row r="408" spans="1:8" ht="15.75" thickBot="1">
      <c r="A408" s="718"/>
      <c r="B408" s="719"/>
      <c r="C408" s="719"/>
      <c r="D408" s="719"/>
      <c r="E408" s="720"/>
      <c r="F408" s="721"/>
      <c r="G408" s="722"/>
      <c r="H408" s="723">
        <f>SUM(H406:H407)</f>
        <v>15000</v>
      </c>
    </row>
    <row r="409" spans="1:8" ht="15.75" thickBot="1">
      <c r="A409" s="9"/>
      <c r="B409" s="9"/>
      <c r="C409" s="10"/>
      <c r="D409" s="3"/>
      <c r="E409" s="3"/>
      <c r="F409" s="3"/>
      <c r="G409" s="2"/>
      <c r="H409" s="8"/>
    </row>
    <row r="410" spans="1:8" ht="15">
      <c r="A410" s="2573" t="s">
        <v>693</v>
      </c>
      <c r="B410" s="2574"/>
      <c r="C410" s="2574"/>
      <c r="D410" s="2574"/>
      <c r="E410" s="2574"/>
      <c r="F410" s="2574"/>
      <c r="G410" s="2575" t="s">
        <v>715</v>
      </c>
      <c r="H410" s="2576"/>
    </row>
    <row r="411" spans="1:8" ht="14.25">
      <c r="A411" s="2580" t="s">
        <v>830</v>
      </c>
      <c r="B411" s="2598"/>
      <c r="C411" s="2598"/>
      <c r="D411" s="2598"/>
      <c r="E411" s="2598"/>
      <c r="F411" s="2552"/>
      <c r="G411" s="2580" t="s">
        <v>694</v>
      </c>
      <c r="H411" s="2552"/>
    </row>
    <row r="412" spans="1:8" ht="15">
      <c r="A412" s="2597" t="s">
        <v>831</v>
      </c>
      <c r="B412" s="2584"/>
      <c r="C412" s="2584"/>
      <c r="D412" s="2584"/>
      <c r="E412" s="2584"/>
      <c r="F412" s="2585"/>
      <c r="G412" s="483"/>
      <c r="H412" s="484"/>
    </row>
    <row r="413" spans="1:8" ht="14.25">
      <c r="A413" s="2586"/>
      <c r="B413" s="2587"/>
      <c r="C413" s="2587"/>
      <c r="D413" s="2587"/>
      <c r="E413" s="2587"/>
      <c r="F413" s="2588"/>
      <c r="G413" s="2589" t="s">
        <v>737</v>
      </c>
      <c r="H413" s="2552"/>
    </row>
    <row r="414" spans="1:8" ht="15">
      <c r="A414" s="482"/>
      <c r="B414" s="551"/>
      <c r="C414" s="551"/>
      <c r="D414" s="551"/>
      <c r="E414" s="551"/>
      <c r="F414" s="551"/>
      <c r="G414" s="485"/>
      <c r="H414" s="484"/>
    </row>
    <row r="415" spans="1:8" ht="15" thickBot="1">
      <c r="A415" s="2590" t="s">
        <v>692</v>
      </c>
      <c r="B415" s="2561"/>
      <c r="C415" s="2561"/>
      <c r="D415" s="2561"/>
      <c r="E415" s="2561"/>
      <c r="F415" s="2562"/>
      <c r="G415" s="2591" t="s">
        <v>696</v>
      </c>
      <c r="H415" s="2562"/>
    </row>
    <row r="417" spans="1:8" ht="18.75">
      <c r="A417" s="2601" t="s">
        <v>821</v>
      </c>
      <c r="B417" s="2601"/>
      <c r="C417" s="2601"/>
      <c r="D417" s="2601"/>
      <c r="E417" s="2601"/>
      <c r="F417" s="2601"/>
      <c r="G417" s="2601"/>
      <c r="H417" s="2601"/>
    </row>
    <row r="420" spans="1:8" ht="30" customHeight="1"/>
    <row r="422" spans="1:8" ht="18.75">
      <c r="A422" s="2162" t="s">
        <v>111</v>
      </c>
      <c r="B422" s="2162"/>
      <c r="C422" s="2162"/>
      <c r="D422" s="2162"/>
      <c r="E422" s="2162"/>
      <c r="F422" s="2162"/>
      <c r="G422" s="2162"/>
      <c r="H422" s="2162"/>
    </row>
    <row r="423" spans="1:8" ht="18.75">
      <c r="A423" s="2162" t="s">
        <v>110</v>
      </c>
      <c r="B423" s="2162"/>
      <c r="C423" s="2162"/>
      <c r="D423" s="2162"/>
      <c r="E423" s="2162"/>
      <c r="F423" s="2162"/>
      <c r="G423" s="2162"/>
      <c r="H423" s="2162"/>
    </row>
    <row r="424" spans="1:8" ht="42.75" customHeight="1">
      <c r="A424" s="2163" t="s">
        <v>211</v>
      </c>
      <c r="B424" s="2164"/>
      <c r="C424" s="2164"/>
      <c r="D424" s="2164"/>
      <c r="E424" s="2164"/>
      <c r="F424" s="2164"/>
      <c r="G424" s="2164"/>
      <c r="H424" s="2164"/>
    </row>
    <row r="425" spans="1:8" ht="18.75">
      <c r="A425" s="2163" t="s">
        <v>641</v>
      </c>
      <c r="B425" s="2164"/>
      <c r="C425" s="2164"/>
      <c r="D425" s="2164"/>
      <c r="E425" s="2164"/>
      <c r="F425" s="2164"/>
      <c r="G425" s="2164"/>
      <c r="H425" s="2164"/>
    </row>
    <row r="426" spans="1:8" ht="18.75">
      <c r="A426" s="2163" t="s">
        <v>32</v>
      </c>
      <c r="B426" s="2164"/>
      <c r="C426" s="2164"/>
      <c r="D426" s="2164"/>
      <c r="E426" s="2164"/>
      <c r="F426" s="2164"/>
      <c r="G426" s="2164"/>
      <c r="H426" s="2164"/>
    </row>
    <row r="427" spans="1:8" ht="15">
      <c r="A427" s="33"/>
      <c r="B427" s="5"/>
      <c r="C427" s="4"/>
      <c r="D427" s="1"/>
      <c r="E427" s="1"/>
      <c r="F427" s="1"/>
      <c r="G427" s="2"/>
      <c r="H427" s="8"/>
    </row>
    <row r="428" spans="1:8" ht="18.75">
      <c r="A428" s="2596" t="s">
        <v>49</v>
      </c>
      <c r="B428" s="2596"/>
      <c r="C428" s="2596"/>
      <c r="D428" s="2596"/>
      <c r="E428" s="2596"/>
      <c r="F428" s="2596"/>
      <c r="G428" s="2596"/>
      <c r="H428" s="2596"/>
    </row>
    <row r="429" spans="1:8" ht="19.5" thickBot="1">
      <c r="A429" s="2604" t="s">
        <v>790</v>
      </c>
      <c r="B429" s="2605"/>
      <c r="C429" s="2605"/>
      <c r="D429" s="2605"/>
      <c r="E429" s="2605"/>
      <c r="F429" s="2605"/>
      <c r="G429" s="2605"/>
      <c r="H429" s="2605"/>
    </row>
    <row r="430" spans="1:8" ht="15.75" thickBot="1">
      <c r="A430" s="2606" t="s">
        <v>29</v>
      </c>
      <c r="B430" s="2607"/>
      <c r="C430" s="2607"/>
      <c r="D430" s="2607"/>
      <c r="E430" s="2607"/>
      <c r="F430" s="2608"/>
      <c r="G430" s="2609" t="s">
        <v>640</v>
      </c>
      <c r="H430" s="2610" t="s">
        <v>639</v>
      </c>
    </row>
    <row r="431" spans="1:8" ht="90.75" thickBot="1">
      <c r="A431" s="411" t="s">
        <v>39</v>
      </c>
      <c r="B431" s="412" t="s">
        <v>40</v>
      </c>
      <c r="C431" s="412" t="s">
        <v>41</v>
      </c>
      <c r="D431" s="412" t="s">
        <v>45</v>
      </c>
      <c r="E431" s="413" t="s">
        <v>42</v>
      </c>
      <c r="F431" s="407" t="s">
        <v>43</v>
      </c>
      <c r="G431" s="2571"/>
      <c r="H431" s="2572"/>
    </row>
    <row r="432" spans="1:8" ht="15">
      <c r="A432" s="34" t="s">
        <v>380</v>
      </c>
      <c r="B432" s="23" t="s">
        <v>64</v>
      </c>
      <c r="C432" s="23" t="s">
        <v>59</v>
      </c>
      <c r="D432" s="23" t="s">
        <v>62</v>
      </c>
      <c r="E432" s="23" t="s">
        <v>65</v>
      </c>
      <c r="F432" s="423" t="s">
        <v>209</v>
      </c>
      <c r="G432" s="561" t="s">
        <v>724</v>
      </c>
      <c r="H432" s="541">
        <v>4500</v>
      </c>
    </row>
    <row r="433" spans="1:8" ht="15">
      <c r="A433" s="34" t="s">
        <v>380</v>
      </c>
      <c r="B433" s="23" t="s">
        <v>64</v>
      </c>
      <c r="C433" s="23" t="s">
        <v>59</v>
      </c>
      <c r="D433" s="23" t="s">
        <v>62</v>
      </c>
      <c r="E433" s="23" t="s">
        <v>65</v>
      </c>
      <c r="F433" s="424" t="s">
        <v>752</v>
      </c>
      <c r="G433" s="562" t="s">
        <v>791</v>
      </c>
      <c r="H433" s="541">
        <v>2000</v>
      </c>
    </row>
    <row r="434" spans="1:8" ht="15">
      <c r="A434" s="34" t="s">
        <v>380</v>
      </c>
      <c r="B434" s="23" t="s">
        <v>64</v>
      </c>
      <c r="C434" s="23" t="s">
        <v>59</v>
      </c>
      <c r="D434" s="23" t="s">
        <v>62</v>
      </c>
      <c r="E434" s="23" t="s">
        <v>65</v>
      </c>
      <c r="F434" s="424" t="s">
        <v>657</v>
      </c>
      <c r="G434" s="539" t="s">
        <v>775</v>
      </c>
      <c r="H434" s="541">
        <v>1000</v>
      </c>
    </row>
    <row r="435" spans="1:8" ht="15">
      <c r="A435" s="34" t="s">
        <v>380</v>
      </c>
      <c r="B435" s="23" t="s">
        <v>64</v>
      </c>
      <c r="C435" s="23" t="s">
        <v>59</v>
      </c>
      <c r="D435" s="23" t="s">
        <v>62</v>
      </c>
      <c r="E435" s="23" t="s">
        <v>65</v>
      </c>
      <c r="F435" s="424" t="s">
        <v>677</v>
      </c>
      <c r="G435" s="539" t="s">
        <v>776</v>
      </c>
      <c r="H435" s="541">
        <v>2500</v>
      </c>
    </row>
    <row r="436" spans="1:8" ht="27" customHeight="1">
      <c r="A436" s="34" t="s">
        <v>380</v>
      </c>
      <c r="B436" s="23" t="s">
        <v>64</v>
      </c>
      <c r="C436" s="23" t="s">
        <v>59</v>
      </c>
      <c r="D436" s="23" t="s">
        <v>62</v>
      </c>
      <c r="E436" s="23" t="s">
        <v>65</v>
      </c>
      <c r="F436" s="424"/>
      <c r="G436" s="540"/>
      <c r="H436" s="563"/>
    </row>
    <row r="437" spans="1:8" ht="15.75" thickBot="1">
      <c r="A437" s="624"/>
      <c r="B437" s="625"/>
      <c r="C437" s="625"/>
      <c r="D437" s="625"/>
      <c r="E437" s="626"/>
      <c r="F437" s="627"/>
      <c r="G437" s="628"/>
      <c r="H437" s="623">
        <f>SUM(H432:H436)</f>
        <v>10000</v>
      </c>
    </row>
    <row r="438" spans="1:8" ht="15.75" thickBot="1">
      <c r="A438" s="9"/>
      <c r="B438" s="9"/>
      <c r="C438" s="10"/>
      <c r="D438" s="3"/>
      <c r="E438" s="3"/>
      <c r="F438" s="3"/>
      <c r="G438" s="2"/>
      <c r="H438" s="8"/>
    </row>
    <row r="439" spans="1:8" ht="15">
      <c r="A439" s="2573" t="s">
        <v>693</v>
      </c>
      <c r="B439" s="2574"/>
      <c r="C439" s="2574"/>
      <c r="D439" s="2574"/>
      <c r="E439" s="2574"/>
      <c r="F439" s="2574"/>
      <c r="G439" s="2575" t="s">
        <v>715</v>
      </c>
      <c r="H439" s="2576"/>
    </row>
    <row r="440" spans="1:8" ht="15">
      <c r="A440" s="482"/>
      <c r="B440" s="551"/>
      <c r="C440" s="19"/>
      <c r="D440" s="19"/>
      <c r="E440" s="19"/>
      <c r="F440" s="19"/>
      <c r="G440" s="483"/>
      <c r="H440" s="484"/>
    </row>
    <row r="441" spans="1:8" ht="14.25">
      <c r="A441" s="2580" t="s">
        <v>829</v>
      </c>
      <c r="B441" s="2598"/>
      <c r="C441" s="2598"/>
      <c r="D441" s="2598"/>
      <c r="E441" s="2598"/>
      <c r="F441" s="2552"/>
      <c r="G441" s="2580" t="s">
        <v>694</v>
      </c>
      <c r="H441" s="2552"/>
    </row>
    <row r="442" spans="1:8" ht="15">
      <c r="A442" s="2597" t="s">
        <v>827</v>
      </c>
      <c r="B442" s="2584"/>
      <c r="C442" s="2584"/>
      <c r="D442" s="2584"/>
      <c r="E442" s="2584"/>
      <c r="F442" s="2585"/>
      <c r="G442" s="483"/>
      <c r="H442" s="484"/>
    </row>
    <row r="443" spans="1:8" ht="14.25">
      <c r="A443" s="2586"/>
      <c r="B443" s="2587"/>
      <c r="C443" s="2587"/>
      <c r="D443" s="2587"/>
      <c r="E443" s="2587"/>
      <c r="F443" s="2588"/>
      <c r="G443" s="2589" t="s">
        <v>772</v>
      </c>
      <c r="H443" s="2552"/>
    </row>
    <row r="444" spans="1:8" ht="15">
      <c r="A444" s="482"/>
      <c r="B444" s="551"/>
      <c r="C444" s="551"/>
      <c r="D444" s="551"/>
      <c r="E444" s="551"/>
      <c r="F444" s="551"/>
      <c r="G444" s="485"/>
      <c r="H444" s="484"/>
    </row>
    <row r="445" spans="1:8" ht="15" thickBot="1">
      <c r="A445" s="2590" t="s">
        <v>692</v>
      </c>
      <c r="B445" s="2561"/>
      <c r="C445" s="2561"/>
      <c r="D445" s="2561"/>
      <c r="E445" s="2561"/>
      <c r="F445" s="2562"/>
      <c r="G445" s="2591" t="s">
        <v>696</v>
      </c>
      <c r="H445" s="2562"/>
    </row>
    <row r="447" spans="1:8" ht="18.75">
      <c r="A447" s="2601" t="s">
        <v>821</v>
      </c>
      <c r="B447" s="2601"/>
      <c r="C447" s="2601"/>
      <c r="D447" s="2601"/>
      <c r="E447" s="2601"/>
      <c r="F447" s="2601"/>
      <c r="G447" s="2601"/>
      <c r="H447" s="2601"/>
    </row>
    <row r="449" spans="1:8" ht="22.5" customHeight="1"/>
    <row r="451" spans="1:8" ht="44.25" customHeight="1"/>
    <row r="452" spans="1:8" ht="18.75">
      <c r="A452" s="2162" t="s">
        <v>111</v>
      </c>
      <c r="B452" s="2164"/>
      <c r="C452" s="2164"/>
      <c r="D452" s="2164"/>
      <c r="E452" s="2164"/>
      <c r="F452" s="2164"/>
      <c r="G452" s="2164"/>
      <c r="H452" s="2164"/>
    </row>
    <row r="453" spans="1:8" ht="18.75">
      <c r="A453" s="2162" t="s">
        <v>757</v>
      </c>
      <c r="B453" s="2164"/>
      <c r="C453" s="2164"/>
      <c r="D453" s="2164"/>
      <c r="E453" s="2164"/>
      <c r="F453" s="2164"/>
      <c r="G453" s="2164"/>
      <c r="H453" s="2164"/>
    </row>
    <row r="454" spans="1:8" ht="18.75">
      <c r="A454" s="2163" t="s">
        <v>211</v>
      </c>
      <c r="B454" s="2164"/>
      <c r="C454" s="2164"/>
      <c r="D454" s="2164"/>
      <c r="E454" s="2164"/>
      <c r="F454" s="2164"/>
      <c r="G454" s="2164"/>
      <c r="H454" s="2164"/>
    </row>
    <row r="455" spans="1:8" ht="41.25" customHeight="1">
      <c r="A455" s="2163" t="s">
        <v>641</v>
      </c>
      <c r="B455" s="2164"/>
      <c r="C455" s="2164"/>
      <c r="D455" s="2164"/>
      <c r="E455" s="2164"/>
      <c r="F455" s="2164"/>
      <c r="G455" s="2164"/>
      <c r="H455" s="2164"/>
    </row>
    <row r="456" spans="1:8" ht="18.75">
      <c r="A456" s="2163" t="s">
        <v>32</v>
      </c>
      <c r="B456" s="2164"/>
      <c r="C456" s="2164"/>
      <c r="D456" s="2164"/>
      <c r="E456" s="2164"/>
      <c r="F456" s="2164"/>
      <c r="G456" s="2164"/>
      <c r="H456" s="2164"/>
    </row>
    <row r="457" spans="1:8" ht="15">
      <c r="A457" s="33"/>
      <c r="B457" s="5"/>
      <c r="C457" s="4"/>
      <c r="D457" s="1"/>
      <c r="E457" s="1"/>
      <c r="F457" s="1"/>
      <c r="G457" s="2"/>
      <c r="H457" s="8"/>
    </row>
    <row r="458" spans="1:8" ht="18.75">
      <c r="A458" s="2596" t="s">
        <v>49</v>
      </c>
      <c r="B458" s="2596"/>
      <c r="C458" s="2596"/>
      <c r="D458" s="2596"/>
      <c r="E458" s="2596"/>
      <c r="F458" s="2596"/>
      <c r="G458" s="2596"/>
      <c r="H458" s="2596"/>
    </row>
    <row r="459" spans="1:8" ht="18.75">
      <c r="A459" s="2602" t="s">
        <v>792</v>
      </c>
      <c r="B459" s="2603"/>
      <c r="C459" s="2603"/>
      <c r="D459" s="2603"/>
      <c r="E459" s="2603"/>
      <c r="F459" s="2603"/>
      <c r="G459" s="2603"/>
      <c r="H459" s="2603"/>
    </row>
    <row r="460" spans="1:8" ht="15.75" thickBot="1">
      <c r="A460" s="2567" t="s">
        <v>29</v>
      </c>
      <c r="B460" s="2568"/>
      <c r="C460" s="2568"/>
      <c r="D460" s="2568"/>
      <c r="E460" s="2568"/>
      <c r="F460" s="2569"/>
      <c r="G460" s="2570" t="s">
        <v>640</v>
      </c>
      <c r="H460" s="2572" t="s">
        <v>639</v>
      </c>
    </row>
    <row r="461" spans="1:8" ht="90.75" thickBot="1">
      <c r="A461" s="411" t="s">
        <v>39</v>
      </c>
      <c r="B461" s="412" t="s">
        <v>40</v>
      </c>
      <c r="C461" s="412" t="s">
        <v>41</v>
      </c>
      <c r="D461" s="412" t="s">
        <v>45</v>
      </c>
      <c r="E461" s="413" t="s">
        <v>42</v>
      </c>
      <c r="F461" s="407" t="s">
        <v>43</v>
      </c>
      <c r="G461" s="2571"/>
      <c r="H461" s="2595"/>
    </row>
    <row r="462" spans="1:8" ht="15">
      <c r="A462" s="34">
        <v>3</v>
      </c>
      <c r="B462" s="23" t="s">
        <v>64</v>
      </c>
      <c r="C462" s="23" t="s">
        <v>59</v>
      </c>
      <c r="D462" s="23" t="s">
        <v>62</v>
      </c>
      <c r="E462" s="23" t="s">
        <v>65</v>
      </c>
      <c r="F462" s="423" t="s">
        <v>767</v>
      </c>
      <c r="G462" s="415" t="s">
        <v>768</v>
      </c>
      <c r="H462" s="24">
        <v>8600</v>
      </c>
    </row>
    <row r="463" spans="1:8" ht="15">
      <c r="A463" s="34">
        <v>3</v>
      </c>
      <c r="B463" s="23" t="s">
        <v>64</v>
      </c>
      <c r="C463" s="23" t="s">
        <v>59</v>
      </c>
      <c r="D463" s="23" t="s">
        <v>62</v>
      </c>
      <c r="E463" s="23" t="s">
        <v>65</v>
      </c>
      <c r="F463" s="538" t="s">
        <v>726</v>
      </c>
      <c r="G463" s="539" t="s">
        <v>769</v>
      </c>
      <c r="H463" s="541">
        <v>6000</v>
      </c>
    </row>
    <row r="464" spans="1:8" ht="15">
      <c r="A464" s="34">
        <v>3</v>
      </c>
      <c r="B464" s="23" t="s">
        <v>64</v>
      </c>
      <c r="C464" s="23" t="s">
        <v>59</v>
      </c>
      <c r="D464" s="23" t="s">
        <v>62</v>
      </c>
      <c r="E464" s="23" t="s">
        <v>65</v>
      </c>
      <c r="F464" s="538" t="s">
        <v>771</v>
      </c>
      <c r="G464" s="539" t="s">
        <v>770</v>
      </c>
      <c r="H464" s="541">
        <v>12000</v>
      </c>
    </row>
    <row r="465" spans="1:8" ht="15">
      <c r="A465" s="34">
        <v>3</v>
      </c>
      <c r="B465" s="23" t="s">
        <v>64</v>
      </c>
      <c r="C465" s="23" t="s">
        <v>59</v>
      </c>
      <c r="D465" s="23" t="s">
        <v>62</v>
      </c>
      <c r="E465" s="23" t="s">
        <v>65</v>
      </c>
      <c r="F465" s="548" t="s">
        <v>773</v>
      </c>
      <c r="G465" s="416" t="s">
        <v>774</v>
      </c>
      <c r="H465" s="541">
        <v>900</v>
      </c>
    </row>
    <row r="466" spans="1:8" ht="15">
      <c r="A466" s="34" t="s">
        <v>380</v>
      </c>
      <c r="B466" s="23" t="s">
        <v>64</v>
      </c>
      <c r="C466" s="23" t="s">
        <v>59</v>
      </c>
      <c r="D466" s="23" t="s">
        <v>62</v>
      </c>
      <c r="E466" s="23" t="s">
        <v>65</v>
      </c>
      <c r="F466" s="548" t="s">
        <v>677</v>
      </c>
      <c r="G466" s="416" t="s">
        <v>776</v>
      </c>
      <c r="H466" s="541">
        <v>1000</v>
      </c>
    </row>
    <row r="467" spans="1:8" ht="15">
      <c r="A467" s="34">
        <v>3</v>
      </c>
      <c r="B467" s="23" t="s">
        <v>64</v>
      </c>
      <c r="C467" s="23" t="s">
        <v>59</v>
      </c>
      <c r="D467" s="23" t="s">
        <v>62</v>
      </c>
      <c r="E467" s="23" t="s">
        <v>65</v>
      </c>
      <c r="F467" s="424" t="s">
        <v>735</v>
      </c>
      <c r="G467" s="540" t="s">
        <v>736</v>
      </c>
      <c r="H467" s="18">
        <v>1500</v>
      </c>
    </row>
    <row r="468" spans="1:8" ht="29.25" customHeight="1" thickBot="1">
      <c r="A468" s="718"/>
      <c r="B468" s="719"/>
      <c r="C468" s="719"/>
      <c r="D468" s="719"/>
      <c r="E468" s="720"/>
      <c r="F468" s="721"/>
      <c r="G468" s="722"/>
      <c r="H468" s="723">
        <f>SUM(H462:H467)</f>
        <v>30000</v>
      </c>
    </row>
    <row r="469" spans="1:8" ht="15.75" thickBot="1">
      <c r="A469" s="9"/>
      <c r="B469" s="9"/>
      <c r="C469" s="10"/>
      <c r="D469" s="3"/>
      <c r="E469" s="3"/>
      <c r="F469" s="3"/>
      <c r="G469" s="2"/>
      <c r="H469" s="8"/>
    </row>
    <row r="470" spans="1:8" ht="15">
      <c r="A470" s="2573" t="s">
        <v>693</v>
      </c>
      <c r="B470" s="2574"/>
      <c r="C470" s="2574"/>
      <c r="D470" s="2574"/>
      <c r="E470" s="2574"/>
      <c r="F470" s="2574"/>
      <c r="G470" s="2575" t="s">
        <v>715</v>
      </c>
      <c r="H470" s="2576"/>
    </row>
    <row r="471" spans="1:8" ht="15">
      <c r="A471" s="482"/>
      <c r="B471" s="551"/>
      <c r="C471" s="19"/>
      <c r="D471" s="19"/>
      <c r="E471" s="19"/>
      <c r="F471" s="19"/>
      <c r="G471" s="483"/>
      <c r="H471" s="484"/>
    </row>
    <row r="472" spans="1:8" ht="14.25">
      <c r="A472" s="2580" t="s">
        <v>825</v>
      </c>
      <c r="B472" s="2598"/>
      <c r="C472" s="2598"/>
      <c r="D472" s="2598"/>
      <c r="E472" s="2598"/>
      <c r="F472" s="2552"/>
      <c r="G472" s="2580" t="s">
        <v>694</v>
      </c>
      <c r="H472" s="2552"/>
    </row>
    <row r="473" spans="1:8" ht="15">
      <c r="A473" s="2597" t="s">
        <v>826</v>
      </c>
      <c r="B473" s="2584"/>
      <c r="C473" s="2584"/>
      <c r="D473" s="2584"/>
      <c r="E473" s="2584"/>
      <c r="F473" s="2585"/>
      <c r="G473" s="483"/>
      <c r="H473" s="484"/>
    </row>
    <row r="474" spans="1:8" ht="14.25">
      <c r="A474" s="2586"/>
      <c r="B474" s="2587"/>
      <c r="C474" s="2587"/>
      <c r="D474" s="2587"/>
      <c r="E474" s="2587"/>
      <c r="F474" s="2588"/>
      <c r="G474" s="2589" t="s">
        <v>772</v>
      </c>
      <c r="H474" s="2552"/>
    </row>
    <row r="475" spans="1:8" ht="15">
      <c r="A475" s="482"/>
      <c r="B475" s="551"/>
      <c r="C475" s="551"/>
      <c r="D475" s="551"/>
      <c r="E475" s="551"/>
      <c r="F475" s="551"/>
      <c r="G475" s="485"/>
      <c r="H475" s="484"/>
    </row>
    <row r="476" spans="1:8" ht="15" thickBot="1">
      <c r="A476" s="2590" t="s">
        <v>692</v>
      </c>
      <c r="B476" s="2561"/>
      <c r="C476" s="2561"/>
      <c r="D476" s="2561"/>
      <c r="E476" s="2561"/>
      <c r="F476" s="2562"/>
      <c r="G476" s="2591" t="s">
        <v>696</v>
      </c>
      <c r="H476" s="2562"/>
    </row>
    <row r="478" spans="1:8" ht="18.75">
      <c r="A478" s="2601" t="s">
        <v>821</v>
      </c>
      <c r="B478" s="2601"/>
      <c r="C478" s="2601"/>
      <c r="D478" s="2601"/>
      <c r="E478" s="2601"/>
      <c r="F478" s="2601"/>
      <c r="G478" s="2601"/>
      <c r="H478" s="2601"/>
    </row>
    <row r="479" spans="1:8" ht="30" customHeight="1"/>
    <row r="483" spans="1:8" ht="41.25" customHeight="1"/>
    <row r="484" spans="1:8" ht="18.75">
      <c r="A484" s="2162" t="s">
        <v>111</v>
      </c>
      <c r="B484" s="2162"/>
      <c r="C484" s="2162"/>
      <c r="D484" s="2162"/>
      <c r="E484" s="2162"/>
      <c r="F484" s="2162"/>
      <c r="G484" s="2162"/>
      <c r="H484" s="2162"/>
    </row>
    <row r="485" spans="1:8" ht="18.75">
      <c r="A485" s="2162" t="s">
        <v>110</v>
      </c>
      <c r="B485" s="2162"/>
      <c r="C485" s="2162"/>
      <c r="D485" s="2162"/>
      <c r="E485" s="2162"/>
      <c r="F485" s="2162"/>
      <c r="G485" s="2162"/>
      <c r="H485" s="2162"/>
    </row>
    <row r="486" spans="1:8" ht="18.75">
      <c r="A486" s="2163" t="s">
        <v>211</v>
      </c>
      <c r="B486" s="2164"/>
      <c r="C486" s="2164"/>
      <c r="D486" s="2164"/>
      <c r="E486" s="2164"/>
      <c r="F486" s="2164"/>
      <c r="G486" s="2164"/>
      <c r="H486" s="2164"/>
    </row>
    <row r="487" spans="1:8" ht="18.75">
      <c r="A487" s="2163" t="s">
        <v>641</v>
      </c>
      <c r="B487" s="2164"/>
      <c r="C487" s="2164"/>
      <c r="D487" s="2164"/>
      <c r="E487" s="2164"/>
      <c r="F487" s="2164"/>
      <c r="G487" s="2164"/>
      <c r="H487" s="2164"/>
    </row>
    <row r="488" spans="1:8" ht="18.75">
      <c r="A488" s="2163" t="s">
        <v>32</v>
      </c>
      <c r="B488" s="2164"/>
      <c r="C488" s="2164"/>
      <c r="D488" s="2164"/>
      <c r="E488" s="2164"/>
      <c r="F488" s="2164"/>
      <c r="G488" s="2164"/>
      <c r="H488" s="2164"/>
    </row>
    <row r="489" spans="1:8" ht="15">
      <c r="A489" s="33"/>
      <c r="B489" s="5"/>
      <c r="C489" s="4"/>
      <c r="D489" s="1"/>
      <c r="E489" s="1"/>
      <c r="F489" s="1"/>
      <c r="G489" s="2"/>
      <c r="H489" s="8"/>
    </row>
    <row r="490" spans="1:8" ht="18.75">
      <c r="A490" s="2596" t="s">
        <v>49</v>
      </c>
      <c r="B490" s="2596"/>
      <c r="C490" s="2596"/>
      <c r="D490" s="2596"/>
      <c r="E490" s="2596"/>
      <c r="F490" s="2596"/>
      <c r="G490" s="2596"/>
      <c r="H490" s="2596"/>
    </row>
    <row r="491" spans="1:8" ht="18.75">
      <c r="A491" s="2602" t="s">
        <v>803</v>
      </c>
      <c r="B491" s="2603"/>
      <c r="C491" s="2603"/>
      <c r="D491" s="2603"/>
      <c r="E491" s="2603"/>
      <c r="F491" s="2603"/>
      <c r="G491" s="2603"/>
      <c r="H491" s="2603"/>
    </row>
    <row r="492" spans="1:8" ht="15.75" thickBot="1">
      <c r="A492" s="2567" t="s">
        <v>29</v>
      </c>
      <c r="B492" s="2568"/>
      <c r="C492" s="2568"/>
      <c r="D492" s="2568"/>
      <c r="E492" s="2568"/>
      <c r="F492" s="2569"/>
      <c r="G492" s="2570" t="s">
        <v>640</v>
      </c>
      <c r="H492" s="2572" t="s">
        <v>639</v>
      </c>
    </row>
    <row r="493" spans="1:8" ht="90.75" thickBot="1">
      <c r="A493" s="411" t="s">
        <v>39</v>
      </c>
      <c r="B493" s="412" t="s">
        <v>40</v>
      </c>
      <c r="C493" s="412" t="s">
        <v>41</v>
      </c>
      <c r="D493" s="412" t="s">
        <v>45</v>
      </c>
      <c r="E493" s="413" t="s">
        <v>42</v>
      </c>
      <c r="F493" s="407" t="s">
        <v>43</v>
      </c>
      <c r="G493" s="2571"/>
      <c r="H493" s="2572"/>
    </row>
    <row r="494" spans="1:8" ht="15">
      <c r="A494" s="34" t="s">
        <v>380</v>
      </c>
      <c r="B494" s="23" t="s">
        <v>64</v>
      </c>
      <c r="C494" s="23" t="s">
        <v>59</v>
      </c>
      <c r="D494" s="23" t="s">
        <v>62</v>
      </c>
      <c r="E494" s="23" t="s">
        <v>65</v>
      </c>
      <c r="F494" s="423" t="s">
        <v>786</v>
      </c>
      <c r="G494" s="561" t="s">
        <v>787</v>
      </c>
      <c r="H494" s="541">
        <v>38000</v>
      </c>
    </row>
    <row r="495" spans="1:8" ht="15">
      <c r="A495" s="34" t="s">
        <v>380</v>
      </c>
      <c r="B495" s="23" t="s">
        <v>64</v>
      </c>
      <c r="C495" s="23" t="s">
        <v>59</v>
      </c>
      <c r="D495" s="23" t="s">
        <v>62</v>
      </c>
      <c r="E495" s="23" t="s">
        <v>65</v>
      </c>
      <c r="F495" s="424" t="s">
        <v>735</v>
      </c>
      <c r="G495" s="540" t="s">
        <v>736</v>
      </c>
      <c r="H495" s="563">
        <v>2000</v>
      </c>
    </row>
    <row r="496" spans="1:8" ht="15.75" thickBot="1">
      <c r="A496" s="718"/>
      <c r="B496" s="719"/>
      <c r="C496" s="719"/>
      <c r="D496" s="719"/>
      <c r="E496" s="720"/>
      <c r="F496" s="721"/>
      <c r="G496" s="722"/>
      <c r="H496" s="723">
        <f>SUM(H494:H495)</f>
        <v>40000</v>
      </c>
    </row>
    <row r="497" spans="1:8" ht="15.75" thickBot="1">
      <c r="A497" s="9"/>
      <c r="B497" s="9"/>
      <c r="C497" s="10"/>
      <c r="D497" s="3"/>
      <c r="E497" s="3"/>
      <c r="F497" s="3"/>
      <c r="G497" s="2"/>
      <c r="H497" s="8"/>
    </row>
    <row r="498" spans="1:8" ht="15">
      <c r="A498" s="2573" t="s">
        <v>693</v>
      </c>
      <c r="B498" s="2574"/>
      <c r="C498" s="2574"/>
      <c r="D498" s="2574"/>
      <c r="E498" s="2574"/>
      <c r="F498" s="2574"/>
      <c r="G498" s="2575" t="s">
        <v>715</v>
      </c>
      <c r="H498" s="2576"/>
    </row>
    <row r="499" spans="1:8" ht="15">
      <c r="A499" s="482"/>
      <c r="B499" s="551"/>
      <c r="C499" s="19"/>
      <c r="D499" s="19"/>
      <c r="E499" s="19"/>
      <c r="F499" s="19"/>
      <c r="G499" s="483"/>
      <c r="H499" s="484"/>
    </row>
    <row r="500" spans="1:8" ht="14.25">
      <c r="A500" s="2580" t="s">
        <v>823</v>
      </c>
      <c r="B500" s="2598"/>
      <c r="C500" s="2598"/>
      <c r="D500" s="2598"/>
      <c r="E500" s="2598"/>
      <c r="F500" s="2552"/>
      <c r="G500" s="2580" t="s">
        <v>694</v>
      </c>
      <c r="H500" s="2552"/>
    </row>
    <row r="501" spans="1:8" ht="15">
      <c r="A501" s="2597" t="s">
        <v>824</v>
      </c>
      <c r="B501" s="2584"/>
      <c r="C501" s="2584"/>
      <c r="D501" s="2584"/>
      <c r="E501" s="2584"/>
      <c r="F501" s="2585"/>
      <c r="G501" s="483"/>
      <c r="H501" s="484"/>
    </row>
    <row r="502" spans="1:8" ht="14.25">
      <c r="A502" s="2586"/>
      <c r="B502" s="2587"/>
      <c r="C502" s="2587"/>
      <c r="D502" s="2587"/>
      <c r="E502" s="2587"/>
      <c r="F502" s="2588"/>
      <c r="G502" s="2589" t="s">
        <v>737</v>
      </c>
      <c r="H502" s="2552"/>
    </row>
    <row r="503" spans="1:8" ht="15">
      <c r="A503" s="482"/>
      <c r="B503" s="551"/>
      <c r="C503" s="551"/>
      <c r="D503" s="551"/>
      <c r="E503" s="551"/>
      <c r="F503" s="551"/>
      <c r="G503" s="485"/>
      <c r="H503" s="484"/>
    </row>
    <row r="504" spans="1:8" ht="15" thickBot="1">
      <c r="A504" s="2590" t="s">
        <v>692</v>
      </c>
      <c r="B504" s="2561"/>
      <c r="C504" s="2561"/>
      <c r="D504" s="2561"/>
      <c r="E504" s="2561"/>
      <c r="F504" s="2562"/>
      <c r="G504" s="2591" t="s">
        <v>696</v>
      </c>
      <c r="H504" s="2562"/>
    </row>
    <row r="506" spans="1:8" ht="18.75">
      <c r="A506" s="2601" t="s">
        <v>821</v>
      </c>
      <c r="B506" s="2601"/>
      <c r="C506" s="2601"/>
      <c r="D506" s="2601"/>
      <c r="E506" s="2601"/>
      <c r="F506" s="2601"/>
      <c r="G506" s="2601"/>
      <c r="H506" s="2601"/>
    </row>
  </sheetData>
  <mergeCells count="311">
    <mergeCell ref="A297:F298"/>
    <mergeCell ref="G298:H298"/>
    <mergeCell ref="A299:F300"/>
    <mergeCell ref="G300:H300"/>
    <mergeCell ref="A302:F302"/>
    <mergeCell ref="G302:H302"/>
    <mergeCell ref="A279:H279"/>
    <mergeCell ref="A280:H280"/>
    <mergeCell ref="A281:H281"/>
    <mergeCell ref="A282:H282"/>
    <mergeCell ref="A283:H283"/>
    <mergeCell ref="A285:H285"/>
    <mergeCell ref="A286:H286"/>
    <mergeCell ref="A287:F287"/>
    <mergeCell ref="G287:G288"/>
    <mergeCell ref="H287:H288"/>
    <mergeCell ref="A268:F268"/>
    <mergeCell ref="G268:H268"/>
    <mergeCell ref="G270:H270"/>
    <mergeCell ref="A271:F272"/>
    <mergeCell ref="G272:H272"/>
    <mergeCell ref="A274:F274"/>
    <mergeCell ref="G274:H274"/>
    <mergeCell ref="A269:F270"/>
    <mergeCell ref="A296:F296"/>
    <mergeCell ref="G296:H296"/>
    <mergeCell ref="A249:H249"/>
    <mergeCell ref="A250:H250"/>
    <mergeCell ref="A251:H251"/>
    <mergeCell ref="A252:H252"/>
    <mergeCell ref="A253:H253"/>
    <mergeCell ref="A255:H255"/>
    <mergeCell ref="A256:H256"/>
    <mergeCell ref="A257:F257"/>
    <mergeCell ref="G257:G258"/>
    <mergeCell ref="H257:H258"/>
    <mergeCell ref="A237:F237"/>
    <mergeCell ref="G237:H237"/>
    <mergeCell ref="A239:F239"/>
    <mergeCell ref="G239:H239"/>
    <mergeCell ref="A240:F241"/>
    <mergeCell ref="G241:H241"/>
    <mergeCell ref="A243:F243"/>
    <mergeCell ref="G243:H243"/>
    <mergeCell ref="J229:K229"/>
    <mergeCell ref="A221:H221"/>
    <mergeCell ref="A222:H222"/>
    <mergeCell ref="A223:H223"/>
    <mergeCell ref="A224:H224"/>
    <mergeCell ref="A226:H226"/>
    <mergeCell ref="A227:H227"/>
    <mergeCell ref="A228:F228"/>
    <mergeCell ref="G228:G229"/>
    <mergeCell ref="H228:H229"/>
    <mergeCell ref="A142:F142"/>
    <mergeCell ref="G142:H142"/>
    <mergeCell ref="A137:F138"/>
    <mergeCell ref="A118:H118"/>
    <mergeCell ref="A119:H119"/>
    <mergeCell ref="A120:H120"/>
    <mergeCell ref="A121:H121"/>
    <mergeCell ref="A122:H122"/>
    <mergeCell ref="A124:H124"/>
    <mergeCell ref="A125:H125"/>
    <mergeCell ref="A126:F126"/>
    <mergeCell ref="G126:G127"/>
    <mergeCell ref="H126:H127"/>
    <mergeCell ref="A21:F21"/>
    <mergeCell ref="A136:F136"/>
    <mergeCell ref="G136:H136"/>
    <mergeCell ref="G138:H138"/>
    <mergeCell ref="A139:F140"/>
    <mergeCell ref="G140:H140"/>
    <mergeCell ref="A80:F80"/>
    <mergeCell ref="A81:F82"/>
    <mergeCell ref="A78:F78"/>
    <mergeCell ref="G78:H78"/>
    <mergeCell ref="G80:H80"/>
    <mergeCell ref="G21:H21"/>
    <mergeCell ref="A22:F23"/>
    <mergeCell ref="G23:H23"/>
    <mergeCell ref="A25:F25"/>
    <mergeCell ref="G25:H25"/>
    <mergeCell ref="A31:H31"/>
    <mergeCell ref="A32:H32"/>
    <mergeCell ref="A33:H33"/>
    <mergeCell ref="G51:H51"/>
    <mergeCell ref="A53:F53"/>
    <mergeCell ref="G53:H53"/>
    <mergeCell ref="A50:F51"/>
    <mergeCell ref="A34:H34"/>
    <mergeCell ref="A8:H8"/>
    <mergeCell ref="A9:F9"/>
    <mergeCell ref="G9:G10"/>
    <mergeCell ref="H9:H10"/>
    <mergeCell ref="A19:F19"/>
    <mergeCell ref="G19:H19"/>
    <mergeCell ref="A1:H1"/>
    <mergeCell ref="A2:H2"/>
    <mergeCell ref="A3:H3"/>
    <mergeCell ref="A4:H4"/>
    <mergeCell ref="A5:H5"/>
    <mergeCell ref="A7:H7"/>
    <mergeCell ref="A36:H36"/>
    <mergeCell ref="A37:H37"/>
    <mergeCell ref="A38:F38"/>
    <mergeCell ref="G38:G39"/>
    <mergeCell ref="H38:H39"/>
    <mergeCell ref="A47:F47"/>
    <mergeCell ref="G47:H47"/>
    <mergeCell ref="A49:F49"/>
    <mergeCell ref="G49:H49"/>
    <mergeCell ref="A59:H59"/>
    <mergeCell ref="A60:H60"/>
    <mergeCell ref="A61:H61"/>
    <mergeCell ref="A63:H63"/>
    <mergeCell ref="A62:H62"/>
    <mergeCell ref="A65:H65"/>
    <mergeCell ref="A66:H66"/>
    <mergeCell ref="A67:F67"/>
    <mergeCell ref="G67:G68"/>
    <mergeCell ref="H67:H68"/>
    <mergeCell ref="A373:H373"/>
    <mergeCell ref="A375:H375"/>
    <mergeCell ref="A376:H376"/>
    <mergeCell ref="A377:F377"/>
    <mergeCell ref="G377:G378"/>
    <mergeCell ref="H377:H378"/>
    <mergeCell ref="A369:H369"/>
    <mergeCell ref="A370:H370"/>
    <mergeCell ref="A371:H371"/>
    <mergeCell ref="A372:H372"/>
    <mergeCell ref="A389:F389"/>
    <mergeCell ref="G389:H389"/>
    <mergeCell ref="A396:H396"/>
    <mergeCell ref="A397:H397"/>
    <mergeCell ref="A398:H398"/>
    <mergeCell ref="A399:H399"/>
    <mergeCell ref="A383:F383"/>
    <mergeCell ref="G383:H383"/>
    <mergeCell ref="A385:F385"/>
    <mergeCell ref="G385:H385"/>
    <mergeCell ref="A386:F387"/>
    <mergeCell ref="G387:H387"/>
    <mergeCell ref="A391:H391"/>
    <mergeCell ref="A410:F410"/>
    <mergeCell ref="G410:H410"/>
    <mergeCell ref="A411:F411"/>
    <mergeCell ref="G411:H411"/>
    <mergeCell ref="A412:F413"/>
    <mergeCell ref="G413:H413"/>
    <mergeCell ref="A400:H400"/>
    <mergeCell ref="A402:H402"/>
    <mergeCell ref="A403:H403"/>
    <mergeCell ref="A404:F404"/>
    <mergeCell ref="G404:G405"/>
    <mergeCell ref="H404:H405"/>
    <mergeCell ref="A426:H426"/>
    <mergeCell ref="A428:H428"/>
    <mergeCell ref="A429:H429"/>
    <mergeCell ref="A430:F430"/>
    <mergeCell ref="G430:G431"/>
    <mergeCell ref="H430:H431"/>
    <mergeCell ref="A415:F415"/>
    <mergeCell ref="G415:H415"/>
    <mergeCell ref="A422:H422"/>
    <mergeCell ref="A423:H423"/>
    <mergeCell ref="A424:H424"/>
    <mergeCell ref="A425:H425"/>
    <mergeCell ref="A417:H417"/>
    <mergeCell ref="A445:F445"/>
    <mergeCell ref="G445:H445"/>
    <mergeCell ref="A452:H452"/>
    <mergeCell ref="A453:H453"/>
    <mergeCell ref="A454:H454"/>
    <mergeCell ref="A455:H455"/>
    <mergeCell ref="A439:F439"/>
    <mergeCell ref="G439:H439"/>
    <mergeCell ref="A441:F441"/>
    <mergeCell ref="G441:H441"/>
    <mergeCell ref="A442:F443"/>
    <mergeCell ref="G443:H443"/>
    <mergeCell ref="A447:H447"/>
    <mergeCell ref="A472:F472"/>
    <mergeCell ref="G472:H472"/>
    <mergeCell ref="A473:F474"/>
    <mergeCell ref="G474:H474"/>
    <mergeCell ref="A478:H478"/>
    <mergeCell ref="A456:H456"/>
    <mergeCell ref="A458:H458"/>
    <mergeCell ref="A459:H459"/>
    <mergeCell ref="A460:F460"/>
    <mergeCell ref="G460:G461"/>
    <mergeCell ref="H460:H461"/>
    <mergeCell ref="A506:H506"/>
    <mergeCell ref="O382:T383"/>
    <mergeCell ref="A498:F498"/>
    <mergeCell ref="G498:H498"/>
    <mergeCell ref="A500:F500"/>
    <mergeCell ref="G500:H500"/>
    <mergeCell ref="A501:F502"/>
    <mergeCell ref="G502:H502"/>
    <mergeCell ref="A504:F504"/>
    <mergeCell ref="G504:H504"/>
    <mergeCell ref="A484:H484"/>
    <mergeCell ref="A485:H485"/>
    <mergeCell ref="A486:H486"/>
    <mergeCell ref="A487:H487"/>
    <mergeCell ref="A488:H488"/>
    <mergeCell ref="A490:H490"/>
    <mergeCell ref="A491:H491"/>
    <mergeCell ref="A492:F492"/>
    <mergeCell ref="G492:G493"/>
    <mergeCell ref="H492:H493"/>
    <mergeCell ref="A476:F476"/>
    <mergeCell ref="G476:H476"/>
    <mergeCell ref="A470:F470"/>
    <mergeCell ref="G470:H470"/>
    <mergeCell ref="A170:F170"/>
    <mergeCell ref="G170:H170"/>
    <mergeCell ref="A145:H145"/>
    <mergeCell ref="A146:H146"/>
    <mergeCell ref="A147:H147"/>
    <mergeCell ref="A148:H148"/>
    <mergeCell ref="A149:H149"/>
    <mergeCell ref="A151:H151"/>
    <mergeCell ref="A152:H152"/>
    <mergeCell ref="A153:F153"/>
    <mergeCell ref="G153:G154"/>
    <mergeCell ref="H153:H154"/>
    <mergeCell ref="A164:F164"/>
    <mergeCell ref="G164:H164"/>
    <mergeCell ref="A165:F166"/>
    <mergeCell ref="G166:H166"/>
    <mergeCell ref="A167:F168"/>
    <mergeCell ref="G168:H168"/>
    <mergeCell ref="A111:F112"/>
    <mergeCell ref="G112:H112"/>
    <mergeCell ref="A114:F114"/>
    <mergeCell ref="G114:H114"/>
    <mergeCell ref="G82:H82"/>
    <mergeCell ref="A92:H92"/>
    <mergeCell ref="A94:H94"/>
    <mergeCell ref="A95:H95"/>
    <mergeCell ref="A96:F96"/>
    <mergeCell ref="G96:G97"/>
    <mergeCell ref="H96:H97"/>
    <mergeCell ref="A108:F108"/>
    <mergeCell ref="G108:H108"/>
    <mergeCell ref="A110:F110"/>
    <mergeCell ref="G110:H110"/>
    <mergeCell ref="A88:H88"/>
    <mergeCell ref="A89:H89"/>
    <mergeCell ref="A90:H90"/>
    <mergeCell ref="A91:H91"/>
    <mergeCell ref="A84:F84"/>
    <mergeCell ref="G84:H84"/>
    <mergeCell ref="A187:F187"/>
    <mergeCell ref="G187:H187"/>
    <mergeCell ref="A188:F189"/>
    <mergeCell ref="G189:H189"/>
    <mergeCell ref="A190:F191"/>
    <mergeCell ref="G191:H191"/>
    <mergeCell ref="A193:F193"/>
    <mergeCell ref="G193:H193"/>
    <mergeCell ref="A173:H173"/>
    <mergeCell ref="A174:H174"/>
    <mergeCell ref="A175:H175"/>
    <mergeCell ref="A176:H176"/>
    <mergeCell ref="A177:H177"/>
    <mergeCell ref="A179:H179"/>
    <mergeCell ref="A180:H180"/>
    <mergeCell ref="A181:F181"/>
    <mergeCell ref="G181:G182"/>
    <mergeCell ref="H181:H182"/>
    <mergeCell ref="A211:F211"/>
    <mergeCell ref="G211:H211"/>
    <mergeCell ref="A212:F213"/>
    <mergeCell ref="G213:H213"/>
    <mergeCell ref="A214:F215"/>
    <mergeCell ref="G215:H215"/>
    <mergeCell ref="A217:F217"/>
    <mergeCell ref="G217:H217"/>
    <mergeCell ref="A197:H197"/>
    <mergeCell ref="A198:H198"/>
    <mergeCell ref="A199:H199"/>
    <mergeCell ref="A200:H200"/>
    <mergeCell ref="A201:H201"/>
    <mergeCell ref="A203:H203"/>
    <mergeCell ref="A204:H204"/>
    <mergeCell ref="A205:F205"/>
    <mergeCell ref="G205:G206"/>
    <mergeCell ref="H205:H206"/>
    <mergeCell ref="A324:F324"/>
    <mergeCell ref="G324:H324"/>
    <mergeCell ref="A325:F326"/>
    <mergeCell ref="G326:H326"/>
    <mergeCell ref="A327:F328"/>
    <mergeCell ref="G328:H328"/>
    <mergeCell ref="A330:F330"/>
    <mergeCell ref="G330:H330"/>
    <mergeCell ref="A306:H306"/>
    <mergeCell ref="A307:H307"/>
    <mergeCell ref="A308:H308"/>
    <mergeCell ref="A309:H309"/>
    <mergeCell ref="A310:H310"/>
    <mergeCell ref="A312:H312"/>
    <mergeCell ref="A313:H313"/>
    <mergeCell ref="A314:F314"/>
    <mergeCell ref="G314:G315"/>
    <mergeCell ref="H314:H315"/>
  </mergeCells>
  <pageMargins left="0.68" right="0.15748031496062992" top="1.27" bottom="0.74803149606299213" header="0.31496062992125984" footer="0.31496062992125984"/>
  <pageSetup scale="85"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FF"/>
  </sheetPr>
  <dimension ref="A9:H827"/>
  <sheetViews>
    <sheetView topLeftCell="A181" zoomScale="80" zoomScaleNormal="80" workbookViewId="0">
      <selection activeCell="A644" activeCellId="21" sqref="A16:H42 A47:H66 A69:H88 A107:H127 A134:H154 A184:H204 A208:H233 A241:H266 A272:H291 A296:H316 A321:H341 A348:H374 A377:H403 A408:H434 A444:H464 A471:H496 A507:H527 A532:H552 A557:H582 A586:H609 A613:H639 A644:H670"/>
    </sheetView>
  </sheetViews>
  <sheetFormatPr baseColWidth="10" defaultRowHeight="12.75"/>
  <cols>
    <col min="1" max="1" width="8.140625" customWidth="1"/>
    <col min="2" max="5" width="7.140625" customWidth="1"/>
    <col min="6" max="6" width="15" customWidth="1"/>
    <col min="7" max="7" width="40.85546875" customWidth="1"/>
    <col min="8" max="8" width="20.5703125" customWidth="1"/>
  </cols>
  <sheetData>
    <row r="9" spans="1:8" ht="44.25">
      <c r="A9" s="2682" t="s">
        <v>1054</v>
      </c>
      <c r="B9" s="2682"/>
      <c r="C9" s="2682"/>
      <c r="D9" s="2682"/>
      <c r="E9" s="2682"/>
      <c r="F9" s="2682"/>
      <c r="G9" s="2682"/>
      <c r="H9" s="2682"/>
    </row>
    <row r="16" spans="1:8" ht="18.75">
      <c r="A16" s="2162" t="s">
        <v>111</v>
      </c>
      <c r="B16" s="2164"/>
      <c r="C16" s="2164"/>
      <c r="D16" s="2164"/>
      <c r="E16" s="2164"/>
      <c r="F16" s="2164"/>
      <c r="G16" s="2164"/>
      <c r="H16" s="2164"/>
    </row>
    <row r="17" spans="1:8" ht="18.75">
      <c r="A17" s="2162" t="s">
        <v>757</v>
      </c>
      <c r="B17" s="2164"/>
      <c r="C17" s="2164"/>
      <c r="D17" s="2164"/>
      <c r="E17" s="2164"/>
      <c r="F17" s="2164"/>
      <c r="G17" s="2164"/>
      <c r="H17" s="2164"/>
    </row>
    <row r="18" spans="1:8" ht="18.75">
      <c r="A18" s="2163" t="s">
        <v>211</v>
      </c>
      <c r="B18" s="2164"/>
      <c r="C18" s="2164"/>
      <c r="D18" s="2164"/>
      <c r="E18" s="2164"/>
      <c r="F18" s="2164"/>
      <c r="G18" s="2164"/>
      <c r="H18" s="2164"/>
    </row>
    <row r="19" spans="1:8" ht="18.75">
      <c r="A19" s="2163" t="s">
        <v>1212</v>
      </c>
      <c r="B19" s="2164"/>
      <c r="C19" s="2164"/>
      <c r="D19" s="2164"/>
      <c r="E19" s="2164"/>
      <c r="F19" s="2164"/>
      <c r="G19" s="2164"/>
      <c r="H19" s="2164"/>
    </row>
    <row r="20" spans="1:8" ht="18.75">
      <c r="A20" s="2163" t="s">
        <v>32</v>
      </c>
      <c r="B20" s="2164"/>
      <c r="C20" s="2164"/>
      <c r="D20" s="2164"/>
      <c r="E20" s="2164"/>
      <c r="F20" s="2164"/>
      <c r="G20" s="2164"/>
      <c r="H20" s="2164"/>
    </row>
    <row r="21" spans="1:8" ht="15">
      <c r="A21" s="33"/>
      <c r="B21" s="5"/>
      <c r="C21" s="4"/>
      <c r="D21" s="1"/>
      <c r="E21" s="1"/>
      <c r="F21" s="1"/>
      <c r="G21" s="2"/>
      <c r="H21" s="8"/>
    </row>
    <row r="22" spans="1:8" ht="18.75">
      <c r="A22" s="2596" t="s">
        <v>49</v>
      </c>
      <c r="B22" s="2596"/>
      <c r="C22" s="2596"/>
      <c r="D22" s="2596"/>
      <c r="E22" s="2596"/>
      <c r="F22" s="2596"/>
      <c r="G22" s="2596"/>
      <c r="H22" s="2596"/>
    </row>
    <row r="23" spans="1:8" ht="27" customHeight="1">
      <c r="A23" s="2633" t="s">
        <v>1055</v>
      </c>
      <c r="B23" s="2634"/>
      <c r="C23" s="2634"/>
      <c r="D23" s="2634"/>
      <c r="E23" s="2634"/>
      <c r="F23" s="2634"/>
      <c r="G23" s="2634"/>
      <c r="H23" s="2634"/>
    </row>
    <row r="24" spans="1:8" ht="15.75" thickBot="1">
      <c r="A24" s="2567" t="s">
        <v>29</v>
      </c>
      <c r="B24" s="2568"/>
      <c r="C24" s="2568"/>
      <c r="D24" s="2568"/>
      <c r="E24" s="2568"/>
      <c r="F24" s="2569"/>
      <c r="G24" s="2570" t="s">
        <v>640</v>
      </c>
      <c r="H24" s="2572" t="s">
        <v>639</v>
      </c>
    </row>
    <row r="25" spans="1:8" ht="90.75" thickBot="1">
      <c r="A25" s="411" t="s">
        <v>39</v>
      </c>
      <c r="B25" s="412" t="s">
        <v>40</v>
      </c>
      <c r="C25" s="412" t="s">
        <v>41</v>
      </c>
      <c r="D25" s="412" t="s">
        <v>45</v>
      </c>
      <c r="E25" s="413" t="s">
        <v>42</v>
      </c>
      <c r="F25" s="1070" t="s">
        <v>43</v>
      </c>
      <c r="G25" s="2571"/>
      <c r="H25" s="2572"/>
    </row>
    <row r="26" spans="1:8" ht="18">
      <c r="A26" s="34" t="s">
        <v>381</v>
      </c>
      <c r="B26" s="23" t="s">
        <v>69</v>
      </c>
      <c r="C26" s="23" t="s">
        <v>59</v>
      </c>
      <c r="D26" s="23" t="s">
        <v>62</v>
      </c>
      <c r="E26" s="549" t="s">
        <v>65</v>
      </c>
      <c r="F26" s="550" t="s">
        <v>209</v>
      </c>
      <c r="G26" s="1052" t="s">
        <v>1047</v>
      </c>
      <c r="H26" s="1054">
        <v>7500</v>
      </c>
    </row>
    <row r="27" spans="1:8" ht="18">
      <c r="A27" s="34" t="s">
        <v>381</v>
      </c>
      <c r="B27" s="23" t="s">
        <v>69</v>
      </c>
      <c r="C27" s="23" t="s">
        <v>59</v>
      </c>
      <c r="D27" s="23" t="s">
        <v>62</v>
      </c>
      <c r="E27" s="549" t="s">
        <v>65</v>
      </c>
      <c r="F27" s="550" t="s">
        <v>498</v>
      </c>
      <c r="G27" s="1052" t="s">
        <v>725</v>
      </c>
      <c r="H27" s="1054">
        <v>1000</v>
      </c>
    </row>
    <row r="28" spans="1:8" ht="18">
      <c r="A28" s="34" t="s">
        <v>381</v>
      </c>
      <c r="B28" s="23" t="s">
        <v>69</v>
      </c>
      <c r="C28" s="23" t="s">
        <v>59</v>
      </c>
      <c r="D28" s="23" t="s">
        <v>62</v>
      </c>
      <c r="E28" s="549" t="s">
        <v>65</v>
      </c>
      <c r="F28" s="550" t="s">
        <v>726</v>
      </c>
      <c r="G28" s="539" t="s">
        <v>769</v>
      </c>
      <c r="H28" s="1054">
        <v>11000</v>
      </c>
    </row>
    <row r="29" spans="1:8" ht="18">
      <c r="A29" s="34" t="s">
        <v>381</v>
      </c>
      <c r="B29" s="23" t="s">
        <v>69</v>
      </c>
      <c r="C29" s="23" t="s">
        <v>59</v>
      </c>
      <c r="D29" s="23" t="s">
        <v>62</v>
      </c>
      <c r="E29" s="549" t="s">
        <v>65</v>
      </c>
      <c r="F29" s="550" t="s">
        <v>771</v>
      </c>
      <c r="G29" s="539" t="s">
        <v>770</v>
      </c>
      <c r="H29" s="1054">
        <v>1500</v>
      </c>
    </row>
    <row r="30" spans="1:8" ht="18">
      <c r="A30" s="34" t="s">
        <v>381</v>
      </c>
      <c r="B30" s="23" t="s">
        <v>69</v>
      </c>
      <c r="C30" s="23" t="s">
        <v>59</v>
      </c>
      <c r="D30" s="23" t="s">
        <v>62</v>
      </c>
      <c r="E30" s="549" t="s">
        <v>65</v>
      </c>
      <c r="F30" s="550" t="s">
        <v>773</v>
      </c>
      <c r="G30" s="539" t="s">
        <v>774</v>
      </c>
      <c r="H30" s="1054">
        <v>500</v>
      </c>
    </row>
    <row r="31" spans="1:8" ht="18">
      <c r="A31" s="34" t="s">
        <v>381</v>
      </c>
      <c r="B31" s="23" t="s">
        <v>69</v>
      </c>
      <c r="C31" s="23" t="s">
        <v>59</v>
      </c>
      <c r="D31" s="23" t="s">
        <v>62</v>
      </c>
      <c r="E31" s="549" t="s">
        <v>65</v>
      </c>
      <c r="F31" s="550" t="s">
        <v>657</v>
      </c>
      <c r="G31" s="849" t="s">
        <v>658</v>
      </c>
      <c r="H31" s="1054">
        <f>550+353.26</f>
        <v>903.26</v>
      </c>
    </row>
    <row r="32" spans="1:8" ht="18">
      <c r="A32" s="34" t="s">
        <v>381</v>
      </c>
      <c r="B32" s="23" t="s">
        <v>69</v>
      </c>
      <c r="C32" s="23" t="s">
        <v>59</v>
      </c>
      <c r="D32" s="23" t="s">
        <v>62</v>
      </c>
      <c r="E32" s="549" t="s">
        <v>65</v>
      </c>
      <c r="F32" s="550" t="s">
        <v>677</v>
      </c>
      <c r="G32" s="539" t="s">
        <v>776</v>
      </c>
      <c r="H32" s="1054">
        <v>1000</v>
      </c>
    </row>
    <row r="33" spans="1:8" ht="18">
      <c r="A33" s="34" t="s">
        <v>381</v>
      </c>
      <c r="B33" s="23" t="s">
        <v>69</v>
      </c>
      <c r="C33" s="23" t="s">
        <v>59</v>
      </c>
      <c r="D33" s="23" t="s">
        <v>62</v>
      </c>
      <c r="E33" s="549" t="s">
        <v>65</v>
      </c>
      <c r="F33" s="550" t="s">
        <v>735</v>
      </c>
      <c r="G33" s="539" t="s">
        <v>736</v>
      </c>
      <c r="H33" s="1054">
        <v>1200</v>
      </c>
    </row>
    <row r="34" spans="1:8" ht="15.75" thickBot="1">
      <c r="A34" s="1073"/>
      <c r="B34" s="1074"/>
      <c r="C34" s="1074"/>
      <c r="D34" s="1074"/>
      <c r="E34" s="1075"/>
      <c r="F34" s="1076"/>
      <c r="G34" s="1077"/>
      <c r="H34" s="1078">
        <f>SUM(H26:H33)</f>
        <v>24603.26</v>
      </c>
    </row>
    <row r="35" spans="1:8" ht="15.75" thickBot="1">
      <c r="A35" s="9"/>
      <c r="B35" s="9"/>
      <c r="C35" s="10"/>
      <c r="D35" s="3"/>
      <c r="E35" s="3"/>
      <c r="F35" s="3"/>
      <c r="G35" s="2"/>
      <c r="H35" s="8"/>
    </row>
    <row r="36" spans="1:8" ht="15">
      <c r="A36" s="2573" t="s">
        <v>1097</v>
      </c>
      <c r="B36" s="2574"/>
      <c r="C36" s="2574"/>
      <c r="D36" s="2574"/>
      <c r="E36" s="2574"/>
      <c r="F36" s="2574"/>
      <c r="G36" s="2575" t="s">
        <v>1323</v>
      </c>
      <c r="H36" s="2576"/>
    </row>
    <row r="37" spans="1:8" ht="15">
      <c r="A37" s="482"/>
      <c r="B37" s="551"/>
      <c r="C37" s="19"/>
      <c r="D37" s="19"/>
      <c r="E37" s="19"/>
      <c r="F37" s="19"/>
      <c r="G37" s="483"/>
      <c r="H37" s="484"/>
    </row>
    <row r="38" spans="1:8" ht="14.25">
      <c r="A38" s="2580" t="s">
        <v>1055</v>
      </c>
      <c r="B38" s="2598"/>
      <c r="C38" s="2598"/>
      <c r="D38" s="2598"/>
      <c r="E38" s="2598"/>
      <c r="F38" s="2552"/>
      <c r="G38" s="2580" t="s">
        <v>1067</v>
      </c>
      <c r="H38" s="2552"/>
    </row>
    <row r="39" spans="1:8" ht="15">
      <c r="A39" s="2597" t="s">
        <v>1056</v>
      </c>
      <c r="B39" s="2584"/>
      <c r="C39" s="2584"/>
      <c r="D39" s="2584"/>
      <c r="E39" s="2584"/>
      <c r="F39" s="2585"/>
      <c r="G39" s="483"/>
      <c r="H39" s="484"/>
    </row>
    <row r="40" spans="1:8" ht="14.25">
      <c r="A40" s="2586"/>
      <c r="B40" s="2587"/>
      <c r="C40" s="2587"/>
      <c r="D40" s="2587"/>
      <c r="E40" s="2587"/>
      <c r="F40" s="2588"/>
      <c r="G40" s="2589" t="s">
        <v>695</v>
      </c>
      <c r="H40" s="2552"/>
    </row>
    <row r="41" spans="1:8" ht="15">
      <c r="A41" s="482"/>
      <c r="B41" s="551"/>
      <c r="C41" s="551"/>
      <c r="D41" s="551"/>
      <c r="E41" s="551"/>
      <c r="F41" s="551"/>
      <c r="G41" s="485"/>
      <c r="H41" s="484"/>
    </row>
    <row r="42" spans="1:8" ht="15" thickBot="1">
      <c r="A42" s="2590" t="s">
        <v>692</v>
      </c>
      <c r="B42" s="2561"/>
      <c r="C42" s="2561"/>
      <c r="D42" s="2561"/>
      <c r="E42" s="2561"/>
      <c r="F42" s="2562"/>
      <c r="G42" s="2591" t="s">
        <v>696</v>
      </c>
      <c r="H42" s="2562"/>
    </row>
    <row r="47" spans="1:8" ht="18.75">
      <c r="A47" s="2162" t="s">
        <v>757</v>
      </c>
      <c r="B47" s="2164"/>
      <c r="C47" s="2164"/>
      <c r="D47" s="2164"/>
      <c r="E47" s="2164"/>
      <c r="F47" s="2164"/>
      <c r="G47" s="2164"/>
      <c r="H47" s="2164"/>
    </row>
    <row r="48" spans="1:8" ht="18.75">
      <c r="A48" s="2163" t="s">
        <v>211</v>
      </c>
      <c r="B48" s="2164"/>
      <c r="C48" s="2164"/>
      <c r="D48" s="2164"/>
      <c r="E48" s="2164"/>
      <c r="F48" s="2164"/>
      <c r="G48" s="2164"/>
      <c r="H48" s="2164"/>
    </row>
    <row r="49" spans="1:8" ht="18.75">
      <c r="A49" s="2163" t="s">
        <v>1212</v>
      </c>
      <c r="B49" s="2164"/>
      <c r="C49" s="2164"/>
      <c r="D49" s="2164"/>
      <c r="E49" s="2164"/>
      <c r="F49" s="2164"/>
      <c r="G49" s="2164"/>
      <c r="H49" s="2164"/>
    </row>
    <row r="50" spans="1:8" ht="18.75">
      <c r="A50" s="2163" t="s">
        <v>32</v>
      </c>
      <c r="B50" s="2164"/>
      <c r="C50" s="2164"/>
      <c r="D50" s="2164"/>
      <c r="E50" s="2164"/>
      <c r="F50" s="2164"/>
      <c r="G50" s="2164"/>
      <c r="H50" s="2164"/>
    </row>
    <row r="51" spans="1:8" ht="15">
      <c r="A51" s="33"/>
      <c r="B51" s="5"/>
      <c r="C51" s="4"/>
      <c r="D51" s="1"/>
      <c r="E51" s="1"/>
      <c r="F51" s="1"/>
      <c r="G51" s="2"/>
      <c r="H51" s="8"/>
    </row>
    <row r="52" spans="1:8" ht="18.75">
      <c r="A52" s="2592" t="s">
        <v>49</v>
      </c>
      <c r="B52" s="2592"/>
      <c r="C52" s="2592"/>
      <c r="D52" s="2592"/>
      <c r="E52" s="2592"/>
      <c r="F52" s="2592"/>
      <c r="G52" s="2592"/>
      <c r="H52" s="2592"/>
    </row>
    <row r="53" spans="1:8" ht="43.5" customHeight="1">
      <c r="A53" s="2633" t="s">
        <v>1059</v>
      </c>
      <c r="B53" s="2634"/>
      <c r="C53" s="2634"/>
      <c r="D53" s="2634"/>
      <c r="E53" s="2634"/>
      <c r="F53" s="2634"/>
      <c r="G53" s="2634"/>
      <c r="H53" s="2634"/>
    </row>
    <row r="54" spans="1:8" ht="15.75" thickBot="1">
      <c r="A54" s="2567" t="s">
        <v>29</v>
      </c>
      <c r="B54" s="2568"/>
      <c r="C54" s="2568"/>
      <c r="D54" s="2568"/>
      <c r="E54" s="2568"/>
      <c r="F54" s="2569"/>
      <c r="G54" s="2570" t="s">
        <v>640</v>
      </c>
      <c r="H54" s="2572" t="s">
        <v>639</v>
      </c>
    </row>
    <row r="55" spans="1:8" ht="90.75" thickBot="1">
      <c r="A55" s="411" t="s">
        <v>39</v>
      </c>
      <c r="B55" s="412" t="s">
        <v>40</v>
      </c>
      <c r="C55" s="412" t="s">
        <v>41</v>
      </c>
      <c r="D55" s="412" t="s">
        <v>45</v>
      </c>
      <c r="E55" s="413" t="s">
        <v>42</v>
      </c>
      <c r="F55" s="407" t="s">
        <v>43</v>
      </c>
      <c r="G55" s="2571"/>
      <c r="H55" s="2595"/>
    </row>
    <row r="56" spans="1:8" ht="15">
      <c r="A56" s="34" t="s">
        <v>380</v>
      </c>
      <c r="B56" s="23" t="s">
        <v>64</v>
      </c>
      <c r="C56" s="23" t="s">
        <v>59</v>
      </c>
      <c r="D56" s="23" t="s">
        <v>62</v>
      </c>
      <c r="E56" s="23" t="s">
        <v>65</v>
      </c>
      <c r="F56" s="423" t="s">
        <v>786</v>
      </c>
      <c r="G56" s="415" t="s">
        <v>1057</v>
      </c>
      <c r="H56" s="24">
        <v>64600</v>
      </c>
    </row>
    <row r="57" spans="1:8" ht="15">
      <c r="A57" s="34" t="s">
        <v>380</v>
      </c>
      <c r="B57" s="23" t="s">
        <v>64</v>
      </c>
      <c r="C57" s="23" t="s">
        <v>59</v>
      </c>
      <c r="D57" s="23" t="s">
        <v>62</v>
      </c>
      <c r="E57" s="23" t="s">
        <v>65</v>
      </c>
      <c r="F57" s="424" t="s">
        <v>735</v>
      </c>
      <c r="G57" s="540" t="s">
        <v>736</v>
      </c>
      <c r="H57" s="24">
        <v>3400</v>
      </c>
    </row>
    <row r="58" spans="1:8" ht="15.75" thickBot="1">
      <c r="A58" s="1073"/>
      <c r="B58" s="1074"/>
      <c r="C58" s="1074"/>
      <c r="D58" s="1074"/>
      <c r="E58" s="1075"/>
      <c r="F58" s="1076"/>
      <c r="G58" s="1077"/>
      <c r="H58" s="1078">
        <f>SUM(H56:H57)</f>
        <v>68000</v>
      </c>
    </row>
    <row r="59" spans="1:8" ht="15.75" thickBot="1">
      <c r="A59" s="9"/>
      <c r="B59" s="9"/>
      <c r="C59" s="10"/>
      <c r="D59" s="3"/>
      <c r="E59" s="3"/>
      <c r="F59" s="3"/>
      <c r="G59" s="2"/>
      <c r="H59" s="8"/>
    </row>
    <row r="60" spans="1:8" ht="15">
      <c r="A60" s="2573" t="s">
        <v>1116</v>
      </c>
      <c r="B60" s="2574"/>
      <c r="C60" s="2574"/>
      <c r="D60" s="2574"/>
      <c r="E60" s="2574"/>
      <c r="F60" s="2574"/>
      <c r="G60" s="2575" t="s">
        <v>1323</v>
      </c>
      <c r="H60" s="2576"/>
    </row>
    <row r="61" spans="1:8" ht="15">
      <c r="A61" s="2577" t="s">
        <v>1059</v>
      </c>
      <c r="B61" s="2578"/>
      <c r="C61" s="2578"/>
      <c r="D61" s="2578"/>
      <c r="E61" s="2578"/>
      <c r="F61" s="2579"/>
      <c r="G61" s="483"/>
      <c r="H61" s="484"/>
    </row>
    <row r="62" spans="1:8" ht="14.25">
      <c r="A62" s="2580"/>
      <c r="B62" s="2581"/>
      <c r="C62" s="2581"/>
      <c r="D62" s="2581"/>
      <c r="E62" s="2581"/>
      <c r="F62" s="2582"/>
      <c r="G62" s="2580" t="s">
        <v>1069</v>
      </c>
      <c r="H62" s="2552"/>
    </row>
    <row r="63" spans="1:8" ht="15">
      <c r="A63" s="2597" t="s">
        <v>1060</v>
      </c>
      <c r="B63" s="2584"/>
      <c r="C63" s="2584"/>
      <c r="D63" s="2584"/>
      <c r="E63" s="2584"/>
      <c r="F63" s="2585"/>
      <c r="G63" s="483"/>
      <c r="H63" s="484"/>
    </row>
    <row r="64" spans="1:8" ht="14.25">
      <c r="A64" s="2586"/>
      <c r="B64" s="2587"/>
      <c r="C64" s="2587"/>
      <c r="D64" s="2587"/>
      <c r="E64" s="2587"/>
      <c r="F64" s="2588"/>
      <c r="G64" s="2589" t="s">
        <v>988</v>
      </c>
      <c r="H64" s="2552"/>
    </row>
    <row r="65" spans="1:8" ht="15">
      <c r="A65" s="482"/>
      <c r="B65" s="551"/>
      <c r="C65" s="551"/>
      <c r="D65" s="551"/>
      <c r="E65" s="551"/>
      <c r="F65" s="551"/>
      <c r="G65" s="485"/>
      <c r="H65" s="484"/>
    </row>
    <row r="66" spans="1:8" ht="15" thickBot="1">
      <c r="A66" s="2590" t="s">
        <v>692</v>
      </c>
      <c r="B66" s="2561"/>
      <c r="C66" s="2561"/>
      <c r="D66" s="2561"/>
      <c r="E66" s="2561"/>
      <c r="F66" s="2562"/>
      <c r="G66" s="2591" t="s">
        <v>696</v>
      </c>
      <c r="H66" s="2562"/>
    </row>
    <row r="69" spans="1:8" ht="18.75">
      <c r="A69" s="2217" t="s">
        <v>757</v>
      </c>
      <c r="B69" s="2164"/>
      <c r="C69" s="2164"/>
      <c r="D69" s="2164"/>
      <c r="E69" s="2164"/>
      <c r="F69" s="2164"/>
      <c r="G69" s="2164"/>
      <c r="H69" s="2164"/>
    </row>
    <row r="70" spans="1:8" ht="18.75">
      <c r="A70" s="2185" t="s">
        <v>211</v>
      </c>
      <c r="B70" s="2164"/>
      <c r="C70" s="2164"/>
      <c r="D70" s="2164"/>
      <c r="E70" s="2164"/>
      <c r="F70" s="2164"/>
      <c r="G70" s="2164"/>
      <c r="H70" s="2164"/>
    </row>
    <row r="71" spans="1:8" ht="18.75">
      <c r="A71" s="2185" t="s">
        <v>1212</v>
      </c>
      <c r="B71" s="2164"/>
      <c r="C71" s="2164"/>
      <c r="D71" s="2164"/>
      <c r="E71" s="2164"/>
      <c r="F71" s="2164"/>
      <c r="G71" s="2164"/>
      <c r="H71" s="2164"/>
    </row>
    <row r="72" spans="1:8" ht="18.75">
      <c r="A72" s="2185" t="s">
        <v>32</v>
      </c>
      <c r="B72" s="2164"/>
      <c r="C72" s="2164"/>
      <c r="D72" s="2164"/>
      <c r="E72" s="2164"/>
      <c r="F72" s="2164"/>
      <c r="G72" s="2164"/>
      <c r="H72" s="2164"/>
    </row>
    <row r="73" spans="1:8" ht="15">
      <c r="A73" s="850"/>
      <c r="B73" s="198"/>
      <c r="C73" s="851"/>
      <c r="D73" s="41"/>
      <c r="E73" s="41"/>
      <c r="F73" s="41"/>
      <c r="G73" s="21"/>
      <c r="H73" s="203"/>
    </row>
    <row r="74" spans="1:8" ht="18.75">
      <c r="A74" s="2613" t="s">
        <v>49</v>
      </c>
      <c r="B74" s="2613"/>
      <c r="C74" s="2613"/>
      <c r="D74" s="2613"/>
      <c r="E74" s="2613"/>
      <c r="F74" s="2613"/>
      <c r="G74" s="2613"/>
      <c r="H74" s="2613"/>
    </row>
    <row r="75" spans="1:8" ht="44.25" customHeight="1">
      <c r="A75" s="2633" t="s">
        <v>1369</v>
      </c>
      <c r="B75" s="2634"/>
      <c r="C75" s="2634"/>
      <c r="D75" s="2634"/>
      <c r="E75" s="2634"/>
      <c r="F75" s="2634"/>
      <c r="G75" s="2634"/>
      <c r="H75" s="2634"/>
    </row>
    <row r="76" spans="1:8" ht="15.75" thickBot="1">
      <c r="A76" s="2567" t="s">
        <v>29</v>
      </c>
      <c r="B76" s="2568"/>
      <c r="C76" s="2568"/>
      <c r="D76" s="2568"/>
      <c r="E76" s="2568"/>
      <c r="F76" s="2569"/>
      <c r="G76" s="2570" t="s">
        <v>640</v>
      </c>
      <c r="H76" s="2572" t="s">
        <v>639</v>
      </c>
    </row>
    <row r="77" spans="1:8" ht="90.75" thickBot="1">
      <c r="A77" s="411" t="s">
        <v>39</v>
      </c>
      <c r="B77" s="412" t="s">
        <v>40</v>
      </c>
      <c r="C77" s="412" t="s">
        <v>41</v>
      </c>
      <c r="D77" s="412" t="s">
        <v>45</v>
      </c>
      <c r="E77" s="413" t="s">
        <v>42</v>
      </c>
      <c r="F77" s="407" t="s">
        <v>43</v>
      </c>
      <c r="G77" s="2571"/>
      <c r="H77" s="2595"/>
    </row>
    <row r="78" spans="1:8" ht="15">
      <c r="A78" s="852" t="s">
        <v>380</v>
      </c>
      <c r="B78" s="853" t="s">
        <v>64</v>
      </c>
      <c r="C78" s="853" t="s">
        <v>59</v>
      </c>
      <c r="D78" s="853" t="s">
        <v>62</v>
      </c>
      <c r="E78" s="853" t="s">
        <v>65</v>
      </c>
      <c r="F78" s="854" t="s">
        <v>786</v>
      </c>
      <c r="G78" s="415" t="s">
        <v>1057</v>
      </c>
      <c r="H78" s="491">
        <v>57000</v>
      </c>
    </row>
    <row r="79" spans="1:8" ht="15">
      <c r="A79" s="852" t="s">
        <v>380</v>
      </c>
      <c r="B79" s="853" t="s">
        <v>64</v>
      </c>
      <c r="C79" s="853" t="s">
        <v>59</v>
      </c>
      <c r="D79" s="853" t="s">
        <v>62</v>
      </c>
      <c r="E79" s="853" t="s">
        <v>65</v>
      </c>
      <c r="F79" s="856" t="s">
        <v>735</v>
      </c>
      <c r="G79" s="540" t="s">
        <v>736</v>
      </c>
      <c r="H79" s="491">
        <v>3000</v>
      </c>
    </row>
    <row r="80" spans="1:8" ht="15.75" thickBot="1">
      <c r="A80" s="1619"/>
      <c r="B80" s="1620"/>
      <c r="C80" s="1620"/>
      <c r="D80" s="1620"/>
      <c r="E80" s="1621"/>
      <c r="F80" s="1622"/>
      <c r="G80" s="1623"/>
      <c r="H80" s="1624">
        <f>SUM(H78:H79)</f>
        <v>60000</v>
      </c>
    </row>
    <row r="81" spans="1:8" ht="15.75" thickBot="1">
      <c r="A81" s="9"/>
      <c r="B81" s="9"/>
      <c r="C81" s="10"/>
      <c r="D81" s="3"/>
      <c r="E81" s="3"/>
      <c r="F81" s="3"/>
      <c r="G81" s="2"/>
      <c r="H81" s="8"/>
    </row>
    <row r="82" spans="1:8" ht="15">
      <c r="A82" s="2573" t="s">
        <v>1116</v>
      </c>
      <c r="B82" s="2574"/>
      <c r="C82" s="2574"/>
      <c r="D82" s="2574"/>
      <c r="E82" s="2574"/>
      <c r="F82" s="2574"/>
      <c r="G82" s="2575" t="s">
        <v>1323</v>
      </c>
      <c r="H82" s="2576"/>
    </row>
    <row r="83" spans="1:8" ht="15">
      <c r="A83" s="2577" t="s">
        <v>1369</v>
      </c>
      <c r="B83" s="2578"/>
      <c r="C83" s="2578"/>
      <c r="D83" s="2578"/>
      <c r="E83" s="2578"/>
      <c r="F83" s="2579"/>
      <c r="G83" s="483"/>
      <c r="H83" s="484"/>
    </row>
    <row r="84" spans="1:8" ht="14.25">
      <c r="A84" s="2580"/>
      <c r="B84" s="2581"/>
      <c r="C84" s="2581"/>
      <c r="D84" s="2581"/>
      <c r="E84" s="2581"/>
      <c r="F84" s="2582"/>
      <c r="G84" s="2580" t="s">
        <v>1069</v>
      </c>
      <c r="H84" s="2552"/>
    </row>
    <row r="85" spans="1:8" ht="15">
      <c r="A85" s="2597" t="s">
        <v>1489</v>
      </c>
      <c r="B85" s="2584"/>
      <c r="C85" s="2584"/>
      <c r="D85" s="2584"/>
      <c r="E85" s="2584"/>
      <c r="F85" s="2585"/>
      <c r="G85" s="483"/>
      <c r="H85" s="484"/>
    </row>
    <row r="86" spans="1:8" ht="14.25">
      <c r="A86" s="2586"/>
      <c r="B86" s="2587"/>
      <c r="C86" s="2587"/>
      <c r="D86" s="2587"/>
      <c r="E86" s="2587"/>
      <c r="F86" s="2588"/>
      <c r="G86" s="2589" t="s">
        <v>988</v>
      </c>
      <c r="H86" s="2552"/>
    </row>
    <row r="87" spans="1:8" ht="15">
      <c r="A87" s="482"/>
      <c r="B87" s="551"/>
      <c r="C87" s="551"/>
      <c r="D87" s="551"/>
      <c r="E87" s="551"/>
      <c r="F87" s="551"/>
      <c r="G87" s="485"/>
      <c r="H87" s="484"/>
    </row>
    <row r="88" spans="1:8" ht="15" thickBot="1">
      <c r="A88" s="2590" t="s">
        <v>692</v>
      </c>
      <c r="B88" s="2561"/>
      <c r="C88" s="2561"/>
      <c r="D88" s="2561"/>
      <c r="E88" s="2561"/>
      <c r="F88" s="2562"/>
      <c r="G88" s="2591" t="s">
        <v>696</v>
      </c>
      <c r="H88" s="2562"/>
    </row>
    <row r="107" spans="1:8" ht="18.75">
      <c r="A107" s="2162" t="s">
        <v>111</v>
      </c>
      <c r="B107" s="2162"/>
      <c r="C107" s="2162"/>
      <c r="D107" s="2162"/>
      <c r="E107" s="2162"/>
      <c r="F107" s="2162"/>
      <c r="G107" s="2162"/>
      <c r="H107" s="2162"/>
    </row>
    <row r="108" spans="1:8" ht="18.75">
      <c r="A108" s="2162" t="s">
        <v>110</v>
      </c>
      <c r="B108" s="2162"/>
      <c r="C108" s="2162"/>
      <c r="D108" s="2162"/>
      <c r="E108" s="2162"/>
      <c r="F108" s="2162"/>
      <c r="G108" s="2162"/>
      <c r="H108" s="2162"/>
    </row>
    <row r="109" spans="1:8" ht="18.75">
      <c r="A109" s="2163" t="s">
        <v>211</v>
      </c>
      <c r="B109" s="2164"/>
      <c r="C109" s="2164"/>
      <c r="D109" s="2164"/>
      <c r="E109" s="2164"/>
      <c r="F109" s="2164"/>
      <c r="G109" s="2164"/>
      <c r="H109" s="2164"/>
    </row>
    <row r="110" spans="1:8" ht="18.75">
      <c r="A110" s="2163" t="s">
        <v>1212</v>
      </c>
      <c r="B110" s="2164"/>
      <c r="C110" s="2164"/>
      <c r="D110" s="2164"/>
      <c r="E110" s="2164"/>
      <c r="F110" s="2164"/>
      <c r="G110" s="2164"/>
      <c r="H110" s="2164"/>
    </row>
    <row r="111" spans="1:8" ht="18.75">
      <c r="A111" s="2163" t="s">
        <v>32</v>
      </c>
      <c r="B111" s="2164"/>
      <c r="C111" s="2164"/>
      <c r="D111" s="2164"/>
      <c r="E111" s="2164"/>
      <c r="F111" s="2164"/>
      <c r="G111" s="2164"/>
      <c r="H111" s="2164"/>
    </row>
    <row r="112" spans="1:8" ht="15">
      <c r="A112" s="33"/>
      <c r="B112" s="5"/>
      <c r="C112" s="4"/>
      <c r="D112" s="1"/>
      <c r="E112" s="1"/>
      <c r="F112" s="1"/>
      <c r="G112" s="2"/>
      <c r="H112" s="8"/>
    </row>
    <row r="113" spans="1:8" ht="18.75">
      <c r="A113" s="2596" t="s">
        <v>49</v>
      </c>
      <c r="B113" s="2596"/>
      <c r="C113" s="2596"/>
      <c r="D113" s="2596"/>
      <c r="E113" s="2596"/>
      <c r="F113" s="2596"/>
      <c r="G113" s="2596"/>
      <c r="H113" s="2596"/>
    </row>
    <row r="114" spans="1:8" ht="37.5" customHeight="1">
      <c r="A114" s="2680" t="s">
        <v>1141</v>
      </c>
      <c r="B114" s="2681"/>
      <c r="C114" s="2681"/>
      <c r="D114" s="2681"/>
      <c r="E114" s="2681"/>
      <c r="F114" s="2681"/>
      <c r="G114" s="2681"/>
      <c r="H114" s="2681"/>
    </row>
    <row r="115" spans="1:8" ht="15.75" thickBot="1">
      <c r="A115" s="2567" t="s">
        <v>29</v>
      </c>
      <c r="B115" s="2568"/>
      <c r="C115" s="2568"/>
      <c r="D115" s="2568"/>
      <c r="E115" s="2568"/>
      <c r="F115" s="2569"/>
      <c r="G115" s="2570" t="s">
        <v>640</v>
      </c>
      <c r="H115" s="2572" t="s">
        <v>639</v>
      </c>
    </row>
    <row r="116" spans="1:8" ht="90.75" thickBot="1">
      <c r="A116" s="411" t="s">
        <v>39</v>
      </c>
      <c r="B116" s="412" t="s">
        <v>40</v>
      </c>
      <c r="C116" s="412" t="s">
        <v>41</v>
      </c>
      <c r="D116" s="412" t="s">
        <v>45</v>
      </c>
      <c r="E116" s="413" t="s">
        <v>42</v>
      </c>
      <c r="F116" s="407" t="s">
        <v>43</v>
      </c>
      <c r="G116" s="2571"/>
      <c r="H116" s="2572"/>
    </row>
    <row r="117" spans="1:8" ht="15">
      <c r="A117" s="34" t="s">
        <v>381</v>
      </c>
      <c r="B117" s="23" t="s">
        <v>69</v>
      </c>
      <c r="C117" s="23" t="s">
        <v>59</v>
      </c>
      <c r="D117" s="23" t="s">
        <v>62</v>
      </c>
      <c r="E117" s="23" t="s">
        <v>65</v>
      </c>
      <c r="F117" s="423" t="s">
        <v>785</v>
      </c>
      <c r="G117" s="561" t="s">
        <v>1061</v>
      </c>
      <c r="H117" s="541">
        <v>47500</v>
      </c>
    </row>
    <row r="118" spans="1:8" ht="15">
      <c r="A118" s="34" t="s">
        <v>381</v>
      </c>
      <c r="B118" s="23" t="s">
        <v>69</v>
      </c>
      <c r="C118" s="23" t="s">
        <v>59</v>
      </c>
      <c r="D118" s="23" t="s">
        <v>62</v>
      </c>
      <c r="E118" s="23" t="s">
        <v>65</v>
      </c>
      <c r="F118" s="424" t="s">
        <v>735</v>
      </c>
      <c r="G118" s="540" t="s">
        <v>736</v>
      </c>
      <c r="H118" s="563">
        <v>2500</v>
      </c>
    </row>
    <row r="119" spans="1:8" ht="15.75" thickBot="1">
      <c r="A119" s="1073"/>
      <c r="B119" s="1074"/>
      <c r="C119" s="1074"/>
      <c r="D119" s="1074"/>
      <c r="E119" s="1075"/>
      <c r="F119" s="1076"/>
      <c r="G119" s="1077"/>
      <c r="H119" s="1078">
        <f>SUM(H117:H118)</f>
        <v>50000</v>
      </c>
    </row>
    <row r="120" spans="1:8" ht="15.75" thickBot="1">
      <c r="A120" s="9"/>
      <c r="B120" s="9"/>
      <c r="C120" s="10"/>
      <c r="D120" s="3"/>
      <c r="E120" s="3"/>
      <c r="F120" s="3"/>
      <c r="G120" s="2"/>
      <c r="H120" s="8"/>
    </row>
    <row r="121" spans="1:8" ht="15">
      <c r="A121" s="2573" t="s">
        <v>1097</v>
      </c>
      <c r="B121" s="2574"/>
      <c r="C121" s="2574"/>
      <c r="D121" s="2574"/>
      <c r="E121" s="2574"/>
      <c r="F121" s="2574"/>
      <c r="G121" s="2575" t="s">
        <v>1323</v>
      </c>
      <c r="H121" s="2576"/>
    </row>
    <row r="122" spans="1:8" ht="15">
      <c r="A122" s="482"/>
      <c r="B122" s="551"/>
      <c r="C122" s="19"/>
      <c r="D122" s="19"/>
      <c r="E122" s="19"/>
      <c r="F122" s="19"/>
      <c r="G122" s="483"/>
      <c r="H122" s="484"/>
    </row>
    <row r="123" spans="1:8" ht="14.25">
      <c r="A123" s="2580" t="s">
        <v>1062</v>
      </c>
      <c r="B123" s="2598"/>
      <c r="C123" s="2598"/>
      <c r="D123" s="2598"/>
      <c r="E123" s="2598"/>
      <c r="F123" s="2552"/>
      <c r="G123" s="2580" t="s">
        <v>1067</v>
      </c>
      <c r="H123" s="2552"/>
    </row>
    <row r="124" spans="1:8" ht="15">
      <c r="A124" s="2597" t="s">
        <v>1063</v>
      </c>
      <c r="B124" s="2584"/>
      <c r="C124" s="2584"/>
      <c r="D124" s="2584"/>
      <c r="E124" s="2584"/>
      <c r="F124" s="2585"/>
      <c r="G124" s="483"/>
      <c r="H124" s="484"/>
    </row>
    <row r="125" spans="1:8" ht="14.25">
      <c r="A125" s="2586"/>
      <c r="B125" s="2587"/>
      <c r="C125" s="2587"/>
      <c r="D125" s="2587"/>
      <c r="E125" s="2587"/>
      <c r="F125" s="2588"/>
      <c r="G125" s="2589" t="s">
        <v>737</v>
      </c>
      <c r="H125" s="2552"/>
    </row>
    <row r="126" spans="1:8" ht="15">
      <c r="A126" s="482"/>
      <c r="B126" s="551"/>
      <c r="C126" s="551"/>
      <c r="D126" s="551"/>
      <c r="E126" s="551"/>
      <c r="F126" s="551"/>
      <c r="G126" s="485"/>
      <c r="H126" s="484"/>
    </row>
    <row r="127" spans="1:8" ht="15" thickBot="1">
      <c r="A127" s="2590" t="s">
        <v>692</v>
      </c>
      <c r="B127" s="2561"/>
      <c r="C127" s="2561"/>
      <c r="D127" s="2561"/>
      <c r="E127" s="2561"/>
      <c r="F127" s="2562"/>
      <c r="G127" s="2591" t="s">
        <v>696</v>
      </c>
      <c r="H127" s="2562"/>
    </row>
    <row r="128" spans="1:8" ht="15">
      <c r="A128" s="553"/>
      <c r="B128" s="554"/>
      <c r="C128" s="554"/>
      <c r="D128" s="554"/>
      <c r="E128" s="554"/>
      <c r="F128" s="554"/>
      <c r="G128" s="555"/>
      <c r="H128" s="554"/>
    </row>
    <row r="129" spans="1:8" ht="18.75">
      <c r="A129" s="2601" t="s">
        <v>821</v>
      </c>
      <c r="B129" s="2601"/>
      <c r="C129" s="2601"/>
      <c r="D129" s="2601"/>
      <c r="E129" s="2601"/>
      <c r="F129" s="2601"/>
      <c r="G129" s="2601"/>
      <c r="H129" s="2601"/>
    </row>
    <row r="130" spans="1:8" ht="15">
      <c r="A130" s="553"/>
      <c r="B130" s="554"/>
      <c r="C130" s="554"/>
      <c r="D130" s="554"/>
      <c r="E130" s="554"/>
      <c r="F130" s="554"/>
      <c r="G130" s="555"/>
      <c r="H130" s="554"/>
    </row>
    <row r="134" spans="1:8" ht="18.75">
      <c r="A134" s="2162" t="s">
        <v>111</v>
      </c>
      <c r="B134" s="2162"/>
      <c r="C134" s="2162"/>
      <c r="D134" s="2162"/>
      <c r="E134" s="2162"/>
      <c r="F134" s="2162"/>
      <c r="G134" s="2162"/>
      <c r="H134" s="2162"/>
    </row>
    <row r="135" spans="1:8" ht="18.75">
      <c r="A135" s="2162" t="s">
        <v>110</v>
      </c>
      <c r="B135" s="2162"/>
      <c r="C135" s="2162"/>
      <c r="D135" s="2162"/>
      <c r="E135" s="2162"/>
      <c r="F135" s="2162"/>
      <c r="G135" s="2162"/>
      <c r="H135" s="2162"/>
    </row>
    <row r="136" spans="1:8" ht="18.75">
      <c r="A136" s="2163" t="s">
        <v>211</v>
      </c>
      <c r="B136" s="2164"/>
      <c r="C136" s="2164"/>
      <c r="D136" s="2164"/>
      <c r="E136" s="2164"/>
      <c r="F136" s="2164"/>
      <c r="G136" s="2164"/>
      <c r="H136" s="2164"/>
    </row>
    <row r="137" spans="1:8" ht="18.75">
      <c r="A137" s="2163" t="s">
        <v>1212</v>
      </c>
      <c r="B137" s="2164"/>
      <c r="C137" s="2164"/>
      <c r="D137" s="2164"/>
      <c r="E137" s="2164"/>
      <c r="F137" s="2164"/>
      <c r="G137" s="2164"/>
      <c r="H137" s="2164"/>
    </row>
    <row r="138" spans="1:8" ht="18.75">
      <c r="A138" s="2163" t="s">
        <v>32</v>
      </c>
      <c r="B138" s="2164"/>
      <c r="C138" s="2164"/>
      <c r="D138" s="2164"/>
      <c r="E138" s="2164"/>
      <c r="F138" s="2164"/>
      <c r="G138" s="2164"/>
      <c r="H138" s="2164"/>
    </row>
    <row r="139" spans="1:8" ht="15">
      <c r="A139" s="33"/>
      <c r="B139" s="5"/>
      <c r="C139" s="4"/>
      <c r="D139" s="1"/>
      <c r="E139" s="1"/>
      <c r="F139" s="1"/>
      <c r="G139" s="2"/>
      <c r="H139" s="8"/>
    </row>
    <row r="140" spans="1:8" ht="18.75">
      <c r="A140" s="2596" t="s">
        <v>49</v>
      </c>
      <c r="B140" s="2596"/>
      <c r="C140" s="2596"/>
      <c r="D140" s="2596"/>
      <c r="E140" s="2596"/>
      <c r="F140" s="2596"/>
      <c r="G140" s="2596"/>
      <c r="H140" s="2596"/>
    </row>
    <row r="141" spans="1:8" ht="29.25" customHeight="1" thickBot="1">
      <c r="A141" s="2678" t="s">
        <v>1120</v>
      </c>
      <c r="B141" s="2679"/>
      <c r="C141" s="2679"/>
      <c r="D141" s="2679"/>
      <c r="E141" s="2679"/>
      <c r="F141" s="2679"/>
      <c r="G141" s="2679"/>
      <c r="H141" s="2679"/>
    </row>
    <row r="142" spans="1:8" ht="15.75" thickBot="1">
      <c r="A142" s="2606" t="s">
        <v>29</v>
      </c>
      <c r="B142" s="2607"/>
      <c r="C142" s="2607"/>
      <c r="D142" s="2607"/>
      <c r="E142" s="2607"/>
      <c r="F142" s="2608"/>
      <c r="G142" s="2609" t="s">
        <v>640</v>
      </c>
      <c r="H142" s="2610" t="s">
        <v>639</v>
      </c>
    </row>
    <row r="143" spans="1:8" ht="90.75" thickBot="1">
      <c r="A143" s="411" t="s">
        <v>39</v>
      </c>
      <c r="B143" s="412" t="s">
        <v>40</v>
      </c>
      <c r="C143" s="412" t="s">
        <v>41</v>
      </c>
      <c r="D143" s="412" t="s">
        <v>45</v>
      </c>
      <c r="E143" s="413" t="s">
        <v>42</v>
      </c>
      <c r="F143" s="407" t="s">
        <v>43</v>
      </c>
      <c r="G143" s="2571"/>
      <c r="H143" s="2572"/>
    </row>
    <row r="144" spans="1:8" ht="15">
      <c r="A144" s="34" t="s">
        <v>381</v>
      </c>
      <c r="B144" s="23" t="s">
        <v>69</v>
      </c>
      <c r="C144" s="23" t="s">
        <v>59</v>
      </c>
      <c r="D144" s="23" t="s">
        <v>62</v>
      </c>
      <c r="E144" s="23" t="s">
        <v>65</v>
      </c>
      <c r="F144" s="423" t="s">
        <v>1065</v>
      </c>
      <c r="G144" s="561" t="s">
        <v>1066</v>
      </c>
      <c r="H144" s="541">
        <v>47500</v>
      </c>
    </row>
    <row r="145" spans="1:8" ht="15">
      <c r="A145" s="34" t="s">
        <v>381</v>
      </c>
      <c r="B145" s="23" t="s">
        <v>69</v>
      </c>
      <c r="C145" s="23" t="s">
        <v>59</v>
      </c>
      <c r="D145" s="23" t="s">
        <v>62</v>
      </c>
      <c r="E145" s="23" t="s">
        <v>65</v>
      </c>
      <c r="F145" s="424" t="s">
        <v>735</v>
      </c>
      <c r="G145" s="540" t="s">
        <v>736</v>
      </c>
      <c r="H145" s="563">
        <v>2500</v>
      </c>
    </row>
    <row r="146" spans="1:8" ht="15.75" thickBot="1">
      <c r="A146" s="1073"/>
      <c r="B146" s="1074"/>
      <c r="C146" s="1074"/>
      <c r="D146" s="1074"/>
      <c r="E146" s="1075"/>
      <c r="F146" s="1076"/>
      <c r="G146" s="1077"/>
      <c r="H146" s="1078">
        <f>SUM(H144:H145)</f>
        <v>50000</v>
      </c>
    </row>
    <row r="147" spans="1:8" ht="15.75" thickBot="1">
      <c r="A147" s="9"/>
      <c r="B147" s="9"/>
      <c r="C147" s="10"/>
      <c r="D147" s="3"/>
      <c r="E147" s="3"/>
      <c r="F147" s="3"/>
      <c r="G147" s="2"/>
      <c r="H147" s="8"/>
    </row>
    <row r="148" spans="1:8" ht="15">
      <c r="A148" s="2573" t="s">
        <v>732</v>
      </c>
      <c r="B148" s="2574"/>
      <c r="C148" s="2574"/>
      <c r="D148" s="2574"/>
      <c r="E148" s="2574"/>
      <c r="F148" s="2574"/>
      <c r="G148" s="2575" t="s">
        <v>1021</v>
      </c>
      <c r="H148" s="2576"/>
    </row>
    <row r="149" spans="1:8" ht="15">
      <c r="A149" s="482"/>
      <c r="B149" s="551"/>
      <c r="C149" s="19"/>
      <c r="D149" s="19"/>
      <c r="E149" s="19"/>
      <c r="F149" s="19"/>
      <c r="G149" s="483"/>
      <c r="H149" s="484"/>
    </row>
    <row r="150" spans="1:8" ht="14.25">
      <c r="A150" s="2580" t="s">
        <v>1064</v>
      </c>
      <c r="B150" s="2598"/>
      <c r="C150" s="2598"/>
      <c r="D150" s="2598"/>
      <c r="E150" s="2598"/>
      <c r="F150" s="2552"/>
      <c r="G150" s="2580" t="s">
        <v>1067</v>
      </c>
      <c r="H150" s="2552"/>
    </row>
    <row r="151" spans="1:8" ht="15">
      <c r="A151" s="2597" t="s">
        <v>1068</v>
      </c>
      <c r="B151" s="2584"/>
      <c r="C151" s="2584"/>
      <c r="D151" s="2584"/>
      <c r="E151" s="2584"/>
      <c r="F151" s="2585"/>
      <c r="G151" s="483"/>
      <c r="H151" s="484"/>
    </row>
    <row r="152" spans="1:8" ht="14.25">
      <c r="A152" s="2586"/>
      <c r="B152" s="2587"/>
      <c r="C152" s="2587"/>
      <c r="D152" s="2587"/>
      <c r="E152" s="2587"/>
      <c r="F152" s="2588"/>
      <c r="G152" s="2589" t="s">
        <v>737</v>
      </c>
      <c r="H152" s="2552"/>
    </row>
    <row r="153" spans="1:8" ht="15">
      <c r="A153" s="482"/>
      <c r="B153" s="551"/>
      <c r="C153" s="551"/>
      <c r="D153" s="551"/>
      <c r="E153" s="551"/>
      <c r="F153" s="551"/>
      <c r="G153" s="485"/>
      <c r="H153" s="484"/>
    </row>
    <row r="154" spans="1:8" ht="15" thickBot="1">
      <c r="A154" s="2590" t="s">
        <v>692</v>
      </c>
      <c r="B154" s="2561"/>
      <c r="C154" s="2561"/>
      <c r="D154" s="2561"/>
      <c r="E154" s="2561"/>
      <c r="F154" s="2562"/>
      <c r="G154" s="2591" t="s">
        <v>696</v>
      </c>
      <c r="H154" s="2562"/>
    </row>
    <row r="157" spans="1:8" ht="18.75">
      <c r="A157" s="2677" t="s">
        <v>111</v>
      </c>
      <c r="B157" s="2677"/>
      <c r="C157" s="2677"/>
      <c r="D157" s="2677"/>
      <c r="E157" s="2677"/>
      <c r="F157" s="2677"/>
      <c r="G157" s="2677"/>
      <c r="H157" s="2677"/>
    </row>
    <row r="158" spans="1:8" ht="18.75">
      <c r="A158" s="2677" t="s">
        <v>110</v>
      </c>
      <c r="B158" s="2677"/>
      <c r="C158" s="2677"/>
      <c r="D158" s="2677"/>
      <c r="E158" s="2677"/>
      <c r="F158" s="2677"/>
      <c r="G158" s="2677"/>
      <c r="H158" s="2677"/>
    </row>
    <row r="159" spans="1:8" ht="18.75">
      <c r="A159" s="2665" t="s">
        <v>211</v>
      </c>
      <c r="B159" s="2666"/>
      <c r="C159" s="2666"/>
      <c r="D159" s="2666"/>
      <c r="E159" s="2666"/>
      <c r="F159" s="2666"/>
      <c r="G159" s="2666"/>
      <c r="H159" s="2666"/>
    </row>
    <row r="160" spans="1:8" ht="18.75">
      <c r="A160" s="2665" t="s">
        <v>1006</v>
      </c>
      <c r="B160" s="2666"/>
      <c r="C160" s="2666"/>
      <c r="D160" s="2666"/>
      <c r="E160" s="2666"/>
      <c r="F160" s="2666"/>
      <c r="G160" s="2666"/>
      <c r="H160" s="2666"/>
    </row>
    <row r="161" spans="1:8" ht="18.75">
      <c r="A161" s="2665" t="s">
        <v>32</v>
      </c>
      <c r="B161" s="2666"/>
      <c r="C161" s="2666"/>
      <c r="D161" s="2666"/>
      <c r="E161" s="2666"/>
      <c r="F161" s="2666"/>
      <c r="G161" s="2666"/>
      <c r="H161" s="2666"/>
    </row>
    <row r="162" spans="1:8" ht="15">
      <c r="A162" s="1191"/>
      <c r="B162" s="1192"/>
      <c r="C162" s="1193"/>
      <c r="D162" s="1194"/>
      <c r="E162" s="1194"/>
      <c r="F162" s="1194"/>
      <c r="G162" s="1195"/>
      <c r="H162" s="1196"/>
    </row>
    <row r="163" spans="1:8" ht="18.75">
      <c r="A163" s="2667" t="s">
        <v>49</v>
      </c>
      <c r="B163" s="2667"/>
      <c r="C163" s="2667"/>
      <c r="D163" s="2667"/>
      <c r="E163" s="2667"/>
      <c r="F163" s="2667"/>
      <c r="G163" s="2667"/>
      <c r="H163" s="2667"/>
    </row>
    <row r="164" spans="1:8" ht="21.75" thickBot="1">
      <c r="A164" s="2668" t="s">
        <v>1121</v>
      </c>
      <c r="B164" s="2669"/>
      <c r="C164" s="2669"/>
      <c r="D164" s="2669"/>
      <c r="E164" s="2669"/>
      <c r="F164" s="2669"/>
      <c r="G164" s="2669"/>
      <c r="H164" s="2669"/>
    </row>
    <row r="165" spans="1:8" ht="15.75" thickBot="1">
      <c r="A165" s="2670" t="s">
        <v>29</v>
      </c>
      <c r="B165" s="2671"/>
      <c r="C165" s="2671"/>
      <c r="D165" s="2671"/>
      <c r="E165" s="2671"/>
      <c r="F165" s="2672"/>
      <c r="G165" s="2673" t="s">
        <v>640</v>
      </c>
      <c r="H165" s="2675" t="s">
        <v>639</v>
      </c>
    </row>
    <row r="166" spans="1:8" ht="90.75" thickBot="1">
      <c r="A166" s="1197" t="s">
        <v>39</v>
      </c>
      <c r="B166" s="1198" t="s">
        <v>40</v>
      </c>
      <c r="C166" s="1198" t="s">
        <v>41</v>
      </c>
      <c r="D166" s="1198" t="s">
        <v>45</v>
      </c>
      <c r="E166" s="1199" t="s">
        <v>42</v>
      </c>
      <c r="F166" s="1200" t="s">
        <v>43</v>
      </c>
      <c r="G166" s="2674"/>
      <c r="H166" s="2676"/>
    </row>
    <row r="167" spans="1:8" ht="15">
      <c r="A167" s="1201" t="s">
        <v>381</v>
      </c>
      <c r="B167" s="1202" t="s">
        <v>64</v>
      </c>
      <c r="C167" s="1202" t="s">
        <v>61</v>
      </c>
      <c r="D167" s="1202" t="s">
        <v>62</v>
      </c>
      <c r="E167" s="1202" t="s">
        <v>65</v>
      </c>
      <c r="F167" s="1203" t="s">
        <v>387</v>
      </c>
      <c r="G167" s="1204" t="s">
        <v>1074</v>
      </c>
      <c r="H167" s="1205">
        <v>87400</v>
      </c>
    </row>
    <row r="168" spans="1:8" ht="15">
      <c r="A168" s="1201" t="s">
        <v>381</v>
      </c>
      <c r="B168" s="1202" t="s">
        <v>64</v>
      </c>
      <c r="C168" s="1202" t="s">
        <v>61</v>
      </c>
      <c r="D168" s="1202" t="s">
        <v>62</v>
      </c>
      <c r="E168" s="1202" t="s">
        <v>65</v>
      </c>
      <c r="F168" s="1206" t="s">
        <v>735</v>
      </c>
      <c r="G168" s="1207" t="s">
        <v>736</v>
      </c>
      <c r="H168" s="1208">
        <v>4600</v>
      </c>
    </row>
    <row r="169" spans="1:8" ht="15.75" thickBot="1">
      <c r="A169" s="1209"/>
      <c r="B169" s="1210"/>
      <c r="C169" s="1210"/>
      <c r="D169" s="1210"/>
      <c r="E169" s="1211"/>
      <c r="F169" s="1212"/>
      <c r="G169" s="1213"/>
      <c r="H169" s="1214">
        <f>SUM(H167:H168)</f>
        <v>92000</v>
      </c>
    </row>
    <row r="170" spans="1:8" ht="15.75" thickBot="1">
      <c r="A170" s="1215"/>
      <c r="B170" s="1215"/>
      <c r="C170" s="1216"/>
      <c r="D170" s="1217"/>
      <c r="E170" s="1217"/>
      <c r="F170" s="1217"/>
      <c r="G170" s="1195"/>
      <c r="H170" s="1196"/>
    </row>
    <row r="171" spans="1:8" ht="15">
      <c r="A171" s="2651" t="s">
        <v>1122</v>
      </c>
      <c r="B171" s="2652"/>
      <c r="C171" s="2652"/>
      <c r="D171" s="2652"/>
      <c r="E171" s="2652"/>
      <c r="F171" s="2652"/>
      <c r="G171" s="2653" t="s">
        <v>1021</v>
      </c>
      <c r="H171" s="2654"/>
    </row>
    <row r="172" spans="1:8" ht="15">
      <c r="A172" s="1218"/>
      <c r="B172" s="1219"/>
      <c r="C172" s="1220"/>
      <c r="D172" s="1220"/>
      <c r="E172" s="1220"/>
      <c r="F172" s="1220"/>
      <c r="G172" s="1221"/>
      <c r="H172" s="1222"/>
    </row>
    <row r="173" spans="1:8" ht="14.25">
      <c r="A173" s="2655" t="s">
        <v>1121</v>
      </c>
      <c r="B173" s="2656"/>
      <c r="C173" s="2656"/>
      <c r="D173" s="2656"/>
      <c r="E173" s="2656"/>
      <c r="F173" s="2657"/>
      <c r="G173" s="2655" t="s">
        <v>1067</v>
      </c>
      <c r="H173" s="2657"/>
    </row>
    <row r="174" spans="1:8" ht="15">
      <c r="A174" s="2658" t="s">
        <v>1123</v>
      </c>
      <c r="B174" s="2659"/>
      <c r="C174" s="2659"/>
      <c r="D174" s="2659"/>
      <c r="E174" s="2659"/>
      <c r="F174" s="2660"/>
      <c r="G174" s="1221"/>
      <c r="H174" s="1222"/>
    </row>
    <row r="175" spans="1:8" ht="14.25">
      <c r="A175" s="2661"/>
      <c r="B175" s="2662"/>
      <c r="C175" s="2662"/>
      <c r="D175" s="2662"/>
      <c r="E175" s="2662"/>
      <c r="F175" s="2663"/>
      <c r="G175" s="2664" t="s">
        <v>737</v>
      </c>
      <c r="H175" s="2657"/>
    </row>
    <row r="176" spans="1:8" ht="15">
      <c r="A176" s="1218"/>
      <c r="B176" s="1219"/>
      <c r="C176" s="1219"/>
      <c r="D176" s="1219"/>
      <c r="E176" s="1219"/>
      <c r="F176" s="1219"/>
      <c r="G176" s="1223"/>
      <c r="H176" s="1222"/>
    </row>
    <row r="177" spans="1:8" ht="15" thickBot="1">
      <c r="A177" s="2647" t="s">
        <v>692</v>
      </c>
      <c r="B177" s="2648"/>
      <c r="C177" s="2648"/>
      <c r="D177" s="2648"/>
      <c r="E177" s="2648"/>
      <c r="F177" s="2649"/>
      <c r="G177" s="2650" t="s">
        <v>696</v>
      </c>
      <c r="H177" s="2649"/>
    </row>
    <row r="178" spans="1:8" ht="15">
      <c r="A178" s="553"/>
      <c r="B178" s="554"/>
      <c r="C178" s="554"/>
      <c r="D178" s="554"/>
      <c r="E178" s="554"/>
      <c r="F178" s="554"/>
      <c r="G178" s="555"/>
      <c r="H178" s="554"/>
    </row>
    <row r="179" spans="1:8" ht="15">
      <c r="A179" s="553"/>
      <c r="B179" s="554"/>
      <c r="C179" s="554"/>
      <c r="D179" s="554"/>
      <c r="E179" s="554"/>
      <c r="F179" s="554"/>
      <c r="G179" s="555"/>
      <c r="H179" s="554"/>
    </row>
    <row r="180" spans="1:8" ht="15">
      <c r="A180" s="553"/>
      <c r="B180" s="554"/>
      <c r="C180" s="554"/>
      <c r="D180" s="554"/>
      <c r="E180" s="554"/>
      <c r="F180" s="554"/>
      <c r="G180" s="555"/>
      <c r="H180" s="554"/>
    </row>
    <row r="181" spans="1:8" ht="15">
      <c r="A181" s="553"/>
      <c r="B181" s="554"/>
      <c r="C181" s="554"/>
      <c r="D181" s="554"/>
      <c r="E181" s="554"/>
      <c r="F181" s="554"/>
      <c r="G181" s="555"/>
      <c r="H181" s="554"/>
    </row>
    <row r="184" spans="1:8" ht="18.75">
      <c r="A184" s="2162" t="s">
        <v>111</v>
      </c>
      <c r="B184" s="2162"/>
      <c r="C184" s="2162"/>
      <c r="D184" s="2162"/>
      <c r="E184" s="2162"/>
      <c r="F184" s="2162"/>
      <c r="G184" s="2162"/>
      <c r="H184" s="2162"/>
    </row>
    <row r="185" spans="1:8" ht="18.75">
      <c r="A185" s="2162" t="s">
        <v>110</v>
      </c>
      <c r="B185" s="2162"/>
      <c r="C185" s="2162"/>
      <c r="D185" s="2162"/>
      <c r="E185" s="2162"/>
      <c r="F185" s="2162"/>
      <c r="G185" s="2162"/>
      <c r="H185" s="2162"/>
    </row>
    <row r="186" spans="1:8" ht="18.75">
      <c r="A186" s="2163" t="s">
        <v>211</v>
      </c>
      <c r="B186" s="2164"/>
      <c r="C186" s="2164"/>
      <c r="D186" s="2164"/>
      <c r="E186" s="2164"/>
      <c r="F186" s="2164"/>
      <c r="G186" s="2164"/>
      <c r="H186" s="2164"/>
    </row>
    <row r="187" spans="1:8" ht="18.75">
      <c r="A187" s="2163" t="s">
        <v>1212</v>
      </c>
      <c r="B187" s="2164"/>
      <c r="C187" s="2164"/>
      <c r="D187" s="2164"/>
      <c r="E187" s="2164"/>
      <c r="F187" s="2164"/>
      <c r="G187" s="2164"/>
      <c r="H187" s="2164"/>
    </row>
    <row r="188" spans="1:8" ht="18.75">
      <c r="A188" s="2163" t="s">
        <v>32</v>
      </c>
      <c r="B188" s="2164"/>
      <c r="C188" s="2164"/>
      <c r="D188" s="2164"/>
      <c r="E188" s="2164"/>
      <c r="F188" s="2164"/>
      <c r="G188" s="2164"/>
      <c r="H188" s="2164"/>
    </row>
    <row r="189" spans="1:8" ht="15">
      <c r="A189" s="33"/>
      <c r="B189" s="5"/>
      <c r="C189" s="4"/>
      <c r="D189" s="1"/>
      <c r="E189" s="1"/>
      <c r="F189" s="1"/>
      <c r="G189" s="2"/>
      <c r="H189" s="8"/>
    </row>
    <row r="190" spans="1:8" ht="18.75">
      <c r="A190" s="2596" t="s">
        <v>49</v>
      </c>
      <c r="B190" s="2596"/>
      <c r="C190" s="2596"/>
      <c r="D190" s="2596"/>
      <c r="E190" s="2596"/>
      <c r="F190" s="2596"/>
      <c r="G190" s="2596"/>
      <c r="H190" s="2596"/>
    </row>
    <row r="191" spans="1:8" ht="35.25" customHeight="1" thickBot="1">
      <c r="A191" s="2618" t="s">
        <v>1127</v>
      </c>
      <c r="B191" s="2619"/>
      <c r="C191" s="2619"/>
      <c r="D191" s="2619"/>
      <c r="E191" s="2619"/>
      <c r="F191" s="2619"/>
      <c r="G191" s="2619"/>
      <c r="H191" s="2619"/>
    </row>
    <row r="192" spans="1:8" ht="15.75" thickBot="1">
      <c r="A192" s="2606" t="s">
        <v>29</v>
      </c>
      <c r="B192" s="2607"/>
      <c r="C192" s="2607"/>
      <c r="D192" s="2607"/>
      <c r="E192" s="2607"/>
      <c r="F192" s="2608"/>
      <c r="G192" s="2609" t="s">
        <v>640</v>
      </c>
      <c r="H192" s="2610" t="s">
        <v>639</v>
      </c>
    </row>
    <row r="193" spans="1:8" ht="90.75" thickBot="1">
      <c r="A193" s="411" t="s">
        <v>39</v>
      </c>
      <c r="B193" s="412" t="s">
        <v>40</v>
      </c>
      <c r="C193" s="412" t="s">
        <v>41</v>
      </c>
      <c r="D193" s="412" t="s">
        <v>45</v>
      </c>
      <c r="E193" s="413" t="s">
        <v>42</v>
      </c>
      <c r="F193" s="407" t="s">
        <v>43</v>
      </c>
      <c r="G193" s="2571"/>
      <c r="H193" s="2572"/>
    </row>
    <row r="194" spans="1:8" ht="15">
      <c r="A194" s="34" t="s">
        <v>381</v>
      </c>
      <c r="B194" s="23" t="s">
        <v>64</v>
      </c>
      <c r="C194" s="23" t="s">
        <v>59</v>
      </c>
      <c r="D194" s="23" t="s">
        <v>62</v>
      </c>
      <c r="E194" s="23" t="s">
        <v>65</v>
      </c>
      <c r="F194" s="423" t="s">
        <v>786</v>
      </c>
      <c r="G194" s="561" t="s">
        <v>1128</v>
      </c>
      <c r="H194" s="541">
        <v>19000</v>
      </c>
    </row>
    <row r="195" spans="1:8" ht="15">
      <c r="A195" s="34" t="s">
        <v>381</v>
      </c>
      <c r="B195" s="23" t="s">
        <v>64</v>
      </c>
      <c r="C195" s="23" t="s">
        <v>59</v>
      </c>
      <c r="D195" s="23" t="s">
        <v>62</v>
      </c>
      <c r="E195" s="23" t="s">
        <v>65</v>
      </c>
      <c r="F195" s="424" t="s">
        <v>735</v>
      </c>
      <c r="G195" s="540" t="s">
        <v>736</v>
      </c>
      <c r="H195" s="563">
        <v>1000</v>
      </c>
    </row>
    <row r="196" spans="1:8" ht="15.75" thickBot="1">
      <c r="A196" s="1073"/>
      <c r="B196" s="1074"/>
      <c r="C196" s="1074"/>
      <c r="D196" s="1074"/>
      <c r="E196" s="1075"/>
      <c r="F196" s="1076"/>
      <c r="G196" s="1077"/>
      <c r="H196" s="1078">
        <f>SUM(H194:H195)</f>
        <v>20000</v>
      </c>
    </row>
    <row r="197" spans="1:8" ht="15.75" thickBot="1">
      <c r="A197" s="9"/>
      <c r="B197" s="9"/>
      <c r="C197" s="10"/>
      <c r="D197" s="3"/>
      <c r="E197" s="3"/>
      <c r="F197" s="3"/>
      <c r="G197" s="2"/>
      <c r="H197" s="8"/>
    </row>
    <row r="198" spans="1:8" ht="15">
      <c r="A198" s="2573" t="s">
        <v>1122</v>
      </c>
      <c r="B198" s="2574"/>
      <c r="C198" s="2574"/>
      <c r="D198" s="2574"/>
      <c r="E198" s="2574"/>
      <c r="F198" s="2574"/>
      <c r="G198" s="2575" t="s">
        <v>1323</v>
      </c>
      <c r="H198" s="2576"/>
    </row>
    <row r="199" spans="1:8" ht="15">
      <c r="A199" s="482"/>
      <c r="B199" s="551"/>
      <c r="C199" s="19"/>
      <c r="D199" s="19"/>
      <c r="E199" s="19"/>
      <c r="F199" s="19"/>
      <c r="G199" s="483"/>
      <c r="H199" s="484"/>
    </row>
    <row r="200" spans="1:8" ht="14.25">
      <c r="A200" s="2580" t="s">
        <v>1127</v>
      </c>
      <c r="B200" s="2598"/>
      <c r="C200" s="2598"/>
      <c r="D200" s="2598"/>
      <c r="E200" s="2598"/>
      <c r="F200" s="2552"/>
      <c r="G200" s="2580" t="s">
        <v>1067</v>
      </c>
      <c r="H200" s="2552"/>
    </row>
    <row r="201" spans="1:8" ht="15">
      <c r="A201" s="2597" t="s">
        <v>1129</v>
      </c>
      <c r="B201" s="2584"/>
      <c r="C201" s="2584"/>
      <c r="D201" s="2584"/>
      <c r="E201" s="2584"/>
      <c r="F201" s="2585"/>
      <c r="G201" s="483"/>
      <c r="H201" s="484"/>
    </row>
    <row r="202" spans="1:8" ht="14.25">
      <c r="A202" s="2586"/>
      <c r="B202" s="2587"/>
      <c r="C202" s="2587"/>
      <c r="D202" s="2587"/>
      <c r="E202" s="2587"/>
      <c r="F202" s="2588"/>
      <c r="G202" s="2589" t="s">
        <v>737</v>
      </c>
      <c r="H202" s="2552"/>
    </row>
    <row r="203" spans="1:8" ht="15">
      <c r="A203" s="482"/>
      <c r="B203" s="551"/>
      <c r="C203" s="551"/>
      <c r="D203" s="551"/>
      <c r="E203" s="551"/>
      <c r="F203" s="551"/>
      <c r="G203" s="485"/>
      <c r="H203" s="484"/>
    </row>
    <row r="204" spans="1:8" ht="15" thickBot="1">
      <c r="A204" s="2590" t="s">
        <v>692</v>
      </c>
      <c r="B204" s="2561"/>
      <c r="C204" s="2561"/>
      <c r="D204" s="2561"/>
      <c r="E204" s="2561"/>
      <c r="F204" s="2562"/>
      <c r="G204" s="2591" t="s">
        <v>696</v>
      </c>
      <c r="H204" s="2562"/>
    </row>
    <row r="205" spans="1:8" ht="15">
      <c r="A205" s="553"/>
      <c r="B205" s="554"/>
      <c r="C205" s="554"/>
      <c r="D205" s="554"/>
      <c r="E205" s="554"/>
      <c r="F205" s="554"/>
      <c r="G205" s="555"/>
      <c r="H205" s="554"/>
    </row>
    <row r="206" spans="1:8" ht="15">
      <c r="A206" s="553"/>
      <c r="B206" s="554"/>
      <c r="C206" s="554"/>
      <c r="D206" s="554"/>
      <c r="E206" s="554"/>
      <c r="F206" s="554"/>
      <c r="G206" s="555"/>
      <c r="H206" s="554"/>
    </row>
    <row r="207" spans="1:8" ht="15">
      <c r="A207" s="553"/>
      <c r="B207" s="554"/>
      <c r="C207" s="554"/>
      <c r="D207" s="554"/>
      <c r="E207" s="554"/>
      <c r="F207" s="554"/>
      <c r="G207" s="555"/>
      <c r="H207" s="554"/>
    </row>
    <row r="208" spans="1:8" ht="18.75">
      <c r="A208" s="2217" t="s">
        <v>757</v>
      </c>
      <c r="B208" s="2164"/>
      <c r="C208" s="2164"/>
      <c r="D208" s="2164"/>
      <c r="E208" s="2164"/>
      <c r="F208" s="2164"/>
      <c r="G208" s="2164"/>
      <c r="H208" s="2164"/>
    </row>
    <row r="209" spans="1:8" ht="18.75">
      <c r="A209" s="2185" t="s">
        <v>211</v>
      </c>
      <c r="B209" s="2164"/>
      <c r="C209" s="2164"/>
      <c r="D209" s="2164"/>
      <c r="E209" s="2164"/>
      <c r="F209" s="2164"/>
      <c r="G209" s="2164"/>
      <c r="H209" s="2164"/>
    </row>
    <row r="210" spans="1:8" ht="18.75">
      <c r="A210" s="2185" t="s">
        <v>1212</v>
      </c>
      <c r="B210" s="2164"/>
      <c r="C210" s="2164"/>
      <c r="D210" s="2164"/>
      <c r="E210" s="2164"/>
      <c r="F210" s="2164"/>
      <c r="G210" s="2164"/>
      <c r="H210" s="2164"/>
    </row>
    <row r="211" spans="1:8" ht="18.75">
      <c r="A211" s="2185" t="s">
        <v>32</v>
      </c>
      <c r="B211" s="2164"/>
      <c r="C211" s="2164"/>
      <c r="D211" s="2164"/>
      <c r="E211" s="2164"/>
      <c r="F211" s="2164"/>
      <c r="G211" s="2164"/>
      <c r="H211" s="2164"/>
    </row>
    <row r="212" spans="1:8" ht="15">
      <c r="A212" s="850"/>
      <c r="B212" s="198"/>
      <c r="C212" s="851"/>
      <c r="D212" s="41"/>
      <c r="E212" s="41"/>
      <c r="F212" s="41"/>
      <c r="G212" s="21"/>
      <c r="H212" s="203"/>
    </row>
    <row r="213" spans="1:8" ht="18.75">
      <c r="A213" s="2616" t="s">
        <v>49</v>
      </c>
      <c r="B213" s="2616"/>
      <c r="C213" s="2616"/>
      <c r="D213" s="2616"/>
      <c r="E213" s="2616"/>
      <c r="F213" s="2616"/>
      <c r="G213" s="2616"/>
      <c r="H213" s="2616"/>
    </row>
    <row r="214" spans="1:8" ht="33" customHeight="1">
      <c r="A214" s="2645" t="s">
        <v>1086</v>
      </c>
      <c r="B214" s="2646"/>
      <c r="C214" s="2646"/>
      <c r="D214" s="2646"/>
      <c r="E214" s="2646"/>
      <c r="F214" s="2646"/>
      <c r="G214" s="2646"/>
      <c r="H214" s="2646"/>
    </row>
    <row r="215" spans="1:8" ht="15.75" thickBot="1">
      <c r="A215" s="2567" t="s">
        <v>29</v>
      </c>
      <c r="B215" s="2568"/>
      <c r="C215" s="2568"/>
      <c r="D215" s="2568"/>
      <c r="E215" s="2568"/>
      <c r="F215" s="2569"/>
      <c r="G215" s="2570" t="s">
        <v>640</v>
      </c>
      <c r="H215" s="2572" t="s">
        <v>639</v>
      </c>
    </row>
    <row r="216" spans="1:8" ht="90.75" thickBot="1">
      <c r="A216" s="411" t="s">
        <v>39</v>
      </c>
      <c r="B216" s="412" t="s">
        <v>40</v>
      </c>
      <c r="C216" s="412" t="s">
        <v>41</v>
      </c>
      <c r="D216" s="412" t="s">
        <v>45</v>
      </c>
      <c r="E216" s="413" t="s">
        <v>42</v>
      </c>
      <c r="F216" s="407" t="s">
        <v>43</v>
      </c>
      <c r="G216" s="2571"/>
      <c r="H216" s="2595"/>
    </row>
    <row r="217" spans="1:8" ht="15">
      <c r="A217" s="852" t="s">
        <v>381</v>
      </c>
      <c r="B217" s="853" t="s">
        <v>69</v>
      </c>
      <c r="C217" s="853" t="s">
        <v>59</v>
      </c>
      <c r="D217" s="853" t="s">
        <v>62</v>
      </c>
      <c r="E217" s="853" t="s">
        <v>65</v>
      </c>
      <c r="F217" s="427">
        <v>51202</v>
      </c>
      <c r="G217" s="428" t="s">
        <v>759</v>
      </c>
      <c r="H217" s="557">
        <v>7400</v>
      </c>
    </row>
    <row r="218" spans="1:8" ht="15">
      <c r="A218" s="852" t="s">
        <v>381</v>
      </c>
      <c r="B218" s="853" t="s">
        <v>69</v>
      </c>
      <c r="C218" s="853" t="s">
        <v>59</v>
      </c>
      <c r="D218" s="853" t="s">
        <v>62</v>
      </c>
      <c r="E218" s="853" t="s">
        <v>65</v>
      </c>
      <c r="F218" s="427">
        <v>54107</v>
      </c>
      <c r="G218" s="428" t="s">
        <v>725</v>
      </c>
      <c r="H218" s="557">
        <v>1000</v>
      </c>
    </row>
    <row r="219" spans="1:8" ht="28.5">
      <c r="A219" s="852" t="s">
        <v>381</v>
      </c>
      <c r="B219" s="853" t="s">
        <v>69</v>
      </c>
      <c r="C219" s="853" t="s">
        <v>59</v>
      </c>
      <c r="D219" s="853" t="s">
        <v>62</v>
      </c>
      <c r="E219" s="853" t="s">
        <v>65</v>
      </c>
      <c r="F219" s="414">
        <v>54111</v>
      </c>
      <c r="G219" s="419" t="s">
        <v>778</v>
      </c>
      <c r="H219" s="557">
        <v>9000</v>
      </c>
    </row>
    <row r="220" spans="1:8" ht="28.5">
      <c r="A220" s="852" t="s">
        <v>381</v>
      </c>
      <c r="B220" s="853" t="s">
        <v>69</v>
      </c>
      <c r="C220" s="853" t="s">
        <v>59</v>
      </c>
      <c r="D220" s="853" t="s">
        <v>62</v>
      </c>
      <c r="E220" s="853" t="s">
        <v>65</v>
      </c>
      <c r="F220" s="414">
        <v>54112</v>
      </c>
      <c r="G220" s="419" t="s">
        <v>782</v>
      </c>
      <c r="H220" s="557">
        <v>500</v>
      </c>
    </row>
    <row r="221" spans="1:8" ht="15">
      <c r="A221" s="852" t="s">
        <v>381</v>
      </c>
      <c r="B221" s="853" t="s">
        <v>69</v>
      </c>
      <c r="C221" s="853" t="s">
        <v>59</v>
      </c>
      <c r="D221" s="853" t="s">
        <v>62</v>
      </c>
      <c r="E221" s="853" t="s">
        <v>65</v>
      </c>
      <c r="F221" s="414">
        <v>54118</v>
      </c>
      <c r="G221" s="419" t="s">
        <v>746</v>
      </c>
      <c r="H221" s="557">
        <v>300</v>
      </c>
    </row>
    <row r="222" spans="1:8" ht="15">
      <c r="A222" s="852" t="s">
        <v>381</v>
      </c>
      <c r="B222" s="853" t="s">
        <v>69</v>
      </c>
      <c r="C222" s="853" t="s">
        <v>59</v>
      </c>
      <c r="D222" s="853" t="s">
        <v>62</v>
      </c>
      <c r="E222" s="853" t="s">
        <v>65</v>
      </c>
      <c r="F222" s="414">
        <v>54199</v>
      </c>
      <c r="G222" s="419" t="s">
        <v>658</v>
      </c>
      <c r="H222" s="557">
        <v>300</v>
      </c>
    </row>
    <row r="223" spans="1:8" ht="15">
      <c r="A223" s="852" t="s">
        <v>381</v>
      </c>
      <c r="B223" s="853" t="s">
        <v>69</v>
      </c>
      <c r="C223" s="853" t="s">
        <v>59</v>
      </c>
      <c r="D223" s="853" t="s">
        <v>62</v>
      </c>
      <c r="E223" s="853" t="s">
        <v>65</v>
      </c>
      <c r="F223" s="418" t="s">
        <v>677</v>
      </c>
      <c r="G223" s="419" t="s">
        <v>678</v>
      </c>
      <c r="H223" s="557">
        <v>500</v>
      </c>
    </row>
    <row r="224" spans="1:8" ht="15">
      <c r="A224" s="852" t="s">
        <v>381</v>
      </c>
      <c r="B224" s="853" t="s">
        <v>69</v>
      </c>
      <c r="C224" s="853" t="s">
        <v>59</v>
      </c>
      <c r="D224" s="853" t="s">
        <v>62</v>
      </c>
      <c r="E224" s="853" t="s">
        <v>65</v>
      </c>
      <c r="F224" s="421">
        <v>61608</v>
      </c>
      <c r="G224" s="422" t="s">
        <v>780</v>
      </c>
      <c r="H224" s="559">
        <v>1000</v>
      </c>
    </row>
    <row r="225" spans="1:8" ht="15.75" thickBot="1">
      <c r="A225" s="1179"/>
      <c r="B225" s="1180"/>
      <c r="C225" s="1180"/>
      <c r="D225" s="1180"/>
      <c r="E225" s="1181"/>
      <c r="F225" s="1182"/>
      <c r="G225" s="1183"/>
      <c r="H225" s="1184">
        <f>SUM(H217:H224)</f>
        <v>20000</v>
      </c>
    </row>
    <row r="226" spans="1:8" ht="15.75" thickBot="1">
      <c r="A226" s="200"/>
      <c r="B226" s="200"/>
      <c r="C226" s="201"/>
      <c r="D226" s="202"/>
      <c r="E226" s="202"/>
      <c r="F226" s="202"/>
      <c r="G226" s="21"/>
      <c r="H226" s="203"/>
    </row>
    <row r="227" spans="1:8" ht="15">
      <c r="A227" s="2541" t="s">
        <v>1080</v>
      </c>
      <c r="B227" s="2542"/>
      <c r="C227" s="2542"/>
      <c r="D227" s="2542"/>
      <c r="E227" s="2542"/>
      <c r="F227" s="2542"/>
      <c r="G227" s="2543" t="s">
        <v>1323</v>
      </c>
      <c r="H227" s="2544"/>
    </row>
    <row r="228" spans="1:8" ht="15">
      <c r="A228" s="857"/>
      <c r="B228" s="47"/>
      <c r="C228" s="160"/>
      <c r="D228" s="160"/>
      <c r="E228" s="160"/>
      <c r="F228" s="160"/>
      <c r="G228" s="858"/>
      <c r="H228" s="859"/>
    </row>
    <row r="229" spans="1:8" ht="14.25">
      <c r="A229" s="2551" t="s">
        <v>1086</v>
      </c>
      <c r="B229" s="2598"/>
      <c r="C229" s="2598"/>
      <c r="D229" s="2598"/>
      <c r="E229" s="2598"/>
      <c r="F229" s="2552"/>
      <c r="G229" s="2551" t="s">
        <v>1081</v>
      </c>
      <c r="H229" s="2552"/>
    </row>
    <row r="230" spans="1:8" ht="15">
      <c r="A230" s="2597" t="s">
        <v>1085</v>
      </c>
      <c r="B230" s="2584"/>
      <c r="C230" s="2584"/>
      <c r="D230" s="2584"/>
      <c r="E230" s="2584"/>
      <c r="F230" s="2585"/>
      <c r="G230" s="858"/>
      <c r="H230" s="859"/>
    </row>
    <row r="231" spans="1:8" ht="14.25">
      <c r="A231" s="2586"/>
      <c r="B231" s="2587"/>
      <c r="C231" s="2587"/>
      <c r="D231" s="2587"/>
      <c r="E231" s="2587"/>
      <c r="F231" s="2588"/>
      <c r="G231" s="2559" t="s">
        <v>695</v>
      </c>
      <c r="H231" s="2552"/>
    </row>
    <row r="232" spans="1:8" ht="15">
      <c r="A232" s="857"/>
      <c r="B232" s="47"/>
      <c r="C232" s="47"/>
      <c r="D232" s="47"/>
      <c r="E232" s="47"/>
      <c r="F232" s="47"/>
      <c r="G232" s="860"/>
      <c r="H232" s="859"/>
    </row>
    <row r="233" spans="1:8" ht="15" thickBot="1">
      <c r="A233" s="2560" t="s">
        <v>692</v>
      </c>
      <c r="B233" s="2561"/>
      <c r="C233" s="2561"/>
      <c r="D233" s="2561"/>
      <c r="E233" s="2561"/>
      <c r="F233" s="2562"/>
      <c r="G233" s="2563" t="s">
        <v>696</v>
      </c>
      <c r="H233" s="2562"/>
    </row>
    <row r="234" spans="1:8" ht="15">
      <c r="A234" s="200"/>
      <c r="B234" s="198"/>
      <c r="C234" s="851"/>
      <c r="D234" s="41"/>
      <c r="E234" s="41"/>
      <c r="F234" s="41"/>
      <c r="G234" s="21"/>
      <c r="H234" s="203"/>
    </row>
    <row r="235" spans="1:8" ht="18.75">
      <c r="A235" s="2641" t="s">
        <v>821</v>
      </c>
      <c r="B235" s="2641"/>
      <c r="C235" s="2641"/>
      <c r="D235" s="2641"/>
      <c r="E235" s="2641"/>
      <c r="F235" s="2641"/>
      <c r="G235" s="2641"/>
      <c r="H235" s="2641"/>
    </row>
    <row r="236" spans="1:8" ht="15">
      <c r="A236" s="553"/>
      <c r="B236" s="554"/>
      <c r="C236" s="554"/>
      <c r="D236" s="554"/>
      <c r="E236" s="554"/>
      <c r="F236" s="554"/>
      <c r="G236" s="555"/>
      <c r="H236" s="554"/>
    </row>
    <row r="237" spans="1:8" ht="15">
      <c r="A237" s="553"/>
      <c r="B237" s="554"/>
      <c r="C237" s="554"/>
      <c r="D237" s="554"/>
      <c r="E237" s="554"/>
      <c r="F237" s="554"/>
      <c r="G237" s="555"/>
      <c r="H237" s="554"/>
    </row>
    <row r="238" spans="1:8" ht="15">
      <c r="A238" s="553"/>
      <c r="B238" s="554"/>
      <c r="C238" s="554"/>
      <c r="D238" s="554"/>
      <c r="E238" s="554"/>
      <c r="F238" s="2644" t="s">
        <v>1441</v>
      </c>
      <c r="G238" s="2644"/>
      <c r="H238" s="554"/>
    </row>
    <row r="239" spans="1:8" ht="15">
      <c r="A239" s="553"/>
      <c r="B239" s="554"/>
      <c r="C239" s="554"/>
      <c r="D239" s="554"/>
      <c r="E239" s="554"/>
      <c r="F239" s="554"/>
      <c r="G239" s="555"/>
      <c r="H239" s="554"/>
    </row>
    <row r="240" spans="1:8" ht="15">
      <c r="A240" s="553"/>
      <c r="B240" s="554"/>
      <c r="C240" s="554"/>
      <c r="D240" s="554"/>
      <c r="E240" s="554"/>
      <c r="F240" s="554"/>
      <c r="G240" s="555"/>
      <c r="H240" s="554"/>
    </row>
    <row r="241" spans="1:8" ht="18.75">
      <c r="A241" s="2217" t="s">
        <v>111</v>
      </c>
      <c r="B241" s="2164"/>
      <c r="C241" s="2164"/>
      <c r="D241" s="2164"/>
      <c r="E241" s="2164"/>
      <c r="F241" s="2164"/>
      <c r="G241" s="2164"/>
      <c r="H241" s="2164"/>
    </row>
    <row r="242" spans="1:8" ht="18.75">
      <c r="A242" s="2217" t="s">
        <v>757</v>
      </c>
      <c r="B242" s="2164"/>
      <c r="C242" s="2164"/>
      <c r="D242" s="2164"/>
      <c r="E242" s="2164"/>
      <c r="F242" s="2164"/>
      <c r="G242" s="2164"/>
      <c r="H242" s="2164"/>
    </row>
    <row r="243" spans="1:8" ht="18.75">
      <c r="A243" s="2185" t="s">
        <v>211</v>
      </c>
      <c r="B243" s="2164"/>
      <c r="C243" s="2164"/>
      <c r="D243" s="2164"/>
      <c r="E243" s="2164"/>
      <c r="F243" s="2164"/>
      <c r="G243" s="2164"/>
      <c r="H243" s="2164"/>
    </row>
    <row r="244" spans="1:8" ht="18.75">
      <c r="A244" s="2185" t="s">
        <v>1006</v>
      </c>
      <c r="B244" s="2164"/>
      <c r="C244" s="2164"/>
      <c r="D244" s="2164"/>
      <c r="E244" s="2164"/>
      <c r="F244" s="2164"/>
      <c r="G244" s="2164"/>
      <c r="H244" s="2164"/>
    </row>
    <row r="245" spans="1:8" ht="18.75">
      <c r="A245" s="2185" t="s">
        <v>32</v>
      </c>
      <c r="B245" s="2164"/>
      <c r="C245" s="2164"/>
      <c r="D245" s="2164"/>
      <c r="E245" s="2164"/>
      <c r="F245" s="2164"/>
      <c r="G245" s="2164"/>
      <c r="H245" s="2164"/>
    </row>
    <row r="246" spans="1:8" ht="15">
      <c r="A246" s="850"/>
      <c r="B246" s="198"/>
      <c r="C246" s="851"/>
      <c r="D246" s="41"/>
      <c r="E246" s="41"/>
      <c r="F246" s="41"/>
      <c r="G246" s="21"/>
      <c r="H246" s="203"/>
    </row>
    <row r="247" spans="1:8" ht="18.75">
      <c r="A247" s="2613" t="s">
        <v>49</v>
      </c>
      <c r="B247" s="2613"/>
      <c r="C247" s="2613"/>
      <c r="D247" s="2613"/>
      <c r="E247" s="2613"/>
      <c r="F247" s="2613"/>
      <c r="G247" s="2613"/>
      <c r="H247" s="2613"/>
    </row>
    <row r="248" spans="1:8" ht="21">
      <c r="A248" s="2633" t="s">
        <v>1322</v>
      </c>
      <c r="B248" s="2634"/>
      <c r="C248" s="2634"/>
      <c r="D248" s="2634"/>
      <c r="E248" s="2634"/>
      <c r="F248" s="2634"/>
      <c r="G248" s="2634"/>
      <c r="H248" s="2634"/>
    </row>
    <row r="249" spans="1:8" ht="15.75" thickBot="1">
      <c r="A249" s="2567" t="s">
        <v>29</v>
      </c>
      <c r="B249" s="2568"/>
      <c r="C249" s="2568"/>
      <c r="D249" s="2568"/>
      <c r="E249" s="2568"/>
      <c r="F249" s="2569"/>
      <c r="G249" s="2570" t="s">
        <v>640</v>
      </c>
      <c r="H249" s="2572" t="s">
        <v>639</v>
      </c>
    </row>
    <row r="250" spans="1:8" ht="90.75" thickBot="1">
      <c r="A250" s="411" t="s">
        <v>39</v>
      </c>
      <c r="B250" s="412" t="s">
        <v>40</v>
      </c>
      <c r="C250" s="412" t="s">
        <v>41</v>
      </c>
      <c r="D250" s="412" t="s">
        <v>45</v>
      </c>
      <c r="E250" s="413" t="s">
        <v>42</v>
      </c>
      <c r="F250" s="407" t="s">
        <v>43</v>
      </c>
      <c r="G250" s="2571"/>
      <c r="H250" s="2595"/>
    </row>
    <row r="251" spans="1:8" ht="15">
      <c r="A251" s="852" t="s">
        <v>381</v>
      </c>
      <c r="B251" s="853" t="s">
        <v>69</v>
      </c>
      <c r="C251" s="853" t="s">
        <v>59</v>
      </c>
      <c r="D251" s="853" t="s">
        <v>62</v>
      </c>
      <c r="E251" s="853" t="s">
        <v>65</v>
      </c>
      <c r="F251" s="414">
        <v>51202</v>
      </c>
      <c r="G251" s="419" t="s">
        <v>759</v>
      </c>
      <c r="H251" s="557">
        <v>3000</v>
      </c>
    </row>
    <row r="252" spans="1:8" ht="28.5">
      <c r="A252" s="852" t="s">
        <v>381</v>
      </c>
      <c r="B252" s="853" t="s">
        <v>69</v>
      </c>
      <c r="C252" s="853" t="s">
        <v>59</v>
      </c>
      <c r="D252" s="853" t="s">
        <v>62</v>
      </c>
      <c r="E252" s="853" t="s">
        <v>65</v>
      </c>
      <c r="F252" s="414">
        <v>54111</v>
      </c>
      <c r="G252" s="419" t="s">
        <v>778</v>
      </c>
      <c r="H252" s="557">
        <f>4900-300</f>
        <v>4600</v>
      </c>
    </row>
    <row r="253" spans="1:8" ht="15">
      <c r="A253" s="852" t="s">
        <v>381</v>
      </c>
      <c r="B253" s="853" t="s">
        <v>69</v>
      </c>
      <c r="C253" s="853" t="s">
        <v>59</v>
      </c>
      <c r="D253" s="853" t="s">
        <v>62</v>
      </c>
      <c r="E253" s="853" t="s">
        <v>65</v>
      </c>
      <c r="F253" s="414">
        <v>54112</v>
      </c>
      <c r="G253" s="419" t="s">
        <v>779</v>
      </c>
      <c r="H253" s="557">
        <v>600</v>
      </c>
    </row>
    <row r="254" spans="1:8" ht="15">
      <c r="A254" s="852" t="s">
        <v>381</v>
      </c>
      <c r="B254" s="853" t="s">
        <v>69</v>
      </c>
      <c r="C254" s="853" t="s">
        <v>59</v>
      </c>
      <c r="D254" s="853" t="s">
        <v>62</v>
      </c>
      <c r="E254" s="853" t="s">
        <v>65</v>
      </c>
      <c r="F254" s="414">
        <v>54118</v>
      </c>
      <c r="G254" s="419" t="s">
        <v>746</v>
      </c>
      <c r="H254" s="557">
        <v>500</v>
      </c>
    </row>
    <row r="255" spans="1:8" ht="15">
      <c r="A255" s="852" t="s">
        <v>381</v>
      </c>
      <c r="B255" s="853" t="s">
        <v>69</v>
      </c>
      <c r="C255" s="853" t="s">
        <v>59</v>
      </c>
      <c r="D255" s="853" t="s">
        <v>62</v>
      </c>
      <c r="E255" s="853" t="s">
        <v>65</v>
      </c>
      <c r="F255" s="414">
        <v>54199</v>
      </c>
      <c r="G255" s="419" t="s">
        <v>658</v>
      </c>
      <c r="H255" s="557">
        <v>500</v>
      </c>
    </row>
    <row r="256" spans="1:8" ht="15">
      <c r="A256" s="852" t="s">
        <v>381</v>
      </c>
      <c r="B256" s="853" t="s">
        <v>69</v>
      </c>
      <c r="C256" s="853" t="s">
        <v>59</v>
      </c>
      <c r="D256" s="853" t="s">
        <v>62</v>
      </c>
      <c r="E256" s="853" t="s">
        <v>65</v>
      </c>
      <c r="F256" s="418" t="s">
        <v>677</v>
      </c>
      <c r="G256" s="419" t="s">
        <v>678</v>
      </c>
      <c r="H256" s="557">
        <v>300</v>
      </c>
    </row>
    <row r="257" spans="1:8" ht="15">
      <c r="A257" s="852" t="s">
        <v>381</v>
      </c>
      <c r="B257" s="853" t="s">
        <v>69</v>
      </c>
      <c r="C257" s="853" t="s">
        <v>59</v>
      </c>
      <c r="D257" s="853" t="s">
        <v>62</v>
      </c>
      <c r="E257" s="853" t="s">
        <v>65</v>
      </c>
      <c r="F257" s="421">
        <v>61608</v>
      </c>
      <c r="G257" s="422" t="s">
        <v>780</v>
      </c>
      <c r="H257" s="558">
        <v>500</v>
      </c>
    </row>
    <row r="258" spans="1:8" ht="15.75" thickBot="1">
      <c r="A258" s="1179"/>
      <c r="B258" s="1180"/>
      <c r="C258" s="1180"/>
      <c r="D258" s="1180"/>
      <c r="E258" s="1181"/>
      <c r="F258" s="1182"/>
      <c r="G258" s="1183"/>
      <c r="H258" s="1184">
        <f>SUM(H251:H257)</f>
        <v>10000</v>
      </c>
    </row>
    <row r="259" spans="1:8" ht="15.75" thickBot="1">
      <c r="A259" s="200"/>
      <c r="B259" s="200"/>
      <c r="C259" s="201"/>
      <c r="D259" s="202"/>
      <c r="E259" s="202"/>
      <c r="F259" s="202"/>
      <c r="G259" s="21"/>
      <c r="H259" s="203"/>
    </row>
    <row r="260" spans="1:8" ht="15">
      <c r="A260" s="2541" t="s">
        <v>732</v>
      </c>
      <c r="B260" s="2542"/>
      <c r="C260" s="2542"/>
      <c r="D260" s="2542"/>
      <c r="E260" s="2542"/>
      <c r="F260" s="2542"/>
      <c r="G260" s="2543" t="s">
        <v>1323</v>
      </c>
      <c r="H260" s="2544"/>
    </row>
    <row r="261" spans="1:8" ht="15">
      <c r="A261" s="857"/>
      <c r="B261" s="47"/>
      <c r="C261" s="160"/>
      <c r="D261" s="160"/>
      <c r="E261" s="160"/>
      <c r="F261" s="160"/>
      <c r="G261" s="858"/>
      <c r="H261" s="859"/>
    </row>
    <row r="262" spans="1:8" ht="14.25">
      <c r="A262" s="2551" t="s">
        <v>1169</v>
      </c>
      <c r="B262" s="2598"/>
      <c r="C262" s="2598"/>
      <c r="D262" s="2598"/>
      <c r="E262" s="2598"/>
      <c r="F262" s="2552"/>
      <c r="G262" s="2551" t="s">
        <v>1095</v>
      </c>
      <c r="H262" s="2552"/>
    </row>
    <row r="263" spans="1:8" ht="15">
      <c r="A263" s="2553" t="s">
        <v>1106</v>
      </c>
      <c r="B263" s="2554"/>
      <c r="C263" s="2554"/>
      <c r="D263" s="2554"/>
      <c r="E263" s="2554"/>
      <c r="F263" s="2555"/>
      <c r="G263" s="858"/>
      <c r="H263" s="859"/>
    </row>
    <row r="264" spans="1:8" ht="14.25">
      <c r="A264" s="2556"/>
      <c r="B264" s="2557"/>
      <c r="C264" s="2557"/>
      <c r="D264" s="2557"/>
      <c r="E264" s="2557"/>
      <c r="F264" s="2558"/>
      <c r="G264" s="2559" t="s">
        <v>695</v>
      </c>
      <c r="H264" s="2552"/>
    </row>
    <row r="265" spans="1:8" ht="15">
      <c r="A265" s="857"/>
      <c r="B265" s="47"/>
      <c r="C265" s="47"/>
      <c r="D265" s="47"/>
      <c r="E265" s="47"/>
      <c r="F265" s="47"/>
      <c r="G265" s="860"/>
      <c r="H265" s="859"/>
    </row>
    <row r="266" spans="1:8" ht="15" thickBot="1">
      <c r="A266" s="2560" t="s">
        <v>692</v>
      </c>
      <c r="B266" s="2561"/>
      <c r="C266" s="2561"/>
      <c r="D266" s="2561"/>
      <c r="E266" s="2561"/>
      <c r="F266" s="2562"/>
      <c r="G266" s="2563" t="s">
        <v>696</v>
      </c>
      <c r="H266" s="2562"/>
    </row>
    <row r="267" spans="1:8" ht="15">
      <c r="A267" s="1056"/>
      <c r="B267" s="554"/>
      <c r="C267" s="554"/>
      <c r="D267" s="554"/>
      <c r="E267" s="554"/>
      <c r="F267" s="554"/>
      <c r="G267" s="1057"/>
      <c r="H267" s="554"/>
    </row>
    <row r="268" spans="1:8" ht="18.75">
      <c r="A268" s="2641" t="s">
        <v>821</v>
      </c>
      <c r="B268" s="2641"/>
      <c r="C268" s="2641"/>
      <c r="D268" s="2641"/>
      <c r="E268" s="2641"/>
      <c r="F268" s="2641"/>
      <c r="G268" s="2641"/>
      <c r="H268" s="2641"/>
    </row>
    <row r="269" spans="1:8" ht="15">
      <c r="A269" s="553"/>
      <c r="B269" s="554"/>
      <c r="C269" s="554"/>
      <c r="D269" s="554"/>
      <c r="E269" s="554"/>
      <c r="F269" s="554"/>
      <c r="G269" s="555"/>
      <c r="H269" s="554"/>
    </row>
    <row r="270" spans="1:8" ht="15">
      <c r="A270" s="553"/>
      <c r="B270" s="554"/>
      <c r="C270" s="554"/>
      <c r="D270" s="554"/>
      <c r="E270" s="554"/>
      <c r="F270" s="554"/>
      <c r="G270" s="555"/>
      <c r="H270" s="554"/>
    </row>
    <row r="271" spans="1:8" ht="15">
      <c r="A271" s="553"/>
      <c r="B271" s="554"/>
      <c r="C271" s="554"/>
      <c r="D271" s="554"/>
      <c r="E271" s="554"/>
      <c r="F271" s="554"/>
      <c r="G271" s="555"/>
      <c r="H271" s="554"/>
    </row>
    <row r="272" spans="1:8" ht="18.75">
      <c r="A272" s="2162" t="s">
        <v>757</v>
      </c>
      <c r="B272" s="2164"/>
      <c r="C272" s="2164"/>
      <c r="D272" s="2164"/>
      <c r="E272" s="2164"/>
      <c r="F272" s="2164"/>
      <c r="G272" s="2164"/>
      <c r="H272" s="2164"/>
    </row>
    <row r="273" spans="1:8" ht="18.75">
      <c r="A273" s="2163" t="s">
        <v>211</v>
      </c>
      <c r="B273" s="2164"/>
      <c r="C273" s="2164"/>
      <c r="D273" s="2164"/>
      <c r="E273" s="2164"/>
      <c r="F273" s="2164"/>
      <c r="G273" s="2164"/>
      <c r="H273" s="2164"/>
    </row>
    <row r="274" spans="1:8" ht="18.75">
      <c r="A274" s="2163" t="s">
        <v>1212</v>
      </c>
      <c r="B274" s="2164"/>
      <c r="C274" s="2164"/>
      <c r="D274" s="2164"/>
      <c r="E274" s="2164"/>
      <c r="F274" s="2164"/>
      <c r="G274" s="2164"/>
      <c r="H274" s="2164"/>
    </row>
    <row r="275" spans="1:8" ht="18.75">
      <c r="A275" s="2163" t="s">
        <v>32</v>
      </c>
      <c r="B275" s="2164"/>
      <c r="C275" s="2164"/>
      <c r="D275" s="2164"/>
      <c r="E275" s="2164"/>
      <c r="F275" s="2164"/>
      <c r="G275" s="2164"/>
      <c r="H275" s="2164"/>
    </row>
    <row r="276" spans="1:8" ht="15">
      <c r="A276" s="33"/>
      <c r="B276" s="5"/>
      <c r="C276" s="4"/>
      <c r="D276" s="1"/>
      <c r="E276" s="1"/>
      <c r="F276" s="1"/>
      <c r="G276" s="2"/>
      <c r="H276" s="8"/>
    </row>
    <row r="277" spans="1:8" ht="18.75">
      <c r="A277" s="2596" t="s">
        <v>49</v>
      </c>
      <c r="B277" s="2596"/>
      <c r="C277" s="2596"/>
      <c r="D277" s="2596"/>
      <c r="E277" s="2596"/>
      <c r="F277" s="2596"/>
      <c r="G277" s="2596"/>
      <c r="H277" s="2596"/>
    </row>
    <row r="278" spans="1:8" ht="51" customHeight="1">
      <c r="A278" s="2642" t="s">
        <v>1198</v>
      </c>
      <c r="B278" s="2643"/>
      <c r="C278" s="2643"/>
      <c r="D278" s="2643"/>
      <c r="E278" s="2643"/>
      <c r="F278" s="2643"/>
      <c r="G278" s="2643"/>
      <c r="H278" s="2643"/>
    </row>
    <row r="279" spans="1:8" ht="15.75" thickBot="1">
      <c r="A279" s="2567" t="s">
        <v>29</v>
      </c>
      <c r="B279" s="2568"/>
      <c r="C279" s="2568"/>
      <c r="D279" s="2568"/>
      <c r="E279" s="2568"/>
      <c r="F279" s="2569"/>
      <c r="G279" s="2570" t="s">
        <v>640</v>
      </c>
      <c r="H279" s="2572" t="s">
        <v>639</v>
      </c>
    </row>
    <row r="280" spans="1:8" ht="90.75" thickBot="1">
      <c r="A280" s="411" t="s">
        <v>39</v>
      </c>
      <c r="B280" s="412" t="s">
        <v>40</v>
      </c>
      <c r="C280" s="412" t="s">
        <v>41</v>
      </c>
      <c r="D280" s="412" t="s">
        <v>45</v>
      </c>
      <c r="E280" s="413" t="s">
        <v>42</v>
      </c>
      <c r="F280" s="407" t="s">
        <v>43</v>
      </c>
      <c r="G280" s="2571"/>
      <c r="H280" s="2595"/>
    </row>
    <row r="281" spans="1:8" ht="15">
      <c r="A281" s="34" t="s">
        <v>380</v>
      </c>
      <c r="B281" s="23" t="s">
        <v>64</v>
      </c>
      <c r="C281" s="23" t="s">
        <v>59</v>
      </c>
      <c r="D281" s="23" t="s">
        <v>62</v>
      </c>
      <c r="E281" s="23" t="s">
        <v>65</v>
      </c>
      <c r="F281" s="423" t="s">
        <v>786</v>
      </c>
      <c r="G281" s="415" t="s">
        <v>1057</v>
      </c>
      <c r="H281" s="24">
        <v>57000</v>
      </c>
    </row>
    <row r="282" spans="1:8" ht="15">
      <c r="A282" s="34" t="s">
        <v>380</v>
      </c>
      <c r="B282" s="23" t="s">
        <v>64</v>
      </c>
      <c r="C282" s="23" t="s">
        <v>59</v>
      </c>
      <c r="D282" s="23" t="s">
        <v>62</v>
      </c>
      <c r="E282" s="23" t="s">
        <v>65</v>
      </c>
      <c r="F282" s="424" t="s">
        <v>735</v>
      </c>
      <c r="G282" s="540" t="s">
        <v>736</v>
      </c>
      <c r="H282" s="24">
        <v>3000</v>
      </c>
    </row>
    <row r="283" spans="1:8" ht="15.75" thickBot="1">
      <c r="A283" s="1185"/>
      <c r="B283" s="1186"/>
      <c r="C283" s="1186"/>
      <c r="D283" s="1186"/>
      <c r="E283" s="1187"/>
      <c r="F283" s="1188"/>
      <c r="G283" s="1189"/>
      <c r="H283" s="1190">
        <f>SUM(H281:H282)</f>
        <v>60000</v>
      </c>
    </row>
    <row r="284" spans="1:8" ht="15.75" thickBot="1">
      <c r="A284" s="9"/>
      <c r="B284" s="9"/>
      <c r="C284" s="10"/>
      <c r="D284" s="3"/>
      <c r="E284" s="3"/>
      <c r="F284" s="3"/>
      <c r="G284" s="2"/>
      <c r="H284" s="8"/>
    </row>
    <row r="285" spans="1:8" ht="15">
      <c r="A285" s="2573" t="s">
        <v>1116</v>
      </c>
      <c r="B285" s="2574"/>
      <c r="C285" s="2574"/>
      <c r="D285" s="2574"/>
      <c r="E285" s="2574"/>
      <c r="F285" s="2574"/>
      <c r="G285" s="2575" t="s">
        <v>1021</v>
      </c>
      <c r="H285" s="2576"/>
    </row>
    <row r="286" spans="1:8" ht="15">
      <c r="A286" s="482"/>
      <c r="B286" s="551"/>
      <c r="C286" s="19"/>
      <c r="D286" s="19"/>
      <c r="E286" s="19"/>
      <c r="F286" s="19"/>
      <c r="G286" s="483"/>
      <c r="H286" s="484"/>
    </row>
    <row r="287" spans="1:8" ht="14.25">
      <c r="A287" s="2580" t="s">
        <v>1198</v>
      </c>
      <c r="B287" s="2598"/>
      <c r="C287" s="2598"/>
      <c r="D287" s="2598"/>
      <c r="E287" s="2598"/>
      <c r="F287" s="2552"/>
      <c r="G287" s="2580" t="s">
        <v>1069</v>
      </c>
      <c r="H287" s="2552"/>
    </row>
    <row r="288" spans="1:8" ht="15">
      <c r="A288" s="2597" t="s">
        <v>1199</v>
      </c>
      <c r="B288" s="2584"/>
      <c r="C288" s="2584"/>
      <c r="D288" s="2584"/>
      <c r="E288" s="2584"/>
      <c r="F288" s="2585"/>
      <c r="G288" s="483"/>
      <c r="H288" s="484"/>
    </row>
    <row r="289" spans="1:8" ht="14.25">
      <c r="A289" s="2586"/>
      <c r="B289" s="2587"/>
      <c r="C289" s="2587"/>
      <c r="D289" s="2587"/>
      <c r="E289" s="2587"/>
      <c r="F289" s="2588"/>
      <c r="G289" s="2589" t="s">
        <v>988</v>
      </c>
      <c r="H289" s="2552"/>
    </row>
    <row r="290" spans="1:8" ht="15">
      <c r="A290" s="482"/>
      <c r="B290" s="551"/>
      <c r="C290" s="551"/>
      <c r="D290" s="551"/>
      <c r="E290" s="551"/>
      <c r="F290" s="551"/>
      <c r="G290" s="485"/>
      <c r="H290" s="484"/>
    </row>
    <row r="291" spans="1:8" ht="15" thickBot="1">
      <c r="A291" s="2590" t="s">
        <v>692</v>
      </c>
      <c r="B291" s="2561"/>
      <c r="C291" s="2561"/>
      <c r="D291" s="2561"/>
      <c r="E291" s="2561"/>
      <c r="F291" s="2562"/>
      <c r="G291" s="2591" t="s">
        <v>696</v>
      </c>
      <c r="H291" s="2562"/>
    </row>
    <row r="292" spans="1:8" ht="18.75">
      <c r="A292" s="2641" t="s">
        <v>821</v>
      </c>
      <c r="B292" s="2641"/>
      <c r="C292" s="2641"/>
      <c r="D292" s="2641"/>
      <c r="E292" s="2641"/>
      <c r="F292" s="2641"/>
      <c r="G292" s="2641"/>
      <c r="H292" s="2641"/>
    </row>
    <row r="293" spans="1:8" ht="15">
      <c r="A293" s="553"/>
      <c r="B293" s="554"/>
      <c r="C293" s="554"/>
      <c r="D293" s="554"/>
      <c r="E293" s="554"/>
      <c r="F293" s="554"/>
      <c r="G293" s="555"/>
      <c r="H293" s="554"/>
    </row>
    <row r="294" spans="1:8" ht="15">
      <c r="A294" s="553"/>
      <c r="B294" s="554"/>
      <c r="C294" s="554"/>
      <c r="D294" s="554"/>
      <c r="E294" s="554"/>
      <c r="F294" s="554"/>
      <c r="G294" s="555"/>
      <c r="H294" s="554"/>
    </row>
    <row r="295" spans="1:8" ht="15">
      <c r="A295" s="553"/>
      <c r="B295" s="554"/>
      <c r="C295" s="554"/>
      <c r="D295" s="554"/>
      <c r="E295" s="554"/>
      <c r="F295" s="554"/>
      <c r="G295" s="555"/>
      <c r="H295" s="554"/>
    </row>
    <row r="296" spans="1:8" ht="18.75">
      <c r="A296" s="2162" t="s">
        <v>111</v>
      </c>
      <c r="B296" s="2162"/>
      <c r="C296" s="2162"/>
      <c r="D296" s="2162"/>
      <c r="E296" s="2162"/>
      <c r="F296" s="2162"/>
      <c r="G296" s="2162"/>
      <c r="H296" s="2162"/>
    </row>
    <row r="297" spans="1:8" ht="18.75">
      <c r="A297" s="2162" t="s">
        <v>110</v>
      </c>
      <c r="B297" s="2162"/>
      <c r="C297" s="2162"/>
      <c r="D297" s="2162"/>
      <c r="E297" s="2162"/>
      <c r="F297" s="2162"/>
      <c r="G297" s="2162"/>
      <c r="H297" s="2162"/>
    </row>
    <row r="298" spans="1:8" ht="18.75">
      <c r="A298" s="2163" t="s">
        <v>211</v>
      </c>
      <c r="B298" s="2164"/>
      <c r="C298" s="2164"/>
      <c r="D298" s="2164"/>
      <c r="E298" s="2164"/>
      <c r="F298" s="2164"/>
      <c r="G298" s="2164"/>
      <c r="H298" s="2164"/>
    </row>
    <row r="299" spans="1:8" ht="18.75">
      <c r="A299" s="2163" t="s">
        <v>1212</v>
      </c>
      <c r="B299" s="2164"/>
      <c r="C299" s="2164"/>
      <c r="D299" s="2164"/>
      <c r="E299" s="2164"/>
      <c r="F299" s="2164"/>
      <c r="G299" s="2164"/>
      <c r="H299" s="2164"/>
    </row>
    <row r="300" spans="1:8" ht="18.75">
      <c r="A300" s="2163" t="s">
        <v>32</v>
      </c>
      <c r="B300" s="2164"/>
      <c r="C300" s="2164"/>
      <c r="D300" s="2164"/>
      <c r="E300" s="2164"/>
      <c r="F300" s="2164"/>
      <c r="G300" s="2164"/>
      <c r="H300" s="2164"/>
    </row>
    <row r="301" spans="1:8" ht="15">
      <c r="A301" s="33"/>
      <c r="B301" s="5"/>
      <c r="C301" s="4"/>
      <c r="D301" s="1"/>
      <c r="E301" s="1"/>
      <c r="F301" s="1"/>
      <c r="G301" s="2"/>
      <c r="H301" s="8"/>
    </row>
    <row r="302" spans="1:8" ht="18.75">
      <c r="A302" s="2596" t="s">
        <v>49</v>
      </c>
      <c r="B302" s="2596"/>
      <c r="C302" s="2596"/>
      <c r="D302" s="2596"/>
      <c r="E302" s="2596"/>
      <c r="F302" s="2596"/>
      <c r="G302" s="2596"/>
      <c r="H302" s="2596"/>
    </row>
    <row r="303" spans="1:8" ht="31.5" customHeight="1">
      <c r="A303" s="2639" t="s">
        <v>1325</v>
      </c>
      <c r="B303" s="2640"/>
      <c r="C303" s="2640"/>
      <c r="D303" s="2640"/>
      <c r="E303" s="2640"/>
      <c r="F303" s="2640"/>
      <c r="G303" s="2640"/>
      <c r="H303" s="2640"/>
    </row>
    <row r="304" spans="1:8" ht="15.75" thickBot="1">
      <c r="A304" s="2567" t="s">
        <v>29</v>
      </c>
      <c r="B304" s="2568"/>
      <c r="C304" s="2568"/>
      <c r="D304" s="2568"/>
      <c r="E304" s="2568"/>
      <c r="F304" s="2569"/>
      <c r="G304" s="2570" t="s">
        <v>640</v>
      </c>
      <c r="H304" s="2572" t="s">
        <v>639</v>
      </c>
    </row>
    <row r="305" spans="1:8" ht="90.75" thickBot="1">
      <c r="A305" s="411" t="s">
        <v>39</v>
      </c>
      <c r="B305" s="412" t="s">
        <v>40</v>
      </c>
      <c r="C305" s="412" t="s">
        <v>41</v>
      </c>
      <c r="D305" s="412" t="s">
        <v>45</v>
      </c>
      <c r="E305" s="413" t="s">
        <v>42</v>
      </c>
      <c r="F305" s="407" t="s">
        <v>43</v>
      </c>
      <c r="G305" s="2571"/>
      <c r="H305" s="2572"/>
    </row>
    <row r="306" spans="1:8" ht="15">
      <c r="A306" s="34" t="s">
        <v>381</v>
      </c>
      <c r="B306" s="23" t="s">
        <v>69</v>
      </c>
      <c r="C306" s="23" t="s">
        <v>59</v>
      </c>
      <c r="D306" s="23" t="s">
        <v>62</v>
      </c>
      <c r="E306" s="23" t="s">
        <v>65</v>
      </c>
      <c r="F306" s="423" t="s">
        <v>785</v>
      </c>
      <c r="G306" s="561" t="s">
        <v>1061</v>
      </c>
      <c r="H306" s="541">
        <v>57000</v>
      </c>
    </row>
    <row r="307" spans="1:8" ht="15">
      <c r="A307" s="34" t="s">
        <v>381</v>
      </c>
      <c r="B307" s="23" t="s">
        <v>69</v>
      </c>
      <c r="C307" s="23" t="s">
        <v>59</v>
      </c>
      <c r="D307" s="23" t="s">
        <v>62</v>
      </c>
      <c r="E307" s="23" t="s">
        <v>65</v>
      </c>
      <c r="F307" s="424" t="s">
        <v>735</v>
      </c>
      <c r="G307" s="540" t="s">
        <v>736</v>
      </c>
      <c r="H307" s="563">
        <v>3000</v>
      </c>
    </row>
    <row r="308" spans="1:8" ht="15.75" thickBot="1">
      <c r="A308" s="1073"/>
      <c r="B308" s="1074"/>
      <c r="C308" s="1074"/>
      <c r="D308" s="1074"/>
      <c r="E308" s="1075"/>
      <c r="F308" s="1076"/>
      <c r="G308" s="1077"/>
      <c r="H308" s="1078">
        <f>SUM(H306:H307)</f>
        <v>60000</v>
      </c>
    </row>
    <row r="309" spans="1:8" ht="15.75" thickBot="1">
      <c r="A309" s="9"/>
      <c r="B309" s="9"/>
      <c r="C309" s="10"/>
      <c r="D309" s="3"/>
      <c r="E309" s="3"/>
      <c r="F309" s="3"/>
      <c r="G309" s="2"/>
      <c r="H309" s="8"/>
    </row>
    <row r="310" spans="1:8" ht="15">
      <c r="A310" s="2573" t="s">
        <v>1097</v>
      </c>
      <c r="B310" s="2574"/>
      <c r="C310" s="2574"/>
      <c r="D310" s="2574"/>
      <c r="E310" s="2574"/>
      <c r="F310" s="2574"/>
      <c r="G310" s="2575" t="s">
        <v>1323</v>
      </c>
      <c r="H310" s="2576"/>
    </row>
    <row r="311" spans="1:8" ht="15">
      <c r="A311" s="482"/>
      <c r="B311" s="551"/>
      <c r="C311" s="19"/>
      <c r="D311" s="19"/>
      <c r="E311" s="19"/>
      <c r="F311" s="19"/>
      <c r="G311" s="483"/>
      <c r="H311" s="484"/>
    </row>
    <row r="312" spans="1:8" ht="14.25">
      <c r="A312" s="2580" t="s">
        <v>1324</v>
      </c>
      <c r="B312" s="2598"/>
      <c r="C312" s="2598"/>
      <c r="D312" s="2598"/>
      <c r="E312" s="2598"/>
      <c r="F312" s="2552"/>
      <c r="G312" s="2580" t="s">
        <v>1067</v>
      </c>
      <c r="H312" s="2552"/>
    </row>
    <row r="313" spans="1:8" ht="15">
      <c r="A313" s="2597" t="s">
        <v>1326</v>
      </c>
      <c r="B313" s="2584"/>
      <c r="C313" s="2584"/>
      <c r="D313" s="2584"/>
      <c r="E313" s="2584"/>
      <c r="F313" s="2585"/>
      <c r="G313" s="483"/>
      <c r="H313" s="484"/>
    </row>
    <row r="314" spans="1:8" ht="14.25">
      <c r="A314" s="2586"/>
      <c r="B314" s="2587"/>
      <c r="C314" s="2587"/>
      <c r="D314" s="2587"/>
      <c r="E314" s="2587"/>
      <c r="F314" s="2588"/>
      <c r="G314" s="2589" t="s">
        <v>737</v>
      </c>
      <c r="H314" s="2552"/>
    </row>
    <row r="315" spans="1:8" ht="15">
      <c r="A315" s="482"/>
      <c r="B315" s="551"/>
      <c r="C315" s="551"/>
      <c r="D315" s="551"/>
      <c r="E315" s="551"/>
      <c r="F315" s="551"/>
      <c r="G315" s="485"/>
      <c r="H315" s="484"/>
    </row>
    <row r="316" spans="1:8" ht="15" thickBot="1">
      <c r="A316" s="2590" t="s">
        <v>692</v>
      </c>
      <c r="B316" s="2561"/>
      <c r="C316" s="2561"/>
      <c r="D316" s="2561"/>
      <c r="E316" s="2561"/>
      <c r="F316" s="2562"/>
      <c r="G316" s="2591" t="s">
        <v>696</v>
      </c>
      <c r="H316" s="2562"/>
    </row>
    <row r="317" spans="1:8" ht="15">
      <c r="A317" s="553"/>
      <c r="B317" s="554"/>
      <c r="C317" s="554"/>
      <c r="D317" s="554"/>
      <c r="E317" s="554"/>
      <c r="F317" s="554"/>
      <c r="G317" s="555"/>
      <c r="H317" s="554"/>
    </row>
    <row r="318" spans="1:8" ht="18.75">
      <c r="A318" s="2601" t="s">
        <v>821</v>
      </c>
      <c r="B318" s="2601"/>
      <c r="C318" s="2601"/>
      <c r="D318" s="2601"/>
      <c r="E318" s="2601"/>
      <c r="F318" s="2601"/>
      <c r="G318" s="2601"/>
      <c r="H318" s="2601"/>
    </row>
    <row r="319" spans="1:8" ht="15">
      <c r="A319" s="553"/>
      <c r="B319" s="554"/>
      <c r="C319" s="554"/>
      <c r="D319" s="554"/>
      <c r="E319" s="554"/>
      <c r="F319" s="554"/>
      <c r="G319" s="555"/>
      <c r="H319" s="554"/>
    </row>
    <row r="320" spans="1:8" ht="15">
      <c r="A320" s="553"/>
      <c r="B320" s="554"/>
      <c r="C320" s="554"/>
      <c r="D320" s="554"/>
      <c r="E320" s="554"/>
      <c r="F320" s="554"/>
      <c r="G320" s="555"/>
      <c r="H320" s="554"/>
    </row>
    <row r="321" spans="1:8" ht="18.75">
      <c r="A321" s="2162" t="s">
        <v>111</v>
      </c>
      <c r="B321" s="2162"/>
      <c r="C321" s="2162"/>
      <c r="D321" s="2162"/>
      <c r="E321" s="2162"/>
      <c r="F321" s="2162"/>
      <c r="G321" s="2162"/>
      <c r="H321" s="2162"/>
    </row>
    <row r="322" spans="1:8" ht="18.75">
      <c r="A322" s="2162" t="s">
        <v>110</v>
      </c>
      <c r="B322" s="2162"/>
      <c r="C322" s="2162"/>
      <c r="D322" s="2162"/>
      <c r="E322" s="2162"/>
      <c r="F322" s="2162"/>
      <c r="G322" s="2162"/>
      <c r="H322" s="2162"/>
    </row>
    <row r="323" spans="1:8" ht="18.75">
      <c r="A323" s="2163" t="s">
        <v>211</v>
      </c>
      <c r="B323" s="2164"/>
      <c r="C323" s="2164"/>
      <c r="D323" s="2164"/>
      <c r="E323" s="2164"/>
      <c r="F323" s="2164"/>
      <c r="G323" s="2164"/>
      <c r="H323" s="2164"/>
    </row>
    <row r="324" spans="1:8" ht="18.75">
      <c r="A324" s="2163" t="s">
        <v>1212</v>
      </c>
      <c r="B324" s="2164"/>
      <c r="C324" s="2164"/>
      <c r="D324" s="2164"/>
      <c r="E324" s="2164"/>
      <c r="F324" s="2164"/>
      <c r="G324" s="2164"/>
      <c r="H324" s="2164"/>
    </row>
    <row r="325" spans="1:8" ht="18.75">
      <c r="A325" s="2163" t="s">
        <v>32</v>
      </c>
      <c r="B325" s="2164"/>
      <c r="C325" s="2164"/>
      <c r="D325" s="2164"/>
      <c r="E325" s="2164"/>
      <c r="F325" s="2164"/>
      <c r="G325" s="2164"/>
      <c r="H325" s="2164"/>
    </row>
    <row r="326" spans="1:8" ht="15">
      <c r="A326" s="33"/>
      <c r="B326" s="5"/>
      <c r="C326" s="4"/>
      <c r="D326" s="1"/>
      <c r="E326" s="1"/>
      <c r="F326" s="1"/>
      <c r="G326" s="2"/>
      <c r="H326" s="8"/>
    </row>
    <row r="327" spans="1:8" ht="18.75">
      <c r="A327" s="2596" t="s">
        <v>49</v>
      </c>
      <c r="B327" s="2596"/>
      <c r="C327" s="2596"/>
      <c r="D327" s="2596"/>
      <c r="E327" s="2596"/>
      <c r="F327" s="2596"/>
      <c r="G327" s="2596"/>
      <c r="H327" s="2596"/>
    </row>
    <row r="328" spans="1:8" ht="33.75" customHeight="1">
      <c r="A328" s="2631" t="s">
        <v>1327</v>
      </c>
      <c r="B328" s="2632"/>
      <c r="C328" s="2632"/>
      <c r="D328" s="2632"/>
      <c r="E328" s="2632"/>
      <c r="F328" s="2632"/>
      <c r="G328" s="2632"/>
      <c r="H328" s="2632"/>
    </row>
    <row r="329" spans="1:8" ht="15.75" thickBot="1">
      <c r="A329" s="2567" t="s">
        <v>29</v>
      </c>
      <c r="B329" s="2568"/>
      <c r="C329" s="2568"/>
      <c r="D329" s="2568"/>
      <c r="E329" s="2568"/>
      <c r="F329" s="2569"/>
      <c r="G329" s="2570" t="s">
        <v>640</v>
      </c>
      <c r="H329" s="2572" t="s">
        <v>639</v>
      </c>
    </row>
    <row r="330" spans="1:8" ht="90.75" thickBot="1">
      <c r="A330" s="411" t="s">
        <v>39</v>
      </c>
      <c r="B330" s="412" t="s">
        <v>40</v>
      </c>
      <c r="C330" s="412" t="s">
        <v>41</v>
      </c>
      <c r="D330" s="412" t="s">
        <v>45</v>
      </c>
      <c r="E330" s="413" t="s">
        <v>42</v>
      </c>
      <c r="F330" s="407" t="s">
        <v>43</v>
      </c>
      <c r="G330" s="2571"/>
      <c r="H330" s="2572"/>
    </row>
    <row r="331" spans="1:8" ht="15">
      <c r="A331" s="34" t="s">
        <v>381</v>
      </c>
      <c r="B331" s="23" t="s">
        <v>69</v>
      </c>
      <c r="C331" s="23" t="s">
        <v>59</v>
      </c>
      <c r="D331" s="23" t="s">
        <v>62</v>
      </c>
      <c r="E331" s="23" t="s">
        <v>65</v>
      </c>
      <c r="F331" s="423" t="s">
        <v>785</v>
      </c>
      <c r="G331" s="561" t="s">
        <v>1061</v>
      </c>
      <c r="H331" s="541">
        <v>38000</v>
      </c>
    </row>
    <row r="332" spans="1:8" ht="15">
      <c r="A332" s="34" t="s">
        <v>381</v>
      </c>
      <c r="B332" s="23" t="s">
        <v>69</v>
      </c>
      <c r="C332" s="23" t="s">
        <v>59</v>
      </c>
      <c r="D332" s="23" t="s">
        <v>62</v>
      </c>
      <c r="E332" s="23" t="s">
        <v>65</v>
      </c>
      <c r="F332" s="424" t="s">
        <v>735</v>
      </c>
      <c r="G332" s="540" t="s">
        <v>736</v>
      </c>
      <c r="H332" s="563">
        <v>2000</v>
      </c>
    </row>
    <row r="333" spans="1:8" ht="15.75" thickBot="1">
      <c r="A333" s="1073"/>
      <c r="B333" s="1074"/>
      <c r="C333" s="1074"/>
      <c r="D333" s="1074"/>
      <c r="E333" s="1075"/>
      <c r="F333" s="1076"/>
      <c r="G333" s="1077"/>
      <c r="H333" s="1078">
        <f>SUM(H331:H332)</f>
        <v>40000</v>
      </c>
    </row>
    <row r="334" spans="1:8" ht="15.75" thickBot="1">
      <c r="A334" s="9"/>
      <c r="B334" s="9"/>
      <c r="C334" s="10"/>
      <c r="D334" s="3"/>
      <c r="E334" s="3"/>
      <c r="F334" s="3"/>
      <c r="G334" s="2"/>
      <c r="H334" s="8"/>
    </row>
    <row r="335" spans="1:8" ht="15">
      <c r="A335" s="2573" t="s">
        <v>1097</v>
      </c>
      <c r="B335" s="2574"/>
      <c r="C335" s="2574"/>
      <c r="D335" s="2574"/>
      <c r="E335" s="2574"/>
      <c r="F335" s="2574"/>
      <c r="G335" s="2575" t="s">
        <v>1323</v>
      </c>
      <c r="H335" s="2576"/>
    </row>
    <row r="336" spans="1:8" ht="15">
      <c r="A336" s="482"/>
      <c r="B336" s="551"/>
      <c r="C336" s="19"/>
      <c r="D336" s="19"/>
      <c r="E336" s="19"/>
      <c r="F336" s="19"/>
      <c r="G336" s="483"/>
      <c r="H336" s="484"/>
    </row>
    <row r="337" spans="1:8" ht="14.25">
      <c r="A337" s="2580" t="s">
        <v>1328</v>
      </c>
      <c r="B337" s="2598"/>
      <c r="C337" s="2598"/>
      <c r="D337" s="2598"/>
      <c r="E337" s="2598"/>
      <c r="F337" s="2552"/>
      <c r="G337" s="2580" t="s">
        <v>1067</v>
      </c>
      <c r="H337" s="2552"/>
    </row>
    <row r="338" spans="1:8" ht="15">
      <c r="A338" s="2597" t="s">
        <v>1329</v>
      </c>
      <c r="B338" s="2584"/>
      <c r="C338" s="2584"/>
      <c r="D338" s="2584"/>
      <c r="E338" s="2584"/>
      <c r="F338" s="2585"/>
      <c r="G338" s="483"/>
      <c r="H338" s="484"/>
    </row>
    <row r="339" spans="1:8" ht="14.25">
      <c r="A339" s="2586"/>
      <c r="B339" s="2587"/>
      <c r="C339" s="2587"/>
      <c r="D339" s="2587"/>
      <c r="E339" s="2587"/>
      <c r="F339" s="2588"/>
      <c r="G339" s="2589" t="s">
        <v>737</v>
      </c>
      <c r="H339" s="2552"/>
    </row>
    <row r="340" spans="1:8" ht="15">
      <c r="A340" s="482"/>
      <c r="B340" s="551"/>
      <c r="C340" s="551"/>
      <c r="D340" s="551"/>
      <c r="E340" s="551"/>
      <c r="F340" s="551"/>
      <c r="G340" s="485"/>
      <c r="H340" s="484"/>
    </row>
    <row r="341" spans="1:8" ht="15" thickBot="1">
      <c r="A341" s="2590" t="s">
        <v>692</v>
      </c>
      <c r="B341" s="2561"/>
      <c r="C341" s="2561"/>
      <c r="D341" s="2561"/>
      <c r="E341" s="2561"/>
      <c r="F341" s="2562"/>
      <c r="G341" s="2591" t="s">
        <v>696</v>
      </c>
      <c r="H341" s="2562"/>
    </row>
    <row r="342" spans="1:8" ht="15">
      <c r="A342" s="553"/>
      <c r="B342" s="554"/>
      <c r="C342" s="554"/>
      <c r="D342" s="554"/>
      <c r="E342" s="554"/>
      <c r="F342" s="554"/>
      <c r="G342" s="555"/>
      <c r="H342" s="554"/>
    </row>
    <row r="343" spans="1:8" ht="18.75">
      <c r="A343" s="2601" t="s">
        <v>821</v>
      </c>
      <c r="B343" s="2601"/>
      <c r="C343" s="2601"/>
      <c r="D343" s="2601"/>
      <c r="E343" s="2601"/>
      <c r="F343" s="2601"/>
      <c r="G343" s="2601"/>
      <c r="H343" s="2601"/>
    </row>
    <row r="344" spans="1:8" ht="15">
      <c r="A344" s="553"/>
      <c r="B344" s="554"/>
      <c r="C344" s="554"/>
      <c r="D344" s="554"/>
      <c r="E344" s="554"/>
      <c r="F344" s="554"/>
      <c r="G344" s="555"/>
      <c r="H344" s="554"/>
    </row>
    <row r="345" spans="1:8" ht="15">
      <c r="A345" s="553"/>
      <c r="B345" s="554"/>
      <c r="C345" s="554"/>
      <c r="D345" s="554"/>
      <c r="E345" s="554"/>
      <c r="F345" s="554"/>
      <c r="G345" s="555"/>
      <c r="H345" s="554"/>
    </row>
    <row r="346" spans="1:8" ht="15">
      <c r="A346" s="553"/>
      <c r="B346" s="554"/>
      <c r="C346" s="554"/>
      <c r="D346" s="554"/>
      <c r="E346" s="554"/>
      <c r="F346" s="554"/>
      <c r="G346" s="555"/>
      <c r="H346" s="554"/>
    </row>
    <row r="347" spans="1:8" ht="15">
      <c r="A347" s="553"/>
      <c r="B347" s="554"/>
      <c r="C347" s="554"/>
      <c r="D347" s="554"/>
      <c r="E347" s="554"/>
      <c r="F347" s="554"/>
      <c r="G347" s="555"/>
      <c r="H347" s="554"/>
    </row>
    <row r="348" spans="1:8" ht="18.75">
      <c r="A348" s="2162" t="s">
        <v>111</v>
      </c>
      <c r="B348" s="2162"/>
      <c r="C348" s="2162"/>
      <c r="D348" s="2162"/>
      <c r="E348" s="2162"/>
      <c r="F348" s="2162"/>
      <c r="G348" s="2162"/>
      <c r="H348" s="2162"/>
    </row>
    <row r="349" spans="1:8" ht="18.75">
      <c r="A349" s="2162" t="s">
        <v>110</v>
      </c>
      <c r="B349" s="2162"/>
      <c r="C349" s="2162"/>
      <c r="D349" s="2162"/>
      <c r="E349" s="2162"/>
      <c r="F349" s="2162"/>
      <c r="G349" s="2162"/>
      <c r="H349" s="2162"/>
    </row>
    <row r="350" spans="1:8" ht="18.75">
      <c r="A350" s="2163" t="s">
        <v>211</v>
      </c>
      <c r="B350" s="2164"/>
      <c r="C350" s="2164"/>
      <c r="D350" s="2164"/>
      <c r="E350" s="2164"/>
      <c r="F350" s="2164"/>
      <c r="G350" s="2164"/>
      <c r="H350" s="2164"/>
    </row>
    <row r="351" spans="1:8" ht="18.75">
      <c r="A351" s="2163" t="s">
        <v>1212</v>
      </c>
      <c r="B351" s="2164"/>
      <c r="C351" s="2164"/>
      <c r="D351" s="2164"/>
      <c r="E351" s="2164"/>
      <c r="F351" s="2164"/>
      <c r="G351" s="2164"/>
      <c r="H351" s="2164"/>
    </row>
    <row r="352" spans="1:8" ht="18.75">
      <c r="A352" s="2163" t="s">
        <v>32</v>
      </c>
      <c r="B352" s="2164"/>
      <c r="C352" s="2164"/>
      <c r="D352" s="2164"/>
      <c r="E352" s="2164"/>
      <c r="F352" s="2164"/>
      <c r="G352" s="2164"/>
      <c r="H352" s="2164"/>
    </row>
    <row r="353" spans="1:8" ht="15">
      <c r="A353" s="33"/>
      <c r="B353" s="5"/>
      <c r="C353" s="4"/>
      <c r="D353" s="1"/>
      <c r="E353" s="1"/>
      <c r="F353" s="1"/>
      <c r="G353" s="2"/>
      <c r="H353" s="8"/>
    </row>
    <row r="354" spans="1:8" ht="18.75">
      <c r="A354" s="2596" t="s">
        <v>49</v>
      </c>
      <c r="B354" s="2596"/>
      <c r="C354" s="2596"/>
      <c r="D354" s="2596"/>
      <c r="E354" s="2596"/>
      <c r="F354" s="2596"/>
      <c r="G354" s="2596"/>
      <c r="H354" s="2596"/>
    </row>
    <row r="355" spans="1:8" ht="31.5" customHeight="1">
      <c r="A355" s="2631" t="s">
        <v>1330</v>
      </c>
      <c r="B355" s="2632"/>
      <c r="C355" s="2632"/>
      <c r="D355" s="2632"/>
      <c r="E355" s="2632"/>
      <c r="F355" s="2632"/>
      <c r="G355" s="2632"/>
      <c r="H355" s="2632"/>
    </row>
    <row r="356" spans="1:8" ht="15.75" thickBot="1">
      <c r="A356" s="2567" t="s">
        <v>29</v>
      </c>
      <c r="B356" s="2568"/>
      <c r="C356" s="2568"/>
      <c r="D356" s="2568"/>
      <c r="E356" s="2568"/>
      <c r="F356" s="2569"/>
      <c r="G356" s="2570" t="s">
        <v>640</v>
      </c>
      <c r="H356" s="2572" t="s">
        <v>639</v>
      </c>
    </row>
    <row r="357" spans="1:8" ht="90.75" thickBot="1">
      <c r="A357" s="411" t="s">
        <v>39</v>
      </c>
      <c r="B357" s="412" t="s">
        <v>40</v>
      </c>
      <c r="C357" s="412" t="s">
        <v>41</v>
      </c>
      <c r="D357" s="412" t="s">
        <v>45</v>
      </c>
      <c r="E357" s="413" t="s">
        <v>42</v>
      </c>
      <c r="F357" s="407" t="s">
        <v>43</v>
      </c>
      <c r="G357" s="2571"/>
      <c r="H357" s="2595"/>
    </row>
    <row r="358" spans="1:8" ht="15">
      <c r="A358" s="852" t="s">
        <v>381</v>
      </c>
      <c r="B358" s="853" t="s">
        <v>69</v>
      </c>
      <c r="C358" s="853" t="s">
        <v>59</v>
      </c>
      <c r="D358" s="853" t="s">
        <v>62</v>
      </c>
      <c r="E358" s="853" t="s">
        <v>65</v>
      </c>
      <c r="F358" s="854" t="s">
        <v>209</v>
      </c>
      <c r="G358" s="415" t="s">
        <v>724</v>
      </c>
      <c r="H358" s="491">
        <v>7000</v>
      </c>
    </row>
    <row r="359" spans="1:8" ht="15">
      <c r="A359" s="852" t="s">
        <v>381</v>
      </c>
      <c r="B359" s="853" t="s">
        <v>69</v>
      </c>
      <c r="C359" s="853" t="s">
        <v>59</v>
      </c>
      <c r="D359" s="853" t="s">
        <v>62</v>
      </c>
      <c r="E359" s="853" t="s">
        <v>65</v>
      </c>
      <c r="F359" s="856" t="s">
        <v>498</v>
      </c>
      <c r="G359" s="415" t="s">
        <v>725</v>
      </c>
      <c r="H359" s="491">
        <v>500</v>
      </c>
    </row>
    <row r="360" spans="1:8" ht="28.5">
      <c r="A360" s="852" t="s">
        <v>381</v>
      </c>
      <c r="B360" s="853" t="s">
        <v>69</v>
      </c>
      <c r="C360" s="853" t="s">
        <v>59</v>
      </c>
      <c r="D360" s="853" t="s">
        <v>62</v>
      </c>
      <c r="E360" s="853" t="s">
        <v>65</v>
      </c>
      <c r="F360" s="856" t="s">
        <v>726</v>
      </c>
      <c r="G360" s="416" t="s">
        <v>727</v>
      </c>
      <c r="H360" s="491">
        <v>9500</v>
      </c>
    </row>
    <row r="361" spans="1:8" ht="28.5">
      <c r="A361" s="852" t="s">
        <v>381</v>
      </c>
      <c r="B361" s="853" t="s">
        <v>69</v>
      </c>
      <c r="C361" s="853" t="s">
        <v>59</v>
      </c>
      <c r="D361" s="853" t="s">
        <v>62</v>
      </c>
      <c r="E361" s="853" t="s">
        <v>65</v>
      </c>
      <c r="F361" s="856" t="s">
        <v>771</v>
      </c>
      <c r="G361" s="419" t="s">
        <v>782</v>
      </c>
      <c r="H361" s="491">
        <v>500</v>
      </c>
    </row>
    <row r="362" spans="1:8" ht="15">
      <c r="A362" s="852" t="s">
        <v>381</v>
      </c>
      <c r="B362" s="853" t="s">
        <v>69</v>
      </c>
      <c r="C362" s="853" t="s">
        <v>59</v>
      </c>
      <c r="D362" s="853" t="s">
        <v>62</v>
      </c>
      <c r="E362" s="853" t="s">
        <v>65</v>
      </c>
      <c r="F362" s="425">
        <v>54118</v>
      </c>
      <c r="G362" s="416" t="s">
        <v>729</v>
      </c>
      <c r="H362" s="492">
        <v>500</v>
      </c>
    </row>
    <row r="363" spans="1:8" ht="15">
      <c r="A363" s="852" t="s">
        <v>381</v>
      </c>
      <c r="B363" s="853" t="s">
        <v>69</v>
      </c>
      <c r="C363" s="853" t="s">
        <v>59</v>
      </c>
      <c r="D363" s="853" t="s">
        <v>62</v>
      </c>
      <c r="E363" s="853" t="s">
        <v>65</v>
      </c>
      <c r="F363" s="425">
        <v>54199</v>
      </c>
      <c r="G363" s="419" t="s">
        <v>730</v>
      </c>
      <c r="H363" s="492">
        <v>300</v>
      </c>
    </row>
    <row r="364" spans="1:8" ht="15">
      <c r="A364" s="852" t="s">
        <v>381</v>
      </c>
      <c r="B364" s="853" t="s">
        <v>69</v>
      </c>
      <c r="C364" s="853" t="s">
        <v>59</v>
      </c>
      <c r="D364" s="853" t="s">
        <v>62</v>
      </c>
      <c r="E364" s="853" t="s">
        <v>65</v>
      </c>
      <c r="F364" s="487">
        <v>54304</v>
      </c>
      <c r="G364" s="419" t="s">
        <v>661</v>
      </c>
      <c r="H364" s="492">
        <v>700</v>
      </c>
    </row>
    <row r="365" spans="1:8" ht="15">
      <c r="A365" s="852" t="s">
        <v>381</v>
      </c>
      <c r="B365" s="853" t="s">
        <v>69</v>
      </c>
      <c r="C365" s="853" t="s">
        <v>59</v>
      </c>
      <c r="D365" s="853" t="s">
        <v>62</v>
      </c>
      <c r="E365" s="853" t="s">
        <v>65</v>
      </c>
      <c r="F365" s="487">
        <v>61608</v>
      </c>
      <c r="G365" s="419" t="s">
        <v>731</v>
      </c>
      <c r="H365" s="492">
        <v>1000</v>
      </c>
    </row>
    <row r="366" spans="1:8" ht="15.75" thickBot="1">
      <c r="A366" s="1619"/>
      <c r="B366" s="1620"/>
      <c r="C366" s="1620"/>
      <c r="D366" s="1620"/>
      <c r="E366" s="1621"/>
      <c r="F366" s="1622"/>
      <c r="G366" s="1623"/>
      <c r="H366" s="1624">
        <f>SUM(H358:H365)</f>
        <v>20000</v>
      </c>
    </row>
    <row r="367" spans="1:8" ht="15.75" thickBot="1">
      <c r="A367" s="200"/>
      <c r="B367" s="200"/>
      <c r="C367" s="201"/>
      <c r="D367" s="202"/>
      <c r="E367" s="202"/>
      <c r="F367" s="202"/>
      <c r="G367" s="21"/>
      <c r="H367" s="203"/>
    </row>
    <row r="368" spans="1:8" ht="15">
      <c r="A368" s="2541" t="s">
        <v>1080</v>
      </c>
      <c r="B368" s="2542"/>
      <c r="C368" s="2542"/>
      <c r="D368" s="2542"/>
      <c r="E368" s="2542"/>
      <c r="F368" s="2542"/>
      <c r="G368" s="2543" t="s">
        <v>1323</v>
      </c>
      <c r="H368" s="2544"/>
    </row>
    <row r="369" spans="1:8" ht="15">
      <c r="A369" s="857"/>
      <c r="B369" s="47"/>
      <c r="C369" s="160"/>
      <c r="D369" s="160"/>
      <c r="E369" s="160"/>
      <c r="F369" s="160"/>
      <c r="G369" s="858"/>
      <c r="H369" s="859"/>
    </row>
    <row r="370" spans="1:8" ht="14.25">
      <c r="A370" s="2551" t="s">
        <v>1331</v>
      </c>
      <c r="B370" s="2598"/>
      <c r="C370" s="2598"/>
      <c r="D370" s="2598"/>
      <c r="E370" s="2598"/>
      <c r="F370" s="2552"/>
      <c r="G370" s="2551" t="s">
        <v>1092</v>
      </c>
      <c r="H370" s="2552"/>
    </row>
    <row r="371" spans="1:8" ht="15">
      <c r="A371" s="2638" t="s">
        <v>954</v>
      </c>
      <c r="B371" s="2554"/>
      <c r="C371" s="2554"/>
      <c r="D371" s="2554"/>
      <c r="E371" s="2554"/>
      <c r="F371" s="2555"/>
      <c r="G371" s="858"/>
      <c r="H371" s="859"/>
    </row>
    <row r="372" spans="1:8" ht="14.25">
      <c r="A372" s="2556"/>
      <c r="B372" s="2557"/>
      <c r="C372" s="2557"/>
      <c r="D372" s="2557"/>
      <c r="E372" s="2557"/>
      <c r="F372" s="2558"/>
      <c r="G372" s="2559" t="s">
        <v>695</v>
      </c>
      <c r="H372" s="2552"/>
    </row>
    <row r="373" spans="1:8" ht="15">
      <c r="A373" s="857"/>
      <c r="B373" s="47"/>
      <c r="C373" s="47"/>
      <c r="D373" s="47"/>
      <c r="E373" s="47"/>
      <c r="F373" s="47"/>
      <c r="G373" s="860"/>
      <c r="H373" s="859"/>
    </row>
    <row r="374" spans="1:8" ht="15" thickBot="1">
      <c r="A374" s="2560" t="s">
        <v>692</v>
      </c>
      <c r="B374" s="2561"/>
      <c r="C374" s="2561"/>
      <c r="D374" s="2561"/>
      <c r="E374" s="2561"/>
      <c r="F374" s="2562"/>
      <c r="G374" s="2563" t="s">
        <v>696</v>
      </c>
      <c r="H374" s="2562"/>
    </row>
    <row r="375" spans="1:8" ht="15">
      <c r="A375" s="1056"/>
      <c r="B375" s="554"/>
      <c r="C375" s="554"/>
      <c r="D375" s="554"/>
      <c r="E375" s="554"/>
      <c r="F375" s="554"/>
      <c r="G375" s="1057"/>
      <c r="H375" s="554"/>
    </row>
    <row r="376" spans="1:8" ht="15">
      <c r="A376" s="1056"/>
      <c r="B376" s="554"/>
      <c r="C376" s="554"/>
      <c r="D376" s="554"/>
      <c r="E376" s="554"/>
      <c r="F376" s="554"/>
      <c r="G376" s="1057"/>
      <c r="H376" s="554"/>
    </row>
    <row r="377" spans="1:8" ht="18.75">
      <c r="A377" s="2162" t="s">
        <v>111</v>
      </c>
      <c r="B377" s="2162"/>
      <c r="C377" s="2162"/>
      <c r="D377" s="2162"/>
      <c r="E377" s="2162"/>
      <c r="F377" s="2162"/>
      <c r="G377" s="2162"/>
      <c r="H377" s="2162"/>
    </row>
    <row r="378" spans="1:8" ht="18.75">
      <c r="A378" s="2162" t="s">
        <v>110</v>
      </c>
      <c r="B378" s="2162"/>
      <c r="C378" s="2162"/>
      <c r="D378" s="2162"/>
      <c r="E378" s="2162"/>
      <c r="F378" s="2162"/>
      <c r="G378" s="2162"/>
      <c r="H378" s="2162"/>
    </row>
    <row r="379" spans="1:8" ht="18.75">
      <c r="A379" s="2163" t="s">
        <v>211</v>
      </c>
      <c r="B379" s="2164"/>
      <c r="C379" s="2164"/>
      <c r="D379" s="2164"/>
      <c r="E379" s="2164"/>
      <c r="F379" s="2164"/>
      <c r="G379" s="2164"/>
      <c r="H379" s="2164"/>
    </row>
    <row r="380" spans="1:8" ht="18.75">
      <c r="A380" s="2163" t="s">
        <v>1212</v>
      </c>
      <c r="B380" s="2164"/>
      <c r="C380" s="2164"/>
      <c r="D380" s="2164"/>
      <c r="E380" s="2164"/>
      <c r="F380" s="2164"/>
      <c r="G380" s="2164"/>
      <c r="H380" s="2164"/>
    </row>
    <row r="381" spans="1:8" ht="18.75">
      <c r="A381" s="2163" t="s">
        <v>32</v>
      </c>
      <c r="B381" s="2164"/>
      <c r="C381" s="2164"/>
      <c r="D381" s="2164"/>
      <c r="E381" s="2164"/>
      <c r="F381" s="2164"/>
      <c r="G381" s="2164"/>
      <c r="H381" s="2164"/>
    </row>
    <row r="382" spans="1:8" ht="15">
      <c r="A382" s="33"/>
      <c r="B382" s="5"/>
      <c r="C382" s="4"/>
      <c r="D382" s="1"/>
      <c r="E382" s="1"/>
      <c r="F382" s="1"/>
      <c r="G382" s="2"/>
      <c r="H382" s="8"/>
    </row>
    <row r="383" spans="1:8" ht="18.75">
      <c r="A383" s="2596" t="s">
        <v>49</v>
      </c>
      <c r="B383" s="2596"/>
      <c r="C383" s="2596"/>
      <c r="D383" s="2596"/>
      <c r="E383" s="2596"/>
      <c r="F383" s="2596"/>
      <c r="G383" s="2596"/>
      <c r="H383" s="2596"/>
    </row>
    <row r="384" spans="1:8" ht="36" customHeight="1">
      <c r="A384" s="2636" t="s">
        <v>1332</v>
      </c>
      <c r="B384" s="2637"/>
      <c r="C384" s="2637"/>
      <c r="D384" s="2637"/>
      <c r="E384" s="2637"/>
      <c r="F384" s="2637"/>
      <c r="G384" s="2637"/>
      <c r="H384" s="2637"/>
    </row>
    <row r="385" spans="1:8" ht="15.75" thickBot="1">
      <c r="A385" s="2567" t="s">
        <v>29</v>
      </c>
      <c r="B385" s="2568"/>
      <c r="C385" s="2568"/>
      <c r="D385" s="2568"/>
      <c r="E385" s="2568"/>
      <c r="F385" s="2569"/>
      <c r="G385" s="2570" t="s">
        <v>640</v>
      </c>
      <c r="H385" s="2572" t="s">
        <v>639</v>
      </c>
    </row>
    <row r="386" spans="1:8" ht="90.75" thickBot="1">
      <c r="A386" s="411" t="s">
        <v>39</v>
      </c>
      <c r="B386" s="412" t="s">
        <v>40</v>
      </c>
      <c r="C386" s="412" t="s">
        <v>41</v>
      </c>
      <c r="D386" s="412" t="s">
        <v>45</v>
      </c>
      <c r="E386" s="413" t="s">
        <v>42</v>
      </c>
      <c r="F386" s="407" t="s">
        <v>43</v>
      </c>
      <c r="G386" s="2571"/>
      <c r="H386" s="2572"/>
    </row>
    <row r="387" spans="1:8" ht="15">
      <c r="A387" s="852" t="s">
        <v>381</v>
      </c>
      <c r="B387" s="853" t="s">
        <v>69</v>
      </c>
      <c r="C387" s="853" t="s">
        <v>59</v>
      </c>
      <c r="D387" s="853" t="s">
        <v>62</v>
      </c>
      <c r="E387" s="853" t="s">
        <v>65</v>
      </c>
      <c r="F387" s="854" t="s">
        <v>209</v>
      </c>
      <c r="G387" s="415" t="s">
        <v>724</v>
      </c>
      <c r="H387" s="491">
        <v>7000</v>
      </c>
    </row>
    <row r="388" spans="1:8" ht="15">
      <c r="A388" s="852" t="s">
        <v>381</v>
      </c>
      <c r="B388" s="853" t="s">
        <v>69</v>
      </c>
      <c r="C388" s="853" t="s">
        <v>59</v>
      </c>
      <c r="D388" s="853" t="s">
        <v>62</v>
      </c>
      <c r="E388" s="853" t="s">
        <v>65</v>
      </c>
      <c r="F388" s="856" t="s">
        <v>498</v>
      </c>
      <c r="G388" s="415" t="s">
        <v>725</v>
      </c>
      <c r="H388" s="491">
        <v>500</v>
      </c>
    </row>
    <row r="389" spans="1:8" ht="28.5">
      <c r="A389" s="852" t="s">
        <v>381</v>
      </c>
      <c r="B389" s="853" t="s">
        <v>69</v>
      </c>
      <c r="C389" s="853" t="s">
        <v>59</v>
      </c>
      <c r="D389" s="853" t="s">
        <v>62</v>
      </c>
      <c r="E389" s="853" t="s">
        <v>65</v>
      </c>
      <c r="F389" s="856" t="s">
        <v>726</v>
      </c>
      <c r="G389" s="416" t="s">
        <v>727</v>
      </c>
      <c r="H389" s="491">
        <v>9500</v>
      </c>
    </row>
    <row r="390" spans="1:8" ht="28.5">
      <c r="A390" s="852" t="s">
        <v>381</v>
      </c>
      <c r="B390" s="853" t="s">
        <v>69</v>
      </c>
      <c r="C390" s="853" t="s">
        <v>59</v>
      </c>
      <c r="D390" s="853" t="s">
        <v>62</v>
      </c>
      <c r="E390" s="853" t="s">
        <v>65</v>
      </c>
      <c r="F390" s="856" t="s">
        <v>771</v>
      </c>
      <c r="G390" s="419" t="s">
        <v>782</v>
      </c>
      <c r="H390" s="491">
        <v>500</v>
      </c>
    </row>
    <row r="391" spans="1:8" ht="15">
      <c r="A391" s="852" t="s">
        <v>381</v>
      </c>
      <c r="B391" s="853" t="s">
        <v>69</v>
      </c>
      <c r="C391" s="853" t="s">
        <v>59</v>
      </c>
      <c r="D391" s="853" t="s">
        <v>62</v>
      </c>
      <c r="E391" s="853" t="s">
        <v>65</v>
      </c>
      <c r="F391" s="425">
        <v>54118</v>
      </c>
      <c r="G391" s="416" t="s">
        <v>729</v>
      </c>
      <c r="H391" s="492">
        <v>500</v>
      </c>
    </row>
    <row r="392" spans="1:8" ht="15">
      <c r="A392" s="852" t="s">
        <v>381</v>
      </c>
      <c r="B392" s="853" t="s">
        <v>69</v>
      </c>
      <c r="C392" s="853" t="s">
        <v>59</v>
      </c>
      <c r="D392" s="853" t="s">
        <v>62</v>
      </c>
      <c r="E392" s="853" t="s">
        <v>65</v>
      </c>
      <c r="F392" s="425">
        <v>54199</v>
      </c>
      <c r="G392" s="419" t="s">
        <v>730</v>
      </c>
      <c r="H392" s="492">
        <v>300</v>
      </c>
    </row>
    <row r="393" spans="1:8" ht="15">
      <c r="A393" s="852" t="s">
        <v>381</v>
      </c>
      <c r="B393" s="853" t="s">
        <v>69</v>
      </c>
      <c r="C393" s="853" t="s">
        <v>59</v>
      </c>
      <c r="D393" s="853" t="s">
        <v>62</v>
      </c>
      <c r="E393" s="853" t="s">
        <v>65</v>
      </c>
      <c r="F393" s="487">
        <v>54304</v>
      </c>
      <c r="G393" s="419" t="s">
        <v>661</v>
      </c>
      <c r="H393" s="492">
        <v>700</v>
      </c>
    </row>
    <row r="394" spans="1:8" ht="15">
      <c r="A394" s="852" t="s">
        <v>381</v>
      </c>
      <c r="B394" s="853" t="s">
        <v>69</v>
      </c>
      <c r="C394" s="853" t="s">
        <v>59</v>
      </c>
      <c r="D394" s="853" t="s">
        <v>62</v>
      </c>
      <c r="E394" s="853" t="s">
        <v>65</v>
      </c>
      <c r="F394" s="487">
        <v>61608</v>
      </c>
      <c r="G394" s="419" t="s">
        <v>731</v>
      </c>
      <c r="H394" s="492">
        <v>1000</v>
      </c>
    </row>
    <row r="395" spans="1:8" ht="15.75" thickBot="1">
      <c r="A395" s="1073"/>
      <c r="B395" s="1074"/>
      <c r="C395" s="1074"/>
      <c r="D395" s="1074"/>
      <c r="E395" s="1075"/>
      <c r="F395" s="1076"/>
      <c r="G395" s="1077"/>
      <c r="H395" s="1078">
        <f>SUM(H387:H394)</f>
        <v>20000</v>
      </c>
    </row>
    <row r="396" spans="1:8" ht="15.75" thickBot="1">
      <c r="A396" s="9"/>
      <c r="B396" s="9"/>
      <c r="C396" s="10"/>
      <c r="D396" s="3"/>
      <c r="E396" s="3"/>
      <c r="F396" s="3"/>
      <c r="G396" s="2"/>
      <c r="H396" s="8"/>
    </row>
    <row r="397" spans="1:8" ht="15">
      <c r="A397" s="2573" t="s">
        <v>1097</v>
      </c>
      <c r="B397" s="2574"/>
      <c r="C397" s="2574"/>
      <c r="D397" s="2574"/>
      <c r="E397" s="2574"/>
      <c r="F397" s="2574"/>
      <c r="G397" s="2575" t="s">
        <v>1323</v>
      </c>
      <c r="H397" s="2576"/>
    </row>
    <row r="398" spans="1:8" ht="15">
      <c r="A398" s="482"/>
      <c r="B398" s="551"/>
      <c r="C398" s="19"/>
      <c r="D398" s="19"/>
      <c r="E398" s="19"/>
      <c r="F398" s="19"/>
      <c r="G398" s="483"/>
      <c r="H398" s="484"/>
    </row>
    <row r="399" spans="1:8" ht="14.25">
      <c r="A399" s="2580" t="s">
        <v>1339</v>
      </c>
      <c r="B399" s="2598"/>
      <c r="C399" s="2598"/>
      <c r="D399" s="2598"/>
      <c r="E399" s="2598"/>
      <c r="F399" s="2552"/>
      <c r="G399" s="2580" t="s">
        <v>1067</v>
      </c>
      <c r="H399" s="2552"/>
    </row>
    <row r="400" spans="1:8" ht="15">
      <c r="A400" s="2597" t="s">
        <v>1329</v>
      </c>
      <c r="B400" s="2584"/>
      <c r="C400" s="2584"/>
      <c r="D400" s="2584"/>
      <c r="E400" s="2584"/>
      <c r="F400" s="2585"/>
      <c r="G400" s="483"/>
      <c r="H400" s="484"/>
    </row>
    <row r="401" spans="1:8" ht="14.25">
      <c r="A401" s="2586"/>
      <c r="B401" s="2587"/>
      <c r="C401" s="2587"/>
      <c r="D401" s="2587"/>
      <c r="E401" s="2587"/>
      <c r="F401" s="2588"/>
      <c r="G401" s="2589" t="s">
        <v>737</v>
      </c>
      <c r="H401" s="2552"/>
    </row>
    <row r="402" spans="1:8" ht="15">
      <c r="A402" s="482"/>
      <c r="B402" s="551"/>
      <c r="C402" s="551"/>
      <c r="D402" s="551"/>
      <c r="E402" s="551"/>
      <c r="F402" s="551"/>
      <c r="G402" s="485"/>
      <c r="H402" s="484"/>
    </row>
    <row r="403" spans="1:8" ht="15" thickBot="1">
      <c r="A403" s="2590" t="s">
        <v>692</v>
      </c>
      <c r="B403" s="2561"/>
      <c r="C403" s="2561"/>
      <c r="D403" s="2561"/>
      <c r="E403" s="2561"/>
      <c r="F403" s="2562"/>
      <c r="G403" s="2591" t="s">
        <v>696</v>
      </c>
      <c r="H403" s="2562"/>
    </row>
    <row r="404" spans="1:8" ht="15">
      <c r="A404" s="553"/>
      <c r="B404" s="554"/>
      <c r="C404" s="554"/>
      <c r="D404" s="554"/>
      <c r="E404" s="554"/>
      <c r="F404" s="554"/>
      <c r="G404" s="555"/>
      <c r="H404" s="554"/>
    </row>
    <row r="405" spans="1:8" ht="18.75">
      <c r="A405" s="2601" t="s">
        <v>821</v>
      </c>
      <c r="B405" s="2601"/>
      <c r="C405" s="2601"/>
      <c r="D405" s="2601"/>
      <c r="E405" s="2601"/>
      <c r="F405" s="2601"/>
      <c r="G405" s="2601"/>
      <c r="H405" s="2601"/>
    </row>
    <row r="406" spans="1:8" ht="18.75">
      <c r="A406" s="613"/>
      <c r="B406" s="613"/>
      <c r="C406" s="613"/>
      <c r="D406" s="613"/>
      <c r="E406" s="613"/>
      <c r="F406" s="613"/>
      <c r="G406" s="613"/>
      <c r="H406" s="613"/>
    </row>
    <row r="407" spans="1:8" ht="18.75">
      <c r="A407" s="613"/>
      <c r="B407" s="613"/>
      <c r="C407" s="613"/>
      <c r="D407" s="613"/>
      <c r="E407" s="613"/>
      <c r="F407" s="613"/>
      <c r="G407" s="613"/>
      <c r="H407" s="613"/>
    </row>
    <row r="408" spans="1:8" ht="18.75">
      <c r="A408" s="2162" t="s">
        <v>111</v>
      </c>
      <c r="B408" s="2162"/>
      <c r="C408" s="2162"/>
      <c r="D408" s="2162"/>
      <c r="E408" s="2162"/>
      <c r="F408" s="2162"/>
      <c r="G408" s="2162"/>
      <c r="H408" s="2162"/>
    </row>
    <row r="409" spans="1:8" ht="18.75">
      <c r="A409" s="2162" t="s">
        <v>110</v>
      </c>
      <c r="B409" s="2162"/>
      <c r="C409" s="2162"/>
      <c r="D409" s="2162"/>
      <c r="E409" s="2162"/>
      <c r="F409" s="2162"/>
      <c r="G409" s="2162"/>
      <c r="H409" s="2162"/>
    </row>
    <row r="410" spans="1:8" ht="18.75">
      <c r="A410" s="2163" t="s">
        <v>211</v>
      </c>
      <c r="B410" s="2164"/>
      <c r="C410" s="2164"/>
      <c r="D410" s="2164"/>
      <c r="E410" s="2164"/>
      <c r="F410" s="2164"/>
      <c r="G410" s="2164"/>
      <c r="H410" s="2164"/>
    </row>
    <row r="411" spans="1:8" ht="18.75">
      <c r="A411" s="2163" t="s">
        <v>1212</v>
      </c>
      <c r="B411" s="2164"/>
      <c r="C411" s="2164"/>
      <c r="D411" s="2164"/>
      <c r="E411" s="2164"/>
      <c r="F411" s="2164"/>
      <c r="G411" s="2164"/>
      <c r="H411" s="2164"/>
    </row>
    <row r="412" spans="1:8" ht="18.75">
      <c r="A412" s="2163" t="s">
        <v>32</v>
      </c>
      <c r="B412" s="2164"/>
      <c r="C412" s="2164"/>
      <c r="D412" s="2164"/>
      <c r="E412" s="2164"/>
      <c r="F412" s="2164"/>
      <c r="G412" s="2164"/>
      <c r="H412" s="2164"/>
    </row>
    <row r="413" spans="1:8" ht="15">
      <c r="A413" s="33"/>
      <c r="B413" s="5"/>
      <c r="C413" s="4"/>
      <c r="D413" s="1"/>
      <c r="E413" s="1"/>
      <c r="F413" s="1"/>
      <c r="G413" s="2"/>
      <c r="H413" s="8"/>
    </row>
    <row r="414" spans="1:8" ht="18.75">
      <c r="A414" s="2596" t="s">
        <v>49</v>
      </c>
      <c r="B414" s="2596"/>
      <c r="C414" s="2596"/>
      <c r="D414" s="2596"/>
      <c r="E414" s="2596"/>
      <c r="F414" s="2596"/>
      <c r="G414" s="2596"/>
      <c r="H414" s="2596"/>
    </row>
    <row r="415" spans="1:8" ht="39.75" customHeight="1">
      <c r="A415" s="2636" t="s">
        <v>1440</v>
      </c>
      <c r="B415" s="2637"/>
      <c r="C415" s="2637"/>
      <c r="D415" s="2637"/>
      <c r="E415" s="2637"/>
      <c r="F415" s="2637"/>
      <c r="G415" s="2637"/>
      <c r="H415" s="2637"/>
    </row>
    <row r="416" spans="1:8" ht="15.75" thickBot="1">
      <c r="A416" s="2567" t="s">
        <v>29</v>
      </c>
      <c r="B416" s="2568"/>
      <c r="C416" s="2568"/>
      <c r="D416" s="2568"/>
      <c r="E416" s="2568"/>
      <c r="F416" s="2569"/>
      <c r="G416" s="2570" t="s">
        <v>640</v>
      </c>
      <c r="H416" s="2572" t="s">
        <v>639</v>
      </c>
    </row>
    <row r="417" spans="1:8" ht="90.75" thickBot="1">
      <c r="A417" s="411" t="s">
        <v>39</v>
      </c>
      <c r="B417" s="412" t="s">
        <v>40</v>
      </c>
      <c r="C417" s="412" t="s">
        <v>41</v>
      </c>
      <c r="D417" s="412" t="s">
        <v>45</v>
      </c>
      <c r="E417" s="413" t="s">
        <v>42</v>
      </c>
      <c r="F417" s="407" t="s">
        <v>43</v>
      </c>
      <c r="G417" s="2571"/>
      <c r="H417" s="2572"/>
    </row>
    <row r="418" spans="1:8" ht="15">
      <c r="A418" s="852" t="s">
        <v>381</v>
      </c>
      <c r="B418" s="853" t="s">
        <v>69</v>
      </c>
      <c r="C418" s="853" t="s">
        <v>59</v>
      </c>
      <c r="D418" s="853" t="s">
        <v>62</v>
      </c>
      <c r="E418" s="853" t="s">
        <v>65</v>
      </c>
      <c r="F418" s="854" t="s">
        <v>209</v>
      </c>
      <c r="G418" s="415" t="s">
        <v>724</v>
      </c>
      <c r="H418" s="491">
        <v>7000</v>
      </c>
    </row>
    <row r="419" spans="1:8" ht="15">
      <c r="A419" s="852" t="s">
        <v>381</v>
      </c>
      <c r="B419" s="853" t="s">
        <v>69</v>
      </c>
      <c r="C419" s="853" t="s">
        <v>59</v>
      </c>
      <c r="D419" s="853" t="s">
        <v>62</v>
      </c>
      <c r="E419" s="853" t="s">
        <v>65</v>
      </c>
      <c r="F419" s="856" t="s">
        <v>498</v>
      </c>
      <c r="G419" s="415" t="s">
        <v>725</v>
      </c>
      <c r="H419" s="491">
        <v>500</v>
      </c>
    </row>
    <row r="420" spans="1:8" ht="28.5">
      <c r="A420" s="852" t="s">
        <v>381</v>
      </c>
      <c r="B420" s="853" t="s">
        <v>69</v>
      </c>
      <c r="C420" s="853" t="s">
        <v>59</v>
      </c>
      <c r="D420" s="853" t="s">
        <v>62</v>
      </c>
      <c r="E420" s="853" t="s">
        <v>65</v>
      </c>
      <c r="F420" s="856" t="s">
        <v>726</v>
      </c>
      <c r="G420" s="416" t="s">
        <v>727</v>
      </c>
      <c r="H420" s="491">
        <v>9500</v>
      </c>
    </row>
    <row r="421" spans="1:8" ht="28.5">
      <c r="A421" s="852" t="s">
        <v>381</v>
      </c>
      <c r="B421" s="853" t="s">
        <v>69</v>
      </c>
      <c r="C421" s="853" t="s">
        <v>59</v>
      </c>
      <c r="D421" s="853" t="s">
        <v>62</v>
      </c>
      <c r="E421" s="853" t="s">
        <v>65</v>
      </c>
      <c r="F421" s="856" t="s">
        <v>771</v>
      </c>
      <c r="G421" s="419" t="s">
        <v>782</v>
      </c>
      <c r="H421" s="491">
        <v>500</v>
      </c>
    </row>
    <row r="422" spans="1:8" ht="15">
      <c r="A422" s="852" t="s">
        <v>381</v>
      </c>
      <c r="B422" s="853" t="s">
        <v>69</v>
      </c>
      <c r="C422" s="853" t="s">
        <v>59</v>
      </c>
      <c r="D422" s="853" t="s">
        <v>62</v>
      </c>
      <c r="E422" s="853" t="s">
        <v>65</v>
      </c>
      <c r="F422" s="425">
        <v>54118</v>
      </c>
      <c r="G422" s="416" t="s">
        <v>729</v>
      </c>
      <c r="H422" s="492">
        <v>500</v>
      </c>
    </row>
    <row r="423" spans="1:8" ht="15">
      <c r="A423" s="852" t="s">
        <v>381</v>
      </c>
      <c r="B423" s="853" t="s">
        <v>69</v>
      </c>
      <c r="C423" s="853" t="s">
        <v>59</v>
      </c>
      <c r="D423" s="853" t="s">
        <v>62</v>
      </c>
      <c r="E423" s="853" t="s">
        <v>65</v>
      </c>
      <c r="F423" s="425">
        <v>54199</v>
      </c>
      <c r="G423" s="419" t="s">
        <v>730</v>
      </c>
      <c r="H423" s="492">
        <v>300</v>
      </c>
    </row>
    <row r="424" spans="1:8" ht="15">
      <c r="A424" s="852" t="s">
        <v>381</v>
      </c>
      <c r="B424" s="853" t="s">
        <v>69</v>
      </c>
      <c r="C424" s="853" t="s">
        <v>59</v>
      </c>
      <c r="D424" s="853" t="s">
        <v>62</v>
      </c>
      <c r="E424" s="853" t="s">
        <v>65</v>
      </c>
      <c r="F424" s="487">
        <v>54304</v>
      </c>
      <c r="G424" s="419" t="s">
        <v>661</v>
      </c>
      <c r="H424" s="492">
        <v>700</v>
      </c>
    </row>
    <row r="425" spans="1:8" ht="15">
      <c r="A425" s="852" t="s">
        <v>381</v>
      </c>
      <c r="B425" s="853" t="s">
        <v>69</v>
      </c>
      <c r="C425" s="853" t="s">
        <v>59</v>
      </c>
      <c r="D425" s="853" t="s">
        <v>62</v>
      </c>
      <c r="E425" s="853" t="s">
        <v>65</v>
      </c>
      <c r="F425" s="487">
        <v>61608</v>
      </c>
      <c r="G425" s="419" t="s">
        <v>731</v>
      </c>
      <c r="H425" s="492">
        <v>1000</v>
      </c>
    </row>
    <row r="426" spans="1:8" ht="15.75" thickBot="1">
      <c r="A426" s="1073"/>
      <c r="B426" s="1074"/>
      <c r="C426" s="1074"/>
      <c r="D426" s="1074"/>
      <c r="E426" s="1075"/>
      <c r="F426" s="1076"/>
      <c r="G426" s="1077"/>
      <c r="H426" s="1078">
        <f>SUM(H418:H425)</f>
        <v>20000</v>
      </c>
    </row>
    <row r="427" spans="1:8" ht="15.75" thickBot="1">
      <c r="A427" s="9"/>
      <c r="B427" s="9"/>
      <c r="C427" s="10"/>
      <c r="D427" s="3"/>
      <c r="E427" s="3"/>
      <c r="F427" s="3"/>
      <c r="G427" s="2"/>
      <c r="H427" s="8"/>
    </row>
    <row r="428" spans="1:8" ht="15">
      <c r="A428" s="2573" t="s">
        <v>1097</v>
      </c>
      <c r="B428" s="2574"/>
      <c r="C428" s="2574"/>
      <c r="D428" s="2574"/>
      <c r="E428" s="2574"/>
      <c r="F428" s="2574"/>
      <c r="G428" s="2575" t="s">
        <v>1323</v>
      </c>
      <c r="H428" s="2576"/>
    </row>
    <row r="429" spans="1:8" ht="15">
      <c r="A429" s="2577" t="s">
        <v>1440</v>
      </c>
      <c r="B429" s="2578"/>
      <c r="C429" s="2578"/>
      <c r="D429" s="2578"/>
      <c r="E429" s="2578"/>
      <c r="F429" s="2579"/>
      <c r="G429" s="483"/>
      <c r="H429" s="484"/>
    </row>
    <row r="430" spans="1:8" ht="14.25">
      <c r="A430" s="2580"/>
      <c r="B430" s="2581"/>
      <c r="C430" s="2581"/>
      <c r="D430" s="2581"/>
      <c r="E430" s="2581"/>
      <c r="F430" s="2582"/>
      <c r="G430" s="2580" t="s">
        <v>1067</v>
      </c>
      <c r="H430" s="2552"/>
    </row>
    <row r="431" spans="1:8" ht="15">
      <c r="A431" s="2597" t="s">
        <v>1329</v>
      </c>
      <c r="B431" s="2584"/>
      <c r="C431" s="2584"/>
      <c r="D431" s="2584"/>
      <c r="E431" s="2584"/>
      <c r="F431" s="2585"/>
      <c r="G431" s="483"/>
      <c r="H431" s="484"/>
    </row>
    <row r="432" spans="1:8" ht="14.25">
      <c r="A432" s="2586"/>
      <c r="B432" s="2587"/>
      <c r="C432" s="2587"/>
      <c r="D432" s="2587"/>
      <c r="E432" s="2587"/>
      <c r="F432" s="2588"/>
      <c r="G432" s="2589" t="s">
        <v>737</v>
      </c>
      <c r="H432" s="2552"/>
    </row>
    <row r="433" spans="1:8" ht="15">
      <c r="A433" s="482"/>
      <c r="B433" s="551"/>
      <c r="C433" s="551"/>
      <c r="D433" s="551"/>
      <c r="E433" s="551"/>
      <c r="F433" s="551"/>
      <c r="G433" s="485"/>
      <c r="H433" s="484"/>
    </row>
    <row r="434" spans="1:8" ht="15" thickBot="1">
      <c r="A434" s="2590" t="s">
        <v>692</v>
      </c>
      <c r="B434" s="2561"/>
      <c r="C434" s="2561"/>
      <c r="D434" s="2561"/>
      <c r="E434" s="2561"/>
      <c r="F434" s="2562"/>
      <c r="G434" s="2591" t="s">
        <v>696</v>
      </c>
      <c r="H434" s="2562"/>
    </row>
    <row r="435" spans="1:8" ht="15">
      <c r="A435" s="553"/>
      <c r="B435" s="554"/>
      <c r="C435" s="554"/>
      <c r="D435" s="554"/>
      <c r="E435" s="554"/>
      <c r="F435" s="554"/>
      <c r="G435" s="555"/>
      <c r="H435" s="554"/>
    </row>
    <row r="436" spans="1:8" ht="18.75">
      <c r="A436" s="2601" t="s">
        <v>821</v>
      </c>
      <c r="B436" s="2601"/>
      <c r="C436" s="2601"/>
      <c r="D436" s="2601"/>
      <c r="E436" s="2601"/>
      <c r="F436" s="2601"/>
      <c r="G436" s="2601"/>
      <c r="H436" s="2601"/>
    </row>
    <row r="437" spans="1:8" ht="18.75">
      <c r="A437" s="613"/>
      <c r="B437" s="613"/>
      <c r="C437" s="613"/>
      <c r="D437" s="613"/>
      <c r="E437" s="613"/>
      <c r="F437" s="613"/>
      <c r="G437" s="613"/>
      <c r="H437" s="613"/>
    </row>
    <row r="438" spans="1:8" ht="18.75">
      <c r="A438" s="613"/>
      <c r="B438" s="613"/>
      <c r="C438" s="613"/>
      <c r="D438" s="613"/>
      <c r="E438" s="613"/>
      <c r="F438" s="613"/>
      <c r="G438" s="613"/>
      <c r="H438" s="613"/>
    </row>
    <row r="439" spans="1:8" ht="18.75">
      <c r="A439" s="613"/>
      <c r="B439" s="613"/>
      <c r="C439" s="613"/>
      <c r="D439" s="613"/>
      <c r="E439" s="613"/>
      <c r="F439" s="613"/>
      <c r="G439" s="613"/>
      <c r="H439" s="613"/>
    </row>
    <row r="440" spans="1:8" ht="18.75">
      <c r="A440" s="613"/>
      <c r="B440" s="613"/>
      <c r="C440" s="613"/>
      <c r="D440" s="613"/>
      <c r="E440" s="613"/>
      <c r="F440" s="613"/>
      <c r="G440" s="613"/>
      <c r="H440" s="613"/>
    </row>
    <row r="441" spans="1:8" ht="18.75">
      <c r="A441" s="613"/>
      <c r="B441" s="613"/>
      <c r="C441" s="613"/>
      <c r="D441" s="613"/>
      <c r="E441" s="613"/>
      <c r="F441" s="613"/>
      <c r="G441" s="613"/>
      <c r="H441" s="613"/>
    </row>
    <row r="442" spans="1:8" ht="15">
      <c r="A442" s="1056"/>
      <c r="B442" s="554"/>
      <c r="C442" s="554"/>
      <c r="D442" s="554"/>
      <c r="E442" s="554"/>
      <c r="F442" s="554"/>
      <c r="G442" s="1057"/>
      <c r="H442" s="554"/>
    </row>
    <row r="443" spans="1:8" ht="15">
      <c r="A443" s="1056"/>
      <c r="B443" s="554"/>
      <c r="C443" s="554"/>
      <c r="D443" s="554"/>
      <c r="E443" s="554"/>
      <c r="F443" s="554"/>
      <c r="G443" s="1057"/>
      <c r="H443" s="554"/>
    </row>
    <row r="444" spans="1:8" ht="18.75">
      <c r="A444" s="2162" t="s">
        <v>111</v>
      </c>
      <c r="B444" s="2162"/>
      <c r="C444" s="2162"/>
      <c r="D444" s="2162"/>
      <c r="E444" s="2162"/>
      <c r="F444" s="2162"/>
      <c r="G444" s="2162"/>
      <c r="H444" s="2162"/>
    </row>
    <row r="445" spans="1:8" ht="18.75">
      <c r="A445" s="2162" t="s">
        <v>110</v>
      </c>
      <c r="B445" s="2162"/>
      <c r="C445" s="2162"/>
      <c r="D445" s="2162"/>
      <c r="E445" s="2162"/>
      <c r="F445" s="2162"/>
      <c r="G445" s="2162"/>
      <c r="H445" s="2162"/>
    </row>
    <row r="446" spans="1:8" ht="18.75">
      <c r="A446" s="2163" t="s">
        <v>211</v>
      </c>
      <c r="B446" s="2164"/>
      <c r="C446" s="2164"/>
      <c r="D446" s="2164"/>
      <c r="E446" s="2164"/>
      <c r="F446" s="2164"/>
      <c r="G446" s="2164"/>
      <c r="H446" s="2164"/>
    </row>
    <row r="447" spans="1:8" ht="18.75">
      <c r="A447" s="2163" t="s">
        <v>1212</v>
      </c>
      <c r="B447" s="2164"/>
      <c r="C447" s="2164"/>
      <c r="D447" s="2164"/>
      <c r="E447" s="2164"/>
      <c r="F447" s="2164"/>
      <c r="G447" s="2164"/>
      <c r="H447" s="2164"/>
    </row>
    <row r="448" spans="1:8" ht="18.75">
      <c r="A448" s="2163" t="s">
        <v>32</v>
      </c>
      <c r="B448" s="2164"/>
      <c r="C448" s="2164"/>
      <c r="D448" s="2164"/>
      <c r="E448" s="2164"/>
      <c r="F448" s="2164"/>
      <c r="G448" s="2164"/>
      <c r="H448" s="2164"/>
    </row>
    <row r="449" spans="1:8" ht="15">
      <c r="A449" s="33"/>
      <c r="B449" s="5"/>
      <c r="C449" s="4"/>
      <c r="D449" s="1"/>
      <c r="E449" s="1"/>
      <c r="F449" s="1"/>
      <c r="G449" s="2"/>
      <c r="H449" s="8"/>
    </row>
    <row r="450" spans="1:8" ht="18.75">
      <c r="A450" s="2596" t="s">
        <v>49</v>
      </c>
      <c r="B450" s="2596"/>
      <c r="C450" s="2596"/>
      <c r="D450" s="2596"/>
      <c r="E450" s="2596"/>
      <c r="F450" s="2596"/>
      <c r="G450" s="2596"/>
      <c r="H450" s="2596"/>
    </row>
    <row r="451" spans="1:8" ht="34.5" customHeight="1">
      <c r="A451" s="2633" t="s">
        <v>1333</v>
      </c>
      <c r="B451" s="2634"/>
      <c r="C451" s="2634"/>
      <c r="D451" s="2634"/>
      <c r="E451" s="2634"/>
      <c r="F451" s="2634"/>
      <c r="G451" s="2634"/>
      <c r="H451" s="2634"/>
    </row>
    <row r="452" spans="1:8" ht="15.75" thickBot="1">
      <c r="A452" s="2567" t="s">
        <v>29</v>
      </c>
      <c r="B452" s="2568"/>
      <c r="C452" s="2568"/>
      <c r="D452" s="2568"/>
      <c r="E452" s="2568"/>
      <c r="F452" s="2569"/>
      <c r="G452" s="2570" t="s">
        <v>640</v>
      </c>
      <c r="H452" s="2572" t="s">
        <v>639</v>
      </c>
    </row>
    <row r="453" spans="1:8" ht="90.75" thickBot="1">
      <c r="A453" s="411" t="s">
        <v>39</v>
      </c>
      <c r="B453" s="412" t="s">
        <v>40</v>
      </c>
      <c r="C453" s="412" t="s">
        <v>41</v>
      </c>
      <c r="D453" s="412" t="s">
        <v>45</v>
      </c>
      <c r="E453" s="413" t="s">
        <v>42</v>
      </c>
      <c r="F453" s="407" t="s">
        <v>43</v>
      </c>
      <c r="G453" s="2571"/>
      <c r="H453" s="2572"/>
    </row>
    <row r="454" spans="1:8" ht="15">
      <c r="A454" s="34" t="s">
        <v>381</v>
      </c>
      <c r="B454" s="23" t="s">
        <v>69</v>
      </c>
      <c r="C454" s="23" t="s">
        <v>59</v>
      </c>
      <c r="D454" s="23" t="s">
        <v>62</v>
      </c>
      <c r="E454" s="23" t="s">
        <v>65</v>
      </c>
      <c r="F454" s="423" t="s">
        <v>785</v>
      </c>
      <c r="G454" s="561" t="s">
        <v>1061</v>
      </c>
      <c r="H454" s="541">
        <v>38000</v>
      </c>
    </row>
    <row r="455" spans="1:8" ht="15">
      <c r="A455" s="34" t="s">
        <v>381</v>
      </c>
      <c r="B455" s="23" t="s">
        <v>69</v>
      </c>
      <c r="C455" s="23" t="s">
        <v>59</v>
      </c>
      <c r="D455" s="23" t="s">
        <v>62</v>
      </c>
      <c r="E455" s="23" t="s">
        <v>65</v>
      </c>
      <c r="F455" s="424" t="s">
        <v>735</v>
      </c>
      <c r="G455" s="540" t="s">
        <v>736</v>
      </c>
      <c r="H455" s="563">
        <v>2000</v>
      </c>
    </row>
    <row r="456" spans="1:8" ht="15.75" thickBot="1">
      <c r="A456" s="1073"/>
      <c r="B456" s="1074"/>
      <c r="C456" s="1074"/>
      <c r="D456" s="1074"/>
      <c r="E456" s="1075"/>
      <c r="F456" s="1076"/>
      <c r="G456" s="1077"/>
      <c r="H456" s="1078">
        <f>SUM(H454:H455)</f>
        <v>40000</v>
      </c>
    </row>
    <row r="457" spans="1:8" ht="15.75" thickBot="1">
      <c r="A457" s="9"/>
      <c r="B457" s="9"/>
      <c r="C457" s="10"/>
      <c r="D457" s="3"/>
      <c r="E457" s="3"/>
      <c r="F457" s="3"/>
      <c r="G457" s="2"/>
      <c r="H457" s="8"/>
    </row>
    <row r="458" spans="1:8" ht="15">
      <c r="A458" s="2573" t="s">
        <v>1097</v>
      </c>
      <c r="B458" s="2574"/>
      <c r="C458" s="2574"/>
      <c r="D458" s="2574"/>
      <c r="E458" s="2574"/>
      <c r="F458" s="2574"/>
      <c r="G458" s="2575" t="s">
        <v>1323</v>
      </c>
      <c r="H458" s="2576"/>
    </row>
    <row r="459" spans="1:8" ht="15">
      <c r="A459" s="2577" t="s">
        <v>1338</v>
      </c>
      <c r="B459" s="2578"/>
      <c r="C459" s="2578"/>
      <c r="D459" s="2578"/>
      <c r="E459" s="2578"/>
      <c r="F459" s="2579"/>
      <c r="G459" s="483"/>
      <c r="H459" s="484"/>
    </row>
    <row r="460" spans="1:8" ht="14.25">
      <c r="A460" s="2580"/>
      <c r="B460" s="2581"/>
      <c r="C460" s="2581"/>
      <c r="D460" s="2581"/>
      <c r="E460" s="2581"/>
      <c r="F460" s="2582"/>
      <c r="G460" s="2580" t="s">
        <v>1067</v>
      </c>
      <c r="H460" s="2552"/>
    </row>
    <row r="461" spans="1:8" ht="15">
      <c r="A461" s="2597" t="s">
        <v>1329</v>
      </c>
      <c r="B461" s="2584"/>
      <c r="C461" s="2584"/>
      <c r="D461" s="2584"/>
      <c r="E461" s="2584"/>
      <c r="F461" s="2585"/>
      <c r="G461" s="483"/>
      <c r="H461" s="484"/>
    </row>
    <row r="462" spans="1:8" ht="14.25">
      <c r="A462" s="2586"/>
      <c r="B462" s="2587"/>
      <c r="C462" s="2587"/>
      <c r="D462" s="2587"/>
      <c r="E462" s="2587"/>
      <c r="F462" s="2588"/>
      <c r="G462" s="2589" t="s">
        <v>737</v>
      </c>
      <c r="H462" s="2552"/>
    </row>
    <row r="463" spans="1:8" ht="15">
      <c r="A463" s="482"/>
      <c r="B463" s="551"/>
      <c r="C463" s="551"/>
      <c r="D463" s="551"/>
      <c r="E463" s="551"/>
      <c r="F463" s="551"/>
      <c r="G463" s="485"/>
      <c r="H463" s="484"/>
    </row>
    <row r="464" spans="1:8" ht="15" thickBot="1">
      <c r="A464" s="2590" t="s">
        <v>692</v>
      </c>
      <c r="B464" s="2561"/>
      <c r="C464" s="2561"/>
      <c r="D464" s="2561"/>
      <c r="E464" s="2561"/>
      <c r="F464" s="2562"/>
      <c r="G464" s="2591" t="s">
        <v>696</v>
      </c>
      <c r="H464" s="2562"/>
    </row>
    <row r="465" spans="1:8" ht="15">
      <c r="A465" s="553"/>
      <c r="B465" s="554"/>
      <c r="C465" s="554"/>
      <c r="D465" s="554"/>
      <c r="E465" s="554"/>
      <c r="F465" s="554"/>
      <c r="G465" s="555"/>
      <c r="H465" s="554"/>
    </row>
    <row r="466" spans="1:8" ht="18.75">
      <c r="A466" s="2601" t="s">
        <v>821</v>
      </c>
      <c r="B466" s="2601"/>
      <c r="C466" s="2601"/>
      <c r="D466" s="2601"/>
      <c r="E466" s="2601"/>
      <c r="F466" s="2601"/>
      <c r="G466" s="2601"/>
      <c r="H466" s="2601"/>
    </row>
    <row r="467" spans="1:8" ht="18.75">
      <c r="A467" s="613"/>
      <c r="B467" s="613"/>
      <c r="C467" s="613"/>
      <c r="D467" s="613"/>
      <c r="E467" s="613"/>
      <c r="F467" s="613"/>
      <c r="G467" s="613"/>
      <c r="H467" s="613"/>
    </row>
    <row r="468" spans="1:8" ht="18.75">
      <c r="A468" s="613"/>
      <c r="B468" s="613"/>
      <c r="C468" s="613"/>
      <c r="D468" s="613"/>
      <c r="E468" s="613"/>
      <c r="F468" s="613"/>
      <c r="G468" s="613"/>
      <c r="H468" s="613"/>
    </row>
    <row r="469" spans="1:8" ht="18.75">
      <c r="A469" s="613"/>
      <c r="B469" s="613"/>
      <c r="C469" s="613"/>
      <c r="D469" s="613"/>
      <c r="E469" s="613"/>
      <c r="F469" s="613"/>
      <c r="G469" s="613"/>
      <c r="H469" s="613"/>
    </row>
    <row r="470" spans="1:8" ht="18.75">
      <c r="A470" s="613"/>
      <c r="B470" s="613"/>
      <c r="C470" s="613"/>
      <c r="D470" s="613"/>
      <c r="E470" s="613"/>
      <c r="F470" s="613"/>
      <c r="G470" s="613"/>
      <c r="H470" s="613"/>
    </row>
    <row r="471" spans="1:8" ht="18.75">
      <c r="A471" s="2162" t="s">
        <v>111</v>
      </c>
      <c r="B471" s="2162"/>
      <c r="C471" s="2162"/>
      <c r="D471" s="2162"/>
      <c r="E471" s="2162"/>
      <c r="F471" s="2162"/>
      <c r="G471" s="2162"/>
      <c r="H471" s="2162"/>
    </row>
    <row r="472" spans="1:8" ht="18.75">
      <c r="A472" s="2162" t="s">
        <v>110</v>
      </c>
      <c r="B472" s="2162"/>
      <c r="C472" s="2162"/>
      <c r="D472" s="2162"/>
      <c r="E472" s="2162"/>
      <c r="F472" s="2162"/>
      <c r="G472" s="2162"/>
      <c r="H472" s="2162"/>
    </row>
    <row r="473" spans="1:8" ht="18.75">
      <c r="A473" s="2163" t="s">
        <v>211</v>
      </c>
      <c r="B473" s="2164"/>
      <c r="C473" s="2164"/>
      <c r="D473" s="2164"/>
      <c r="E473" s="2164"/>
      <c r="F473" s="2164"/>
      <c r="G473" s="2164"/>
      <c r="H473" s="2164"/>
    </row>
    <row r="474" spans="1:8" ht="18.75">
      <c r="A474" s="2163" t="s">
        <v>1212</v>
      </c>
      <c r="B474" s="2164"/>
      <c r="C474" s="2164"/>
      <c r="D474" s="2164"/>
      <c r="E474" s="2164"/>
      <c r="F474" s="2164"/>
      <c r="G474" s="2164"/>
      <c r="H474" s="2164"/>
    </row>
    <row r="475" spans="1:8" ht="18.75">
      <c r="A475" s="2163" t="s">
        <v>32</v>
      </c>
      <c r="B475" s="2164"/>
      <c r="C475" s="2164"/>
      <c r="D475" s="2164"/>
      <c r="E475" s="2164"/>
      <c r="F475" s="2164"/>
      <c r="G475" s="2164"/>
      <c r="H475" s="2164"/>
    </row>
    <row r="476" spans="1:8" ht="15">
      <c r="A476" s="33"/>
      <c r="B476" s="5"/>
      <c r="C476" s="4"/>
      <c r="D476" s="1"/>
      <c r="E476" s="1"/>
      <c r="F476" s="1"/>
      <c r="G476" s="2"/>
      <c r="H476" s="8"/>
    </row>
    <row r="477" spans="1:8" ht="18.75">
      <c r="A477" s="2596" t="s">
        <v>49</v>
      </c>
      <c r="B477" s="2596"/>
      <c r="C477" s="2596"/>
      <c r="D477" s="2596"/>
      <c r="E477" s="2596"/>
      <c r="F477" s="2596"/>
      <c r="G477" s="2596"/>
      <c r="H477" s="2596"/>
    </row>
    <row r="478" spans="1:8" ht="31.5" customHeight="1">
      <c r="A478" s="2633" t="s">
        <v>1368</v>
      </c>
      <c r="B478" s="2634"/>
      <c r="C478" s="2634"/>
      <c r="D478" s="2634"/>
      <c r="E478" s="2634"/>
      <c r="F478" s="2634"/>
      <c r="G478" s="2634"/>
      <c r="H478" s="2634"/>
    </row>
    <row r="479" spans="1:8" ht="15.75" thickBot="1">
      <c r="A479" s="2567" t="s">
        <v>29</v>
      </c>
      <c r="B479" s="2568"/>
      <c r="C479" s="2568"/>
      <c r="D479" s="2568"/>
      <c r="E479" s="2568"/>
      <c r="F479" s="2569"/>
      <c r="G479" s="2570" t="s">
        <v>640</v>
      </c>
      <c r="H479" s="2572" t="s">
        <v>639</v>
      </c>
    </row>
    <row r="480" spans="1:8" ht="90.75" thickBot="1">
      <c r="A480" s="411" t="s">
        <v>39</v>
      </c>
      <c r="B480" s="412" t="s">
        <v>40</v>
      </c>
      <c r="C480" s="412" t="s">
        <v>41</v>
      </c>
      <c r="D480" s="412" t="s">
        <v>45</v>
      </c>
      <c r="E480" s="413" t="s">
        <v>42</v>
      </c>
      <c r="F480" s="407" t="s">
        <v>43</v>
      </c>
      <c r="G480" s="2630"/>
      <c r="H480" s="2572"/>
    </row>
    <row r="481" spans="1:8" ht="15">
      <c r="A481" s="852" t="s">
        <v>381</v>
      </c>
      <c r="B481" s="853" t="s">
        <v>69</v>
      </c>
      <c r="C481" s="853" t="s">
        <v>59</v>
      </c>
      <c r="D481" s="853" t="s">
        <v>62</v>
      </c>
      <c r="E481" s="853" t="s">
        <v>65</v>
      </c>
      <c r="F481" s="427">
        <v>51202</v>
      </c>
      <c r="G481" s="428" t="s">
        <v>759</v>
      </c>
      <c r="H481" s="557">
        <v>2850</v>
      </c>
    </row>
    <row r="482" spans="1:8" ht="15">
      <c r="A482" s="852" t="s">
        <v>381</v>
      </c>
      <c r="B482" s="853" t="s">
        <v>69</v>
      </c>
      <c r="C482" s="853" t="s">
        <v>59</v>
      </c>
      <c r="D482" s="853" t="s">
        <v>62</v>
      </c>
      <c r="E482" s="853" t="s">
        <v>65</v>
      </c>
      <c r="F482" s="414">
        <v>54111</v>
      </c>
      <c r="G482" s="1625" t="s">
        <v>778</v>
      </c>
      <c r="H482" s="557">
        <v>4000</v>
      </c>
    </row>
    <row r="483" spans="1:8" ht="28.5">
      <c r="A483" s="852" t="s">
        <v>381</v>
      </c>
      <c r="B483" s="853" t="s">
        <v>69</v>
      </c>
      <c r="C483" s="853" t="s">
        <v>59</v>
      </c>
      <c r="D483" s="853" t="s">
        <v>62</v>
      </c>
      <c r="E483" s="853" t="s">
        <v>65</v>
      </c>
      <c r="F483" s="414">
        <v>54112</v>
      </c>
      <c r="G483" s="419" t="s">
        <v>782</v>
      </c>
      <c r="H483" s="557">
        <v>1700</v>
      </c>
    </row>
    <row r="484" spans="1:8" ht="15">
      <c r="A484" s="852" t="s">
        <v>381</v>
      </c>
      <c r="B484" s="853" t="s">
        <v>69</v>
      </c>
      <c r="C484" s="853" t="s">
        <v>59</v>
      </c>
      <c r="D484" s="853" t="s">
        <v>62</v>
      </c>
      <c r="E484" s="853" t="s">
        <v>65</v>
      </c>
      <c r="F484" s="414">
        <v>54118</v>
      </c>
      <c r="G484" s="419" t="s">
        <v>746</v>
      </c>
      <c r="H484" s="557">
        <v>200</v>
      </c>
    </row>
    <row r="485" spans="1:8" ht="15">
      <c r="A485" s="852" t="s">
        <v>381</v>
      </c>
      <c r="B485" s="853" t="s">
        <v>69</v>
      </c>
      <c r="C485" s="853" t="s">
        <v>59</v>
      </c>
      <c r="D485" s="853" t="s">
        <v>62</v>
      </c>
      <c r="E485" s="853" t="s">
        <v>65</v>
      </c>
      <c r="F485" s="414">
        <v>54199</v>
      </c>
      <c r="G485" s="419" t="s">
        <v>658</v>
      </c>
      <c r="H485" s="557">
        <v>200</v>
      </c>
    </row>
    <row r="486" spans="1:8" ht="15">
      <c r="A486" s="852" t="s">
        <v>381</v>
      </c>
      <c r="B486" s="853" t="s">
        <v>69</v>
      </c>
      <c r="C486" s="853" t="s">
        <v>59</v>
      </c>
      <c r="D486" s="853" t="s">
        <v>62</v>
      </c>
      <c r="E486" s="853" t="s">
        <v>65</v>
      </c>
      <c r="F486" s="418" t="s">
        <v>677</v>
      </c>
      <c r="G486" s="419" t="s">
        <v>678</v>
      </c>
      <c r="H486" s="557">
        <v>550</v>
      </c>
    </row>
    <row r="487" spans="1:8" ht="15">
      <c r="A487" s="852" t="s">
        <v>381</v>
      </c>
      <c r="B487" s="853" t="s">
        <v>69</v>
      </c>
      <c r="C487" s="853" t="s">
        <v>59</v>
      </c>
      <c r="D487" s="853" t="s">
        <v>62</v>
      </c>
      <c r="E487" s="853" t="s">
        <v>65</v>
      </c>
      <c r="F487" s="421">
        <v>61608</v>
      </c>
      <c r="G487" s="422" t="s">
        <v>780</v>
      </c>
      <c r="H487" s="559">
        <v>500</v>
      </c>
    </row>
    <row r="488" spans="1:8" ht="15.75" thickBot="1">
      <c r="A488" s="1073"/>
      <c r="B488" s="1074"/>
      <c r="C488" s="1074"/>
      <c r="D488" s="1074"/>
      <c r="E488" s="1075"/>
      <c r="F488" s="1076"/>
      <c r="G488" s="1077"/>
      <c r="H488" s="1078">
        <f>SUM(H481:H487)</f>
        <v>10000</v>
      </c>
    </row>
    <row r="489" spans="1:8" ht="15.75" thickBot="1">
      <c r="A489" s="9"/>
      <c r="B489" s="9"/>
      <c r="C489" s="10"/>
      <c r="D489" s="3"/>
      <c r="E489" s="3"/>
      <c r="F489" s="3"/>
      <c r="G489" s="2"/>
      <c r="H489" s="8"/>
    </row>
    <row r="490" spans="1:8" ht="15">
      <c r="A490" s="2573" t="s">
        <v>1097</v>
      </c>
      <c r="B490" s="2574"/>
      <c r="C490" s="2574"/>
      <c r="D490" s="2574"/>
      <c r="E490" s="2574"/>
      <c r="F490" s="2574"/>
      <c r="G490" s="2575" t="s">
        <v>1323</v>
      </c>
      <c r="H490" s="2576"/>
    </row>
    <row r="491" spans="1:8" ht="15">
      <c r="A491" s="2577" t="s">
        <v>1368</v>
      </c>
      <c r="B491" s="2578"/>
      <c r="C491" s="2578"/>
      <c r="D491" s="2578"/>
      <c r="E491" s="2578"/>
      <c r="F491" s="2579"/>
      <c r="G491" s="483"/>
      <c r="H491" s="484"/>
    </row>
    <row r="492" spans="1:8" ht="14.25">
      <c r="A492" s="2580"/>
      <c r="B492" s="2581"/>
      <c r="C492" s="2581"/>
      <c r="D492" s="2581"/>
      <c r="E492" s="2581"/>
      <c r="F492" s="2582"/>
      <c r="G492" s="2580" t="s">
        <v>1067</v>
      </c>
      <c r="H492" s="2552"/>
    </row>
    <row r="493" spans="1:8" ht="15">
      <c r="A493" s="2597" t="s">
        <v>1329</v>
      </c>
      <c r="B493" s="2584"/>
      <c r="C493" s="2584"/>
      <c r="D493" s="2584"/>
      <c r="E493" s="2584"/>
      <c r="F493" s="2585"/>
      <c r="G493" s="483"/>
      <c r="H493" s="484"/>
    </row>
    <row r="494" spans="1:8" ht="14.25">
      <c r="A494" s="2586"/>
      <c r="B494" s="2587"/>
      <c r="C494" s="2587"/>
      <c r="D494" s="2587"/>
      <c r="E494" s="2587"/>
      <c r="F494" s="2588"/>
      <c r="G494" s="2589" t="s">
        <v>1052</v>
      </c>
      <c r="H494" s="2552"/>
    </row>
    <row r="495" spans="1:8" ht="15">
      <c r="A495" s="482"/>
      <c r="B495" s="551"/>
      <c r="C495" s="551"/>
      <c r="D495" s="551"/>
      <c r="E495" s="551"/>
      <c r="F495" s="551"/>
      <c r="G495" s="485"/>
      <c r="H495" s="484"/>
    </row>
    <row r="496" spans="1:8" ht="15" thickBot="1">
      <c r="A496" s="2590" t="s">
        <v>692</v>
      </c>
      <c r="B496" s="2561"/>
      <c r="C496" s="2561"/>
      <c r="D496" s="2561"/>
      <c r="E496" s="2561"/>
      <c r="F496" s="2562"/>
      <c r="G496" s="2591" t="s">
        <v>696</v>
      </c>
      <c r="H496" s="2562"/>
    </row>
    <row r="497" spans="1:8" ht="15">
      <c r="A497" s="553"/>
      <c r="B497" s="554"/>
      <c r="C497" s="554"/>
      <c r="D497" s="554"/>
      <c r="E497" s="554"/>
      <c r="F497" s="554"/>
      <c r="G497" s="555"/>
      <c r="H497" s="554"/>
    </row>
    <row r="498" spans="1:8" ht="18.75">
      <c r="A498" s="2601" t="s">
        <v>821</v>
      </c>
      <c r="B498" s="2601"/>
      <c r="C498" s="2601"/>
      <c r="D498" s="2601"/>
      <c r="E498" s="2601"/>
      <c r="F498" s="2601"/>
      <c r="G498" s="2601"/>
      <c r="H498" s="2601"/>
    </row>
    <row r="499" spans="1:8" ht="18.75">
      <c r="A499" s="613"/>
      <c r="B499" s="613"/>
      <c r="C499" s="613"/>
      <c r="D499" s="613"/>
      <c r="E499" s="613"/>
      <c r="F499" s="613"/>
      <c r="G499" s="613"/>
      <c r="H499" s="613"/>
    </row>
    <row r="500" spans="1:8" ht="18.75">
      <c r="A500" s="613"/>
      <c r="B500" s="613"/>
      <c r="C500" s="613"/>
      <c r="D500" s="613"/>
      <c r="E500" s="613"/>
      <c r="F500" s="613"/>
      <c r="G500" s="613"/>
      <c r="H500" s="613"/>
    </row>
    <row r="501" spans="1:8" ht="18.75">
      <c r="A501" s="613"/>
      <c r="B501" s="613"/>
      <c r="C501" s="613"/>
      <c r="D501" s="613"/>
      <c r="E501" s="613"/>
      <c r="F501" s="613"/>
      <c r="G501" s="613"/>
      <c r="H501" s="613"/>
    </row>
    <row r="502" spans="1:8" ht="18.75">
      <c r="A502" s="613"/>
      <c r="B502" s="613"/>
      <c r="C502" s="613"/>
      <c r="D502" s="613"/>
      <c r="E502" s="613"/>
      <c r="F502" s="613"/>
      <c r="G502" s="613"/>
      <c r="H502" s="613"/>
    </row>
    <row r="503" spans="1:8" ht="18.75">
      <c r="A503" s="613"/>
      <c r="B503" s="613"/>
      <c r="C503" s="613"/>
      <c r="D503" s="613"/>
      <c r="E503" s="613"/>
      <c r="F503" s="613"/>
      <c r="G503" s="613"/>
      <c r="H503" s="613"/>
    </row>
    <row r="504" spans="1:8" ht="18.75">
      <c r="A504" s="613"/>
      <c r="B504" s="613"/>
      <c r="C504" s="613"/>
      <c r="D504" s="613"/>
      <c r="E504" s="613"/>
      <c r="F504" s="613"/>
      <c r="G504" s="613"/>
      <c r="H504" s="613"/>
    </row>
    <row r="505" spans="1:8" ht="15">
      <c r="A505" s="1056"/>
      <c r="B505" s="554"/>
      <c r="C505" s="554"/>
      <c r="D505" s="554"/>
      <c r="E505" s="554"/>
      <c r="F505" s="554"/>
      <c r="G505" s="1057"/>
      <c r="H505" s="554"/>
    </row>
    <row r="506" spans="1:8" ht="15">
      <c r="A506" s="1056"/>
      <c r="B506" s="554"/>
      <c r="C506" s="554"/>
      <c r="D506" s="554"/>
      <c r="E506" s="554"/>
      <c r="F506" s="554"/>
      <c r="G506" s="1057"/>
      <c r="H506" s="554"/>
    </row>
    <row r="507" spans="1:8" ht="18.75">
      <c r="A507" s="2162" t="s">
        <v>111</v>
      </c>
      <c r="B507" s="2162"/>
      <c r="C507" s="2162"/>
      <c r="D507" s="2162"/>
      <c r="E507" s="2162"/>
      <c r="F507" s="2162"/>
      <c r="G507" s="2162"/>
      <c r="H507" s="2162"/>
    </row>
    <row r="508" spans="1:8" ht="18.75">
      <c r="A508" s="2162" t="s">
        <v>110</v>
      </c>
      <c r="B508" s="2162"/>
      <c r="C508" s="2162"/>
      <c r="D508" s="2162"/>
      <c r="E508" s="2162"/>
      <c r="F508" s="2162"/>
      <c r="G508" s="2162"/>
      <c r="H508" s="2162"/>
    </row>
    <row r="509" spans="1:8" ht="18.75">
      <c r="A509" s="2163" t="s">
        <v>211</v>
      </c>
      <c r="B509" s="2163"/>
      <c r="C509" s="2163"/>
      <c r="D509" s="2163"/>
      <c r="E509" s="2163"/>
      <c r="F509" s="2163"/>
      <c r="G509" s="2163"/>
      <c r="H509" s="2163"/>
    </row>
    <row r="510" spans="1:8" ht="18.75">
      <c r="A510" s="2163" t="s">
        <v>1212</v>
      </c>
      <c r="B510" s="2163"/>
      <c r="C510" s="2163"/>
      <c r="D510" s="2163"/>
      <c r="E510" s="2163"/>
      <c r="F510" s="2163"/>
      <c r="G510" s="2163"/>
      <c r="H510" s="2163"/>
    </row>
    <row r="511" spans="1:8" ht="18.75">
      <c r="A511" s="2163" t="s">
        <v>32</v>
      </c>
      <c r="B511" s="2163"/>
      <c r="C511" s="2163"/>
      <c r="D511" s="2163"/>
      <c r="E511" s="2163"/>
      <c r="F511" s="2163"/>
      <c r="G511" s="2163"/>
      <c r="H511" s="2163"/>
    </row>
    <row r="512" spans="1:8" ht="15">
      <c r="A512" s="33"/>
      <c r="B512" s="5"/>
      <c r="C512" s="4"/>
      <c r="D512" s="1"/>
      <c r="E512" s="1"/>
      <c r="F512" s="1"/>
      <c r="G512" s="2"/>
      <c r="H512" s="8"/>
    </row>
    <row r="513" spans="1:8" ht="18.75">
      <c r="A513" s="2635" t="s">
        <v>49</v>
      </c>
      <c r="B513" s="2635"/>
      <c r="C513" s="2635"/>
      <c r="D513" s="2635"/>
      <c r="E513" s="2635"/>
      <c r="F513" s="2635"/>
      <c r="G513" s="2635"/>
      <c r="H513" s="2635"/>
    </row>
    <row r="514" spans="1:8" ht="23.25">
      <c r="A514" s="2631" t="s">
        <v>1334</v>
      </c>
      <c r="B514" s="2632"/>
      <c r="C514" s="2632"/>
      <c r="D514" s="2632"/>
      <c r="E514" s="2632"/>
      <c r="F514" s="2632"/>
      <c r="G514" s="2632"/>
      <c r="H514" s="2632"/>
    </row>
    <row r="515" spans="1:8" ht="15.75" thickBot="1">
      <c r="A515" s="2567" t="s">
        <v>29</v>
      </c>
      <c r="B515" s="2568"/>
      <c r="C515" s="2568"/>
      <c r="D515" s="2568"/>
      <c r="E515" s="2568"/>
      <c r="F515" s="2569"/>
      <c r="G515" s="2570" t="s">
        <v>640</v>
      </c>
      <c r="H515" s="2572" t="s">
        <v>639</v>
      </c>
    </row>
    <row r="516" spans="1:8" ht="90.75" thickBot="1">
      <c r="A516" s="411" t="s">
        <v>39</v>
      </c>
      <c r="B516" s="412" t="s">
        <v>40</v>
      </c>
      <c r="C516" s="412" t="s">
        <v>41</v>
      </c>
      <c r="D516" s="412" t="s">
        <v>45</v>
      </c>
      <c r="E516" s="413" t="s">
        <v>42</v>
      </c>
      <c r="F516" s="407" t="s">
        <v>43</v>
      </c>
      <c r="G516" s="2571"/>
      <c r="H516" s="2572"/>
    </row>
    <row r="517" spans="1:8" ht="15">
      <c r="A517" s="34" t="s">
        <v>381</v>
      </c>
      <c r="B517" s="23" t="s">
        <v>69</v>
      </c>
      <c r="C517" s="23" t="s">
        <v>59</v>
      </c>
      <c r="D517" s="23" t="s">
        <v>62</v>
      </c>
      <c r="E517" s="23" t="s">
        <v>65</v>
      </c>
      <c r="F517" s="423" t="s">
        <v>785</v>
      </c>
      <c r="G517" s="561" t="s">
        <v>1061</v>
      </c>
      <c r="H517" s="541">
        <v>57000</v>
      </c>
    </row>
    <row r="518" spans="1:8" ht="15">
      <c r="A518" s="34" t="s">
        <v>381</v>
      </c>
      <c r="B518" s="23" t="s">
        <v>69</v>
      </c>
      <c r="C518" s="23" t="s">
        <v>59</v>
      </c>
      <c r="D518" s="23" t="s">
        <v>62</v>
      </c>
      <c r="E518" s="23" t="s">
        <v>65</v>
      </c>
      <c r="F518" s="424" t="s">
        <v>735</v>
      </c>
      <c r="G518" s="540" t="s">
        <v>736</v>
      </c>
      <c r="H518" s="563">
        <v>3000</v>
      </c>
    </row>
    <row r="519" spans="1:8" ht="15.75" thickBot="1">
      <c r="A519" s="1073"/>
      <c r="B519" s="1074"/>
      <c r="C519" s="1074"/>
      <c r="D519" s="1074"/>
      <c r="E519" s="1075"/>
      <c r="F519" s="1076"/>
      <c r="G519" s="1077"/>
      <c r="H519" s="1078">
        <f>SUM(H517:H518)</f>
        <v>60000</v>
      </c>
    </row>
    <row r="520" spans="1:8" ht="15.75" thickBot="1">
      <c r="A520" s="9"/>
      <c r="B520" s="9"/>
      <c r="C520" s="10"/>
      <c r="D520" s="3"/>
      <c r="E520" s="3"/>
      <c r="F520" s="3"/>
      <c r="G520" s="2"/>
      <c r="H520" s="8"/>
    </row>
    <row r="521" spans="1:8" ht="15">
      <c r="A521" s="2573" t="s">
        <v>1097</v>
      </c>
      <c r="B521" s="2574"/>
      <c r="C521" s="2574"/>
      <c r="D521" s="2574"/>
      <c r="E521" s="2574"/>
      <c r="F521" s="2574"/>
      <c r="G521" s="2575" t="s">
        <v>1323</v>
      </c>
      <c r="H521" s="2576"/>
    </row>
    <row r="522" spans="1:8" ht="15">
      <c r="A522" s="482"/>
      <c r="B522" s="551"/>
      <c r="C522" s="19"/>
      <c r="D522" s="19"/>
      <c r="E522" s="19"/>
      <c r="F522" s="19"/>
      <c r="G522" s="483"/>
      <c r="H522" s="484"/>
    </row>
    <row r="523" spans="1:8" ht="14.25">
      <c r="A523" s="2580" t="s">
        <v>1337</v>
      </c>
      <c r="B523" s="2598"/>
      <c r="C523" s="2598"/>
      <c r="D523" s="2598"/>
      <c r="E523" s="2598"/>
      <c r="F523" s="2552"/>
      <c r="G523" s="2580" t="s">
        <v>1067</v>
      </c>
      <c r="H523" s="2552"/>
    </row>
    <row r="524" spans="1:8" ht="15">
      <c r="A524" s="2597" t="s">
        <v>1329</v>
      </c>
      <c r="B524" s="2584"/>
      <c r="C524" s="2584"/>
      <c r="D524" s="2584"/>
      <c r="E524" s="2584"/>
      <c r="F524" s="2585"/>
      <c r="G524" s="483"/>
      <c r="H524" s="484"/>
    </row>
    <row r="525" spans="1:8" ht="14.25">
      <c r="A525" s="2586"/>
      <c r="B525" s="2587"/>
      <c r="C525" s="2587"/>
      <c r="D525" s="2587"/>
      <c r="E525" s="2587"/>
      <c r="F525" s="2588"/>
      <c r="G525" s="2589" t="s">
        <v>737</v>
      </c>
      <c r="H525" s="2552"/>
    </row>
    <row r="526" spans="1:8" ht="15">
      <c r="A526" s="482"/>
      <c r="B526" s="551"/>
      <c r="C526" s="551"/>
      <c r="D526" s="551"/>
      <c r="E526" s="551"/>
      <c r="F526" s="551"/>
      <c r="G526" s="485"/>
      <c r="H526" s="484"/>
    </row>
    <row r="527" spans="1:8" ht="15" thickBot="1">
      <c r="A527" s="2590" t="s">
        <v>692</v>
      </c>
      <c r="B527" s="2561"/>
      <c r="C527" s="2561"/>
      <c r="D527" s="2561"/>
      <c r="E527" s="2561"/>
      <c r="F527" s="2562"/>
      <c r="G527" s="2591" t="s">
        <v>696</v>
      </c>
      <c r="H527" s="2562"/>
    </row>
    <row r="528" spans="1:8" ht="15">
      <c r="A528" s="553"/>
      <c r="B528" s="554"/>
      <c r="C528" s="554"/>
      <c r="D528" s="554"/>
      <c r="E528" s="554"/>
      <c r="F528" s="554"/>
      <c r="G528" s="555"/>
      <c r="H528" s="554"/>
    </row>
    <row r="529" spans="1:8" ht="18.75">
      <c r="A529" s="2601" t="s">
        <v>821</v>
      </c>
      <c r="B529" s="2601"/>
      <c r="C529" s="2601"/>
      <c r="D529" s="2601"/>
      <c r="E529" s="2601"/>
      <c r="F529" s="2601"/>
      <c r="G529" s="2601"/>
      <c r="H529" s="2601"/>
    </row>
    <row r="530" spans="1:8" ht="15">
      <c r="A530" s="1056"/>
      <c r="B530" s="554"/>
      <c r="C530" s="554"/>
      <c r="D530" s="554"/>
      <c r="E530" s="554"/>
      <c r="F530" s="554"/>
      <c r="G530" s="1057"/>
      <c r="H530" s="554"/>
    </row>
    <row r="531" spans="1:8" ht="15">
      <c r="A531" s="1056"/>
      <c r="B531" s="554"/>
      <c r="C531" s="554"/>
      <c r="D531" s="554"/>
      <c r="E531" s="554"/>
      <c r="F531" s="554"/>
      <c r="G531" s="1057"/>
      <c r="H531" s="554"/>
    </row>
    <row r="532" spans="1:8" ht="18.75">
      <c r="A532" s="2162" t="s">
        <v>111</v>
      </c>
      <c r="B532" s="2162"/>
      <c r="C532" s="2162"/>
      <c r="D532" s="2162"/>
      <c r="E532" s="2162"/>
      <c r="F532" s="2162"/>
      <c r="G532" s="2162"/>
      <c r="H532" s="2162"/>
    </row>
    <row r="533" spans="1:8" ht="18.75">
      <c r="A533" s="2162" t="s">
        <v>110</v>
      </c>
      <c r="B533" s="2162"/>
      <c r="C533" s="2162"/>
      <c r="D533" s="2162"/>
      <c r="E533" s="2162"/>
      <c r="F533" s="2162"/>
      <c r="G533" s="2162"/>
      <c r="H533" s="2162"/>
    </row>
    <row r="534" spans="1:8" ht="18.75">
      <c r="A534" s="2163" t="s">
        <v>211</v>
      </c>
      <c r="B534" s="2164"/>
      <c r="C534" s="2164"/>
      <c r="D534" s="2164"/>
      <c r="E534" s="2164"/>
      <c r="F534" s="2164"/>
      <c r="G534" s="2164"/>
      <c r="H534" s="2164"/>
    </row>
    <row r="535" spans="1:8" ht="18.75">
      <c r="A535" s="2163" t="s">
        <v>1212</v>
      </c>
      <c r="B535" s="2164"/>
      <c r="C535" s="2164"/>
      <c r="D535" s="2164"/>
      <c r="E535" s="2164"/>
      <c r="F535" s="2164"/>
      <c r="G535" s="2164"/>
      <c r="H535" s="2164"/>
    </row>
    <row r="536" spans="1:8" ht="18.75">
      <c r="A536" s="2163" t="s">
        <v>32</v>
      </c>
      <c r="B536" s="2164"/>
      <c r="C536" s="2164"/>
      <c r="D536" s="2164"/>
      <c r="E536" s="2164"/>
      <c r="F536" s="2164"/>
      <c r="G536" s="2164"/>
      <c r="H536" s="2164"/>
    </row>
    <row r="537" spans="1:8" ht="15">
      <c r="A537" s="33"/>
      <c r="B537" s="5"/>
      <c r="C537" s="4"/>
      <c r="D537" s="1"/>
      <c r="E537" s="1"/>
      <c r="F537" s="1"/>
      <c r="G537" s="2"/>
      <c r="H537" s="8"/>
    </row>
    <row r="538" spans="1:8" ht="18.75">
      <c r="A538" s="2596" t="s">
        <v>49</v>
      </c>
      <c r="B538" s="2596"/>
      <c r="C538" s="2596"/>
      <c r="D538" s="2596"/>
      <c r="E538" s="2596"/>
      <c r="F538" s="2596"/>
      <c r="G538" s="2596"/>
      <c r="H538" s="2596"/>
    </row>
    <row r="539" spans="1:8" ht="46.5" customHeight="1">
      <c r="A539" s="2631" t="s">
        <v>1335</v>
      </c>
      <c r="B539" s="2632"/>
      <c r="C539" s="2632"/>
      <c r="D539" s="2632"/>
      <c r="E539" s="2632"/>
      <c r="F539" s="2632"/>
      <c r="G539" s="2632"/>
      <c r="H539" s="2632"/>
    </row>
    <row r="540" spans="1:8" ht="15.75" thickBot="1">
      <c r="A540" s="2567" t="s">
        <v>29</v>
      </c>
      <c r="B540" s="2568"/>
      <c r="C540" s="2568"/>
      <c r="D540" s="2568"/>
      <c r="E540" s="2568"/>
      <c r="F540" s="2569"/>
      <c r="G540" s="2570" t="s">
        <v>640</v>
      </c>
      <c r="H540" s="2572" t="s">
        <v>639</v>
      </c>
    </row>
    <row r="541" spans="1:8" ht="90.75" thickBot="1">
      <c r="A541" s="411" t="s">
        <v>39</v>
      </c>
      <c r="B541" s="412" t="s">
        <v>40</v>
      </c>
      <c r="C541" s="412" t="s">
        <v>41</v>
      </c>
      <c r="D541" s="412" t="s">
        <v>45</v>
      </c>
      <c r="E541" s="413" t="s">
        <v>42</v>
      </c>
      <c r="F541" s="407" t="s">
        <v>43</v>
      </c>
      <c r="G541" s="2571"/>
      <c r="H541" s="2572"/>
    </row>
    <row r="542" spans="1:8" ht="15">
      <c r="A542" s="34" t="s">
        <v>381</v>
      </c>
      <c r="B542" s="23" t="s">
        <v>69</v>
      </c>
      <c r="C542" s="23" t="s">
        <v>59</v>
      </c>
      <c r="D542" s="23" t="s">
        <v>62</v>
      </c>
      <c r="E542" s="23" t="s">
        <v>65</v>
      </c>
      <c r="F542" s="423" t="s">
        <v>785</v>
      </c>
      <c r="G542" s="561" t="s">
        <v>1061</v>
      </c>
      <c r="H542" s="541">
        <f>38000+2473.1</f>
        <v>40473.1</v>
      </c>
    </row>
    <row r="543" spans="1:8" ht="15">
      <c r="A543" s="34" t="s">
        <v>381</v>
      </c>
      <c r="B543" s="23" t="s">
        <v>69</v>
      </c>
      <c r="C543" s="23" t="s">
        <v>59</v>
      </c>
      <c r="D543" s="23" t="s">
        <v>62</v>
      </c>
      <c r="E543" s="23" t="s">
        <v>65</v>
      </c>
      <c r="F543" s="424" t="s">
        <v>735</v>
      </c>
      <c r="G543" s="540" t="s">
        <v>736</v>
      </c>
      <c r="H543" s="563">
        <v>2130.16</v>
      </c>
    </row>
    <row r="544" spans="1:8" ht="15.75" thickBot="1">
      <c r="A544" s="1073"/>
      <c r="B544" s="1074"/>
      <c r="C544" s="1074"/>
      <c r="D544" s="1074"/>
      <c r="E544" s="1075"/>
      <c r="F544" s="1076"/>
      <c r="G544" s="1077"/>
      <c r="H544" s="1078">
        <f>SUM(H542:H543)</f>
        <v>42603.259999999995</v>
      </c>
    </row>
    <row r="545" spans="1:8" ht="15.75" thickBot="1">
      <c r="A545" s="9"/>
      <c r="B545" s="9"/>
      <c r="C545" s="10"/>
      <c r="D545" s="3"/>
      <c r="E545" s="3"/>
      <c r="F545" s="3"/>
      <c r="G545" s="2"/>
      <c r="H545" s="8"/>
    </row>
    <row r="546" spans="1:8" ht="15">
      <c r="A546" s="2573" t="s">
        <v>1097</v>
      </c>
      <c r="B546" s="2574"/>
      <c r="C546" s="2574"/>
      <c r="D546" s="2574"/>
      <c r="E546" s="2574"/>
      <c r="F546" s="2574"/>
      <c r="G546" s="2575" t="s">
        <v>1323</v>
      </c>
      <c r="H546" s="2576"/>
    </row>
    <row r="547" spans="1:8" ht="15">
      <c r="A547" s="482"/>
      <c r="B547" s="551"/>
      <c r="C547" s="19"/>
      <c r="D547" s="19"/>
      <c r="E547" s="19"/>
      <c r="F547" s="19"/>
      <c r="G547" s="483"/>
      <c r="H547" s="484"/>
    </row>
    <row r="548" spans="1:8" ht="14.25">
      <c r="A548" s="2580" t="s">
        <v>1336</v>
      </c>
      <c r="B548" s="2598"/>
      <c r="C548" s="2598"/>
      <c r="D548" s="2598"/>
      <c r="E548" s="2598"/>
      <c r="F548" s="2552"/>
      <c r="G548" s="2580" t="s">
        <v>1067</v>
      </c>
      <c r="H548" s="2552"/>
    </row>
    <row r="549" spans="1:8" ht="15">
      <c r="A549" s="2597" t="s">
        <v>1329</v>
      </c>
      <c r="B549" s="2584"/>
      <c r="C549" s="2584"/>
      <c r="D549" s="2584"/>
      <c r="E549" s="2584"/>
      <c r="F549" s="2585"/>
      <c r="G549" s="483"/>
      <c r="H549" s="484"/>
    </row>
    <row r="550" spans="1:8" ht="14.25">
      <c r="A550" s="2586"/>
      <c r="B550" s="2587"/>
      <c r="C550" s="2587"/>
      <c r="D550" s="2587"/>
      <c r="E550" s="2587"/>
      <c r="F550" s="2588"/>
      <c r="G550" s="2589" t="s">
        <v>737</v>
      </c>
      <c r="H550" s="2552"/>
    </row>
    <row r="551" spans="1:8" ht="15">
      <c r="A551" s="482"/>
      <c r="B551" s="551"/>
      <c r="C551" s="551"/>
      <c r="D551" s="551"/>
      <c r="E551" s="551"/>
      <c r="F551" s="551"/>
      <c r="G551" s="485"/>
      <c r="H551" s="484"/>
    </row>
    <row r="552" spans="1:8" ht="15" thickBot="1">
      <c r="A552" s="2590" t="s">
        <v>692</v>
      </c>
      <c r="B552" s="2561"/>
      <c r="C552" s="2561"/>
      <c r="D552" s="2561"/>
      <c r="E552" s="2561"/>
      <c r="F552" s="2562"/>
      <c r="G552" s="2591" t="s">
        <v>696</v>
      </c>
      <c r="H552" s="2562"/>
    </row>
    <row r="553" spans="1:8" ht="15">
      <c r="A553" s="553"/>
      <c r="B553" s="554"/>
      <c r="C553" s="554"/>
      <c r="D553" s="554"/>
      <c r="E553" s="554"/>
      <c r="F553" s="554"/>
      <c r="G553" s="555"/>
      <c r="H553" s="554"/>
    </row>
    <row r="554" spans="1:8" ht="18.75">
      <c r="A554" s="2601" t="s">
        <v>821</v>
      </c>
      <c r="B554" s="2601"/>
      <c r="C554" s="2601"/>
      <c r="D554" s="2601"/>
      <c r="E554" s="2601"/>
      <c r="F554" s="2601"/>
      <c r="G554" s="2601"/>
      <c r="H554" s="2601"/>
    </row>
    <row r="555" spans="1:8" ht="18.75">
      <c r="A555" s="613"/>
      <c r="B555" s="613"/>
      <c r="C555" s="613"/>
      <c r="D555" s="613"/>
      <c r="E555" s="613"/>
      <c r="F555" s="613"/>
      <c r="G555" s="613"/>
      <c r="H555" s="613"/>
    </row>
    <row r="556" spans="1:8" ht="18.75">
      <c r="A556" s="613"/>
      <c r="B556" s="613"/>
      <c r="C556" s="613"/>
      <c r="D556" s="613"/>
      <c r="E556" s="613"/>
      <c r="F556" s="613"/>
      <c r="G556" s="613"/>
      <c r="H556" s="613"/>
    </row>
    <row r="557" spans="1:8" ht="18.75">
      <c r="A557" s="2217" t="s">
        <v>111</v>
      </c>
      <c r="B557" s="2164"/>
      <c r="C557" s="2164"/>
      <c r="D557" s="2164"/>
      <c r="E557" s="2164"/>
      <c r="F557" s="2164"/>
      <c r="G557" s="2164"/>
      <c r="H557" s="2164"/>
    </row>
    <row r="558" spans="1:8" ht="18.75">
      <c r="A558" s="2217" t="s">
        <v>757</v>
      </c>
      <c r="B558" s="2164"/>
      <c r="C558" s="2164"/>
      <c r="D558" s="2164"/>
      <c r="E558" s="2164"/>
      <c r="F558" s="2164"/>
      <c r="G558" s="2164"/>
      <c r="H558" s="2164"/>
    </row>
    <row r="559" spans="1:8" ht="18.75">
      <c r="A559" s="2185" t="s">
        <v>211</v>
      </c>
      <c r="B559" s="2164"/>
      <c r="C559" s="2164"/>
      <c r="D559" s="2164"/>
      <c r="E559" s="2164"/>
      <c r="F559" s="2164"/>
      <c r="G559" s="2164"/>
      <c r="H559" s="2164"/>
    </row>
    <row r="560" spans="1:8" ht="18.75">
      <c r="A560" s="2185" t="s">
        <v>1212</v>
      </c>
      <c r="B560" s="2164"/>
      <c r="C560" s="2164"/>
      <c r="D560" s="2164"/>
      <c r="E560" s="2164"/>
      <c r="F560" s="2164"/>
      <c r="G560" s="2164"/>
      <c r="H560" s="2164"/>
    </row>
    <row r="561" spans="1:8" ht="18.75">
      <c r="A561" s="2185" t="s">
        <v>32</v>
      </c>
      <c r="B561" s="2164"/>
      <c r="C561" s="2164"/>
      <c r="D561" s="2164"/>
      <c r="E561" s="2164"/>
      <c r="F561" s="2164"/>
      <c r="G561" s="2164"/>
      <c r="H561" s="2164"/>
    </row>
    <row r="562" spans="1:8" ht="15">
      <c r="A562" s="850"/>
      <c r="B562" s="198"/>
      <c r="C562" s="851"/>
      <c r="D562" s="41"/>
      <c r="E562" s="41"/>
      <c r="F562" s="41"/>
      <c r="G562" s="21"/>
      <c r="H562" s="203"/>
    </row>
    <row r="563" spans="1:8" ht="18.75">
      <c r="A563" s="2613" t="s">
        <v>49</v>
      </c>
      <c r="B563" s="2613"/>
      <c r="C563" s="2613"/>
      <c r="D563" s="2613"/>
      <c r="E563" s="2613"/>
      <c r="F563" s="2613"/>
      <c r="G563" s="2613"/>
      <c r="H563" s="2613"/>
    </row>
    <row r="564" spans="1:8" ht="39" customHeight="1">
      <c r="A564" s="2633" t="s">
        <v>1472</v>
      </c>
      <c r="B564" s="2634"/>
      <c r="C564" s="2634"/>
      <c r="D564" s="2634"/>
      <c r="E564" s="2634"/>
      <c r="F564" s="2634"/>
      <c r="G564" s="2634"/>
      <c r="H564" s="2634"/>
    </row>
    <row r="565" spans="1:8" ht="15.75" thickBot="1">
      <c r="A565" s="2567" t="s">
        <v>29</v>
      </c>
      <c r="B565" s="2568"/>
      <c r="C565" s="2568"/>
      <c r="D565" s="2568"/>
      <c r="E565" s="2568"/>
      <c r="F565" s="2569"/>
      <c r="G565" s="2570" t="s">
        <v>640</v>
      </c>
      <c r="H565" s="2572" t="s">
        <v>639</v>
      </c>
    </row>
    <row r="566" spans="1:8" ht="90.75" thickBot="1">
      <c r="A566" s="411" t="s">
        <v>39</v>
      </c>
      <c r="B566" s="412" t="s">
        <v>40</v>
      </c>
      <c r="C566" s="412" t="s">
        <v>41</v>
      </c>
      <c r="D566" s="412" t="s">
        <v>45</v>
      </c>
      <c r="E566" s="413" t="s">
        <v>42</v>
      </c>
      <c r="F566" s="407" t="s">
        <v>43</v>
      </c>
      <c r="G566" s="2571"/>
      <c r="H566" s="2595"/>
    </row>
    <row r="567" spans="1:8" ht="15">
      <c r="A567" s="852" t="s">
        <v>381</v>
      </c>
      <c r="B567" s="853" t="s">
        <v>69</v>
      </c>
      <c r="C567" s="853" t="s">
        <v>59</v>
      </c>
      <c r="D567" s="853" t="s">
        <v>62</v>
      </c>
      <c r="E567" s="853" t="s">
        <v>65</v>
      </c>
      <c r="F567" s="427">
        <v>51202</v>
      </c>
      <c r="G567" s="1698" t="s">
        <v>759</v>
      </c>
      <c r="H567" s="557">
        <v>2800</v>
      </c>
    </row>
    <row r="568" spans="1:8" ht="15">
      <c r="A568" s="852" t="s">
        <v>381</v>
      </c>
      <c r="B568" s="853" t="s">
        <v>69</v>
      </c>
      <c r="C568" s="853" t="s">
        <v>59</v>
      </c>
      <c r="D568" s="853" t="s">
        <v>62</v>
      </c>
      <c r="E568" s="853" t="s">
        <v>65</v>
      </c>
      <c r="F568" s="414">
        <v>54111</v>
      </c>
      <c r="G568" s="1700" t="s">
        <v>778</v>
      </c>
      <c r="H568" s="557">
        <v>5500</v>
      </c>
    </row>
    <row r="569" spans="1:8" ht="15">
      <c r="A569" s="852" t="s">
        <v>381</v>
      </c>
      <c r="B569" s="853" t="s">
        <v>69</v>
      </c>
      <c r="C569" s="853" t="s">
        <v>59</v>
      </c>
      <c r="D569" s="853" t="s">
        <v>62</v>
      </c>
      <c r="E569" s="853" t="s">
        <v>65</v>
      </c>
      <c r="F569" s="414">
        <v>54112</v>
      </c>
      <c r="G569" s="1625" t="s">
        <v>782</v>
      </c>
      <c r="H569" s="557">
        <v>250</v>
      </c>
    </row>
    <row r="570" spans="1:8" ht="15">
      <c r="A570" s="852" t="s">
        <v>381</v>
      </c>
      <c r="B570" s="853" t="s">
        <v>69</v>
      </c>
      <c r="C570" s="853" t="s">
        <v>59</v>
      </c>
      <c r="D570" s="853" t="s">
        <v>62</v>
      </c>
      <c r="E570" s="853" t="s">
        <v>65</v>
      </c>
      <c r="F570" s="414">
        <v>54118</v>
      </c>
      <c r="G570" s="1625" t="s">
        <v>746</v>
      </c>
      <c r="H570" s="557">
        <v>200</v>
      </c>
    </row>
    <row r="571" spans="1:8" ht="15">
      <c r="A571" s="852" t="s">
        <v>381</v>
      </c>
      <c r="B571" s="853" t="s">
        <v>69</v>
      </c>
      <c r="C571" s="853" t="s">
        <v>59</v>
      </c>
      <c r="D571" s="853" t="s">
        <v>62</v>
      </c>
      <c r="E571" s="853" t="s">
        <v>65</v>
      </c>
      <c r="F571" s="414">
        <v>54199</v>
      </c>
      <c r="G571" s="1625" t="s">
        <v>658</v>
      </c>
      <c r="H571" s="557">
        <v>250</v>
      </c>
    </row>
    <row r="572" spans="1:8" ht="15">
      <c r="A572" s="852" t="s">
        <v>381</v>
      </c>
      <c r="B572" s="853" t="s">
        <v>69</v>
      </c>
      <c r="C572" s="853" t="s">
        <v>59</v>
      </c>
      <c r="D572" s="853" t="s">
        <v>62</v>
      </c>
      <c r="E572" s="853" t="s">
        <v>65</v>
      </c>
      <c r="F572" s="418" t="s">
        <v>677</v>
      </c>
      <c r="G572" s="1625" t="s">
        <v>678</v>
      </c>
      <c r="H572" s="557">
        <v>500</v>
      </c>
    </row>
    <row r="573" spans="1:8" ht="15">
      <c r="A573" s="852" t="s">
        <v>381</v>
      </c>
      <c r="B573" s="853" t="s">
        <v>69</v>
      </c>
      <c r="C573" s="853" t="s">
        <v>59</v>
      </c>
      <c r="D573" s="853" t="s">
        <v>62</v>
      </c>
      <c r="E573" s="853" t="s">
        <v>65</v>
      </c>
      <c r="F573" s="421">
        <v>61608</v>
      </c>
      <c r="G573" s="1699" t="s">
        <v>780</v>
      </c>
      <c r="H573" s="559">
        <v>500</v>
      </c>
    </row>
    <row r="574" spans="1:8" ht="15.75" thickBot="1">
      <c r="A574" s="1179"/>
      <c r="B574" s="1180"/>
      <c r="C574" s="1180"/>
      <c r="D574" s="1180"/>
      <c r="E574" s="1181"/>
      <c r="F574" s="1182"/>
      <c r="G574" s="1183"/>
      <c r="H574" s="1184">
        <f>SUM(H567:H573)</f>
        <v>10000</v>
      </c>
    </row>
    <row r="575" spans="1:8" ht="15.75" thickBot="1">
      <c r="A575" s="200"/>
      <c r="B575" s="200"/>
      <c r="C575" s="201"/>
      <c r="D575" s="202"/>
      <c r="E575" s="202"/>
      <c r="F575" s="202"/>
      <c r="G575" s="21"/>
      <c r="H575" s="203"/>
    </row>
    <row r="576" spans="1:8" ht="15">
      <c r="A576" s="2541" t="s">
        <v>1080</v>
      </c>
      <c r="B576" s="2542"/>
      <c r="C576" s="2542"/>
      <c r="D576" s="2542"/>
      <c r="E576" s="2542"/>
      <c r="F576" s="2542"/>
      <c r="G576" s="2543" t="s">
        <v>1323</v>
      </c>
      <c r="H576" s="2544"/>
    </row>
    <row r="577" spans="1:8" ht="15">
      <c r="A577" s="2623" t="s">
        <v>1472</v>
      </c>
      <c r="B577" s="2624"/>
      <c r="C577" s="2624"/>
      <c r="D577" s="2624"/>
      <c r="E577" s="2624"/>
      <c r="F577" s="2625"/>
      <c r="G577" s="858"/>
      <c r="H577" s="859"/>
    </row>
    <row r="578" spans="1:8" ht="14.25">
      <c r="A578" s="2551"/>
      <c r="B578" s="2626"/>
      <c r="C578" s="2626"/>
      <c r="D578" s="2626"/>
      <c r="E578" s="2626"/>
      <c r="F578" s="2627"/>
      <c r="G578" s="2551" t="s">
        <v>1079</v>
      </c>
      <c r="H578" s="2552"/>
    </row>
    <row r="579" spans="1:8" ht="15">
      <c r="A579" s="2553" t="s">
        <v>1473</v>
      </c>
      <c r="B579" s="2554"/>
      <c r="C579" s="2554"/>
      <c r="D579" s="2554"/>
      <c r="E579" s="2554"/>
      <c r="F579" s="2555"/>
      <c r="G579" s="858"/>
      <c r="H579" s="859"/>
    </row>
    <row r="580" spans="1:8" ht="14.25">
      <c r="A580" s="2556"/>
      <c r="B580" s="2557"/>
      <c r="C580" s="2557"/>
      <c r="D580" s="2557"/>
      <c r="E580" s="2557"/>
      <c r="F580" s="2558"/>
      <c r="G580" s="2559" t="s">
        <v>695</v>
      </c>
      <c r="H580" s="2552"/>
    </row>
    <row r="581" spans="1:8" ht="15">
      <c r="A581" s="857"/>
      <c r="B581" s="47"/>
      <c r="C581" s="47"/>
      <c r="D581" s="47"/>
      <c r="E581" s="47"/>
      <c r="F581" s="47"/>
      <c r="G581" s="860"/>
      <c r="H581" s="859"/>
    </row>
    <row r="582" spans="1:8" ht="15" thickBot="1">
      <c r="A582" s="2560" t="s">
        <v>692</v>
      </c>
      <c r="B582" s="2561"/>
      <c r="C582" s="2561"/>
      <c r="D582" s="2561"/>
      <c r="E582" s="2561"/>
      <c r="F582" s="2562"/>
      <c r="G582" s="2563" t="s">
        <v>696</v>
      </c>
      <c r="H582" s="2562"/>
    </row>
    <row r="583" spans="1:8" ht="15">
      <c r="A583" s="1056"/>
      <c r="B583" s="554"/>
      <c r="C583" s="554"/>
      <c r="D583" s="554"/>
      <c r="E583" s="554"/>
      <c r="F583" s="554"/>
      <c r="G583" s="1057"/>
      <c r="H583" s="554"/>
    </row>
    <row r="584" spans="1:8" ht="15">
      <c r="A584" s="1056"/>
      <c r="B584" s="554"/>
      <c r="C584" s="554"/>
      <c r="D584" s="554"/>
      <c r="E584" s="554"/>
      <c r="F584" s="554"/>
      <c r="G584" s="1057"/>
      <c r="H584" s="554"/>
    </row>
    <row r="585" spans="1:8" ht="15">
      <c r="A585" s="1056"/>
      <c r="B585" s="554"/>
      <c r="C585" s="554"/>
      <c r="D585" s="554"/>
      <c r="E585" s="554"/>
      <c r="F585" s="554"/>
      <c r="G585" s="1057"/>
      <c r="H585" s="554"/>
    </row>
    <row r="586" spans="1:8" ht="18.75">
      <c r="A586" s="2217" t="s">
        <v>111</v>
      </c>
      <c r="B586" s="2217"/>
      <c r="C586" s="2217"/>
      <c r="D586" s="2217"/>
      <c r="E586" s="2217"/>
      <c r="F586" s="2217"/>
      <c r="G586" s="2217"/>
      <c r="H586" s="2217"/>
    </row>
    <row r="587" spans="1:8" ht="18.75">
      <c r="A587" s="2217" t="s">
        <v>110</v>
      </c>
      <c r="B587" s="2217"/>
      <c r="C587" s="2217"/>
      <c r="D587" s="2217"/>
      <c r="E587" s="2217"/>
      <c r="F587" s="2217"/>
      <c r="G587" s="2217"/>
      <c r="H587" s="2217"/>
    </row>
    <row r="588" spans="1:8" ht="18.75">
      <c r="A588" s="2185" t="s">
        <v>211</v>
      </c>
      <c r="B588" s="2164"/>
      <c r="C588" s="2164"/>
      <c r="D588" s="2164"/>
      <c r="E588" s="2164"/>
      <c r="F588" s="2164"/>
      <c r="G588" s="2164"/>
      <c r="H588" s="2164"/>
    </row>
    <row r="589" spans="1:8" ht="18.75">
      <c r="A589" s="2185" t="s">
        <v>1212</v>
      </c>
      <c r="B589" s="2164"/>
      <c r="C589" s="2164"/>
      <c r="D589" s="2164"/>
      <c r="E589" s="2164"/>
      <c r="F589" s="2164"/>
      <c r="G589" s="2164"/>
      <c r="H589" s="2164"/>
    </row>
    <row r="590" spans="1:8" ht="18.75">
      <c r="A590" s="2185" t="s">
        <v>32</v>
      </c>
      <c r="B590" s="2164"/>
      <c r="C590" s="2164"/>
      <c r="D590" s="2164"/>
      <c r="E590" s="2164"/>
      <c r="F590" s="2164"/>
      <c r="G590" s="2164"/>
      <c r="H590" s="2164"/>
    </row>
    <row r="591" spans="1:8" ht="15">
      <c r="A591" s="850"/>
      <c r="B591" s="198"/>
      <c r="C591" s="851"/>
      <c r="D591" s="41"/>
      <c r="E591" s="41"/>
      <c r="F591" s="41"/>
      <c r="G591" s="21"/>
      <c r="H591" s="203"/>
    </row>
    <row r="592" spans="1:8" ht="18.75">
      <c r="A592" s="2564" t="s">
        <v>49</v>
      </c>
      <c r="B592" s="2564"/>
      <c r="C592" s="2564"/>
      <c r="D592" s="2564"/>
      <c r="E592" s="2564"/>
      <c r="F592" s="2564"/>
      <c r="G592" s="2564"/>
      <c r="H592" s="2564"/>
    </row>
    <row r="593" spans="1:8" ht="49.5" customHeight="1">
      <c r="A593" s="2631" t="s">
        <v>1486</v>
      </c>
      <c r="B593" s="2632"/>
      <c r="C593" s="2632"/>
      <c r="D593" s="2632"/>
      <c r="E593" s="2632"/>
      <c r="F593" s="2632"/>
      <c r="G593" s="2632"/>
      <c r="H593" s="2632"/>
    </row>
    <row r="594" spans="1:8" ht="15.75" thickBot="1">
      <c r="A594" s="2567" t="s">
        <v>29</v>
      </c>
      <c r="B594" s="2568"/>
      <c r="C594" s="2568"/>
      <c r="D594" s="2568"/>
      <c r="E594" s="2568"/>
      <c r="F594" s="2569"/>
      <c r="G594" s="2570" t="s">
        <v>640</v>
      </c>
      <c r="H594" s="2572" t="s">
        <v>639</v>
      </c>
    </row>
    <row r="595" spans="1:8" ht="90.75" thickBot="1">
      <c r="A595" s="411" t="s">
        <v>39</v>
      </c>
      <c r="B595" s="412" t="s">
        <v>40</v>
      </c>
      <c r="C595" s="412" t="s">
        <v>41</v>
      </c>
      <c r="D595" s="412" t="s">
        <v>45</v>
      </c>
      <c r="E595" s="413" t="s">
        <v>42</v>
      </c>
      <c r="F595" s="407" t="s">
        <v>43</v>
      </c>
      <c r="G595" s="2571"/>
      <c r="H595" s="2572"/>
    </row>
    <row r="596" spans="1:8" ht="15">
      <c r="A596" s="852" t="s">
        <v>380</v>
      </c>
      <c r="B596" s="853" t="s">
        <v>64</v>
      </c>
      <c r="C596" s="853" t="s">
        <v>61</v>
      </c>
      <c r="D596" s="853" t="s">
        <v>62</v>
      </c>
      <c r="E596" s="853" t="s">
        <v>65</v>
      </c>
      <c r="F596" s="854" t="s">
        <v>209</v>
      </c>
      <c r="G596" s="561" t="s">
        <v>724</v>
      </c>
      <c r="H596" s="855">
        <v>5250</v>
      </c>
    </row>
    <row r="597" spans="1:8" ht="28.5">
      <c r="A597" s="852" t="s">
        <v>380</v>
      </c>
      <c r="B597" s="853" t="s">
        <v>64</v>
      </c>
      <c r="C597" s="853" t="s">
        <v>61</v>
      </c>
      <c r="D597" s="853" t="s">
        <v>62</v>
      </c>
      <c r="E597" s="853" t="s">
        <v>65</v>
      </c>
      <c r="F597" s="424" t="s">
        <v>726</v>
      </c>
      <c r="G597" s="416" t="s">
        <v>727</v>
      </c>
      <c r="H597" s="855">
        <v>7000</v>
      </c>
    </row>
    <row r="598" spans="1:8" ht="28.5">
      <c r="A598" s="852" t="s">
        <v>380</v>
      </c>
      <c r="B598" s="853" t="s">
        <v>64</v>
      </c>
      <c r="C598" s="853" t="s">
        <v>61</v>
      </c>
      <c r="D598" s="853" t="s">
        <v>62</v>
      </c>
      <c r="E598" s="853" t="s">
        <v>65</v>
      </c>
      <c r="F598" s="425">
        <v>54112</v>
      </c>
      <c r="G598" s="416" t="s">
        <v>728</v>
      </c>
      <c r="H598" s="855">
        <v>1500</v>
      </c>
    </row>
    <row r="599" spans="1:8" ht="15">
      <c r="A599" s="852" t="s">
        <v>380</v>
      </c>
      <c r="B599" s="853" t="s">
        <v>64</v>
      </c>
      <c r="C599" s="853" t="s">
        <v>61</v>
      </c>
      <c r="D599" s="853" t="s">
        <v>62</v>
      </c>
      <c r="E599" s="853" t="s">
        <v>65</v>
      </c>
      <c r="F599" s="425">
        <v>54118</v>
      </c>
      <c r="G599" s="416" t="s">
        <v>729</v>
      </c>
      <c r="H599" s="855">
        <v>500</v>
      </c>
    </row>
    <row r="600" spans="1:8" ht="15">
      <c r="A600" s="852" t="s">
        <v>380</v>
      </c>
      <c r="B600" s="853" t="s">
        <v>64</v>
      </c>
      <c r="C600" s="853" t="s">
        <v>61</v>
      </c>
      <c r="D600" s="853" t="s">
        <v>62</v>
      </c>
      <c r="E600" s="853" t="s">
        <v>65</v>
      </c>
      <c r="F600" s="487">
        <v>61608</v>
      </c>
      <c r="G600" s="419" t="s">
        <v>731</v>
      </c>
      <c r="H600" s="855">
        <v>750</v>
      </c>
    </row>
    <row r="601" spans="1:8" ht="15.75" thickBot="1">
      <c r="A601" s="1179"/>
      <c r="B601" s="1180"/>
      <c r="C601" s="1180"/>
      <c r="D601" s="1180"/>
      <c r="E601" s="1181"/>
      <c r="F601" s="1182"/>
      <c r="G601" s="1183"/>
      <c r="H601" s="1701">
        <f>SUM(H596:H600)</f>
        <v>15000</v>
      </c>
    </row>
    <row r="602" spans="1:8" ht="15.75" thickBot="1">
      <c r="A602" s="200"/>
      <c r="B602" s="200"/>
      <c r="C602" s="201"/>
      <c r="D602" s="202"/>
      <c r="E602" s="202"/>
      <c r="F602" s="202"/>
      <c r="G602" s="21"/>
      <c r="H602" s="203"/>
    </row>
    <row r="603" spans="1:8" ht="15">
      <c r="A603" s="2541" t="s">
        <v>693</v>
      </c>
      <c r="B603" s="2542"/>
      <c r="C603" s="2542"/>
      <c r="D603" s="2542"/>
      <c r="E603" s="2542"/>
      <c r="F603" s="2542"/>
      <c r="G603" s="2543" t="s">
        <v>1323</v>
      </c>
      <c r="H603" s="2544"/>
    </row>
    <row r="604" spans="1:8" ht="15">
      <c r="A604" s="2545" t="s">
        <v>1486</v>
      </c>
      <c r="B604" s="2546"/>
      <c r="C604" s="2546"/>
      <c r="D604" s="2546"/>
      <c r="E604" s="2546"/>
      <c r="F604" s="2547"/>
      <c r="G604" s="858"/>
      <c r="H604" s="859"/>
    </row>
    <row r="605" spans="1:8" ht="14.25">
      <c r="A605" s="2548"/>
      <c r="B605" s="2549"/>
      <c r="C605" s="2549"/>
      <c r="D605" s="2549"/>
      <c r="E605" s="2549"/>
      <c r="F605" s="2550"/>
      <c r="G605" s="2551" t="s">
        <v>694</v>
      </c>
      <c r="H605" s="2552"/>
    </row>
    <row r="606" spans="1:8" ht="15">
      <c r="A606" s="2597" t="s">
        <v>826</v>
      </c>
      <c r="B606" s="2584"/>
      <c r="C606" s="2584"/>
      <c r="D606" s="2584"/>
      <c r="E606" s="2584"/>
      <c r="F606" s="2585"/>
      <c r="G606" s="858"/>
      <c r="H606" s="859"/>
    </row>
    <row r="607" spans="1:8" ht="14.25">
      <c r="A607" s="2586"/>
      <c r="B607" s="2587"/>
      <c r="C607" s="2587"/>
      <c r="D607" s="2587"/>
      <c r="E607" s="2587"/>
      <c r="F607" s="2588"/>
      <c r="G607" s="2559" t="s">
        <v>772</v>
      </c>
      <c r="H607" s="2552"/>
    </row>
    <row r="608" spans="1:8" ht="15">
      <c r="A608" s="857"/>
      <c r="B608" s="47"/>
      <c r="C608" s="47"/>
      <c r="D608" s="47"/>
      <c r="E608" s="47"/>
      <c r="F608" s="47"/>
      <c r="G608" s="860"/>
      <c r="H608" s="859"/>
    </row>
    <row r="609" spans="1:8" ht="15" thickBot="1">
      <c r="A609" s="2560" t="s">
        <v>692</v>
      </c>
      <c r="B609" s="2561"/>
      <c r="C609" s="2561"/>
      <c r="D609" s="2561"/>
      <c r="E609" s="2561"/>
      <c r="F609" s="2562"/>
      <c r="G609" s="2563" t="s">
        <v>696</v>
      </c>
      <c r="H609" s="2562"/>
    </row>
    <row r="610" spans="1:8" ht="15">
      <c r="A610" s="1056"/>
      <c r="B610" s="554"/>
      <c r="C610" s="554"/>
      <c r="D610" s="554"/>
      <c r="E610" s="554"/>
      <c r="F610" s="554"/>
      <c r="G610" s="1057"/>
      <c r="H610" s="554"/>
    </row>
    <row r="611" spans="1:8" ht="15">
      <c r="A611" s="1056"/>
      <c r="B611" s="554"/>
      <c r="C611" s="554"/>
      <c r="D611" s="554"/>
      <c r="E611" s="554"/>
      <c r="F611" s="554"/>
      <c r="G611" s="1057"/>
      <c r="H611" s="554"/>
    </row>
    <row r="612" spans="1:8" ht="15">
      <c r="A612" s="1056"/>
      <c r="B612" s="554"/>
      <c r="C612" s="554"/>
      <c r="D612" s="554"/>
      <c r="E612" s="554"/>
      <c r="F612" s="554"/>
      <c r="G612" s="1057"/>
      <c r="H612" s="554"/>
    </row>
    <row r="613" spans="1:8" ht="18.75">
      <c r="A613" s="2217" t="s">
        <v>111</v>
      </c>
      <c r="B613" s="2164"/>
      <c r="C613" s="2164"/>
      <c r="D613" s="2164"/>
      <c r="E613" s="2164"/>
      <c r="F613" s="2164"/>
      <c r="G613" s="2164"/>
      <c r="H613" s="2164"/>
    </row>
    <row r="614" spans="1:8" ht="18.75">
      <c r="A614" s="2217" t="s">
        <v>757</v>
      </c>
      <c r="B614" s="2164"/>
      <c r="C614" s="2164"/>
      <c r="D614" s="2164"/>
      <c r="E614" s="2164"/>
      <c r="F614" s="2164"/>
      <c r="G614" s="2164"/>
      <c r="H614" s="2164"/>
    </row>
    <row r="615" spans="1:8" ht="18.75">
      <c r="A615" s="2185" t="s">
        <v>211</v>
      </c>
      <c r="B615" s="2164"/>
      <c r="C615" s="2164"/>
      <c r="D615" s="2164"/>
      <c r="E615" s="2164"/>
      <c r="F615" s="2164"/>
      <c r="G615" s="2164"/>
      <c r="H615" s="2164"/>
    </row>
    <row r="616" spans="1:8" ht="18.75">
      <c r="A616" s="2185" t="s">
        <v>1212</v>
      </c>
      <c r="B616" s="2164"/>
      <c r="C616" s="2164"/>
      <c r="D616" s="2164"/>
      <c r="E616" s="2164"/>
      <c r="F616" s="2164"/>
      <c r="G616" s="2164"/>
      <c r="H616" s="2164"/>
    </row>
    <row r="617" spans="1:8" ht="18.75">
      <c r="A617" s="2185" t="s">
        <v>32</v>
      </c>
      <c r="B617" s="2164"/>
      <c r="C617" s="2164"/>
      <c r="D617" s="2164"/>
      <c r="E617" s="2164"/>
      <c r="F617" s="2164"/>
      <c r="G617" s="2164"/>
      <c r="H617" s="2164"/>
    </row>
    <row r="618" spans="1:8" ht="15">
      <c r="A618" s="850"/>
      <c r="B618" s="198"/>
      <c r="C618" s="851"/>
      <c r="D618" s="41"/>
      <c r="E618" s="41"/>
      <c r="F618" s="41"/>
      <c r="G618" s="21"/>
      <c r="H618" s="203"/>
    </row>
    <row r="619" spans="1:8" ht="18.75">
      <c r="A619" s="2613" t="s">
        <v>49</v>
      </c>
      <c r="B619" s="2613"/>
      <c r="C619" s="2613"/>
      <c r="D619" s="2613"/>
      <c r="E619" s="2613"/>
      <c r="F619" s="2613"/>
      <c r="G619" s="2613"/>
      <c r="H619" s="2613"/>
    </row>
    <row r="620" spans="1:8" ht="45" customHeight="1" thickBot="1">
      <c r="A620" s="2628" t="s">
        <v>1455</v>
      </c>
      <c r="B620" s="2629"/>
      <c r="C620" s="2629"/>
      <c r="D620" s="2629"/>
      <c r="E620" s="2629"/>
      <c r="F620" s="2629"/>
      <c r="G620" s="2629"/>
      <c r="H620" s="2629"/>
    </row>
    <row r="621" spans="1:8" ht="15.75" thickBot="1">
      <c r="A621" s="2606" t="s">
        <v>29</v>
      </c>
      <c r="B621" s="2607"/>
      <c r="C621" s="2607"/>
      <c r="D621" s="2607"/>
      <c r="E621" s="2607"/>
      <c r="F621" s="2608"/>
      <c r="G621" s="2609" t="s">
        <v>640</v>
      </c>
      <c r="H621" s="2610" t="s">
        <v>639</v>
      </c>
    </row>
    <row r="622" spans="1:8" ht="90.75" thickBot="1">
      <c r="A622" s="411" t="s">
        <v>39</v>
      </c>
      <c r="B622" s="412" t="s">
        <v>40</v>
      </c>
      <c r="C622" s="412" t="s">
        <v>41</v>
      </c>
      <c r="D622" s="412" t="s">
        <v>45</v>
      </c>
      <c r="E622" s="413" t="s">
        <v>42</v>
      </c>
      <c r="F622" s="1070" t="s">
        <v>43</v>
      </c>
      <c r="G622" s="2630"/>
      <c r="H622" s="2572"/>
    </row>
    <row r="623" spans="1:8" ht="15">
      <c r="A623" s="852" t="s">
        <v>381</v>
      </c>
      <c r="B623" s="853" t="s">
        <v>69</v>
      </c>
      <c r="C623" s="853" t="s">
        <v>59</v>
      </c>
      <c r="D623" s="853" t="s">
        <v>62</v>
      </c>
      <c r="E623" s="853" t="s">
        <v>65</v>
      </c>
      <c r="F623" s="1703" t="s">
        <v>209</v>
      </c>
      <c r="G623" s="415" t="s">
        <v>724</v>
      </c>
      <c r="H623" s="855">
        <v>5500</v>
      </c>
    </row>
    <row r="624" spans="1:8" ht="15">
      <c r="A624" s="852" t="s">
        <v>381</v>
      </c>
      <c r="B624" s="853" t="s">
        <v>69</v>
      </c>
      <c r="C624" s="853" t="s">
        <v>59</v>
      </c>
      <c r="D624" s="853" t="s">
        <v>62</v>
      </c>
      <c r="E624" s="853" t="s">
        <v>65</v>
      </c>
      <c r="F624" s="856" t="s">
        <v>498</v>
      </c>
      <c r="G624" s="415" t="s">
        <v>725</v>
      </c>
      <c r="H624" s="491">
        <v>500</v>
      </c>
    </row>
    <row r="625" spans="1:8" ht="28.5">
      <c r="A625" s="852" t="s">
        <v>381</v>
      </c>
      <c r="B625" s="853" t="s">
        <v>69</v>
      </c>
      <c r="C625" s="853" t="s">
        <v>59</v>
      </c>
      <c r="D625" s="853" t="s">
        <v>62</v>
      </c>
      <c r="E625" s="853" t="s">
        <v>65</v>
      </c>
      <c r="F625" s="856" t="s">
        <v>726</v>
      </c>
      <c r="G625" s="416" t="s">
        <v>727</v>
      </c>
      <c r="H625" s="491">
        <v>7500</v>
      </c>
    </row>
    <row r="626" spans="1:8" ht="28.5">
      <c r="A626" s="852" t="s">
        <v>381</v>
      </c>
      <c r="B626" s="853" t="s">
        <v>69</v>
      </c>
      <c r="C626" s="853" t="s">
        <v>59</v>
      </c>
      <c r="D626" s="853" t="s">
        <v>62</v>
      </c>
      <c r="E626" s="853" t="s">
        <v>65</v>
      </c>
      <c r="F626" s="856" t="s">
        <v>771</v>
      </c>
      <c r="G626" s="419" t="s">
        <v>782</v>
      </c>
      <c r="H626" s="491">
        <f>500+957.34</f>
        <v>1457.3400000000001</v>
      </c>
    </row>
    <row r="627" spans="1:8" ht="15">
      <c r="A627" s="852" t="s">
        <v>381</v>
      </c>
      <c r="B627" s="853" t="s">
        <v>69</v>
      </c>
      <c r="C627" s="853" t="s">
        <v>59</v>
      </c>
      <c r="D627" s="853" t="s">
        <v>62</v>
      </c>
      <c r="E627" s="853" t="s">
        <v>65</v>
      </c>
      <c r="F627" s="425">
        <v>54118</v>
      </c>
      <c r="G627" s="416" t="s">
        <v>729</v>
      </c>
      <c r="H627" s="492">
        <v>500</v>
      </c>
    </row>
    <row r="628" spans="1:8" ht="15">
      <c r="A628" s="852" t="s">
        <v>381</v>
      </c>
      <c r="B628" s="853" t="s">
        <v>69</v>
      </c>
      <c r="C628" s="853" t="s">
        <v>59</v>
      </c>
      <c r="D628" s="853" t="s">
        <v>62</v>
      </c>
      <c r="E628" s="853" t="s">
        <v>65</v>
      </c>
      <c r="F628" s="425">
        <v>54199</v>
      </c>
      <c r="G628" s="419" t="s">
        <v>730</v>
      </c>
      <c r="H628" s="492">
        <v>300</v>
      </c>
    </row>
    <row r="629" spans="1:8" ht="15">
      <c r="A629" s="852" t="s">
        <v>381</v>
      </c>
      <c r="B629" s="853" t="s">
        <v>69</v>
      </c>
      <c r="C629" s="853" t="s">
        <v>59</v>
      </c>
      <c r="D629" s="853" t="s">
        <v>62</v>
      </c>
      <c r="E629" s="853" t="s">
        <v>65</v>
      </c>
      <c r="F629" s="487">
        <v>54304</v>
      </c>
      <c r="G629" s="419" t="s">
        <v>661</v>
      </c>
      <c r="H629" s="492">
        <v>700</v>
      </c>
    </row>
    <row r="630" spans="1:8" ht="15">
      <c r="A630" s="852" t="s">
        <v>381</v>
      </c>
      <c r="B630" s="853" t="s">
        <v>69</v>
      </c>
      <c r="C630" s="853" t="s">
        <v>59</v>
      </c>
      <c r="D630" s="853" t="s">
        <v>62</v>
      </c>
      <c r="E630" s="853" t="s">
        <v>65</v>
      </c>
      <c r="F630" s="487">
        <v>61608</v>
      </c>
      <c r="G630" s="419" t="s">
        <v>731</v>
      </c>
      <c r="H630" s="492">
        <v>866.17</v>
      </c>
    </row>
    <row r="631" spans="1:8" ht="15.75" thickBot="1">
      <c r="A631" s="1179"/>
      <c r="B631" s="1180"/>
      <c r="C631" s="1180"/>
      <c r="D631" s="1180"/>
      <c r="E631" s="1181"/>
      <c r="F631" s="1182"/>
      <c r="G631" s="1183"/>
      <c r="H631" s="1184">
        <f>SUM(H623:H630)</f>
        <v>17323.509999999998</v>
      </c>
    </row>
    <row r="632" spans="1:8" ht="15.75" thickBot="1">
      <c r="A632" s="200"/>
      <c r="B632" s="200"/>
      <c r="C632" s="201"/>
      <c r="D632" s="202"/>
      <c r="E632" s="202"/>
      <c r="F632" s="202"/>
      <c r="G632" s="21"/>
      <c r="H632" s="203"/>
    </row>
    <row r="633" spans="1:8" ht="15">
      <c r="A633" s="2541" t="s">
        <v>1080</v>
      </c>
      <c r="B633" s="2542"/>
      <c r="C633" s="2542"/>
      <c r="D633" s="2542"/>
      <c r="E633" s="2542"/>
      <c r="F633" s="2542"/>
      <c r="G633" s="2543" t="s">
        <v>1323</v>
      </c>
      <c r="H633" s="2544"/>
    </row>
    <row r="634" spans="1:8" ht="15">
      <c r="A634" s="2623" t="s">
        <v>1455</v>
      </c>
      <c r="B634" s="2624"/>
      <c r="C634" s="2624"/>
      <c r="D634" s="2624"/>
      <c r="E634" s="2624"/>
      <c r="F634" s="2625"/>
      <c r="G634" s="858"/>
      <c r="H634" s="859"/>
    </row>
    <row r="635" spans="1:8" ht="14.25">
      <c r="A635" s="2551"/>
      <c r="B635" s="2626"/>
      <c r="C635" s="2626"/>
      <c r="D635" s="2626"/>
      <c r="E635" s="2626"/>
      <c r="F635" s="2627"/>
      <c r="G635" s="2551" t="s">
        <v>1081</v>
      </c>
      <c r="H635" s="2552"/>
    </row>
    <row r="636" spans="1:8" ht="15">
      <c r="A636" s="2553" t="s">
        <v>835</v>
      </c>
      <c r="B636" s="2554"/>
      <c r="C636" s="2554"/>
      <c r="D636" s="2554"/>
      <c r="E636" s="2554"/>
      <c r="F636" s="2555"/>
      <c r="G636" s="858"/>
      <c r="H636" s="859"/>
    </row>
    <row r="637" spans="1:8" ht="14.25">
      <c r="A637" s="2556"/>
      <c r="B637" s="2557"/>
      <c r="C637" s="2557"/>
      <c r="D637" s="2557"/>
      <c r="E637" s="2557"/>
      <c r="F637" s="2558"/>
      <c r="G637" s="2559" t="s">
        <v>695</v>
      </c>
      <c r="H637" s="2552"/>
    </row>
    <row r="638" spans="1:8" ht="15">
      <c r="A638" s="857"/>
      <c r="B638" s="47"/>
      <c r="C638" s="47"/>
      <c r="D638" s="47"/>
      <c r="E638" s="47"/>
      <c r="F638" s="47"/>
      <c r="G638" s="860"/>
      <c r="H638" s="859"/>
    </row>
    <row r="639" spans="1:8" ht="15" thickBot="1">
      <c r="A639" s="2560" t="s">
        <v>692</v>
      </c>
      <c r="B639" s="2561"/>
      <c r="C639" s="2561"/>
      <c r="D639" s="2561"/>
      <c r="E639" s="2561"/>
      <c r="F639" s="2562"/>
      <c r="G639" s="2563" t="s">
        <v>696</v>
      </c>
      <c r="H639" s="2562"/>
    </row>
    <row r="640" spans="1:8" ht="15">
      <c r="A640" s="1056"/>
      <c r="B640" s="554"/>
      <c r="C640" s="554"/>
      <c r="D640" s="554"/>
      <c r="E640" s="554"/>
      <c r="F640" s="554"/>
      <c r="G640" s="1057"/>
      <c r="H640" s="554"/>
    </row>
    <row r="641" spans="1:8" ht="15">
      <c r="A641" s="1056"/>
      <c r="B641" s="554"/>
      <c r="C641" s="554"/>
      <c r="D641" s="554"/>
      <c r="E641" s="554"/>
      <c r="F641" s="554"/>
      <c r="G641" s="1057"/>
      <c r="H641" s="554"/>
    </row>
    <row r="642" spans="1:8" ht="15">
      <c r="A642" s="1056"/>
      <c r="B642" s="554"/>
      <c r="C642" s="554"/>
      <c r="D642" s="554"/>
      <c r="E642" s="554"/>
      <c r="F642" s="554"/>
      <c r="G642" s="1057"/>
      <c r="H642" s="554"/>
    </row>
    <row r="643" spans="1:8" ht="15">
      <c r="A643" s="1056"/>
      <c r="B643" s="554"/>
      <c r="C643" s="554"/>
      <c r="D643" s="554"/>
      <c r="E643" s="554"/>
      <c r="F643" s="554"/>
      <c r="G643" s="1057"/>
      <c r="H643" s="554"/>
    </row>
    <row r="644" spans="1:8" ht="18.75">
      <c r="A644" s="2162" t="s">
        <v>111</v>
      </c>
      <c r="B644" s="2164"/>
      <c r="C644" s="2164"/>
      <c r="D644" s="2164"/>
      <c r="E644" s="2164"/>
      <c r="F644" s="2164"/>
      <c r="G644" s="2164"/>
      <c r="H644" s="2164"/>
    </row>
    <row r="645" spans="1:8" ht="18.75">
      <c r="A645" s="2162" t="s">
        <v>757</v>
      </c>
      <c r="B645" s="2164"/>
      <c r="C645" s="2164"/>
      <c r="D645" s="2164"/>
      <c r="E645" s="2164"/>
      <c r="F645" s="2164"/>
      <c r="G645" s="2164"/>
      <c r="H645" s="2164"/>
    </row>
    <row r="646" spans="1:8" ht="18.75">
      <c r="A646" s="2163" t="s">
        <v>211</v>
      </c>
      <c r="B646" s="2164"/>
      <c r="C646" s="2164"/>
      <c r="D646" s="2164"/>
      <c r="E646" s="2164"/>
      <c r="F646" s="2164"/>
      <c r="G646" s="2164"/>
      <c r="H646" s="2164"/>
    </row>
    <row r="647" spans="1:8" ht="18.75">
      <c r="A647" s="2163" t="s">
        <v>1212</v>
      </c>
      <c r="B647" s="2164"/>
      <c r="C647" s="2164"/>
      <c r="D647" s="2164"/>
      <c r="E647" s="2164"/>
      <c r="F647" s="2164"/>
      <c r="G647" s="2164"/>
      <c r="H647" s="2164"/>
    </row>
    <row r="648" spans="1:8" ht="18.75">
      <c r="A648" s="2163" t="s">
        <v>32</v>
      </c>
      <c r="B648" s="2164"/>
      <c r="C648" s="2164"/>
      <c r="D648" s="2164"/>
      <c r="E648" s="2164"/>
      <c r="F648" s="2164"/>
      <c r="G648" s="2164"/>
      <c r="H648" s="2164"/>
    </row>
    <row r="649" spans="1:8" ht="15">
      <c r="A649" s="33"/>
      <c r="B649" s="5"/>
      <c r="C649" s="4"/>
      <c r="D649" s="1"/>
      <c r="E649" s="1"/>
      <c r="F649" s="1"/>
      <c r="G649" s="2"/>
      <c r="H649" s="8"/>
    </row>
    <row r="650" spans="1:8" ht="18.75">
      <c r="A650" s="2596" t="s">
        <v>49</v>
      </c>
      <c r="B650" s="2596"/>
      <c r="C650" s="2596"/>
      <c r="D650" s="2596"/>
      <c r="E650" s="2596"/>
      <c r="F650" s="2596"/>
      <c r="G650" s="2596"/>
      <c r="H650" s="2596"/>
    </row>
    <row r="651" spans="1:8" ht="38.25" customHeight="1" thickBot="1">
      <c r="A651" s="2618" t="s">
        <v>1112</v>
      </c>
      <c r="B651" s="2619"/>
      <c r="C651" s="2619"/>
      <c r="D651" s="2619"/>
      <c r="E651" s="2619"/>
      <c r="F651" s="2619"/>
      <c r="G651" s="2619"/>
      <c r="H651" s="2619"/>
    </row>
    <row r="652" spans="1:8" ht="15.75" thickBot="1">
      <c r="A652" s="2606" t="s">
        <v>29</v>
      </c>
      <c r="B652" s="2620"/>
      <c r="C652" s="2620"/>
      <c r="D652" s="2620"/>
      <c r="E652" s="2620"/>
      <c r="F652" s="2621"/>
      <c r="G652" s="2609" t="s">
        <v>640</v>
      </c>
      <c r="H652" s="2610" t="s">
        <v>639</v>
      </c>
    </row>
    <row r="653" spans="1:8" ht="90.75" thickBot="1">
      <c r="A653" s="411" t="s">
        <v>39</v>
      </c>
      <c r="B653" s="412" t="s">
        <v>40</v>
      </c>
      <c r="C653" s="412" t="s">
        <v>41</v>
      </c>
      <c r="D653" s="412" t="s">
        <v>45</v>
      </c>
      <c r="E653" s="413" t="s">
        <v>42</v>
      </c>
      <c r="F653" s="407" t="s">
        <v>43</v>
      </c>
      <c r="G653" s="2622"/>
      <c r="H653" s="2595"/>
    </row>
    <row r="654" spans="1:8" ht="15">
      <c r="A654" s="34" t="s">
        <v>381</v>
      </c>
      <c r="B654" s="23" t="s">
        <v>69</v>
      </c>
      <c r="C654" s="23" t="s">
        <v>59</v>
      </c>
      <c r="D654" s="23" t="s">
        <v>62</v>
      </c>
      <c r="E654" s="23" t="s">
        <v>65</v>
      </c>
      <c r="F654" s="423" t="s">
        <v>209</v>
      </c>
      <c r="G654" s="415" t="s">
        <v>724</v>
      </c>
      <c r="H654" s="24">
        <v>3000</v>
      </c>
    </row>
    <row r="655" spans="1:8" ht="15">
      <c r="A655" s="34" t="s">
        <v>381</v>
      </c>
      <c r="B655" s="23" t="s">
        <v>69</v>
      </c>
      <c r="C655" s="23" t="s">
        <v>59</v>
      </c>
      <c r="D655" s="23" t="s">
        <v>62</v>
      </c>
      <c r="E655" s="23" t="s">
        <v>65</v>
      </c>
      <c r="F655" s="424" t="s">
        <v>498</v>
      </c>
      <c r="G655" s="416" t="s">
        <v>725</v>
      </c>
      <c r="H655" s="24">
        <v>200</v>
      </c>
    </row>
    <row r="656" spans="1:8" ht="28.5">
      <c r="A656" s="34" t="s">
        <v>381</v>
      </c>
      <c r="B656" s="23" t="s">
        <v>69</v>
      </c>
      <c r="C656" s="23" t="s">
        <v>59</v>
      </c>
      <c r="D656" s="23" t="s">
        <v>62</v>
      </c>
      <c r="E656" s="23" t="s">
        <v>65</v>
      </c>
      <c r="F656" s="424" t="s">
        <v>726</v>
      </c>
      <c r="G656" s="416" t="s">
        <v>727</v>
      </c>
      <c r="H656" s="24">
        <v>4300</v>
      </c>
    </row>
    <row r="657" spans="1:8" ht="28.5">
      <c r="A657" s="34" t="s">
        <v>381</v>
      </c>
      <c r="B657" s="23" t="s">
        <v>69</v>
      </c>
      <c r="C657" s="23" t="s">
        <v>59</v>
      </c>
      <c r="D657" s="23" t="s">
        <v>62</v>
      </c>
      <c r="E657" s="23" t="s">
        <v>65</v>
      </c>
      <c r="F657" s="425">
        <v>54112</v>
      </c>
      <c r="G657" s="416" t="s">
        <v>728</v>
      </c>
      <c r="H657" s="25">
        <v>500</v>
      </c>
    </row>
    <row r="658" spans="1:8" ht="15">
      <c r="A658" s="34" t="s">
        <v>381</v>
      </c>
      <c r="B658" s="23" t="s">
        <v>69</v>
      </c>
      <c r="C658" s="23" t="s">
        <v>59</v>
      </c>
      <c r="D658" s="23" t="s">
        <v>62</v>
      </c>
      <c r="E658" s="23" t="s">
        <v>65</v>
      </c>
      <c r="F658" s="425">
        <v>54118</v>
      </c>
      <c r="G658" s="416" t="s">
        <v>729</v>
      </c>
      <c r="H658" s="25">
        <v>250</v>
      </c>
    </row>
    <row r="659" spans="1:8" ht="15">
      <c r="A659" s="34" t="s">
        <v>381</v>
      </c>
      <c r="B659" s="23" t="s">
        <v>69</v>
      </c>
      <c r="C659" s="23" t="s">
        <v>59</v>
      </c>
      <c r="D659" s="23" t="s">
        <v>62</v>
      </c>
      <c r="E659" s="23" t="s">
        <v>65</v>
      </c>
      <c r="F659" s="425">
        <v>54199</v>
      </c>
      <c r="G659" s="419" t="s">
        <v>730</v>
      </c>
      <c r="H659" s="25">
        <v>350</v>
      </c>
    </row>
    <row r="660" spans="1:8" ht="15">
      <c r="A660" s="34" t="s">
        <v>381</v>
      </c>
      <c r="B660" s="23" t="s">
        <v>69</v>
      </c>
      <c r="C660" s="23" t="s">
        <v>59</v>
      </c>
      <c r="D660" s="23" t="s">
        <v>62</v>
      </c>
      <c r="E660" s="23" t="s">
        <v>65</v>
      </c>
      <c r="F660" s="487">
        <v>34304</v>
      </c>
      <c r="G660" s="419" t="s">
        <v>983</v>
      </c>
      <c r="H660" s="25">
        <v>900</v>
      </c>
    </row>
    <row r="661" spans="1:8" ht="15">
      <c r="A661" s="34" t="s">
        <v>381</v>
      </c>
      <c r="B661" s="23" t="s">
        <v>69</v>
      </c>
      <c r="C661" s="23" t="s">
        <v>59</v>
      </c>
      <c r="D661" s="23" t="s">
        <v>62</v>
      </c>
      <c r="E661" s="23" t="s">
        <v>65</v>
      </c>
      <c r="F661" s="487">
        <v>61608</v>
      </c>
      <c r="G661" s="419" t="s">
        <v>731</v>
      </c>
      <c r="H661" s="25">
        <v>500</v>
      </c>
    </row>
    <row r="662" spans="1:8" ht="15.75" thickBot="1">
      <c r="A662" s="1185"/>
      <c r="B662" s="1186"/>
      <c r="C662" s="1186"/>
      <c r="D662" s="1186"/>
      <c r="E662" s="1187"/>
      <c r="F662" s="1188"/>
      <c r="G662" s="1189"/>
      <c r="H662" s="1190">
        <f>SUM(H654:H661)</f>
        <v>10000</v>
      </c>
    </row>
    <row r="663" spans="1:8" ht="15.75" thickBot="1">
      <c r="A663" s="9"/>
      <c r="B663" s="9"/>
      <c r="C663" s="10"/>
      <c r="D663" s="3"/>
      <c r="E663" s="3"/>
      <c r="F663" s="3"/>
      <c r="G663" s="2"/>
      <c r="H663" s="8"/>
    </row>
    <row r="664" spans="1:8" ht="15">
      <c r="A664" s="2573" t="s">
        <v>732</v>
      </c>
      <c r="B664" s="2574"/>
      <c r="C664" s="2574"/>
      <c r="D664" s="2574"/>
      <c r="E664" s="2574"/>
      <c r="F664" s="2574"/>
      <c r="G664" s="2575" t="s">
        <v>1323</v>
      </c>
      <c r="H664" s="2576"/>
    </row>
    <row r="665" spans="1:8" ht="15">
      <c r="A665" s="2577" t="s">
        <v>1112</v>
      </c>
      <c r="B665" s="2578"/>
      <c r="C665" s="2578"/>
      <c r="D665" s="2578"/>
      <c r="E665" s="2578"/>
      <c r="F665" s="2579"/>
      <c r="G665" s="483"/>
      <c r="H665" s="484"/>
    </row>
    <row r="666" spans="1:8" ht="14.25">
      <c r="A666" s="2580"/>
      <c r="B666" s="2581"/>
      <c r="C666" s="2581"/>
      <c r="D666" s="2581"/>
      <c r="E666" s="2581"/>
      <c r="F666" s="2582"/>
      <c r="G666" s="2580" t="s">
        <v>1096</v>
      </c>
      <c r="H666" s="2552"/>
    </row>
    <row r="667" spans="1:8" ht="15">
      <c r="A667" s="2597" t="s">
        <v>1113</v>
      </c>
      <c r="B667" s="2584"/>
      <c r="C667" s="2584"/>
      <c r="D667" s="2584"/>
      <c r="E667" s="2584"/>
      <c r="F667" s="2585"/>
      <c r="G667" s="483"/>
      <c r="H667" s="484"/>
    </row>
    <row r="668" spans="1:8" ht="14.25">
      <c r="A668" s="2586"/>
      <c r="B668" s="2587"/>
      <c r="C668" s="2587"/>
      <c r="D668" s="2587"/>
      <c r="E668" s="2587"/>
      <c r="F668" s="2588"/>
      <c r="G668" s="2589" t="s">
        <v>695</v>
      </c>
      <c r="H668" s="2552"/>
    </row>
    <row r="669" spans="1:8" ht="15">
      <c r="A669" s="482"/>
      <c r="B669" s="551"/>
      <c r="C669" s="551"/>
      <c r="D669" s="551"/>
      <c r="E669" s="551"/>
      <c r="F669" s="551"/>
      <c r="G669" s="485"/>
      <c r="H669" s="484"/>
    </row>
    <row r="670" spans="1:8" ht="15" thickBot="1">
      <c r="A670" s="2590" t="s">
        <v>692</v>
      </c>
      <c r="B670" s="2561"/>
      <c r="C670" s="2561"/>
      <c r="D670" s="2561"/>
      <c r="E670" s="2561"/>
      <c r="F670" s="2562"/>
      <c r="G670" s="2591" t="s">
        <v>696</v>
      </c>
      <c r="H670" s="2562"/>
    </row>
    <row r="671" spans="1:8" ht="15">
      <c r="A671" s="1056"/>
      <c r="B671" s="554"/>
      <c r="C671" s="554"/>
      <c r="D671" s="554"/>
      <c r="E671" s="554"/>
      <c r="F671" s="554"/>
      <c r="G671" s="1057"/>
      <c r="H671" s="554"/>
    </row>
    <row r="672" spans="1:8" ht="15">
      <c r="A672" s="1056"/>
      <c r="B672" s="554"/>
      <c r="C672" s="554"/>
      <c r="D672" s="554"/>
      <c r="E672" s="554"/>
      <c r="F672" s="554"/>
      <c r="G672" s="1057"/>
      <c r="H672" s="554"/>
    </row>
    <row r="673" spans="1:8" ht="15">
      <c r="A673" s="1056"/>
      <c r="B673" s="554"/>
      <c r="C673" s="554"/>
      <c r="D673" s="554"/>
      <c r="E673" s="554"/>
      <c r="F673" s="554"/>
      <c r="G673" s="1057"/>
      <c r="H673" s="554"/>
    </row>
    <row r="674" spans="1:8" ht="15">
      <c r="A674" s="1056"/>
      <c r="B674" s="554"/>
      <c r="C674" s="554"/>
      <c r="D674" s="554"/>
      <c r="E674" s="554"/>
      <c r="F674" s="554"/>
      <c r="G674" s="1057"/>
      <c r="H674" s="554"/>
    </row>
    <row r="675" spans="1:8" ht="15">
      <c r="A675" s="1056"/>
      <c r="B675" s="554"/>
      <c r="C675" s="554"/>
      <c r="D675" s="554"/>
      <c r="E675" s="554"/>
      <c r="F675" s="554"/>
      <c r="G675" s="1057"/>
      <c r="H675" s="554"/>
    </row>
    <row r="676" spans="1:8" ht="15">
      <c r="A676" s="1056"/>
      <c r="B676" s="554"/>
      <c r="C676" s="554"/>
      <c r="D676" s="554"/>
      <c r="E676" s="554"/>
      <c r="F676" s="554"/>
      <c r="G676" s="1057"/>
      <c r="H676" s="554"/>
    </row>
    <row r="677" spans="1:8" ht="15">
      <c r="A677" s="1056"/>
      <c r="B677" s="554"/>
      <c r="C677" s="554"/>
      <c r="D677" s="554"/>
      <c r="E677" s="554"/>
      <c r="F677" s="554"/>
      <c r="G677" s="1057"/>
      <c r="H677" s="554"/>
    </row>
    <row r="678" spans="1:8" ht="15">
      <c r="A678" s="1056"/>
      <c r="B678" s="554"/>
      <c r="C678" s="554"/>
      <c r="D678" s="554"/>
      <c r="E678" s="554"/>
      <c r="F678" s="554"/>
      <c r="G678" s="1057"/>
      <c r="H678" s="554"/>
    </row>
    <row r="679" spans="1:8" ht="15">
      <c r="A679" s="1056"/>
      <c r="B679" s="554"/>
      <c r="C679" s="554"/>
      <c r="D679" s="554"/>
      <c r="E679" s="554"/>
      <c r="F679" s="554"/>
      <c r="G679" s="1057"/>
      <c r="H679" s="554"/>
    </row>
    <row r="680" spans="1:8" ht="15">
      <c r="A680" s="1056"/>
      <c r="B680" s="554"/>
      <c r="C680" s="554"/>
      <c r="D680" s="554"/>
      <c r="E680" s="554"/>
      <c r="F680" s="554"/>
      <c r="G680" s="1057"/>
      <c r="H680" s="554"/>
    </row>
    <row r="681" spans="1:8" ht="15">
      <c r="A681" s="1056"/>
      <c r="B681" s="554"/>
      <c r="C681" s="554"/>
      <c r="D681" s="554"/>
      <c r="E681" s="554"/>
      <c r="F681" s="554"/>
      <c r="G681" s="1057"/>
      <c r="H681" s="554"/>
    </row>
    <row r="682" spans="1:8" ht="15">
      <c r="A682" s="1056"/>
      <c r="B682" s="554"/>
      <c r="C682" s="554"/>
      <c r="D682" s="554"/>
      <c r="E682" s="554"/>
      <c r="F682" s="554"/>
      <c r="G682" s="1057"/>
      <c r="H682" s="554"/>
    </row>
    <row r="683" spans="1:8" ht="15">
      <c r="A683" s="1056"/>
      <c r="B683" s="554"/>
      <c r="C683" s="554"/>
      <c r="D683" s="554"/>
      <c r="E683" s="554"/>
      <c r="F683" s="554"/>
      <c r="G683" s="1057"/>
      <c r="H683" s="554"/>
    </row>
    <row r="684" spans="1:8" ht="15">
      <c r="A684" s="1056"/>
      <c r="B684" s="554"/>
      <c r="C684" s="554"/>
      <c r="D684" s="554"/>
      <c r="E684" s="554"/>
      <c r="F684" s="554"/>
      <c r="G684" s="1057"/>
      <c r="H684" s="554"/>
    </row>
    <row r="685" spans="1:8" ht="15">
      <c r="A685" s="1056"/>
      <c r="B685" s="554"/>
      <c r="C685" s="554"/>
      <c r="D685" s="554"/>
      <c r="E685" s="554"/>
      <c r="F685" s="554"/>
      <c r="G685" s="1057"/>
      <c r="H685" s="554"/>
    </row>
    <row r="690" spans="1:8" ht="18.75">
      <c r="A690" s="2162" t="s">
        <v>111</v>
      </c>
      <c r="B690" s="2162"/>
      <c r="C690" s="2162"/>
      <c r="D690" s="2162"/>
      <c r="E690" s="2162"/>
      <c r="F690" s="2162"/>
      <c r="G690" s="2162"/>
      <c r="H690" s="2162"/>
    </row>
    <row r="691" spans="1:8" ht="18.75">
      <c r="A691" s="2162" t="s">
        <v>110</v>
      </c>
      <c r="B691" s="2162"/>
      <c r="C691" s="2162"/>
      <c r="D691" s="2162"/>
      <c r="E691" s="2162"/>
      <c r="F691" s="2162"/>
      <c r="G691" s="2162"/>
      <c r="H691" s="2162"/>
    </row>
    <row r="692" spans="1:8" ht="18.75">
      <c r="A692" s="2163" t="s">
        <v>211</v>
      </c>
      <c r="B692" s="2164"/>
      <c r="C692" s="2164"/>
      <c r="D692" s="2164"/>
      <c r="E692" s="2164"/>
      <c r="F692" s="2164"/>
      <c r="G692" s="2164"/>
      <c r="H692" s="2164"/>
    </row>
    <row r="693" spans="1:8" ht="18.75">
      <c r="A693" s="2163" t="s">
        <v>641</v>
      </c>
      <c r="B693" s="2164"/>
      <c r="C693" s="2164"/>
      <c r="D693" s="2164"/>
      <c r="E693" s="2164"/>
      <c r="F693" s="2164"/>
      <c r="G693" s="2164"/>
      <c r="H693" s="2164"/>
    </row>
    <row r="694" spans="1:8" ht="18.75">
      <c r="A694" s="2163" t="s">
        <v>32</v>
      </c>
      <c r="B694" s="2164"/>
      <c r="C694" s="2164"/>
      <c r="D694" s="2164"/>
      <c r="E694" s="2164"/>
      <c r="F694" s="2164"/>
      <c r="G694" s="2164"/>
      <c r="H694" s="2164"/>
    </row>
    <row r="695" spans="1:8" ht="15">
      <c r="A695" s="33"/>
      <c r="B695" s="5"/>
      <c r="C695" s="4"/>
      <c r="D695" s="1"/>
      <c r="E695" s="1"/>
      <c r="F695" s="1"/>
      <c r="G695" s="2"/>
      <c r="H695" s="8"/>
    </row>
    <row r="696" spans="1:8" ht="18.75">
      <c r="A696" s="2596" t="s">
        <v>49</v>
      </c>
      <c r="B696" s="2596"/>
      <c r="C696" s="2596"/>
      <c r="D696" s="2596"/>
      <c r="E696" s="2596"/>
      <c r="F696" s="2596"/>
      <c r="G696" s="2596"/>
      <c r="H696" s="2596"/>
    </row>
    <row r="697" spans="1:8" ht="19.5" thickBot="1">
      <c r="A697" s="2604" t="s">
        <v>788</v>
      </c>
      <c r="B697" s="2605"/>
      <c r="C697" s="2605"/>
      <c r="D697" s="2605"/>
      <c r="E697" s="2605"/>
      <c r="F697" s="2605"/>
      <c r="G697" s="2605"/>
      <c r="H697" s="2605"/>
    </row>
    <row r="698" spans="1:8" ht="15.75" thickBot="1">
      <c r="A698" s="2606" t="s">
        <v>29</v>
      </c>
      <c r="B698" s="2607"/>
      <c r="C698" s="2607"/>
      <c r="D698" s="2607"/>
      <c r="E698" s="2607"/>
      <c r="F698" s="2608"/>
      <c r="G698" s="2609" t="s">
        <v>640</v>
      </c>
      <c r="H698" s="2610" t="s">
        <v>639</v>
      </c>
    </row>
    <row r="699" spans="1:8" ht="90.75" thickBot="1">
      <c r="A699" s="411" t="s">
        <v>39</v>
      </c>
      <c r="B699" s="412" t="s">
        <v>40</v>
      </c>
      <c r="C699" s="412" t="s">
        <v>41</v>
      </c>
      <c r="D699" s="412" t="s">
        <v>45</v>
      </c>
      <c r="E699" s="413" t="s">
        <v>42</v>
      </c>
      <c r="F699" s="407" t="s">
        <v>43</v>
      </c>
      <c r="G699" s="2571"/>
      <c r="H699" s="2572"/>
    </row>
    <row r="700" spans="1:8" ht="15">
      <c r="A700" s="34" t="s">
        <v>380</v>
      </c>
      <c r="B700" s="23" t="s">
        <v>64</v>
      </c>
      <c r="C700" s="23" t="s">
        <v>59</v>
      </c>
      <c r="D700" s="23" t="s">
        <v>62</v>
      </c>
      <c r="E700" s="23" t="s">
        <v>65</v>
      </c>
      <c r="F700" s="423" t="s">
        <v>786</v>
      </c>
      <c r="G700" s="561" t="s">
        <v>787</v>
      </c>
      <c r="H700" s="541">
        <v>9500</v>
      </c>
    </row>
    <row r="701" spans="1:8" ht="15">
      <c r="A701" s="34" t="s">
        <v>380</v>
      </c>
      <c r="B701" s="23" t="s">
        <v>64</v>
      </c>
      <c r="C701" s="23" t="s">
        <v>59</v>
      </c>
      <c r="D701" s="23" t="s">
        <v>62</v>
      </c>
      <c r="E701" s="23" t="s">
        <v>65</v>
      </c>
      <c r="F701" s="424" t="s">
        <v>735</v>
      </c>
      <c r="G701" s="540" t="s">
        <v>736</v>
      </c>
      <c r="H701" s="563">
        <v>500</v>
      </c>
    </row>
    <row r="702" spans="1:8" ht="15.75" thickBot="1">
      <c r="A702" s="624"/>
      <c r="B702" s="625"/>
      <c r="C702" s="625"/>
      <c r="D702" s="625"/>
      <c r="E702" s="626"/>
      <c r="F702" s="627"/>
      <c r="G702" s="628"/>
      <c r="H702" s="623">
        <f>SUM(H700:H701)</f>
        <v>10000</v>
      </c>
    </row>
    <row r="703" spans="1:8" ht="15.75" thickBot="1">
      <c r="A703" s="9"/>
      <c r="B703" s="9"/>
      <c r="C703" s="10"/>
      <c r="D703" s="3"/>
      <c r="E703" s="3"/>
      <c r="F703" s="3"/>
      <c r="G703" s="2"/>
      <c r="H703" s="8"/>
    </row>
    <row r="704" spans="1:8" ht="15">
      <c r="A704" s="2573" t="s">
        <v>693</v>
      </c>
      <c r="B704" s="2574"/>
      <c r="C704" s="2574"/>
      <c r="D704" s="2574"/>
      <c r="E704" s="2574"/>
      <c r="F704" s="2574"/>
      <c r="G704" s="2575" t="s">
        <v>715</v>
      </c>
      <c r="H704" s="2576"/>
    </row>
    <row r="705" spans="1:8" ht="15">
      <c r="A705" s="482"/>
      <c r="B705" s="551"/>
      <c r="C705" s="19"/>
      <c r="D705" s="19"/>
      <c r="E705" s="19"/>
      <c r="F705" s="19"/>
      <c r="G705" s="483"/>
      <c r="H705" s="484"/>
    </row>
    <row r="706" spans="1:8" ht="14.25">
      <c r="A706" s="2580" t="s">
        <v>832</v>
      </c>
      <c r="B706" s="2598"/>
      <c r="C706" s="2598"/>
      <c r="D706" s="2598"/>
      <c r="E706" s="2598"/>
      <c r="F706" s="2552"/>
      <c r="G706" s="2580" t="s">
        <v>694</v>
      </c>
      <c r="H706" s="2552"/>
    </row>
    <row r="707" spans="1:8" ht="15">
      <c r="A707" s="2597" t="s">
        <v>833</v>
      </c>
      <c r="B707" s="2584"/>
      <c r="C707" s="2584"/>
      <c r="D707" s="2584"/>
      <c r="E707" s="2584"/>
      <c r="F707" s="2585"/>
      <c r="G707" s="483"/>
      <c r="H707" s="484"/>
    </row>
    <row r="708" spans="1:8" ht="14.25">
      <c r="A708" s="2586"/>
      <c r="B708" s="2587"/>
      <c r="C708" s="2587"/>
      <c r="D708" s="2587"/>
      <c r="E708" s="2587"/>
      <c r="F708" s="2588"/>
      <c r="G708" s="2589" t="s">
        <v>737</v>
      </c>
      <c r="H708" s="2552"/>
    </row>
    <row r="709" spans="1:8" ht="15">
      <c r="A709" s="482"/>
      <c r="B709" s="551"/>
      <c r="C709" s="551"/>
      <c r="D709" s="551"/>
      <c r="E709" s="551"/>
      <c r="F709" s="551"/>
      <c r="G709" s="485"/>
      <c r="H709" s="484"/>
    </row>
    <row r="710" spans="1:8" ht="15" thickBot="1">
      <c r="A710" s="2590" t="s">
        <v>692</v>
      </c>
      <c r="B710" s="2561"/>
      <c r="C710" s="2561"/>
      <c r="D710" s="2561"/>
      <c r="E710" s="2561"/>
      <c r="F710" s="2562"/>
      <c r="G710" s="2591" t="s">
        <v>696</v>
      </c>
      <c r="H710" s="2562"/>
    </row>
    <row r="712" spans="1:8" ht="18.75">
      <c r="A712" s="2601" t="s">
        <v>821</v>
      </c>
      <c r="B712" s="2601"/>
      <c r="C712" s="2601"/>
      <c r="D712" s="2601"/>
      <c r="E712" s="2601"/>
      <c r="F712" s="2601"/>
      <c r="G712" s="2601"/>
      <c r="H712" s="2601"/>
    </row>
    <row r="717" spans="1:8" ht="18.75">
      <c r="A717" s="2162" t="s">
        <v>111</v>
      </c>
      <c r="B717" s="2162"/>
      <c r="C717" s="2162"/>
      <c r="D717" s="2162"/>
      <c r="E717" s="2162"/>
      <c r="F717" s="2162"/>
      <c r="G717" s="2162"/>
      <c r="H717" s="2162"/>
    </row>
    <row r="718" spans="1:8" ht="18.75">
      <c r="A718" s="2162" t="s">
        <v>110</v>
      </c>
      <c r="B718" s="2162"/>
      <c r="C718" s="2162"/>
      <c r="D718" s="2162"/>
      <c r="E718" s="2162"/>
      <c r="F718" s="2162"/>
      <c r="G718" s="2162"/>
      <c r="H718" s="2162"/>
    </row>
    <row r="719" spans="1:8" ht="18.75">
      <c r="A719" s="2163" t="s">
        <v>211</v>
      </c>
      <c r="B719" s="2164"/>
      <c r="C719" s="2164"/>
      <c r="D719" s="2164"/>
      <c r="E719" s="2164"/>
      <c r="F719" s="2164"/>
      <c r="G719" s="2164"/>
      <c r="H719" s="2164"/>
    </row>
    <row r="720" spans="1:8" ht="18.75">
      <c r="A720" s="2163" t="s">
        <v>641</v>
      </c>
      <c r="B720" s="2164"/>
      <c r="C720" s="2164"/>
      <c r="D720" s="2164"/>
      <c r="E720" s="2164"/>
      <c r="F720" s="2164"/>
      <c r="G720" s="2164"/>
      <c r="H720" s="2164"/>
    </row>
    <row r="721" spans="1:8" ht="18.75">
      <c r="A721" s="2163" t="s">
        <v>32</v>
      </c>
      <c r="B721" s="2164"/>
      <c r="C721" s="2164"/>
      <c r="D721" s="2164"/>
      <c r="E721" s="2164"/>
      <c r="F721" s="2164"/>
      <c r="G721" s="2164"/>
      <c r="H721" s="2164"/>
    </row>
    <row r="722" spans="1:8" ht="15">
      <c r="A722" s="33"/>
      <c r="B722" s="5"/>
      <c r="C722" s="4"/>
      <c r="D722" s="1"/>
      <c r="E722" s="1"/>
      <c r="F722" s="1"/>
      <c r="G722" s="2"/>
      <c r="H722" s="8"/>
    </row>
    <row r="723" spans="1:8" ht="18.75">
      <c r="A723" s="2596" t="s">
        <v>49</v>
      </c>
      <c r="B723" s="2596"/>
      <c r="C723" s="2596"/>
      <c r="D723" s="2596"/>
      <c r="E723" s="2596"/>
      <c r="F723" s="2596"/>
      <c r="G723" s="2596"/>
      <c r="H723" s="2596"/>
    </row>
    <row r="724" spans="1:8" ht="18.75">
      <c r="A724" s="2602" t="s">
        <v>789</v>
      </c>
      <c r="B724" s="2603"/>
      <c r="C724" s="2603"/>
      <c r="D724" s="2603"/>
      <c r="E724" s="2603"/>
      <c r="F724" s="2603"/>
      <c r="G724" s="2603"/>
      <c r="H724" s="2603"/>
    </row>
    <row r="725" spans="1:8" ht="15.75" thickBot="1">
      <c r="A725" s="2567" t="s">
        <v>29</v>
      </c>
      <c r="B725" s="2568"/>
      <c r="C725" s="2568"/>
      <c r="D725" s="2568"/>
      <c r="E725" s="2568"/>
      <c r="F725" s="2569"/>
      <c r="G725" s="2570" t="s">
        <v>640</v>
      </c>
      <c r="H725" s="2572" t="s">
        <v>639</v>
      </c>
    </row>
    <row r="726" spans="1:8" ht="90.75" thickBot="1">
      <c r="A726" s="411" t="s">
        <v>39</v>
      </c>
      <c r="B726" s="412" t="s">
        <v>40</v>
      </c>
      <c r="C726" s="412" t="s">
        <v>41</v>
      </c>
      <c r="D726" s="412" t="s">
        <v>45</v>
      </c>
      <c r="E726" s="413" t="s">
        <v>42</v>
      </c>
      <c r="F726" s="407" t="s">
        <v>43</v>
      </c>
      <c r="G726" s="2571"/>
      <c r="H726" s="2572"/>
    </row>
    <row r="727" spans="1:8" ht="15">
      <c r="A727" s="34" t="s">
        <v>380</v>
      </c>
      <c r="B727" s="23" t="s">
        <v>64</v>
      </c>
      <c r="C727" s="23" t="s">
        <v>59</v>
      </c>
      <c r="D727" s="23" t="s">
        <v>62</v>
      </c>
      <c r="E727" s="23" t="s">
        <v>65</v>
      </c>
      <c r="F727" s="423" t="s">
        <v>786</v>
      </c>
      <c r="G727" s="561" t="s">
        <v>787</v>
      </c>
      <c r="H727" s="541">
        <v>14250</v>
      </c>
    </row>
    <row r="728" spans="1:8" ht="15">
      <c r="A728" s="34" t="s">
        <v>380</v>
      </c>
      <c r="B728" s="23" t="s">
        <v>64</v>
      </c>
      <c r="C728" s="23" t="s">
        <v>59</v>
      </c>
      <c r="D728" s="23" t="s">
        <v>62</v>
      </c>
      <c r="E728" s="23" t="s">
        <v>65</v>
      </c>
      <c r="F728" s="424" t="s">
        <v>735</v>
      </c>
      <c r="G728" s="540" t="s">
        <v>736</v>
      </c>
      <c r="H728" s="563">
        <v>750</v>
      </c>
    </row>
    <row r="729" spans="1:8" ht="15.75" thickBot="1">
      <c r="A729" s="718"/>
      <c r="B729" s="719"/>
      <c r="C729" s="719"/>
      <c r="D729" s="719"/>
      <c r="E729" s="720"/>
      <c r="F729" s="721"/>
      <c r="G729" s="722"/>
      <c r="H729" s="723">
        <f>SUM(H727:H728)</f>
        <v>15000</v>
      </c>
    </row>
    <row r="730" spans="1:8" ht="15.75" thickBot="1">
      <c r="A730" s="9"/>
      <c r="B730" s="9"/>
      <c r="C730" s="10"/>
      <c r="D730" s="3"/>
      <c r="E730" s="3"/>
      <c r="F730" s="3"/>
      <c r="G730" s="2"/>
      <c r="H730" s="8"/>
    </row>
    <row r="731" spans="1:8" ht="15">
      <c r="A731" s="2573" t="s">
        <v>693</v>
      </c>
      <c r="B731" s="2574"/>
      <c r="C731" s="2574"/>
      <c r="D731" s="2574"/>
      <c r="E731" s="2574"/>
      <c r="F731" s="2574"/>
      <c r="G731" s="2575" t="s">
        <v>715</v>
      </c>
      <c r="H731" s="2576"/>
    </row>
    <row r="732" spans="1:8" ht="14.25">
      <c r="A732" s="2580" t="s">
        <v>830</v>
      </c>
      <c r="B732" s="2598"/>
      <c r="C732" s="2598"/>
      <c r="D732" s="2598"/>
      <c r="E732" s="2598"/>
      <c r="F732" s="2552"/>
      <c r="G732" s="2580" t="s">
        <v>694</v>
      </c>
      <c r="H732" s="2552"/>
    </row>
    <row r="733" spans="1:8" ht="15">
      <c r="A733" s="2597" t="s">
        <v>831</v>
      </c>
      <c r="B733" s="2584"/>
      <c r="C733" s="2584"/>
      <c r="D733" s="2584"/>
      <c r="E733" s="2584"/>
      <c r="F733" s="2585"/>
      <c r="G733" s="483"/>
      <c r="H733" s="484"/>
    </row>
    <row r="734" spans="1:8" ht="14.25">
      <c r="A734" s="2586"/>
      <c r="B734" s="2587"/>
      <c r="C734" s="2587"/>
      <c r="D734" s="2587"/>
      <c r="E734" s="2587"/>
      <c r="F734" s="2588"/>
      <c r="G734" s="2589" t="s">
        <v>737</v>
      </c>
      <c r="H734" s="2552"/>
    </row>
    <row r="735" spans="1:8" ht="15">
      <c r="A735" s="482"/>
      <c r="B735" s="551"/>
      <c r="C735" s="551"/>
      <c r="D735" s="551"/>
      <c r="E735" s="551"/>
      <c r="F735" s="551"/>
      <c r="G735" s="485"/>
      <c r="H735" s="484"/>
    </row>
    <row r="736" spans="1:8" ht="15" thickBot="1">
      <c r="A736" s="2590" t="s">
        <v>692</v>
      </c>
      <c r="B736" s="2561"/>
      <c r="C736" s="2561"/>
      <c r="D736" s="2561"/>
      <c r="E736" s="2561"/>
      <c r="F736" s="2562"/>
      <c r="G736" s="2591" t="s">
        <v>696</v>
      </c>
      <c r="H736" s="2562"/>
    </row>
    <row r="738" spans="1:8" ht="18.75">
      <c r="A738" s="2601" t="s">
        <v>821</v>
      </c>
      <c r="B738" s="2601"/>
      <c r="C738" s="2601"/>
      <c r="D738" s="2601"/>
      <c r="E738" s="2601"/>
      <c r="F738" s="2601"/>
      <c r="G738" s="2601"/>
      <c r="H738" s="2601"/>
    </row>
    <row r="743" spans="1:8" ht="18.75">
      <c r="A743" s="2162" t="s">
        <v>111</v>
      </c>
      <c r="B743" s="2162"/>
      <c r="C743" s="2162"/>
      <c r="D743" s="2162"/>
      <c r="E743" s="2162"/>
      <c r="F743" s="2162"/>
      <c r="G743" s="2162"/>
      <c r="H743" s="2162"/>
    </row>
    <row r="744" spans="1:8" ht="18.75">
      <c r="A744" s="2162" t="s">
        <v>110</v>
      </c>
      <c r="B744" s="2162"/>
      <c r="C744" s="2162"/>
      <c r="D744" s="2162"/>
      <c r="E744" s="2162"/>
      <c r="F744" s="2162"/>
      <c r="G744" s="2162"/>
      <c r="H744" s="2162"/>
    </row>
    <row r="745" spans="1:8" ht="18.75">
      <c r="A745" s="2163" t="s">
        <v>211</v>
      </c>
      <c r="B745" s="2164"/>
      <c r="C745" s="2164"/>
      <c r="D745" s="2164"/>
      <c r="E745" s="2164"/>
      <c r="F745" s="2164"/>
      <c r="G745" s="2164"/>
      <c r="H745" s="2164"/>
    </row>
    <row r="746" spans="1:8" ht="18.75">
      <c r="A746" s="2163" t="s">
        <v>641</v>
      </c>
      <c r="B746" s="2164"/>
      <c r="C746" s="2164"/>
      <c r="D746" s="2164"/>
      <c r="E746" s="2164"/>
      <c r="F746" s="2164"/>
      <c r="G746" s="2164"/>
      <c r="H746" s="2164"/>
    </row>
    <row r="747" spans="1:8" ht="18.75">
      <c r="A747" s="2163" t="s">
        <v>32</v>
      </c>
      <c r="B747" s="2164"/>
      <c r="C747" s="2164"/>
      <c r="D747" s="2164"/>
      <c r="E747" s="2164"/>
      <c r="F747" s="2164"/>
      <c r="G747" s="2164"/>
      <c r="H747" s="2164"/>
    </row>
    <row r="748" spans="1:8" ht="15">
      <c r="A748" s="33"/>
      <c r="B748" s="5"/>
      <c r="C748" s="4"/>
      <c r="D748" s="1"/>
      <c r="E748" s="1"/>
      <c r="F748" s="1"/>
      <c r="G748" s="2"/>
      <c r="H748" s="8"/>
    </row>
    <row r="749" spans="1:8" ht="18.75">
      <c r="A749" s="2596" t="s">
        <v>49</v>
      </c>
      <c r="B749" s="2596"/>
      <c r="C749" s="2596"/>
      <c r="D749" s="2596"/>
      <c r="E749" s="2596"/>
      <c r="F749" s="2596"/>
      <c r="G749" s="2596"/>
      <c r="H749" s="2596"/>
    </row>
    <row r="750" spans="1:8" ht="19.5" thickBot="1">
      <c r="A750" s="2604" t="s">
        <v>790</v>
      </c>
      <c r="B750" s="2605"/>
      <c r="C750" s="2605"/>
      <c r="D750" s="2605"/>
      <c r="E750" s="2605"/>
      <c r="F750" s="2605"/>
      <c r="G750" s="2605"/>
      <c r="H750" s="2605"/>
    </row>
    <row r="751" spans="1:8" ht="15.75" thickBot="1">
      <c r="A751" s="2606" t="s">
        <v>29</v>
      </c>
      <c r="B751" s="2607"/>
      <c r="C751" s="2607"/>
      <c r="D751" s="2607"/>
      <c r="E751" s="2607"/>
      <c r="F751" s="2608"/>
      <c r="G751" s="2609" t="s">
        <v>640</v>
      </c>
      <c r="H751" s="2610" t="s">
        <v>639</v>
      </c>
    </row>
    <row r="752" spans="1:8" ht="90.75" thickBot="1">
      <c r="A752" s="411" t="s">
        <v>39</v>
      </c>
      <c r="B752" s="412" t="s">
        <v>40</v>
      </c>
      <c r="C752" s="412" t="s">
        <v>41</v>
      </c>
      <c r="D752" s="412" t="s">
        <v>45</v>
      </c>
      <c r="E752" s="413" t="s">
        <v>42</v>
      </c>
      <c r="F752" s="407" t="s">
        <v>43</v>
      </c>
      <c r="G752" s="2571"/>
      <c r="H752" s="2572"/>
    </row>
    <row r="753" spans="1:8" ht="15">
      <c r="A753" s="34" t="s">
        <v>380</v>
      </c>
      <c r="B753" s="23" t="s">
        <v>64</v>
      </c>
      <c r="C753" s="23" t="s">
        <v>59</v>
      </c>
      <c r="D753" s="23" t="s">
        <v>62</v>
      </c>
      <c r="E753" s="23" t="s">
        <v>65</v>
      </c>
      <c r="F753" s="423" t="s">
        <v>209</v>
      </c>
      <c r="G753" s="561" t="s">
        <v>724</v>
      </c>
      <c r="H753" s="541">
        <v>4500</v>
      </c>
    </row>
    <row r="754" spans="1:8" ht="15">
      <c r="A754" s="34" t="s">
        <v>380</v>
      </c>
      <c r="B754" s="23" t="s">
        <v>64</v>
      </c>
      <c r="C754" s="23" t="s">
        <v>59</v>
      </c>
      <c r="D754" s="23" t="s">
        <v>62</v>
      </c>
      <c r="E754" s="23" t="s">
        <v>65</v>
      </c>
      <c r="F754" s="424" t="s">
        <v>752</v>
      </c>
      <c r="G754" s="562" t="s">
        <v>791</v>
      </c>
      <c r="H754" s="541">
        <v>2000</v>
      </c>
    </row>
    <row r="755" spans="1:8" ht="15">
      <c r="A755" s="34" t="s">
        <v>380</v>
      </c>
      <c r="B755" s="23" t="s">
        <v>64</v>
      </c>
      <c r="C755" s="23" t="s">
        <v>59</v>
      </c>
      <c r="D755" s="23" t="s">
        <v>62</v>
      </c>
      <c r="E755" s="23" t="s">
        <v>65</v>
      </c>
      <c r="F755" s="424" t="s">
        <v>657</v>
      </c>
      <c r="G755" s="539" t="s">
        <v>775</v>
      </c>
      <c r="H755" s="541">
        <v>1000</v>
      </c>
    </row>
    <row r="756" spans="1:8" ht="15">
      <c r="A756" s="34" t="s">
        <v>380</v>
      </c>
      <c r="B756" s="23" t="s">
        <v>64</v>
      </c>
      <c r="C756" s="23" t="s">
        <v>59</v>
      </c>
      <c r="D756" s="23" t="s">
        <v>62</v>
      </c>
      <c r="E756" s="23" t="s">
        <v>65</v>
      </c>
      <c r="F756" s="424" t="s">
        <v>677</v>
      </c>
      <c r="G756" s="539" t="s">
        <v>776</v>
      </c>
      <c r="H756" s="541">
        <v>2500</v>
      </c>
    </row>
    <row r="757" spans="1:8" ht="15">
      <c r="A757" s="34" t="s">
        <v>380</v>
      </c>
      <c r="B757" s="23" t="s">
        <v>64</v>
      </c>
      <c r="C757" s="23" t="s">
        <v>59</v>
      </c>
      <c r="D757" s="23" t="s">
        <v>62</v>
      </c>
      <c r="E757" s="23" t="s">
        <v>65</v>
      </c>
      <c r="F757" s="424"/>
      <c r="G757" s="540"/>
      <c r="H757" s="563"/>
    </row>
    <row r="758" spans="1:8" ht="15.75" thickBot="1">
      <c r="A758" s="624"/>
      <c r="B758" s="625"/>
      <c r="C758" s="625"/>
      <c r="D758" s="625"/>
      <c r="E758" s="626"/>
      <c r="F758" s="627"/>
      <c r="G758" s="628"/>
      <c r="H758" s="623">
        <f>SUM(H753:H757)</f>
        <v>10000</v>
      </c>
    </row>
    <row r="759" spans="1:8" ht="15.75" thickBot="1">
      <c r="A759" s="9"/>
      <c r="B759" s="9"/>
      <c r="C759" s="10"/>
      <c r="D759" s="3"/>
      <c r="E759" s="3"/>
      <c r="F759" s="3"/>
      <c r="G759" s="2"/>
      <c r="H759" s="8"/>
    </row>
    <row r="760" spans="1:8" ht="15">
      <c r="A760" s="2573" t="s">
        <v>693</v>
      </c>
      <c r="B760" s="2574"/>
      <c r="C760" s="2574"/>
      <c r="D760" s="2574"/>
      <c r="E760" s="2574"/>
      <c r="F760" s="2574"/>
      <c r="G760" s="2575" t="s">
        <v>715</v>
      </c>
      <c r="H760" s="2576"/>
    </row>
    <row r="761" spans="1:8" ht="15">
      <c r="A761" s="482"/>
      <c r="B761" s="551"/>
      <c r="C761" s="19"/>
      <c r="D761" s="19"/>
      <c r="E761" s="19"/>
      <c r="F761" s="19"/>
      <c r="G761" s="483"/>
      <c r="H761" s="484"/>
    </row>
    <row r="762" spans="1:8" ht="14.25">
      <c r="A762" s="2580" t="s">
        <v>829</v>
      </c>
      <c r="B762" s="2598"/>
      <c r="C762" s="2598"/>
      <c r="D762" s="2598"/>
      <c r="E762" s="2598"/>
      <c r="F762" s="2552"/>
      <c r="G762" s="2580" t="s">
        <v>694</v>
      </c>
      <c r="H762" s="2552"/>
    </row>
    <row r="763" spans="1:8" ht="15">
      <c r="A763" s="2597" t="s">
        <v>827</v>
      </c>
      <c r="B763" s="2584"/>
      <c r="C763" s="2584"/>
      <c r="D763" s="2584"/>
      <c r="E763" s="2584"/>
      <c r="F763" s="2585"/>
      <c r="G763" s="483"/>
      <c r="H763" s="484"/>
    </row>
    <row r="764" spans="1:8" ht="14.25">
      <c r="A764" s="2586"/>
      <c r="B764" s="2587"/>
      <c r="C764" s="2587"/>
      <c r="D764" s="2587"/>
      <c r="E764" s="2587"/>
      <c r="F764" s="2588"/>
      <c r="G764" s="2589" t="s">
        <v>772</v>
      </c>
      <c r="H764" s="2552"/>
    </row>
    <row r="765" spans="1:8" ht="15">
      <c r="A765" s="482"/>
      <c r="B765" s="551"/>
      <c r="C765" s="551"/>
      <c r="D765" s="551"/>
      <c r="E765" s="551"/>
      <c r="F765" s="551"/>
      <c r="G765" s="485"/>
      <c r="H765" s="484"/>
    </row>
    <row r="766" spans="1:8" ht="15" thickBot="1">
      <c r="A766" s="2590" t="s">
        <v>692</v>
      </c>
      <c r="B766" s="2561"/>
      <c r="C766" s="2561"/>
      <c r="D766" s="2561"/>
      <c r="E766" s="2561"/>
      <c r="F766" s="2562"/>
      <c r="G766" s="2591" t="s">
        <v>696</v>
      </c>
      <c r="H766" s="2562"/>
    </row>
    <row r="768" spans="1:8" ht="18.75">
      <c r="A768" s="2601" t="s">
        <v>821</v>
      </c>
      <c r="B768" s="2601"/>
      <c r="C768" s="2601"/>
      <c r="D768" s="2601"/>
      <c r="E768" s="2601"/>
      <c r="F768" s="2601"/>
      <c r="G768" s="2601"/>
      <c r="H768" s="2601"/>
    </row>
    <row r="773" spans="1:8" ht="18.75">
      <c r="A773" s="2162" t="s">
        <v>111</v>
      </c>
      <c r="B773" s="2164"/>
      <c r="C773" s="2164"/>
      <c r="D773" s="2164"/>
      <c r="E773" s="2164"/>
      <c r="F773" s="2164"/>
      <c r="G773" s="2164"/>
      <c r="H773" s="2164"/>
    </row>
    <row r="774" spans="1:8" ht="18.75">
      <c r="A774" s="2162" t="s">
        <v>757</v>
      </c>
      <c r="B774" s="2164"/>
      <c r="C774" s="2164"/>
      <c r="D774" s="2164"/>
      <c r="E774" s="2164"/>
      <c r="F774" s="2164"/>
      <c r="G774" s="2164"/>
      <c r="H774" s="2164"/>
    </row>
    <row r="775" spans="1:8" ht="18.75">
      <c r="A775" s="2163" t="s">
        <v>211</v>
      </c>
      <c r="B775" s="2164"/>
      <c r="C775" s="2164"/>
      <c r="D775" s="2164"/>
      <c r="E775" s="2164"/>
      <c r="F775" s="2164"/>
      <c r="G775" s="2164"/>
      <c r="H775" s="2164"/>
    </row>
    <row r="776" spans="1:8" ht="18.75">
      <c r="A776" s="2163" t="s">
        <v>641</v>
      </c>
      <c r="B776" s="2164"/>
      <c r="C776" s="2164"/>
      <c r="D776" s="2164"/>
      <c r="E776" s="2164"/>
      <c r="F776" s="2164"/>
      <c r="G776" s="2164"/>
      <c r="H776" s="2164"/>
    </row>
    <row r="777" spans="1:8" ht="18.75">
      <c r="A777" s="2163" t="s">
        <v>32</v>
      </c>
      <c r="B777" s="2164"/>
      <c r="C777" s="2164"/>
      <c r="D777" s="2164"/>
      <c r="E777" s="2164"/>
      <c r="F777" s="2164"/>
      <c r="G777" s="2164"/>
      <c r="H777" s="2164"/>
    </row>
    <row r="778" spans="1:8" ht="15">
      <c r="A778" s="33"/>
      <c r="B778" s="5"/>
      <c r="C778" s="4"/>
      <c r="D778" s="1"/>
      <c r="E778" s="1"/>
      <c r="F778" s="1"/>
      <c r="G778" s="2"/>
      <c r="H778" s="8"/>
    </row>
    <row r="779" spans="1:8" ht="18.75">
      <c r="A779" s="2596" t="s">
        <v>49</v>
      </c>
      <c r="B779" s="2596"/>
      <c r="C779" s="2596"/>
      <c r="D779" s="2596"/>
      <c r="E779" s="2596"/>
      <c r="F779" s="2596"/>
      <c r="G779" s="2596"/>
      <c r="H779" s="2596"/>
    </row>
    <row r="780" spans="1:8" ht="18.75">
      <c r="A780" s="2602" t="s">
        <v>792</v>
      </c>
      <c r="B780" s="2603"/>
      <c r="C780" s="2603"/>
      <c r="D780" s="2603"/>
      <c r="E780" s="2603"/>
      <c r="F780" s="2603"/>
      <c r="G780" s="2603"/>
      <c r="H780" s="2603"/>
    </row>
    <row r="781" spans="1:8" ht="15.75" thickBot="1">
      <c r="A781" s="2567" t="s">
        <v>29</v>
      </c>
      <c r="B781" s="2568"/>
      <c r="C781" s="2568"/>
      <c r="D781" s="2568"/>
      <c r="E781" s="2568"/>
      <c r="F781" s="2569"/>
      <c r="G781" s="2570" t="s">
        <v>640</v>
      </c>
      <c r="H781" s="2572" t="s">
        <v>639</v>
      </c>
    </row>
    <row r="782" spans="1:8" ht="90.75" thickBot="1">
      <c r="A782" s="411" t="s">
        <v>39</v>
      </c>
      <c r="B782" s="412" t="s">
        <v>40</v>
      </c>
      <c r="C782" s="412" t="s">
        <v>41</v>
      </c>
      <c r="D782" s="412" t="s">
        <v>45</v>
      </c>
      <c r="E782" s="413" t="s">
        <v>42</v>
      </c>
      <c r="F782" s="407" t="s">
        <v>43</v>
      </c>
      <c r="G782" s="2571"/>
      <c r="H782" s="2595"/>
    </row>
    <row r="783" spans="1:8" ht="15">
      <c r="A783" s="34">
        <v>3</v>
      </c>
      <c r="B783" s="23" t="s">
        <v>64</v>
      </c>
      <c r="C783" s="23" t="s">
        <v>59</v>
      </c>
      <c r="D783" s="23" t="s">
        <v>62</v>
      </c>
      <c r="E783" s="23" t="s">
        <v>65</v>
      </c>
      <c r="F783" s="423" t="s">
        <v>767</v>
      </c>
      <c r="G783" s="415" t="s">
        <v>768</v>
      </c>
      <c r="H783" s="24">
        <v>8600</v>
      </c>
    </row>
    <row r="784" spans="1:8" ht="15">
      <c r="A784" s="34">
        <v>3</v>
      </c>
      <c r="B784" s="23" t="s">
        <v>64</v>
      </c>
      <c r="C784" s="23" t="s">
        <v>59</v>
      </c>
      <c r="D784" s="23" t="s">
        <v>62</v>
      </c>
      <c r="E784" s="23" t="s">
        <v>65</v>
      </c>
      <c r="F784" s="538" t="s">
        <v>726</v>
      </c>
      <c r="G784" s="539" t="s">
        <v>769</v>
      </c>
      <c r="H784" s="541">
        <v>6000</v>
      </c>
    </row>
    <row r="785" spans="1:8" ht="15">
      <c r="A785" s="34">
        <v>3</v>
      </c>
      <c r="B785" s="23" t="s">
        <v>64</v>
      </c>
      <c r="C785" s="23" t="s">
        <v>59</v>
      </c>
      <c r="D785" s="23" t="s">
        <v>62</v>
      </c>
      <c r="E785" s="23" t="s">
        <v>65</v>
      </c>
      <c r="F785" s="538" t="s">
        <v>771</v>
      </c>
      <c r="G785" s="539" t="s">
        <v>770</v>
      </c>
      <c r="H785" s="541">
        <v>12000</v>
      </c>
    </row>
    <row r="786" spans="1:8" ht="15">
      <c r="A786" s="34">
        <v>3</v>
      </c>
      <c r="B786" s="23" t="s">
        <v>64</v>
      </c>
      <c r="C786" s="23" t="s">
        <v>59</v>
      </c>
      <c r="D786" s="23" t="s">
        <v>62</v>
      </c>
      <c r="E786" s="23" t="s">
        <v>65</v>
      </c>
      <c r="F786" s="548" t="s">
        <v>773</v>
      </c>
      <c r="G786" s="416" t="s">
        <v>774</v>
      </c>
      <c r="H786" s="541">
        <v>900</v>
      </c>
    </row>
    <row r="787" spans="1:8" ht="15">
      <c r="A787" s="34" t="s">
        <v>380</v>
      </c>
      <c r="B787" s="23" t="s">
        <v>64</v>
      </c>
      <c r="C787" s="23" t="s">
        <v>59</v>
      </c>
      <c r="D787" s="23" t="s">
        <v>62</v>
      </c>
      <c r="E787" s="23" t="s">
        <v>65</v>
      </c>
      <c r="F787" s="548" t="s">
        <v>677</v>
      </c>
      <c r="G787" s="416" t="s">
        <v>776</v>
      </c>
      <c r="H787" s="541">
        <v>1000</v>
      </c>
    </row>
    <row r="788" spans="1:8" ht="15">
      <c r="A788" s="34">
        <v>3</v>
      </c>
      <c r="B788" s="23" t="s">
        <v>64</v>
      </c>
      <c r="C788" s="23" t="s">
        <v>59</v>
      </c>
      <c r="D788" s="23" t="s">
        <v>62</v>
      </c>
      <c r="E788" s="23" t="s">
        <v>65</v>
      </c>
      <c r="F788" s="424" t="s">
        <v>735</v>
      </c>
      <c r="G788" s="540" t="s">
        <v>736</v>
      </c>
      <c r="H788" s="18">
        <v>1500</v>
      </c>
    </row>
    <row r="789" spans="1:8" ht="15.75" thickBot="1">
      <c r="A789" s="718"/>
      <c r="B789" s="719"/>
      <c r="C789" s="719"/>
      <c r="D789" s="719"/>
      <c r="E789" s="720"/>
      <c r="F789" s="721"/>
      <c r="G789" s="722"/>
      <c r="H789" s="723">
        <f>SUM(H783:H788)</f>
        <v>30000</v>
      </c>
    </row>
    <row r="790" spans="1:8" ht="15.75" thickBot="1">
      <c r="A790" s="9"/>
      <c r="B790" s="9"/>
      <c r="C790" s="10"/>
      <c r="D790" s="3"/>
      <c r="E790" s="3"/>
      <c r="F790" s="3"/>
      <c r="G790" s="2"/>
      <c r="H790" s="8"/>
    </row>
    <row r="791" spans="1:8" ht="15">
      <c r="A791" s="2573" t="s">
        <v>693</v>
      </c>
      <c r="B791" s="2574"/>
      <c r="C791" s="2574"/>
      <c r="D791" s="2574"/>
      <c r="E791" s="2574"/>
      <c r="F791" s="2574"/>
      <c r="G791" s="2575" t="s">
        <v>715</v>
      </c>
      <c r="H791" s="2576"/>
    </row>
    <row r="792" spans="1:8" ht="15">
      <c r="A792" s="482"/>
      <c r="B792" s="551"/>
      <c r="C792" s="19"/>
      <c r="D792" s="19"/>
      <c r="E792" s="19"/>
      <c r="F792" s="19"/>
      <c r="G792" s="483"/>
      <c r="H792" s="484"/>
    </row>
    <row r="793" spans="1:8" ht="14.25">
      <c r="A793" s="2580" t="s">
        <v>825</v>
      </c>
      <c r="B793" s="2598"/>
      <c r="C793" s="2598"/>
      <c r="D793" s="2598"/>
      <c r="E793" s="2598"/>
      <c r="F793" s="2552"/>
      <c r="G793" s="2580" t="s">
        <v>694</v>
      </c>
      <c r="H793" s="2552"/>
    </row>
    <row r="794" spans="1:8" ht="15">
      <c r="A794" s="2597" t="s">
        <v>826</v>
      </c>
      <c r="B794" s="2584"/>
      <c r="C794" s="2584"/>
      <c r="D794" s="2584"/>
      <c r="E794" s="2584"/>
      <c r="F794" s="2585"/>
      <c r="G794" s="483"/>
      <c r="H794" s="484"/>
    </row>
    <row r="795" spans="1:8" ht="14.25">
      <c r="A795" s="2586"/>
      <c r="B795" s="2587"/>
      <c r="C795" s="2587"/>
      <c r="D795" s="2587"/>
      <c r="E795" s="2587"/>
      <c r="F795" s="2588"/>
      <c r="G795" s="2589" t="s">
        <v>772</v>
      </c>
      <c r="H795" s="2552"/>
    </row>
    <row r="796" spans="1:8" ht="15">
      <c r="A796" s="482"/>
      <c r="B796" s="551"/>
      <c r="C796" s="551"/>
      <c r="D796" s="551"/>
      <c r="E796" s="551"/>
      <c r="F796" s="551"/>
      <c r="G796" s="485"/>
      <c r="H796" s="484"/>
    </row>
    <row r="797" spans="1:8" ht="15" thickBot="1">
      <c r="A797" s="2590" t="s">
        <v>692</v>
      </c>
      <c r="B797" s="2561"/>
      <c r="C797" s="2561"/>
      <c r="D797" s="2561"/>
      <c r="E797" s="2561"/>
      <c r="F797" s="2562"/>
      <c r="G797" s="2591" t="s">
        <v>696</v>
      </c>
      <c r="H797" s="2562"/>
    </row>
    <row r="799" spans="1:8" ht="18.75">
      <c r="A799" s="2601" t="s">
        <v>821</v>
      </c>
      <c r="B799" s="2601"/>
      <c r="C799" s="2601"/>
      <c r="D799" s="2601"/>
      <c r="E799" s="2601"/>
      <c r="F799" s="2601"/>
      <c r="G799" s="2601"/>
      <c r="H799" s="2601"/>
    </row>
    <row r="805" spans="1:8" ht="18.75">
      <c r="A805" s="2162" t="s">
        <v>111</v>
      </c>
      <c r="B805" s="2162"/>
      <c r="C805" s="2162"/>
      <c r="D805" s="2162"/>
      <c r="E805" s="2162"/>
      <c r="F805" s="2162"/>
      <c r="G805" s="2162"/>
      <c r="H805" s="2162"/>
    </row>
    <row r="806" spans="1:8" ht="18.75">
      <c r="A806" s="2162" t="s">
        <v>110</v>
      </c>
      <c r="B806" s="2162"/>
      <c r="C806" s="2162"/>
      <c r="D806" s="2162"/>
      <c r="E806" s="2162"/>
      <c r="F806" s="2162"/>
      <c r="G806" s="2162"/>
      <c r="H806" s="2162"/>
    </row>
    <row r="807" spans="1:8" ht="18.75">
      <c r="A807" s="2163" t="s">
        <v>211</v>
      </c>
      <c r="B807" s="2164"/>
      <c r="C807" s="2164"/>
      <c r="D807" s="2164"/>
      <c r="E807" s="2164"/>
      <c r="F807" s="2164"/>
      <c r="G807" s="2164"/>
      <c r="H807" s="2164"/>
    </row>
    <row r="808" spans="1:8" ht="18.75">
      <c r="A808" s="2163" t="s">
        <v>641</v>
      </c>
      <c r="B808" s="2164"/>
      <c r="C808" s="2164"/>
      <c r="D808" s="2164"/>
      <c r="E808" s="2164"/>
      <c r="F808" s="2164"/>
      <c r="G808" s="2164"/>
      <c r="H808" s="2164"/>
    </row>
    <row r="809" spans="1:8" ht="18.75">
      <c r="A809" s="2163" t="s">
        <v>32</v>
      </c>
      <c r="B809" s="2164"/>
      <c r="C809" s="2164"/>
      <c r="D809" s="2164"/>
      <c r="E809" s="2164"/>
      <c r="F809" s="2164"/>
      <c r="G809" s="2164"/>
      <c r="H809" s="2164"/>
    </row>
    <row r="810" spans="1:8" ht="15">
      <c r="A810" s="33"/>
      <c r="B810" s="5"/>
      <c r="C810" s="4"/>
      <c r="D810" s="1"/>
      <c r="E810" s="1"/>
      <c r="F810" s="1"/>
      <c r="G810" s="2"/>
      <c r="H810" s="8"/>
    </row>
    <row r="811" spans="1:8" ht="18.75">
      <c r="A811" s="2596" t="s">
        <v>49</v>
      </c>
      <c r="B811" s="2596"/>
      <c r="C811" s="2596"/>
      <c r="D811" s="2596"/>
      <c r="E811" s="2596"/>
      <c r="F811" s="2596"/>
      <c r="G811" s="2596"/>
      <c r="H811" s="2596"/>
    </row>
    <row r="812" spans="1:8" ht="18.75">
      <c r="A812" s="2602" t="s">
        <v>803</v>
      </c>
      <c r="B812" s="2603"/>
      <c r="C812" s="2603"/>
      <c r="D812" s="2603"/>
      <c r="E812" s="2603"/>
      <c r="F812" s="2603"/>
      <c r="G812" s="2603"/>
      <c r="H812" s="2603"/>
    </row>
    <row r="813" spans="1:8" ht="15.75" thickBot="1">
      <c r="A813" s="2567" t="s">
        <v>29</v>
      </c>
      <c r="B813" s="2568"/>
      <c r="C813" s="2568"/>
      <c r="D813" s="2568"/>
      <c r="E813" s="2568"/>
      <c r="F813" s="2569"/>
      <c r="G813" s="2570" t="s">
        <v>640</v>
      </c>
      <c r="H813" s="2572" t="s">
        <v>639</v>
      </c>
    </row>
    <row r="814" spans="1:8" ht="90.75" thickBot="1">
      <c r="A814" s="411" t="s">
        <v>39</v>
      </c>
      <c r="B814" s="412" t="s">
        <v>40</v>
      </c>
      <c r="C814" s="412" t="s">
        <v>41</v>
      </c>
      <c r="D814" s="412" t="s">
        <v>45</v>
      </c>
      <c r="E814" s="413" t="s">
        <v>42</v>
      </c>
      <c r="F814" s="407" t="s">
        <v>43</v>
      </c>
      <c r="G814" s="2571"/>
      <c r="H814" s="2572"/>
    </row>
    <row r="815" spans="1:8" ht="15">
      <c r="A815" s="34" t="s">
        <v>380</v>
      </c>
      <c r="B815" s="23" t="s">
        <v>64</v>
      </c>
      <c r="C815" s="23" t="s">
        <v>59</v>
      </c>
      <c r="D815" s="23" t="s">
        <v>62</v>
      </c>
      <c r="E815" s="23" t="s">
        <v>65</v>
      </c>
      <c r="F815" s="423" t="s">
        <v>786</v>
      </c>
      <c r="G815" s="561" t="s">
        <v>787</v>
      </c>
      <c r="H815" s="541">
        <v>38000</v>
      </c>
    </row>
    <row r="816" spans="1:8" ht="15">
      <c r="A816" s="34" t="s">
        <v>380</v>
      </c>
      <c r="B816" s="23" t="s">
        <v>64</v>
      </c>
      <c r="C816" s="23" t="s">
        <v>59</v>
      </c>
      <c r="D816" s="23" t="s">
        <v>62</v>
      </c>
      <c r="E816" s="23" t="s">
        <v>65</v>
      </c>
      <c r="F816" s="424" t="s">
        <v>735</v>
      </c>
      <c r="G816" s="540" t="s">
        <v>736</v>
      </c>
      <c r="H816" s="563">
        <v>2000</v>
      </c>
    </row>
    <row r="817" spans="1:8" ht="15.75" thickBot="1">
      <c r="A817" s="718"/>
      <c r="B817" s="719"/>
      <c r="C817" s="719"/>
      <c r="D817" s="719"/>
      <c r="E817" s="720"/>
      <c r="F817" s="721"/>
      <c r="G817" s="722"/>
      <c r="H817" s="723">
        <f>SUM(H815:H816)</f>
        <v>40000</v>
      </c>
    </row>
    <row r="818" spans="1:8" ht="15.75" thickBot="1">
      <c r="A818" s="9"/>
      <c r="B818" s="9"/>
      <c r="C818" s="10"/>
      <c r="D818" s="3"/>
      <c r="E818" s="3"/>
      <c r="F818" s="3"/>
      <c r="G818" s="2"/>
      <c r="H818" s="8"/>
    </row>
    <row r="819" spans="1:8" ht="15">
      <c r="A819" s="2573" t="s">
        <v>693</v>
      </c>
      <c r="B819" s="2574"/>
      <c r="C819" s="2574"/>
      <c r="D819" s="2574"/>
      <c r="E819" s="2574"/>
      <c r="F819" s="2574"/>
      <c r="G819" s="2575" t="s">
        <v>715</v>
      </c>
      <c r="H819" s="2576"/>
    </row>
    <row r="820" spans="1:8" ht="15">
      <c r="A820" s="482"/>
      <c r="B820" s="551"/>
      <c r="C820" s="19"/>
      <c r="D820" s="19"/>
      <c r="E820" s="19"/>
      <c r="F820" s="19"/>
      <c r="G820" s="483"/>
      <c r="H820" s="484"/>
    </row>
    <row r="821" spans="1:8" ht="14.25">
      <c r="A821" s="2580" t="s">
        <v>823</v>
      </c>
      <c r="B821" s="2598"/>
      <c r="C821" s="2598"/>
      <c r="D821" s="2598"/>
      <c r="E821" s="2598"/>
      <c r="F821" s="2552"/>
      <c r="G821" s="2580" t="s">
        <v>694</v>
      </c>
      <c r="H821" s="2552"/>
    </row>
    <row r="822" spans="1:8" ht="15">
      <c r="A822" s="2597" t="s">
        <v>824</v>
      </c>
      <c r="B822" s="2584"/>
      <c r="C822" s="2584"/>
      <c r="D822" s="2584"/>
      <c r="E822" s="2584"/>
      <c r="F822" s="2585"/>
      <c r="G822" s="483"/>
      <c r="H822" s="484"/>
    </row>
    <row r="823" spans="1:8" ht="14.25">
      <c r="A823" s="2586"/>
      <c r="B823" s="2587"/>
      <c r="C823" s="2587"/>
      <c r="D823" s="2587"/>
      <c r="E823" s="2587"/>
      <c r="F823" s="2588"/>
      <c r="G823" s="2589" t="s">
        <v>737</v>
      </c>
      <c r="H823" s="2552"/>
    </row>
    <row r="824" spans="1:8" ht="15">
      <c r="A824" s="482"/>
      <c r="B824" s="551"/>
      <c r="C824" s="551"/>
      <c r="D824" s="551"/>
      <c r="E824" s="551"/>
      <c r="F824" s="551"/>
      <c r="G824" s="485"/>
      <c r="H824" s="484"/>
    </row>
    <row r="825" spans="1:8" ht="15" thickBot="1">
      <c r="A825" s="2590" t="s">
        <v>692</v>
      </c>
      <c r="B825" s="2561"/>
      <c r="C825" s="2561"/>
      <c r="D825" s="2561"/>
      <c r="E825" s="2561"/>
      <c r="F825" s="2562"/>
      <c r="G825" s="2591" t="s">
        <v>696</v>
      </c>
      <c r="H825" s="2562"/>
    </row>
    <row r="827" spans="1:8" ht="18.75">
      <c r="A827" s="2601" t="s">
        <v>821</v>
      </c>
      <c r="B827" s="2601"/>
      <c r="C827" s="2601"/>
      <c r="D827" s="2601"/>
      <c r="E827" s="2601"/>
      <c r="F827" s="2601"/>
      <c r="G827" s="2601"/>
      <c r="H827" s="2601"/>
    </row>
  </sheetData>
  <mergeCells count="519">
    <mergeCell ref="A22:H22"/>
    <mergeCell ref="A23:H23"/>
    <mergeCell ref="A24:F24"/>
    <mergeCell ref="G24:G25"/>
    <mergeCell ref="H24:H25"/>
    <mergeCell ref="A36:F36"/>
    <mergeCell ref="G36:H36"/>
    <mergeCell ref="A9:H9"/>
    <mergeCell ref="A16:H16"/>
    <mergeCell ref="A17:H17"/>
    <mergeCell ref="A18:H18"/>
    <mergeCell ref="A19:H19"/>
    <mergeCell ref="A20:H20"/>
    <mergeCell ref="A47:H47"/>
    <mergeCell ref="A48:H48"/>
    <mergeCell ref="A49:H49"/>
    <mergeCell ref="A50:H50"/>
    <mergeCell ref="A52:H52"/>
    <mergeCell ref="A53:H53"/>
    <mergeCell ref="A38:F38"/>
    <mergeCell ref="G38:H38"/>
    <mergeCell ref="A39:F40"/>
    <mergeCell ref="G40:H40"/>
    <mergeCell ref="A42:F42"/>
    <mergeCell ref="G42:H42"/>
    <mergeCell ref="A63:F64"/>
    <mergeCell ref="G64:H64"/>
    <mergeCell ref="A66:F66"/>
    <mergeCell ref="G66:H66"/>
    <mergeCell ref="A69:H69"/>
    <mergeCell ref="A70:H70"/>
    <mergeCell ref="A54:F54"/>
    <mergeCell ref="G54:G55"/>
    <mergeCell ref="H54:H55"/>
    <mergeCell ref="A60:F60"/>
    <mergeCell ref="G60:H60"/>
    <mergeCell ref="A61:F62"/>
    <mergeCell ref="G62:H62"/>
    <mergeCell ref="A82:F82"/>
    <mergeCell ref="G82:H82"/>
    <mergeCell ref="A83:F84"/>
    <mergeCell ref="G84:H84"/>
    <mergeCell ref="A85:F86"/>
    <mergeCell ref="G86:H86"/>
    <mergeCell ref="A71:H71"/>
    <mergeCell ref="A72:H72"/>
    <mergeCell ref="A74:H74"/>
    <mergeCell ref="A75:H75"/>
    <mergeCell ref="A76:F76"/>
    <mergeCell ref="G76:G77"/>
    <mergeCell ref="H76:H77"/>
    <mergeCell ref="A111:H111"/>
    <mergeCell ref="A113:H113"/>
    <mergeCell ref="A114:H114"/>
    <mergeCell ref="A115:F115"/>
    <mergeCell ref="G115:G116"/>
    <mergeCell ref="H115:H116"/>
    <mergeCell ref="A88:F88"/>
    <mergeCell ref="G88:H88"/>
    <mergeCell ref="A107:H107"/>
    <mergeCell ref="A108:H108"/>
    <mergeCell ref="A109:H109"/>
    <mergeCell ref="A110:H110"/>
    <mergeCell ref="A127:F127"/>
    <mergeCell ref="G127:H127"/>
    <mergeCell ref="A129:H129"/>
    <mergeCell ref="A134:H134"/>
    <mergeCell ref="A135:H135"/>
    <mergeCell ref="A136:H136"/>
    <mergeCell ref="A121:F121"/>
    <mergeCell ref="G121:H121"/>
    <mergeCell ref="A123:F123"/>
    <mergeCell ref="G123:H123"/>
    <mergeCell ref="A124:F125"/>
    <mergeCell ref="G125:H125"/>
    <mergeCell ref="A148:F148"/>
    <mergeCell ref="G148:H148"/>
    <mergeCell ref="A150:F150"/>
    <mergeCell ref="G150:H150"/>
    <mergeCell ref="A151:F152"/>
    <mergeCell ref="G152:H152"/>
    <mergeCell ref="A137:H137"/>
    <mergeCell ref="A138:H138"/>
    <mergeCell ref="A140:H140"/>
    <mergeCell ref="A141:H141"/>
    <mergeCell ref="A142:F142"/>
    <mergeCell ref="G142:G143"/>
    <mergeCell ref="H142:H143"/>
    <mergeCell ref="A161:H161"/>
    <mergeCell ref="A163:H163"/>
    <mergeCell ref="A164:H164"/>
    <mergeCell ref="A165:F165"/>
    <mergeCell ref="G165:G166"/>
    <mergeCell ref="H165:H166"/>
    <mergeCell ref="A154:F154"/>
    <mergeCell ref="G154:H154"/>
    <mergeCell ref="A157:H157"/>
    <mergeCell ref="A158:H158"/>
    <mergeCell ref="A159:H159"/>
    <mergeCell ref="A160:H160"/>
    <mergeCell ref="A177:F177"/>
    <mergeCell ref="G177:H177"/>
    <mergeCell ref="A184:H184"/>
    <mergeCell ref="A185:H185"/>
    <mergeCell ref="A186:H186"/>
    <mergeCell ref="A187:H187"/>
    <mergeCell ref="A171:F171"/>
    <mergeCell ref="G171:H171"/>
    <mergeCell ref="A173:F173"/>
    <mergeCell ref="G173:H173"/>
    <mergeCell ref="A174:F175"/>
    <mergeCell ref="G175:H175"/>
    <mergeCell ref="A198:F198"/>
    <mergeCell ref="G198:H198"/>
    <mergeCell ref="A200:F200"/>
    <mergeCell ref="G200:H200"/>
    <mergeCell ref="A201:F202"/>
    <mergeCell ref="G202:H202"/>
    <mergeCell ref="A188:H188"/>
    <mergeCell ref="A190:H190"/>
    <mergeCell ref="A191:H191"/>
    <mergeCell ref="A192:F192"/>
    <mergeCell ref="G192:G193"/>
    <mergeCell ref="H192:H193"/>
    <mergeCell ref="A213:H213"/>
    <mergeCell ref="A214:H214"/>
    <mergeCell ref="A215:F215"/>
    <mergeCell ref="G215:G216"/>
    <mergeCell ref="H215:H216"/>
    <mergeCell ref="A227:F227"/>
    <mergeCell ref="G227:H227"/>
    <mergeCell ref="A204:F204"/>
    <mergeCell ref="G204:H204"/>
    <mergeCell ref="A208:H208"/>
    <mergeCell ref="A209:H209"/>
    <mergeCell ref="A210:H210"/>
    <mergeCell ref="A211:H211"/>
    <mergeCell ref="A235:H235"/>
    <mergeCell ref="F238:G238"/>
    <mergeCell ref="A241:H241"/>
    <mergeCell ref="A242:H242"/>
    <mergeCell ref="A243:H243"/>
    <mergeCell ref="A244:H244"/>
    <mergeCell ref="A229:F229"/>
    <mergeCell ref="G229:H229"/>
    <mergeCell ref="A230:F231"/>
    <mergeCell ref="G231:H231"/>
    <mergeCell ref="A233:F233"/>
    <mergeCell ref="G233:H233"/>
    <mergeCell ref="A260:F260"/>
    <mergeCell ref="G260:H260"/>
    <mergeCell ref="A262:F262"/>
    <mergeCell ref="G262:H262"/>
    <mergeCell ref="A263:F264"/>
    <mergeCell ref="G264:H264"/>
    <mergeCell ref="A245:H245"/>
    <mergeCell ref="A247:H247"/>
    <mergeCell ref="A248:H248"/>
    <mergeCell ref="A249:F249"/>
    <mergeCell ref="G249:G250"/>
    <mergeCell ref="H249:H250"/>
    <mergeCell ref="A275:H275"/>
    <mergeCell ref="A277:H277"/>
    <mergeCell ref="A278:H278"/>
    <mergeCell ref="A279:F279"/>
    <mergeCell ref="G279:G280"/>
    <mergeCell ref="H279:H280"/>
    <mergeCell ref="A266:F266"/>
    <mergeCell ref="G266:H266"/>
    <mergeCell ref="A268:H268"/>
    <mergeCell ref="A272:H272"/>
    <mergeCell ref="A273:H273"/>
    <mergeCell ref="A274:H274"/>
    <mergeCell ref="A291:F291"/>
    <mergeCell ref="G291:H291"/>
    <mergeCell ref="A292:H292"/>
    <mergeCell ref="A296:H296"/>
    <mergeCell ref="A297:H297"/>
    <mergeCell ref="A298:H298"/>
    <mergeCell ref="A285:F285"/>
    <mergeCell ref="G285:H285"/>
    <mergeCell ref="A287:F287"/>
    <mergeCell ref="G287:H287"/>
    <mergeCell ref="A288:F289"/>
    <mergeCell ref="G289:H289"/>
    <mergeCell ref="A310:F310"/>
    <mergeCell ref="G310:H310"/>
    <mergeCell ref="A312:F312"/>
    <mergeCell ref="G312:H312"/>
    <mergeCell ref="A313:F314"/>
    <mergeCell ref="G314:H314"/>
    <mergeCell ref="A299:H299"/>
    <mergeCell ref="A300:H300"/>
    <mergeCell ref="A302:H302"/>
    <mergeCell ref="A303:H303"/>
    <mergeCell ref="A304:F304"/>
    <mergeCell ref="G304:G305"/>
    <mergeCell ref="H304:H305"/>
    <mergeCell ref="A324:H324"/>
    <mergeCell ref="A325:H325"/>
    <mergeCell ref="A327:H327"/>
    <mergeCell ref="A328:H328"/>
    <mergeCell ref="A329:F329"/>
    <mergeCell ref="G329:G330"/>
    <mergeCell ref="H329:H330"/>
    <mergeCell ref="A316:F316"/>
    <mergeCell ref="G316:H316"/>
    <mergeCell ref="A318:H318"/>
    <mergeCell ref="A321:H321"/>
    <mergeCell ref="A322:H322"/>
    <mergeCell ref="A323:H323"/>
    <mergeCell ref="A341:F341"/>
    <mergeCell ref="G341:H341"/>
    <mergeCell ref="A343:H343"/>
    <mergeCell ref="A348:H348"/>
    <mergeCell ref="A349:H349"/>
    <mergeCell ref="A350:H350"/>
    <mergeCell ref="A335:F335"/>
    <mergeCell ref="G335:H335"/>
    <mergeCell ref="A337:F337"/>
    <mergeCell ref="G337:H337"/>
    <mergeCell ref="A338:F339"/>
    <mergeCell ref="G339:H339"/>
    <mergeCell ref="A368:F368"/>
    <mergeCell ref="G368:H368"/>
    <mergeCell ref="A370:F370"/>
    <mergeCell ref="G370:H370"/>
    <mergeCell ref="A371:F372"/>
    <mergeCell ref="G372:H372"/>
    <mergeCell ref="A351:H351"/>
    <mergeCell ref="A352:H352"/>
    <mergeCell ref="A354:H354"/>
    <mergeCell ref="A355:H355"/>
    <mergeCell ref="A356:F356"/>
    <mergeCell ref="G356:G357"/>
    <mergeCell ref="H356:H357"/>
    <mergeCell ref="A381:H381"/>
    <mergeCell ref="A383:H383"/>
    <mergeCell ref="A384:H384"/>
    <mergeCell ref="A385:F385"/>
    <mergeCell ref="G385:G386"/>
    <mergeCell ref="H385:H386"/>
    <mergeCell ref="A374:F374"/>
    <mergeCell ref="G374:H374"/>
    <mergeCell ref="A377:H377"/>
    <mergeCell ref="A378:H378"/>
    <mergeCell ref="A379:H379"/>
    <mergeCell ref="A380:H380"/>
    <mergeCell ref="A403:F403"/>
    <mergeCell ref="G403:H403"/>
    <mergeCell ref="A405:H405"/>
    <mergeCell ref="A408:H408"/>
    <mergeCell ref="A409:H409"/>
    <mergeCell ref="A410:H410"/>
    <mergeCell ref="A397:F397"/>
    <mergeCell ref="G397:H397"/>
    <mergeCell ref="A399:F399"/>
    <mergeCell ref="G399:H399"/>
    <mergeCell ref="A400:F401"/>
    <mergeCell ref="G401:H401"/>
    <mergeCell ref="A428:F428"/>
    <mergeCell ref="G428:H428"/>
    <mergeCell ref="A429:F430"/>
    <mergeCell ref="G430:H430"/>
    <mergeCell ref="A431:F432"/>
    <mergeCell ref="G432:H432"/>
    <mergeCell ref="A411:H411"/>
    <mergeCell ref="A412:H412"/>
    <mergeCell ref="A414:H414"/>
    <mergeCell ref="A415:H415"/>
    <mergeCell ref="A416:F416"/>
    <mergeCell ref="G416:G417"/>
    <mergeCell ref="H416:H417"/>
    <mergeCell ref="A447:H447"/>
    <mergeCell ref="A448:H448"/>
    <mergeCell ref="A450:H450"/>
    <mergeCell ref="A451:H451"/>
    <mergeCell ref="A452:F452"/>
    <mergeCell ref="G452:G453"/>
    <mergeCell ref="H452:H453"/>
    <mergeCell ref="A434:F434"/>
    <mergeCell ref="G434:H434"/>
    <mergeCell ref="A436:H436"/>
    <mergeCell ref="A444:H444"/>
    <mergeCell ref="A445:H445"/>
    <mergeCell ref="A446:H446"/>
    <mergeCell ref="A464:F464"/>
    <mergeCell ref="G464:H464"/>
    <mergeCell ref="A466:H466"/>
    <mergeCell ref="A471:H471"/>
    <mergeCell ref="A472:H472"/>
    <mergeCell ref="A473:H473"/>
    <mergeCell ref="A458:F458"/>
    <mergeCell ref="G458:H458"/>
    <mergeCell ref="A459:F460"/>
    <mergeCell ref="G460:H460"/>
    <mergeCell ref="A461:F462"/>
    <mergeCell ref="G462:H462"/>
    <mergeCell ref="A490:F490"/>
    <mergeCell ref="G490:H490"/>
    <mergeCell ref="A491:F492"/>
    <mergeCell ref="G492:H492"/>
    <mergeCell ref="A493:F494"/>
    <mergeCell ref="G494:H494"/>
    <mergeCell ref="A474:H474"/>
    <mergeCell ref="A475:H475"/>
    <mergeCell ref="A477:H477"/>
    <mergeCell ref="A478:H478"/>
    <mergeCell ref="A479:F479"/>
    <mergeCell ref="G479:G480"/>
    <mergeCell ref="H479:H480"/>
    <mergeCell ref="A510:H510"/>
    <mergeCell ref="A511:H511"/>
    <mergeCell ref="A513:H513"/>
    <mergeCell ref="A514:H514"/>
    <mergeCell ref="A515:F515"/>
    <mergeCell ref="G515:G516"/>
    <mergeCell ref="H515:H516"/>
    <mergeCell ref="A496:F496"/>
    <mergeCell ref="G496:H496"/>
    <mergeCell ref="A498:H498"/>
    <mergeCell ref="A507:H507"/>
    <mergeCell ref="A508:H508"/>
    <mergeCell ref="A509:H509"/>
    <mergeCell ref="A527:F527"/>
    <mergeCell ref="G527:H527"/>
    <mergeCell ref="A529:H529"/>
    <mergeCell ref="A532:H532"/>
    <mergeCell ref="A533:H533"/>
    <mergeCell ref="A534:H534"/>
    <mergeCell ref="A521:F521"/>
    <mergeCell ref="G521:H521"/>
    <mergeCell ref="A523:F523"/>
    <mergeCell ref="G523:H523"/>
    <mergeCell ref="A524:F525"/>
    <mergeCell ref="G525:H525"/>
    <mergeCell ref="A546:F546"/>
    <mergeCell ref="G546:H546"/>
    <mergeCell ref="A548:F548"/>
    <mergeCell ref="G548:H548"/>
    <mergeCell ref="A549:F550"/>
    <mergeCell ref="G550:H550"/>
    <mergeCell ref="A535:H535"/>
    <mergeCell ref="A536:H536"/>
    <mergeCell ref="A538:H538"/>
    <mergeCell ref="A539:H539"/>
    <mergeCell ref="A540:F540"/>
    <mergeCell ref="G540:G541"/>
    <mergeCell ref="H540:H541"/>
    <mergeCell ref="A560:H560"/>
    <mergeCell ref="A561:H561"/>
    <mergeCell ref="A563:H563"/>
    <mergeCell ref="A564:H564"/>
    <mergeCell ref="A565:F565"/>
    <mergeCell ref="G565:G566"/>
    <mergeCell ref="H565:H566"/>
    <mergeCell ref="A552:F552"/>
    <mergeCell ref="G552:H552"/>
    <mergeCell ref="A554:H554"/>
    <mergeCell ref="A557:H557"/>
    <mergeCell ref="A558:H558"/>
    <mergeCell ref="A559:H559"/>
    <mergeCell ref="A582:F582"/>
    <mergeCell ref="G582:H582"/>
    <mergeCell ref="A586:H586"/>
    <mergeCell ref="A587:H587"/>
    <mergeCell ref="A588:H588"/>
    <mergeCell ref="A589:H589"/>
    <mergeCell ref="A576:F576"/>
    <mergeCell ref="G576:H576"/>
    <mergeCell ref="A577:F578"/>
    <mergeCell ref="G578:H578"/>
    <mergeCell ref="A579:F580"/>
    <mergeCell ref="G580:H580"/>
    <mergeCell ref="A603:F603"/>
    <mergeCell ref="G603:H603"/>
    <mergeCell ref="A604:F605"/>
    <mergeCell ref="G605:H605"/>
    <mergeCell ref="A606:F607"/>
    <mergeCell ref="G607:H607"/>
    <mergeCell ref="A590:H590"/>
    <mergeCell ref="A592:H592"/>
    <mergeCell ref="A593:H593"/>
    <mergeCell ref="A594:F594"/>
    <mergeCell ref="G594:G595"/>
    <mergeCell ref="H594:H595"/>
    <mergeCell ref="A617:H617"/>
    <mergeCell ref="A619:H619"/>
    <mergeCell ref="A620:H620"/>
    <mergeCell ref="A621:F621"/>
    <mergeCell ref="G621:G622"/>
    <mergeCell ref="H621:H622"/>
    <mergeCell ref="A609:F609"/>
    <mergeCell ref="G609:H609"/>
    <mergeCell ref="A613:H613"/>
    <mergeCell ref="A614:H614"/>
    <mergeCell ref="A615:H615"/>
    <mergeCell ref="A616:H616"/>
    <mergeCell ref="A639:F639"/>
    <mergeCell ref="G639:H639"/>
    <mergeCell ref="A644:H644"/>
    <mergeCell ref="A645:H645"/>
    <mergeCell ref="A646:H646"/>
    <mergeCell ref="A647:H647"/>
    <mergeCell ref="A633:F633"/>
    <mergeCell ref="G633:H633"/>
    <mergeCell ref="A634:F635"/>
    <mergeCell ref="G635:H635"/>
    <mergeCell ref="A636:F637"/>
    <mergeCell ref="G637:H637"/>
    <mergeCell ref="A664:F664"/>
    <mergeCell ref="G664:H664"/>
    <mergeCell ref="A665:F666"/>
    <mergeCell ref="G666:H666"/>
    <mergeCell ref="A667:F668"/>
    <mergeCell ref="G668:H668"/>
    <mergeCell ref="A648:H648"/>
    <mergeCell ref="A650:H650"/>
    <mergeCell ref="A651:H651"/>
    <mergeCell ref="A652:F652"/>
    <mergeCell ref="G652:G653"/>
    <mergeCell ref="H652:H653"/>
    <mergeCell ref="A694:H694"/>
    <mergeCell ref="A696:H696"/>
    <mergeCell ref="A697:H697"/>
    <mergeCell ref="A698:F698"/>
    <mergeCell ref="G698:G699"/>
    <mergeCell ref="H698:H699"/>
    <mergeCell ref="A670:F670"/>
    <mergeCell ref="G670:H670"/>
    <mergeCell ref="A690:H690"/>
    <mergeCell ref="A691:H691"/>
    <mergeCell ref="A692:H692"/>
    <mergeCell ref="A693:H693"/>
    <mergeCell ref="A710:F710"/>
    <mergeCell ref="G710:H710"/>
    <mergeCell ref="A712:H712"/>
    <mergeCell ref="A717:H717"/>
    <mergeCell ref="A718:H718"/>
    <mergeCell ref="A719:H719"/>
    <mergeCell ref="A704:F704"/>
    <mergeCell ref="G704:H704"/>
    <mergeCell ref="A706:F706"/>
    <mergeCell ref="G706:H706"/>
    <mergeCell ref="A707:F708"/>
    <mergeCell ref="G708:H708"/>
    <mergeCell ref="A731:F731"/>
    <mergeCell ref="G731:H731"/>
    <mergeCell ref="A732:F732"/>
    <mergeCell ref="G732:H732"/>
    <mergeCell ref="A733:F734"/>
    <mergeCell ref="G734:H734"/>
    <mergeCell ref="A720:H720"/>
    <mergeCell ref="A721:H721"/>
    <mergeCell ref="A723:H723"/>
    <mergeCell ref="A724:H724"/>
    <mergeCell ref="A725:F725"/>
    <mergeCell ref="G725:G726"/>
    <mergeCell ref="H725:H726"/>
    <mergeCell ref="A746:H746"/>
    <mergeCell ref="A747:H747"/>
    <mergeCell ref="A749:H749"/>
    <mergeCell ref="A750:H750"/>
    <mergeCell ref="A751:F751"/>
    <mergeCell ref="G751:G752"/>
    <mergeCell ref="H751:H752"/>
    <mergeCell ref="A736:F736"/>
    <mergeCell ref="G736:H736"/>
    <mergeCell ref="A738:H738"/>
    <mergeCell ref="A743:H743"/>
    <mergeCell ref="A744:H744"/>
    <mergeCell ref="A745:H745"/>
    <mergeCell ref="A766:F766"/>
    <mergeCell ref="G766:H766"/>
    <mergeCell ref="A768:H768"/>
    <mergeCell ref="A773:H773"/>
    <mergeCell ref="A774:H774"/>
    <mergeCell ref="A775:H775"/>
    <mergeCell ref="A760:F760"/>
    <mergeCell ref="G760:H760"/>
    <mergeCell ref="A762:F762"/>
    <mergeCell ref="G762:H762"/>
    <mergeCell ref="A763:F764"/>
    <mergeCell ref="G764:H764"/>
    <mergeCell ref="A791:F791"/>
    <mergeCell ref="G791:H791"/>
    <mergeCell ref="A793:F793"/>
    <mergeCell ref="G793:H793"/>
    <mergeCell ref="A794:F795"/>
    <mergeCell ref="G795:H795"/>
    <mergeCell ref="A776:H776"/>
    <mergeCell ref="A777:H777"/>
    <mergeCell ref="A779:H779"/>
    <mergeCell ref="A780:H780"/>
    <mergeCell ref="A781:F781"/>
    <mergeCell ref="G781:G782"/>
    <mergeCell ref="H781:H782"/>
    <mergeCell ref="A808:H808"/>
    <mergeCell ref="A809:H809"/>
    <mergeCell ref="A811:H811"/>
    <mergeCell ref="A812:H812"/>
    <mergeCell ref="A813:F813"/>
    <mergeCell ref="G813:G814"/>
    <mergeCell ref="H813:H814"/>
    <mergeCell ref="A797:F797"/>
    <mergeCell ref="G797:H797"/>
    <mergeCell ref="A799:H799"/>
    <mergeCell ref="A805:H805"/>
    <mergeCell ref="A806:H806"/>
    <mergeCell ref="A807:H807"/>
    <mergeCell ref="A825:F825"/>
    <mergeCell ref="G825:H825"/>
    <mergeCell ref="A827:H827"/>
    <mergeCell ref="A819:F819"/>
    <mergeCell ref="G819:H819"/>
    <mergeCell ref="A821:F821"/>
    <mergeCell ref="G821:H821"/>
    <mergeCell ref="A822:F823"/>
    <mergeCell ref="G823:H823"/>
  </mergeCells>
  <pageMargins left="0.64" right="0.11811023622047245" top="1.02" bottom="0.74803149606299213" header="0.31496062992125984" footer="0.31496062992125984"/>
  <pageSetup paperSize="9" scale="84" orientation="portrait" horizontalDpi="0" verticalDpi="0" r:id="rId1"/>
  <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K610"/>
  <sheetViews>
    <sheetView topLeftCell="A576" zoomScaleNormal="100" workbookViewId="0">
      <selection activeCell="L72" sqref="L72"/>
    </sheetView>
  </sheetViews>
  <sheetFormatPr baseColWidth="10" defaultRowHeight="15"/>
  <cols>
    <col min="1" max="1" width="7.140625" style="9" customWidth="1"/>
    <col min="2" max="2" width="7.7109375" style="5" customWidth="1"/>
    <col min="3" max="3" width="8.140625" style="4" customWidth="1"/>
    <col min="4" max="5" width="7.7109375" style="1" customWidth="1"/>
    <col min="6" max="6" width="15.7109375" style="1" customWidth="1"/>
    <col min="7" max="7" width="47.140625" style="2" customWidth="1"/>
    <col min="8" max="8" width="19" style="8" customWidth="1"/>
    <col min="9" max="9" width="13.5703125" customWidth="1"/>
    <col min="10" max="10" width="13.28515625" customWidth="1"/>
  </cols>
  <sheetData>
    <row r="1" spans="1:9" ht="18">
      <c r="A1" s="2771" t="s">
        <v>741</v>
      </c>
      <c r="B1" s="2771"/>
      <c r="C1" s="2771"/>
      <c r="D1" s="2771"/>
      <c r="E1" s="2771"/>
      <c r="F1" s="2771"/>
      <c r="G1" s="2771"/>
      <c r="H1" s="2771"/>
    </row>
    <row r="2" spans="1:9" ht="18">
      <c r="A2" s="2771" t="s">
        <v>742</v>
      </c>
      <c r="B2" s="2771"/>
      <c r="C2" s="2771"/>
      <c r="D2" s="2771"/>
      <c r="E2" s="2771"/>
      <c r="F2" s="2771"/>
      <c r="G2" s="2771"/>
      <c r="H2" s="2771"/>
    </row>
    <row r="3" spans="1:9" ht="12.75">
      <c r="A3"/>
      <c r="B3"/>
      <c r="C3"/>
      <c r="D3"/>
      <c r="E3"/>
      <c r="F3"/>
      <c r="G3"/>
      <c r="H3"/>
    </row>
    <row r="4" spans="1:9" ht="18.75">
      <c r="A4" s="2163" t="s">
        <v>211</v>
      </c>
      <c r="B4" s="2164"/>
      <c r="C4" s="2164"/>
      <c r="D4" s="2164"/>
      <c r="E4" s="2164"/>
      <c r="F4" s="2164"/>
      <c r="G4" s="2164"/>
      <c r="H4" s="2164"/>
    </row>
    <row r="5" spans="1:9" ht="18.75">
      <c r="A5" s="2163" t="s">
        <v>1212</v>
      </c>
      <c r="B5" s="2164"/>
      <c r="C5" s="2164"/>
      <c r="D5" s="2164"/>
      <c r="E5" s="2164"/>
      <c r="F5" s="2164"/>
      <c r="G5" s="2164"/>
      <c r="H5" s="2164"/>
    </row>
    <row r="6" spans="1:9" ht="18.75">
      <c r="A6" s="2163" t="s">
        <v>32</v>
      </c>
      <c r="B6" s="2164"/>
      <c r="C6" s="2164"/>
      <c r="D6" s="2164"/>
      <c r="E6" s="2164"/>
      <c r="F6" s="2164"/>
      <c r="G6" s="2164"/>
      <c r="H6" s="2164"/>
    </row>
    <row r="7" spans="1:9">
      <c r="A7" s="33"/>
    </row>
    <row r="8" spans="1:9" ht="18.75">
      <c r="A8" s="2596" t="s">
        <v>49</v>
      </c>
      <c r="B8" s="2596"/>
      <c r="C8" s="2596"/>
      <c r="D8" s="2596"/>
      <c r="E8" s="2596"/>
      <c r="F8" s="2596"/>
      <c r="G8" s="2596"/>
      <c r="H8" s="2596"/>
    </row>
    <row r="9" spans="1:9" ht="30.75" customHeight="1">
      <c r="A9" s="2728" t="s">
        <v>1290</v>
      </c>
      <c r="B9" s="2729"/>
      <c r="C9" s="2729"/>
      <c r="D9" s="2729"/>
      <c r="E9" s="2729"/>
      <c r="F9" s="2729"/>
      <c r="G9" s="2729"/>
      <c r="H9" s="2729"/>
    </row>
    <row r="10" spans="1:9" ht="15.75" thickBot="1">
      <c r="A10" s="2567" t="s">
        <v>29</v>
      </c>
      <c r="B10" s="2568"/>
      <c r="C10" s="2568"/>
      <c r="D10" s="2568"/>
      <c r="E10" s="2568"/>
      <c r="F10" s="2569"/>
      <c r="G10" s="2570" t="s">
        <v>640</v>
      </c>
      <c r="H10" s="2572" t="s">
        <v>639</v>
      </c>
    </row>
    <row r="11" spans="1:9" ht="75.75" thickBot="1">
      <c r="A11" s="411" t="s">
        <v>39</v>
      </c>
      <c r="B11" s="412" t="s">
        <v>40</v>
      </c>
      <c r="C11" s="412" t="s">
        <v>41</v>
      </c>
      <c r="D11" s="412" t="s">
        <v>45</v>
      </c>
      <c r="E11" s="413" t="s">
        <v>42</v>
      </c>
      <c r="F11" s="407" t="s">
        <v>43</v>
      </c>
      <c r="G11" s="2571"/>
      <c r="H11" s="2595"/>
      <c r="I11" s="767" t="s">
        <v>938</v>
      </c>
    </row>
    <row r="12" spans="1:9">
      <c r="A12" s="34" t="s">
        <v>380</v>
      </c>
      <c r="B12" s="23" t="s">
        <v>64</v>
      </c>
      <c r="C12" s="23" t="s">
        <v>61</v>
      </c>
      <c r="D12" s="23" t="s">
        <v>62</v>
      </c>
      <c r="E12" s="23" t="s">
        <v>65</v>
      </c>
      <c r="F12" s="421">
        <v>54119</v>
      </c>
      <c r="G12" s="495" t="s">
        <v>936</v>
      </c>
      <c r="H12" s="24">
        <v>8000</v>
      </c>
    </row>
    <row r="13" spans="1:9">
      <c r="A13" s="34" t="s">
        <v>380</v>
      </c>
      <c r="B13" s="23" t="s">
        <v>64</v>
      </c>
      <c r="C13" s="23" t="s">
        <v>61</v>
      </c>
      <c r="D13" s="23" t="s">
        <v>62</v>
      </c>
      <c r="E13" s="23" t="s">
        <v>65</v>
      </c>
      <c r="F13" s="421">
        <v>54205</v>
      </c>
      <c r="G13" s="495" t="s">
        <v>1406</v>
      </c>
      <c r="H13" s="24">
        <f>55200+8800+1000</f>
        <v>65000</v>
      </c>
    </row>
    <row r="14" spans="1:9">
      <c r="A14" s="34" t="s">
        <v>380</v>
      </c>
      <c r="B14" s="23" t="s">
        <v>64</v>
      </c>
      <c r="C14" s="23" t="s">
        <v>61</v>
      </c>
      <c r="D14" s="23" t="s">
        <v>62</v>
      </c>
      <c r="E14" s="23" t="s">
        <v>65</v>
      </c>
      <c r="F14" s="421">
        <v>54303</v>
      </c>
      <c r="G14" s="566" t="s">
        <v>937</v>
      </c>
      <c r="H14" s="24">
        <v>7000</v>
      </c>
    </row>
    <row r="15" spans="1:9" ht="15.75" thickBot="1">
      <c r="A15" s="1034"/>
      <c r="B15" s="1035"/>
      <c r="C15" s="1035"/>
      <c r="D15" s="1035"/>
      <c r="E15" s="1036"/>
      <c r="F15" s="1037"/>
      <c r="G15" s="1038"/>
      <c r="H15" s="1039">
        <f>SUM(H12:H14)</f>
        <v>80000</v>
      </c>
    </row>
    <row r="16" spans="1:9" ht="9" customHeight="1" thickBot="1">
      <c r="B16" s="9"/>
      <c r="C16" s="10"/>
      <c r="D16" s="3"/>
      <c r="E16" s="3"/>
      <c r="F16" s="3"/>
    </row>
    <row r="17" spans="1:8">
      <c r="A17" s="2573" t="s">
        <v>693</v>
      </c>
      <c r="B17" s="2574"/>
      <c r="C17" s="2574"/>
      <c r="D17" s="2574"/>
      <c r="E17" s="2574"/>
      <c r="F17" s="2574"/>
      <c r="G17" s="2575" t="s">
        <v>1323</v>
      </c>
      <c r="H17" s="2576"/>
    </row>
    <row r="18" spans="1:8">
      <c r="A18" s="482"/>
      <c r="B18" s="551"/>
      <c r="C18" s="19"/>
      <c r="D18" s="19"/>
      <c r="E18" s="19"/>
      <c r="F18" s="19"/>
      <c r="G18" s="483"/>
      <c r="H18" s="484"/>
    </row>
    <row r="19" spans="1:8" ht="14.25">
      <c r="A19" s="2580" t="s">
        <v>740</v>
      </c>
      <c r="B19" s="2598"/>
      <c r="C19" s="2598"/>
      <c r="D19" s="2598"/>
      <c r="E19" s="2598"/>
      <c r="F19" s="2552"/>
      <c r="G19" s="2580" t="s">
        <v>694</v>
      </c>
      <c r="H19" s="2552"/>
    </row>
    <row r="20" spans="1:8">
      <c r="A20" s="2597" t="s">
        <v>822</v>
      </c>
      <c r="B20" s="2584"/>
      <c r="C20" s="2584"/>
      <c r="D20" s="2584"/>
      <c r="E20" s="2584"/>
      <c r="F20" s="2585"/>
      <c r="G20" s="483"/>
      <c r="H20" s="484"/>
    </row>
    <row r="21" spans="1:8" ht="14.25">
      <c r="A21" s="2586"/>
      <c r="B21" s="2587"/>
      <c r="C21" s="2587"/>
      <c r="D21" s="2587"/>
      <c r="E21" s="2587"/>
      <c r="F21" s="2588"/>
      <c r="G21" s="2589" t="s">
        <v>695</v>
      </c>
      <c r="H21" s="2552"/>
    </row>
    <row r="22" spans="1:8">
      <c r="A22" s="482"/>
      <c r="B22" s="551"/>
      <c r="C22" s="551"/>
      <c r="D22" s="551"/>
      <c r="E22" s="551"/>
      <c r="F22" s="551"/>
      <c r="G22" s="485"/>
      <c r="H22" s="484"/>
    </row>
    <row r="23" spans="1:8" thickBot="1">
      <c r="A23" s="2590" t="s">
        <v>692</v>
      </c>
      <c r="B23" s="2561"/>
      <c r="C23" s="2561"/>
      <c r="D23" s="2561"/>
      <c r="E23" s="2561"/>
      <c r="F23" s="2562"/>
      <c r="G23" s="2591" t="s">
        <v>696</v>
      </c>
      <c r="H23" s="2562"/>
    </row>
    <row r="24" spans="1:8">
      <c r="A24" s="2768"/>
      <c r="B24" s="2769"/>
      <c r="C24" s="2769"/>
      <c r="D24" s="2769"/>
      <c r="E24" s="2769"/>
      <c r="F24" s="2769"/>
      <c r="G24" s="2770"/>
      <c r="H24" s="2769"/>
    </row>
    <row r="25" spans="1:8" ht="39.75" customHeight="1">
      <c r="A25" s="2601" t="s">
        <v>821</v>
      </c>
      <c r="B25" s="2601"/>
      <c r="C25" s="2601"/>
      <c r="D25" s="2601"/>
      <c r="E25" s="2601"/>
      <c r="F25" s="2601"/>
      <c r="G25" s="2601"/>
      <c r="H25" s="2601"/>
    </row>
    <row r="26" spans="1:8">
      <c r="A26" s="551"/>
      <c r="B26" s="551"/>
      <c r="C26" s="551"/>
      <c r="D26" s="551"/>
      <c r="E26" s="551"/>
      <c r="F26" s="551"/>
      <c r="G26" s="551"/>
      <c r="H26" s="408"/>
    </row>
    <row r="27" spans="1:8" ht="18">
      <c r="A27" s="33"/>
      <c r="C27" s="7"/>
      <c r="D27" s="7"/>
      <c r="E27" s="7"/>
      <c r="F27" s="7"/>
      <c r="G27" s="7"/>
      <c r="H27" s="20"/>
    </row>
    <row r="28" spans="1:8" ht="18.75">
      <c r="A28" s="2162" t="s">
        <v>111</v>
      </c>
      <c r="B28" s="2164"/>
      <c r="C28" s="2164"/>
      <c r="D28" s="2164"/>
      <c r="E28" s="2164"/>
      <c r="F28" s="2164"/>
      <c r="G28" s="2164"/>
      <c r="H28" s="2164"/>
    </row>
    <row r="29" spans="1:8" ht="18.75">
      <c r="A29" s="2162" t="s">
        <v>757</v>
      </c>
      <c r="B29" s="2164"/>
      <c r="C29" s="2164"/>
      <c r="D29" s="2164"/>
      <c r="E29" s="2164"/>
      <c r="F29" s="2164"/>
      <c r="G29" s="2164"/>
      <c r="H29" s="2164"/>
    </row>
    <row r="30" spans="1:8" ht="18.75">
      <c r="A30" s="2163" t="s">
        <v>211</v>
      </c>
      <c r="B30" s="2164"/>
      <c r="C30" s="2164"/>
      <c r="D30" s="2164"/>
      <c r="E30" s="2164"/>
      <c r="F30" s="2164"/>
      <c r="G30" s="2164"/>
      <c r="H30" s="2164"/>
    </row>
    <row r="31" spans="1:8" ht="18.75">
      <c r="A31" s="2163" t="s">
        <v>1212</v>
      </c>
      <c r="B31" s="2164"/>
      <c r="C31" s="2164"/>
      <c r="D31" s="2164"/>
      <c r="E31" s="2164"/>
      <c r="F31" s="2164"/>
      <c r="G31" s="2164"/>
      <c r="H31" s="2164"/>
    </row>
    <row r="32" spans="1:8" ht="18.75">
      <c r="A32" s="2163" t="s">
        <v>32</v>
      </c>
      <c r="B32" s="2164"/>
      <c r="C32" s="2164"/>
      <c r="D32" s="2164"/>
      <c r="E32" s="2164"/>
      <c r="F32" s="2164"/>
      <c r="G32" s="2164"/>
      <c r="H32" s="2164"/>
    </row>
    <row r="33" spans="1:10">
      <c r="A33" s="33"/>
    </row>
    <row r="34" spans="1:10" ht="18.75">
      <c r="A34" s="2596" t="s">
        <v>49</v>
      </c>
      <c r="B34" s="2596"/>
      <c r="C34" s="2596"/>
      <c r="D34" s="2596"/>
      <c r="E34" s="2596"/>
      <c r="F34" s="2596"/>
      <c r="G34" s="2596"/>
      <c r="H34" s="2596"/>
    </row>
    <row r="35" spans="1:10" ht="30.75" customHeight="1">
      <c r="A35" s="2766" t="s">
        <v>1291</v>
      </c>
      <c r="B35" s="2767"/>
      <c r="C35" s="2767"/>
      <c r="D35" s="2767"/>
      <c r="E35" s="2767"/>
      <c r="F35" s="2767"/>
      <c r="G35" s="2767"/>
      <c r="H35" s="2767"/>
    </row>
    <row r="36" spans="1:10" ht="15.75" thickBot="1">
      <c r="A36" s="2567" t="s">
        <v>29</v>
      </c>
      <c r="B36" s="2568"/>
      <c r="C36" s="2568"/>
      <c r="D36" s="2568"/>
      <c r="E36" s="2568"/>
      <c r="F36" s="2569"/>
      <c r="G36" s="2570" t="s">
        <v>640</v>
      </c>
      <c r="H36" s="2572" t="s">
        <v>639</v>
      </c>
    </row>
    <row r="37" spans="1:10" ht="75.75" thickBot="1">
      <c r="A37" s="411" t="s">
        <v>39</v>
      </c>
      <c r="B37" s="412" t="s">
        <v>40</v>
      </c>
      <c r="C37" s="412" t="s">
        <v>41</v>
      </c>
      <c r="D37" s="412" t="s">
        <v>45</v>
      </c>
      <c r="E37" s="413" t="s">
        <v>42</v>
      </c>
      <c r="F37" s="407" t="s">
        <v>43</v>
      </c>
      <c r="G37" s="2571"/>
      <c r="H37" s="2572"/>
      <c r="I37" s="767" t="s">
        <v>935</v>
      </c>
    </row>
    <row r="38" spans="1:10">
      <c r="A38" s="34">
        <v>3</v>
      </c>
      <c r="B38" s="23" t="s">
        <v>64</v>
      </c>
      <c r="C38" s="23" t="s">
        <v>61</v>
      </c>
      <c r="D38" s="23" t="s">
        <v>62</v>
      </c>
      <c r="E38" s="23" t="s">
        <v>65</v>
      </c>
      <c r="F38" s="427">
        <v>51101</v>
      </c>
      <c r="G38" s="428" t="s">
        <v>667</v>
      </c>
      <c r="H38" s="420">
        <f>500*12</f>
        <v>6000</v>
      </c>
      <c r="I38" s="420"/>
    </row>
    <row r="39" spans="1:10">
      <c r="A39" s="34">
        <v>3</v>
      </c>
      <c r="B39" s="23" t="s">
        <v>64</v>
      </c>
      <c r="C39" s="23" t="s">
        <v>61</v>
      </c>
      <c r="D39" s="23" t="s">
        <v>62</v>
      </c>
      <c r="E39" s="23" t="s">
        <v>65</v>
      </c>
      <c r="F39" s="427">
        <v>51103</v>
      </c>
      <c r="G39" s="428" t="s">
        <v>308</v>
      </c>
      <c r="H39" s="420">
        <v>500</v>
      </c>
      <c r="I39" s="420"/>
    </row>
    <row r="40" spans="1:10">
      <c r="A40" s="34">
        <v>3</v>
      </c>
      <c r="B40" s="23" t="s">
        <v>64</v>
      </c>
      <c r="C40" s="23" t="s">
        <v>61</v>
      </c>
      <c r="D40" s="23" t="s">
        <v>62</v>
      </c>
      <c r="E40" s="23" t="s">
        <v>65</v>
      </c>
      <c r="F40" s="424" t="s">
        <v>650</v>
      </c>
      <c r="G40" s="416" t="s">
        <v>651</v>
      </c>
      <c r="H40" s="420">
        <v>500</v>
      </c>
      <c r="I40" s="420"/>
    </row>
    <row r="41" spans="1:10" ht="28.5">
      <c r="A41" s="34">
        <v>3</v>
      </c>
      <c r="B41" s="23" t="s">
        <v>64</v>
      </c>
      <c r="C41" s="23" t="s">
        <v>61</v>
      </c>
      <c r="D41" s="23" t="s">
        <v>62</v>
      </c>
      <c r="E41" s="23" t="s">
        <v>65</v>
      </c>
      <c r="F41" s="425">
        <v>51401</v>
      </c>
      <c r="G41" s="416" t="s">
        <v>652</v>
      </c>
      <c r="H41" s="420">
        <v>510</v>
      </c>
      <c r="I41" s="420"/>
    </row>
    <row r="42" spans="1:10" ht="28.5">
      <c r="A42" s="34">
        <v>3</v>
      </c>
      <c r="B42" s="23" t="s">
        <v>64</v>
      </c>
      <c r="C42" s="23" t="s">
        <v>61</v>
      </c>
      <c r="D42" s="23" t="s">
        <v>62</v>
      </c>
      <c r="E42" s="23" t="s">
        <v>65</v>
      </c>
      <c r="F42" s="425">
        <v>51501</v>
      </c>
      <c r="G42" s="416" t="s">
        <v>653</v>
      </c>
      <c r="H42" s="420">
        <v>465</v>
      </c>
      <c r="I42" s="420"/>
    </row>
    <row r="43" spans="1:10">
      <c r="A43" s="34">
        <v>3</v>
      </c>
      <c r="B43" s="23" t="s">
        <v>64</v>
      </c>
      <c r="C43" s="23" t="s">
        <v>61</v>
      </c>
      <c r="D43" s="23" t="s">
        <v>62</v>
      </c>
      <c r="E43" s="23" t="s">
        <v>65</v>
      </c>
      <c r="F43" s="427">
        <v>51202</v>
      </c>
      <c r="G43" s="428" t="s">
        <v>724</v>
      </c>
      <c r="H43" s="420">
        <f>8448+17856</f>
        <v>26304</v>
      </c>
      <c r="I43" s="420"/>
      <c r="J43" s="420">
        <v>5904</v>
      </c>
    </row>
    <row r="44" spans="1:10">
      <c r="A44" s="34" t="s">
        <v>380</v>
      </c>
      <c r="B44" s="23" t="s">
        <v>64</v>
      </c>
      <c r="C44" s="23" t="s">
        <v>61</v>
      </c>
      <c r="D44" s="23" t="s">
        <v>62</v>
      </c>
      <c r="E44" s="23" t="s">
        <v>65</v>
      </c>
      <c r="F44" s="427">
        <v>54106</v>
      </c>
      <c r="G44" s="428" t="s">
        <v>1288</v>
      </c>
      <c r="H44" s="420">
        <v>500</v>
      </c>
      <c r="I44" s="1611"/>
      <c r="J44" s="1611"/>
    </row>
    <row r="45" spans="1:10">
      <c r="A45" s="34">
        <v>3</v>
      </c>
      <c r="B45" s="23" t="s">
        <v>64</v>
      </c>
      <c r="C45" s="23" t="s">
        <v>61</v>
      </c>
      <c r="D45" s="23" t="s">
        <v>62</v>
      </c>
      <c r="E45" s="23" t="s">
        <v>65</v>
      </c>
      <c r="F45" s="414">
        <v>54107</v>
      </c>
      <c r="G45" s="419" t="s">
        <v>743</v>
      </c>
      <c r="H45" s="420">
        <v>800</v>
      </c>
    </row>
    <row r="46" spans="1:10">
      <c r="A46" s="34">
        <v>3</v>
      </c>
      <c r="B46" s="23" t="s">
        <v>64</v>
      </c>
      <c r="C46" s="23" t="s">
        <v>61</v>
      </c>
      <c r="D46" s="23" t="s">
        <v>62</v>
      </c>
      <c r="E46" s="23" t="s">
        <v>65</v>
      </c>
      <c r="F46" s="414">
        <v>54109</v>
      </c>
      <c r="G46" s="419" t="s">
        <v>744</v>
      </c>
      <c r="H46" s="420">
        <v>1000</v>
      </c>
    </row>
    <row r="47" spans="1:10">
      <c r="A47" s="34">
        <v>3</v>
      </c>
      <c r="B47" s="23" t="s">
        <v>64</v>
      </c>
      <c r="C47" s="23" t="s">
        <v>61</v>
      </c>
      <c r="D47" s="23" t="s">
        <v>62</v>
      </c>
      <c r="E47" s="23" t="s">
        <v>65</v>
      </c>
      <c r="F47" s="414">
        <v>54110</v>
      </c>
      <c r="G47" s="419" t="s">
        <v>745</v>
      </c>
      <c r="H47" s="420">
        <v>5000</v>
      </c>
    </row>
    <row r="48" spans="1:10">
      <c r="A48" s="34">
        <v>4</v>
      </c>
      <c r="B48" s="23" t="s">
        <v>64</v>
      </c>
      <c r="C48" s="23" t="s">
        <v>61</v>
      </c>
      <c r="D48" s="23" t="s">
        <v>62</v>
      </c>
      <c r="E48" s="23" t="s">
        <v>65</v>
      </c>
      <c r="F48" s="414">
        <v>54112</v>
      </c>
      <c r="G48" s="419" t="s">
        <v>818</v>
      </c>
      <c r="H48" s="420">
        <v>800</v>
      </c>
      <c r="J48" s="488">
        <v>2000</v>
      </c>
    </row>
    <row r="49" spans="1:11">
      <c r="A49" s="34">
        <v>4</v>
      </c>
      <c r="B49" s="23" t="s">
        <v>64</v>
      </c>
      <c r="C49" s="23" t="s">
        <v>61</v>
      </c>
      <c r="D49" s="23" t="s">
        <v>62</v>
      </c>
      <c r="E49" s="23" t="s">
        <v>65</v>
      </c>
      <c r="F49" s="414">
        <v>54199</v>
      </c>
      <c r="G49" s="419" t="s">
        <v>658</v>
      </c>
      <c r="H49" s="420">
        <v>800</v>
      </c>
    </row>
    <row r="50" spans="1:11">
      <c r="A50" s="34">
        <v>3</v>
      </c>
      <c r="B50" s="23" t="s">
        <v>64</v>
      </c>
      <c r="C50" s="23" t="s">
        <v>61</v>
      </c>
      <c r="D50" s="23" t="s">
        <v>62</v>
      </c>
      <c r="E50" s="23" t="s">
        <v>65</v>
      </c>
      <c r="F50" s="414">
        <v>54302</v>
      </c>
      <c r="G50" s="419" t="s">
        <v>666</v>
      </c>
      <c r="H50" s="420">
        <v>2500</v>
      </c>
    </row>
    <row r="51" spans="1:11">
      <c r="A51" s="34">
        <v>3</v>
      </c>
      <c r="B51" s="23" t="s">
        <v>64</v>
      </c>
      <c r="C51" s="23" t="s">
        <v>61</v>
      </c>
      <c r="D51" s="23" t="s">
        <v>62</v>
      </c>
      <c r="E51" s="23" t="s">
        <v>65</v>
      </c>
      <c r="F51" s="418" t="s">
        <v>677</v>
      </c>
      <c r="G51" s="419" t="s">
        <v>678</v>
      </c>
      <c r="H51" s="420">
        <f>700+121</f>
        <v>821</v>
      </c>
    </row>
    <row r="52" spans="1:11" ht="28.5">
      <c r="A52" s="34">
        <v>3</v>
      </c>
      <c r="B52" s="23" t="s">
        <v>64</v>
      </c>
      <c r="C52" s="23" t="s">
        <v>61</v>
      </c>
      <c r="D52" s="23" t="s">
        <v>62</v>
      </c>
      <c r="E52" s="23" t="s">
        <v>65</v>
      </c>
      <c r="F52" s="496" t="s">
        <v>747</v>
      </c>
      <c r="G52" s="497" t="s">
        <v>890</v>
      </c>
      <c r="H52" s="420">
        <v>28000</v>
      </c>
    </row>
    <row r="53" spans="1:11" hidden="1">
      <c r="A53" s="15"/>
      <c r="B53" s="16"/>
      <c r="C53" s="16"/>
      <c r="D53" s="16"/>
      <c r="E53" s="17"/>
      <c r="F53" s="26"/>
      <c r="G53" s="27"/>
      <c r="H53" s="18"/>
    </row>
    <row r="54" spans="1:11" ht="24" customHeight="1" thickBot="1">
      <c r="A54" s="1034"/>
      <c r="B54" s="1035"/>
      <c r="C54" s="1035"/>
      <c r="D54" s="1035"/>
      <c r="E54" s="1036"/>
      <c r="F54" s="1037"/>
      <c r="G54" s="1038"/>
      <c r="H54" s="1039">
        <f>SUM(H38:H53)</f>
        <v>74500</v>
      </c>
    </row>
    <row r="55" spans="1:11" ht="3.75" customHeight="1" thickBot="1">
      <c r="B55" s="9"/>
      <c r="C55" s="10"/>
      <c r="D55" s="3"/>
      <c r="E55" s="3"/>
      <c r="F55" s="3"/>
    </row>
    <row r="56" spans="1:11">
      <c r="A56" s="2573" t="s">
        <v>693</v>
      </c>
      <c r="B56" s="2574"/>
      <c r="C56" s="2574"/>
      <c r="D56" s="2574"/>
      <c r="E56" s="2574"/>
      <c r="F56" s="2574"/>
      <c r="G56" s="2575" t="s">
        <v>1323</v>
      </c>
      <c r="H56" s="2576"/>
    </row>
    <row r="57" spans="1:11">
      <c r="A57" s="482"/>
      <c r="B57" s="551"/>
      <c r="C57" s="19"/>
      <c r="D57" s="19"/>
      <c r="E57" s="19"/>
      <c r="F57" s="19"/>
      <c r="G57" s="483"/>
      <c r="H57" s="484"/>
    </row>
    <row r="58" spans="1:11" ht="14.25">
      <c r="A58" s="2580" t="s">
        <v>750</v>
      </c>
      <c r="B58" s="2598"/>
      <c r="C58" s="2598"/>
      <c r="D58" s="2598"/>
      <c r="E58" s="2598"/>
      <c r="F58" s="2552"/>
      <c r="G58" s="2580" t="s">
        <v>694</v>
      </c>
      <c r="H58" s="2552"/>
    </row>
    <row r="59" spans="1:11">
      <c r="A59" s="2597" t="s">
        <v>751</v>
      </c>
      <c r="B59" s="2584"/>
      <c r="C59" s="2584"/>
      <c r="D59" s="2584"/>
      <c r="E59" s="2584"/>
      <c r="F59" s="2585"/>
      <c r="G59" s="483"/>
      <c r="H59" s="484"/>
    </row>
    <row r="60" spans="1:11" ht="14.25">
      <c r="A60" s="2586"/>
      <c r="B60" s="2587"/>
      <c r="C60" s="2587"/>
      <c r="D60" s="2587"/>
      <c r="E60" s="2587"/>
      <c r="F60" s="2588"/>
      <c r="G60" s="2589" t="s">
        <v>695</v>
      </c>
      <c r="H60" s="2552"/>
    </row>
    <row r="61" spans="1:11">
      <c r="A61" s="482"/>
      <c r="B61" s="551"/>
      <c r="C61" s="551"/>
      <c r="D61" s="551"/>
      <c r="E61" s="551"/>
      <c r="F61" s="551"/>
      <c r="G61" s="485"/>
      <c r="H61" s="484"/>
      <c r="K61">
        <f>123*4</f>
        <v>492</v>
      </c>
    </row>
    <row r="62" spans="1:11" thickBot="1">
      <c r="A62" s="2590" t="s">
        <v>692</v>
      </c>
      <c r="B62" s="2561"/>
      <c r="C62" s="2561"/>
      <c r="D62" s="2561"/>
      <c r="E62" s="2561"/>
      <c r="F62" s="2562"/>
      <c r="G62" s="2591" t="s">
        <v>696</v>
      </c>
      <c r="H62" s="2562"/>
    </row>
    <row r="63" spans="1:11" ht="6.75" customHeight="1">
      <c r="A63" s="498"/>
      <c r="B63" s="499"/>
      <c r="C63" s="499"/>
      <c r="D63" s="499"/>
      <c r="E63" s="499"/>
      <c r="F63" s="499"/>
      <c r="G63" s="499"/>
      <c r="H63" s="408"/>
    </row>
    <row r="64" spans="1:11">
      <c r="A64" s="500"/>
      <c r="B64" s="501"/>
      <c r="C64" s="501"/>
      <c r="D64" s="501"/>
      <c r="E64" s="501"/>
      <c r="F64" s="501" t="s">
        <v>748</v>
      </c>
      <c r="G64" s="501"/>
      <c r="H64" s="501" t="s">
        <v>749</v>
      </c>
    </row>
    <row r="65" spans="1:8" ht="33.75" customHeight="1">
      <c r="A65" s="2764" t="s">
        <v>1005</v>
      </c>
      <c r="B65" s="2764"/>
      <c r="C65" s="2764"/>
      <c r="D65" s="2764"/>
      <c r="E65" s="2764"/>
      <c r="F65" s="502">
        <f>22 *8</f>
        <v>176</v>
      </c>
      <c r="G65" s="503">
        <f>+F65*4</f>
        <v>704</v>
      </c>
      <c r="H65" s="1050">
        <f>G65*12</f>
        <v>8448</v>
      </c>
    </row>
    <row r="66" spans="1:8" ht="41.25" customHeight="1" thickBot="1">
      <c r="A66" s="2765" t="s">
        <v>1004</v>
      </c>
      <c r="B66" s="2765"/>
      <c r="C66" s="2765"/>
      <c r="D66" s="2765"/>
      <c r="E66" s="2765"/>
      <c r="F66" s="502">
        <f>248*6</f>
        <v>1488</v>
      </c>
      <c r="G66" s="503">
        <f>+F66*12</f>
        <v>17856</v>
      </c>
      <c r="H66" s="504">
        <f>G66</f>
        <v>17856</v>
      </c>
    </row>
    <row r="67" spans="1:8" ht="16.5" thickTop="1" thickBot="1">
      <c r="A67" s="501"/>
      <c r="B67" s="501"/>
      <c r="C67" s="501"/>
      <c r="D67" s="501"/>
      <c r="E67" s="501"/>
      <c r="F67" s="501"/>
      <c r="G67" s="435" t="s">
        <v>199</v>
      </c>
      <c r="H67" s="1051"/>
    </row>
    <row r="68" spans="1:8" ht="15.75" thickTop="1">
      <c r="A68" s="501"/>
      <c r="B68" s="501"/>
      <c r="C68" s="501"/>
      <c r="D68" s="501"/>
      <c r="E68" s="501"/>
      <c r="F68" s="501"/>
      <c r="G68" s="435"/>
      <c r="H68" s="435"/>
    </row>
    <row r="69" spans="1:8" ht="44.25" customHeight="1">
      <c r="A69" s="2601" t="s">
        <v>821</v>
      </c>
      <c r="B69" s="2601"/>
      <c r="C69" s="2601"/>
      <c r="D69" s="2601"/>
      <c r="E69" s="2601"/>
      <c r="F69" s="2601"/>
      <c r="G69" s="2601"/>
      <c r="H69" s="2601"/>
    </row>
    <row r="70" spans="1:8">
      <c r="A70" s="501"/>
      <c r="B70" s="501"/>
      <c r="C70" s="501"/>
      <c r="D70" s="501"/>
      <c r="E70" s="501"/>
      <c r="F70" s="501"/>
      <c r="G70" s="435"/>
      <c r="H70" s="435"/>
    </row>
    <row r="71" spans="1:8">
      <c r="A71" s="501"/>
      <c r="B71" s="501"/>
      <c r="C71" s="501"/>
      <c r="D71" s="501"/>
      <c r="E71" s="501"/>
      <c r="F71" s="501"/>
      <c r="G71" s="435"/>
      <c r="H71" s="435"/>
    </row>
    <row r="72" spans="1:8">
      <c r="A72" s="552"/>
      <c r="B72" s="552"/>
      <c r="C72" s="552"/>
      <c r="D72" s="552"/>
      <c r="E72" s="552"/>
      <c r="F72" s="552"/>
      <c r="G72" s="552"/>
    </row>
    <row r="74" spans="1:8" ht="18">
      <c r="A74" s="33"/>
      <c r="C74" s="7"/>
      <c r="D74" s="7"/>
      <c r="E74" s="7"/>
      <c r="F74" s="7"/>
      <c r="G74" s="7"/>
      <c r="H74" s="20"/>
    </row>
    <row r="75" spans="1:8" ht="18.75">
      <c r="A75" s="2162" t="s">
        <v>111</v>
      </c>
      <c r="B75" s="2164"/>
      <c r="C75" s="2164"/>
      <c r="D75" s="2164"/>
      <c r="E75" s="2164"/>
      <c r="F75" s="2164"/>
      <c r="G75" s="2164"/>
      <c r="H75" s="2164"/>
    </row>
    <row r="76" spans="1:8" ht="18.75">
      <c r="A76" s="2162" t="s">
        <v>757</v>
      </c>
      <c r="B76" s="2164"/>
      <c r="C76" s="2164"/>
      <c r="D76" s="2164"/>
      <c r="E76" s="2164"/>
      <c r="F76" s="2164"/>
      <c r="G76" s="2164"/>
      <c r="H76" s="2164"/>
    </row>
    <row r="77" spans="1:8" ht="18.75">
      <c r="A77" s="2163" t="s">
        <v>211</v>
      </c>
      <c r="B77" s="2164"/>
      <c r="C77" s="2164"/>
      <c r="D77" s="2164"/>
      <c r="E77" s="2164"/>
      <c r="F77" s="2164"/>
      <c r="G77" s="2164"/>
      <c r="H77" s="2164"/>
    </row>
    <row r="78" spans="1:8" ht="18.75">
      <c r="A78" s="2163" t="s">
        <v>1212</v>
      </c>
      <c r="B78" s="2164"/>
      <c r="C78" s="2164"/>
      <c r="D78" s="2164"/>
      <c r="E78" s="2164"/>
      <c r="F78" s="2164"/>
      <c r="G78" s="2164"/>
      <c r="H78" s="2164"/>
    </row>
    <row r="79" spans="1:8" ht="18.75">
      <c r="A79" s="2163" t="s">
        <v>32</v>
      </c>
      <c r="B79" s="2164"/>
      <c r="C79" s="2164"/>
      <c r="D79" s="2164"/>
      <c r="E79" s="2164"/>
      <c r="F79" s="2164"/>
      <c r="G79" s="2164"/>
      <c r="H79" s="2164"/>
    </row>
    <row r="80" spans="1:8">
      <c r="A80" s="33"/>
    </row>
    <row r="81" spans="1:9" ht="18.75">
      <c r="A81" s="2596" t="s">
        <v>49</v>
      </c>
      <c r="B81" s="2596"/>
      <c r="C81" s="2596"/>
      <c r="D81" s="2596"/>
      <c r="E81" s="2596"/>
      <c r="F81" s="2596"/>
      <c r="G81" s="2596"/>
      <c r="H81" s="2596"/>
    </row>
    <row r="82" spans="1:9" ht="28.5" customHeight="1">
      <c r="A82" s="2762" t="s">
        <v>1289</v>
      </c>
      <c r="B82" s="2763"/>
      <c r="C82" s="2763"/>
      <c r="D82" s="2763"/>
      <c r="E82" s="2763"/>
      <c r="F82" s="2763"/>
      <c r="G82" s="2763"/>
      <c r="H82" s="2763"/>
    </row>
    <row r="83" spans="1:9" ht="15.75" thickBot="1">
      <c r="A83" s="2567" t="s">
        <v>29</v>
      </c>
      <c r="B83" s="2568"/>
      <c r="C83" s="2568"/>
      <c r="D83" s="2568"/>
      <c r="E83" s="2568"/>
      <c r="F83" s="2569"/>
      <c r="G83" s="2570" t="s">
        <v>640</v>
      </c>
      <c r="H83" s="2572" t="s">
        <v>639</v>
      </c>
    </row>
    <row r="84" spans="1:9" ht="75.75" thickBot="1">
      <c r="A84" s="411" t="s">
        <v>39</v>
      </c>
      <c r="B84" s="412" t="s">
        <v>40</v>
      </c>
      <c r="C84" s="412" t="s">
        <v>41</v>
      </c>
      <c r="D84" s="412" t="s">
        <v>45</v>
      </c>
      <c r="E84" s="413" t="s">
        <v>42</v>
      </c>
      <c r="F84" s="407" t="s">
        <v>43</v>
      </c>
      <c r="G84" s="2571"/>
      <c r="H84" s="2595"/>
      <c r="I84" s="767" t="s">
        <v>939</v>
      </c>
    </row>
    <row r="85" spans="1:9" ht="21.75" customHeight="1">
      <c r="A85" s="34">
        <v>3</v>
      </c>
      <c r="B85" s="23" t="s">
        <v>64</v>
      </c>
      <c r="C85" s="23" t="s">
        <v>61</v>
      </c>
      <c r="D85" s="23" t="s">
        <v>62</v>
      </c>
      <c r="E85" s="23" t="s">
        <v>65</v>
      </c>
      <c r="F85" s="414">
        <v>56304</v>
      </c>
      <c r="G85" s="419" t="s">
        <v>754</v>
      </c>
      <c r="H85" s="420">
        <v>20000</v>
      </c>
    </row>
    <row r="86" spans="1:9" hidden="1">
      <c r="A86" s="15"/>
      <c r="B86" s="16"/>
      <c r="C86" s="16"/>
      <c r="D86" s="16"/>
      <c r="E86" s="17"/>
      <c r="F86" s="26"/>
      <c r="G86" s="27"/>
      <c r="H86" s="505"/>
    </row>
    <row r="87" spans="1:9" ht="15.75" thickBot="1">
      <c r="A87" s="1034"/>
      <c r="B87" s="1035"/>
      <c r="C87" s="1035"/>
      <c r="D87" s="1035"/>
      <c r="E87" s="1036"/>
      <c r="F87" s="1037"/>
      <c r="G87" s="1038"/>
      <c r="H87" s="1049">
        <f>SUM(H85:H86)</f>
        <v>20000</v>
      </c>
    </row>
    <row r="88" spans="1:9" ht="15.75" thickBot="1">
      <c r="B88" s="9"/>
      <c r="C88" s="10"/>
      <c r="D88" s="3"/>
      <c r="E88" s="3"/>
      <c r="F88" s="3"/>
    </row>
    <row r="89" spans="1:9" ht="15" customHeight="1">
      <c r="A89" s="2573" t="s">
        <v>693</v>
      </c>
      <c r="B89" s="2574"/>
      <c r="C89" s="2574"/>
      <c r="D89" s="2574"/>
      <c r="E89" s="2574"/>
      <c r="F89" s="2574"/>
      <c r="G89" s="2575" t="s">
        <v>1323</v>
      </c>
      <c r="H89" s="2576"/>
    </row>
    <row r="90" spans="1:9">
      <c r="A90" s="482"/>
      <c r="B90" s="551"/>
      <c r="C90" s="19"/>
      <c r="D90" s="19"/>
      <c r="E90" s="19"/>
      <c r="F90" s="19"/>
      <c r="G90" s="483"/>
      <c r="H90" s="484"/>
    </row>
    <row r="91" spans="1:9" ht="14.25">
      <c r="A91" s="2580" t="s">
        <v>755</v>
      </c>
      <c r="B91" s="2598"/>
      <c r="C91" s="2598"/>
      <c r="D91" s="2598"/>
      <c r="E91" s="2598"/>
      <c r="F91" s="2552"/>
      <c r="G91" s="2580" t="s">
        <v>694</v>
      </c>
      <c r="H91" s="2552"/>
    </row>
    <row r="92" spans="1:9">
      <c r="A92" s="2597" t="s">
        <v>756</v>
      </c>
      <c r="B92" s="2584"/>
      <c r="C92" s="2584"/>
      <c r="D92" s="2584"/>
      <c r="E92" s="2584"/>
      <c r="F92" s="2585"/>
      <c r="G92" s="483"/>
      <c r="H92" s="484"/>
    </row>
    <row r="93" spans="1:9" ht="14.25">
      <c r="A93" s="2586"/>
      <c r="B93" s="2587"/>
      <c r="C93" s="2587"/>
      <c r="D93" s="2587"/>
      <c r="E93" s="2587"/>
      <c r="F93" s="2588"/>
      <c r="G93" s="2589" t="s">
        <v>695</v>
      </c>
      <c r="H93" s="2552"/>
    </row>
    <row r="94" spans="1:9">
      <c r="A94" s="482"/>
      <c r="B94" s="551"/>
      <c r="C94" s="551"/>
      <c r="D94" s="551"/>
      <c r="E94" s="551"/>
      <c r="F94" s="551"/>
      <c r="G94" s="485"/>
      <c r="H94" s="484"/>
    </row>
    <row r="95" spans="1:9" thickBot="1">
      <c r="A95" s="2590" t="s">
        <v>692</v>
      </c>
      <c r="B95" s="2561"/>
      <c r="C95" s="2561"/>
      <c r="D95" s="2561"/>
      <c r="E95" s="2561"/>
      <c r="F95" s="2562"/>
      <c r="G95" s="2591" t="s">
        <v>696</v>
      </c>
      <c r="H95" s="2562"/>
    </row>
    <row r="96" spans="1:9">
      <c r="A96" s="553"/>
      <c r="B96" s="554"/>
      <c r="C96" s="554"/>
      <c r="D96" s="554"/>
      <c r="E96" s="554"/>
      <c r="F96" s="554"/>
      <c r="G96" s="555"/>
      <c r="H96" s="554"/>
    </row>
    <row r="97" spans="1:9" ht="37.5" customHeight="1">
      <c r="A97" s="2601" t="s">
        <v>821</v>
      </c>
      <c r="B97" s="2601"/>
      <c r="C97" s="2601"/>
      <c r="D97" s="2601"/>
      <c r="E97" s="2601"/>
      <c r="F97" s="2601"/>
      <c r="G97" s="2601"/>
      <c r="H97" s="2601"/>
    </row>
    <row r="98" spans="1:9">
      <c r="A98" s="553"/>
      <c r="B98" s="554"/>
      <c r="C98" s="554"/>
      <c r="D98" s="554"/>
      <c r="E98" s="554"/>
      <c r="F98" s="554"/>
      <c r="G98" s="555"/>
      <c r="H98" s="554"/>
    </row>
    <row r="99" spans="1:9">
      <c r="A99" s="553"/>
      <c r="B99" s="554"/>
      <c r="C99" s="554"/>
      <c r="D99" s="554"/>
      <c r="E99" s="554"/>
      <c r="F99" s="554"/>
      <c r="G99" s="555"/>
      <c r="H99" s="554"/>
    </row>
    <row r="103" spans="1:9" ht="18.75">
      <c r="A103" s="2162" t="s">
        <v>111</v>
      </c>
      <c r="B103" s="2164"/>
      <c r="C103" s="2164"/>
      <c r="D103" s="2164"/>
      <c r="E103" s="2164"/>
      <c r="F103" s="2164"/>
      <c r="G103" s="2164"/>
      <c r="H103" s="2164"/>
    </row>
    <row r="104" spans="1:9" ht="18.75">
      <c r="A104" s="2162" t="s">
        <v>757</v>
      </c>
      <c r="B104" s="2164"/>
      <c r="C104" s="2164"/>
      <c r="D104" s="2164"/>
      <c r="E104" s="2164"/>
      <c r="F104" s="2164"/>
      <c r="G104" s="2164"/>
      <c r="H104" s="2164"/>
    </row>
    <row r="105" spans="1:9" ht="18.75">
      <c r="A105" s="2163" t="s">
        <v>211</v>
      </c>
      <c r="B105" s="2164"/>
      <c r="C105" s="2164"/>
      <c r="D105" s="2164"/>
      <c r="E105" s="2164"/>
      <c r="F105" s="2164"/>
      <c r="G105" s="2164"/>
      <c r="H105" s="2164"/>
    </row>
    <row r="106" spans="1:9" ht="18.75">
      <c r="A106" s="2163" t="s">
        <v>1212</v>
      </c>
      <c r="B106" s="2164"/>
      <c r="C106" s="2164"/>
      <c r="D106" s="2164"/>
      <c r="E106" s="2164"/>
      <c r="F106" s="2164"/>
      <c r="G106" s="2164"/>
      <c r="H106" s="2164"/>
    </row>
    <row r="107" spans="1:9" ht="18.75">
      <c r="A107" s="2163" t="s">
        <v>32</v>
      </c>
      <c r="B107" s="2164"/>
      <c r="C107" s="2164"/>
      <c r="D107" s="2164"/>
      <c r="E107" s="2164"/>
      <c r="F107" s="2164"/>
      <c r="G107" s="2164"/>
      <c r="H107" s="2164"/>
    </row>
    <row r="108" spans="1:9">
      <c r="A108" s="33"/>
    </row>
    <row r="109" spans="1:9" ht="18.75">
      <c r="A109" s="2596" t="s">
        <v>49</v>
      </c>
      <c r="B109" s="2596"/>
      <c r="C109" s="2596"/>
      <c r="D109" s="2596"/>
      <c r="E109" s="2596"/>
      <c r="F109" s="2596"/>
      <c r="G109" s="2596"/>
      <c r="H109" s="2596"/>
    </row>
    <row r="110" spans="1:9" ht="45" customHeight="1">
      <c r="A110" s="2760" t="s">
        <v>1292</v>
      </c>
      <c r="B110" s="2761"/>
      <c r="C110" s="2761"/>
      <c r="D110" s="2761"/>
      <c r="E110" s="2761"/>
      <c r="F110" s="2761"/>
      <c r="G110" s="2761"/>
      <c r="H110" s="2761"/>
    </row>
    <row r="111" spans="1:9" ht="15.75" thickBot="1">
      <c r="A111" s="2567" t="s">
        <v>29</v>
      </c>
      <c r="B111" s="2568"/>
      <c r="C111" s="2568"/>
      <c r="D111" s="2568"/>
      <c r="E111" s="2568"/>
      <c r="F111" s="2569"/>
      <c r="G111" s="2570" t="s">
        <v>640</v>
      </c>
      <c r="H111" s="2572" t="s">
        <v>639</v>
      </c>
    </row>
    <row r="112" spans="1:9" ht="75.75" thickBot="1">
      <c r="A112" s="411" t="s">
        <v>39</v>
      </c>
      <c r="B112" s="412" t="s">
        <v>40</v>
      </c>
      <c r="C112" s="412" t="s">
        <v>41</v>
      </c>
      <c r="D112" s="412" t="s">
        <v>45</v>
      </c>
      <c r="E112" s="413" t="s">
        <v>42</v>
      </c>
      <c r="F112" s="407" t="s">
        <v>43</v>
      </c>
      <c r="G112" s="2571"/>
      <c r="H112" s="2595"/>
      <c r="I112" s="767" t="s">
        <v>939</v>
      </c>
    </row>
    <row r="113" spans="1:8">
      <c r="A113" s="34">
        <v>3</v>
      </c>
      <c r="B113" s="23" t="s">
        <v>64</v>
      </c>
      <c r="C113" s="23" t="s">
        <v>61</v>
      </c>
      <c r="D113" s="23" t="s">
        <v>62</v>
      </c>
      <c r="E113" s="23" t="s">
        <v>65</v>
      </c>
      <c r="F113" s="423" t="s">
        <v>55</v>
      </c>
      <c r="G113" s="415" t="s">
        <v>1003</v>
      </c>
      <c r="H113" s="24">
        <f>370*12</f>
        <v>4440</v>
      </c>
    </row>
    <row r="114" spans="1:8">
      <c r="A114" s="34">
        <v>3</v>
      </c>
      <c r="B114" s="23" t="s">
        <v>64</v>
      </c>
      <c r="C114" s="23" t="s">
        <v>61</v>
      </c>
      <c r="D114" s="23" t="s">
        <v>62</v>
      </c>
      <c r="E114" s="23" t="s">
        <v>65</v>
      </c>
      <c r="F114" s="424" t="s">
        <v>113</v>
      </c>
      <c r="G114" s="416" t="s">
        <v>649</v>
      </c>
      <c r="H114" s="24">
        <v>370</v>
      </c>
    </row>
    <row r="115" spans="1:8">
      <c r="A115" s="34">
        <v>3</v>
      </c>
      <c r="B115" s="23" t="s">
        <v>64</v>
      </c>
      <c r="C115" s="23" t="s">
        <v>61</v>
      </c>
      <c r="D115" s="23" t="s">
        <v>62</v>
      </c>
      <c r="E115" s="23" t="s">
        <v>65</v>
      </c>
      <c r="F115" s="424" t="s">
        <v>650</v>
      </c>
      <c r="G115" s="416" t="s">
        <v>651</v>
      </c>
      <c r="H115" s="24">
        <v>370</v>
      </c>
    </row>
    <row r="116" spans="1:8" ht="28.5">
      <c r="A116" s="34">
        <v>3</v>
      </c>
      <c r="B116" s="23" t="s">
        <v>64</v>
      </c>
      <c r="C116" s="23" t="s">
        <v>61</v>
      </c>
      <c r="D116" s="23" t="s">
        <v>62</v>
      </c>
      <c r="E116" s="23" t="s">
        <v>65</v>
      </c>
      <c r="F116" s="425">
        <v>51401</v>
      </c>
      <c r="G116" s="416" t="s">
        <v>652</v>
      </c>
      <c r="H116" s="25">
        <f>333+44.4</f>
        <v>377.4</v>
      </c>
    </row>
    <row r="117" spans="1:8" ht="28.5">
      <c r="A117" s="34">
        <v>3</v>
      </c>
      <c r="B117" s="23" t="s">
        <v>64</v>
      </c>
      <c r="C117" s="23" t="s">
        <v>61</v>
      </c>
      <c r="D117" s="23" t="s">
        <v>62</v>
      </c>
      <c r="E117" s="23" t="s">
        <v>65</v>
      </c>
      <c r="F117" s="425">
        <v>51501</v>
      </c>
      <c r="G117" s="416" t="s">
        <v>653</v>
      </c>
      <c r="H117" s="25">
        <v>344.1</v>
      </c>
    </row>
    <row r="118" spans="1:8">
      <c r="A118" s="34">
        <v>3</v>
      </c>
      <c r="B118" s="23" t="s">
        <v>64</v>
      </c>
      <c r="C118" s="23" t="s">
        <v>61</v>
      </c>
      <c r="D118" s="23" t="s">
        <v>62</v>
      </c>
      <c r="E118" s="23" t="s">
        <v>65</v>
      </c>
      <c r="F118" s="414">
        <v>54105</v>
      </c>
      <c r="G118" s="419" t="s">
        <v>1025</v>
      </c>
      <c r="H118" s="492">
        <v>350</v>
      </c>
    </row>
    <row r="119" spans="1:8">
      <c r="A119" s="34">
        <v>3</v>
      </c>
      <c r="B119" s="23" t="s">
        <v>64</v>
      </c>
      <c r="C119" s="23" t="s">
        <v>61</v>
      </c>
      <c r="D119" s="23" t="s">
        <v>62</v>
      </c>
      <c r="E119" s="23" t="s">
        <v>65</v>
      </c>
      <c r="F119" s="425">
        <v>54199</v>
      </c>
      <c r="G119" s="419" t="s">
        <v>1026</v>
      </c>
      <c r="H119" s="492">
        <v>248.5</v>
      </c>
    </row>
    <row r="120" spans="1:8" ht="15.75" thickBot="1">
      <c r="A120" s="1034"/>
      <c r="B120" s="1035"/>
      <c r="C120" s="1035"/>
      <c r="D120" s="1035"/>
      <c r="E120" s="1036"/>
      <c r="F120" s="1037"/>
      <c r="G120" s="1038"/>
      <c r="H120" s="1039">
        <f>SUM(H113:H119)</f>
        <v>6500</v>
      </c>
    </row>
    <row r="121" spans="1:8" ht="15.75" thickBot="1">
      <c r="B121" s="9"/>
      <c r="C121" s="10"/>
      <c r="D121" s="3"/>
      <c r="E121" s="3"/>
      <c r="F121" s="3"/>
    </row>
    <row r="122" spans="1:8" ht="15" customHeight="1">
      <c r="A122" s="2573" t="s">
        <v>693</v>
      </c>
      <c r="B122" s="2574"/>
      <c r="C122" s="2574"/>
      <c r="D122" s="2574"/>
      <c r="E122" s="2574"/>
      <c r="F122" s="2574"/>
      <c r="G122" s="2575" t="s">
        <v>1323</v>
      </c>
      <c r="H122" s="2576"/>
    </row>
    <row r="123" spans="1:8">
      <c r="A123" s="482"/>
      <c r="B123" s="551"/>
      <c r="C123" s="19"/>
      <c r="D123" s="19"/>
      <c r="E123" s="19"/>
      <c r="F123" s="19"/>
      <c r="G123" s="483"/>
      <c r="H123" s="484"/>
    </row>
    <row r="124" spans="1:8" ht="31.5" customHeight="1">
      <c r="A124" s="2580" t="s">
        <v>714</v>
      </c>
      <c r="B124" s="2598"/>
      <c r="C124" s="2598"/>
      <c r="D124" s="2598"/>
      <c r="E124" s="2598"/>
      <c r="F124" s="2552"/>
      <c r="G124" s="2580" t="s">
        <v>694</v>
      </c>
      <c r="H124" s="2552"/>
    </row>
    <row r="125" spans="1:8">
      <c r="A125" s="2597" t="s">
        <v>712</v>
      </c>
      <c r="B125" s="2584"/>
      <c r="C125" s="2584"/>
      <c r="D125" s="2584"/>
      <c r="E125" s="2584"/>
      <c r="F125" s="2585"/>
      <c r="G125" s="483"/>
      <c r="H125" s="484"/>
    </row>
    <row r="126" spans="1:8" ht="33.75" customHeight="1">
      <c r="A126" s="2586"/>
      <c r="B126" s="2587"/>
      <c r="C126" s="2587"/>
      <c r="D126" s="2587"/>
      <c r="E126" s="2587"/>
      <c r="F126" s="2588"/>
      <c r="G126" s="2589" t="s">
        <v>695</v>
      </c>
      <c r="H126" s="2552"/>
    </row>
    <row r="127" spans="1:8">
      <c r="A127" s="482"/>
      <c r="B127" s="551"/>
      <c r="C127" s="551"/>
      <c r="D127" s="551"/>
      <c r="E127" s="551"/>
      <c r="F127" s="551"/>
      <c r="G127" s="485"/>
      <c r="H127" s="484"/>
    </row>
    <row r="128" spans="1:8" thickBot="1">
      <c r="A128" s="2590" t="s">
        <v>692</v>
      </c>
      <c r="B128" s="2561"/>
      <c r="C128" s="2561"/>
      <c r="D128" s="2561"/>
      <c r="E128" s="2561"/>
      <c r="F128" s="2562"/>
      <c r="G128" s="2591" t="s">
        <v>696</v>
      </c>
      <c r="H128" s="2562"/>
    </row>
    <row r="130" spans="1:8" ht="40.5" customHeight="1">
      <c r="A130" s="2601" t="s">
        <v>821</v>
      </c>
      <c r="B130" s="2601"/>
      <c r="C130" s="2601"/>
      <c r="D130" s="2601"/>
      <c r="E130" s="2601"/>
      <c r="F130" s="2601"/>
      <c r="G130" s="2601"/>
      <c r="H130" s="2601"/>
    </row>
    <row r="137" spans="1:8" ht="18.75">
      <c r="A137" s="2703" t="s">
        <v>111</v>
      </c>
      <c r="B137" s="2705"/>
      <c r="C137" s="2705"/>
      <c r="D137" s="2705"/>
      <c r="E137" s="2705"/>
      <c r="F137" s="2705"/>
      <c r="G137" s="2705"/>
      <c r="H137" s="2705"/>
    </row>
    <row r="138" spans="1:8" ht="18.75">
      <c r="A138" s="2703" t="s">
        <v>757</v>
      </c>
      <c r="B138" s="2705"/>
      <c r="C138" s="2705"/>
      <c r="D138" s="2705"/>
      <c r="E138" s="2705"/>
      <c r="F138" s="2705"/>
      <c r="G138" s="2705"/>
      <c r="H138" s="2705"/>
    </row>
    <row r="139" spans="1:8" ht="18.75">
      <c r="A139" s="2704" t="s">
        <v>211</v>
      </c>
      <c r="B139" s="2705"/>
      <c r="C139" s="2705"/>
      <c r="D139" s="2705"/>
      <c r="E139" s="2705"/>
      <c r="F139" s="2705"/>
      <c r="G139" s="2705"/>
      <c r="H139" s="2705"/>
    </row>
    <row r="140" spans="1:8" ht="18.75">
      <c r="A140" s="2704" t="s">
        <v>1006</v>
      </c>
      <c r="B140" s="2705"/>
      <c r="C140" s="2705"/>
      <c r="D140" s="2705"/>
      <c r="E140" s="2705"/>
      <c r="F140" s="2705"/>
      <c r="G140" s="2705"/>
      <c r="H140" s="2705"/>
    </row>
    <row r="141" spans="1:8" ht="18.75">
      <c r="A141" s="2704" t="s">
        <v>32</v>
      </c>
      <c r="B141" s="2705"/>
      <c r="C141" s="2705"/>
      <c r="D141" s="2705"/>
      <c r="E141" s="2705"/>
      <c r="F141" s="2705"/>
      <c r="G141" s="2705"/>
      <c r="H141" s="2705"/>
    </row>
    <row r="142" spans="1:8">
      <c r="A142" s="814"/>
      <c r="B142" s="815"/>
      <c r="C142" s="816"/>
      <c r="D142" s="817"/>
      <c r="E142" s="817"/>
      <c r="F142" s="817"/>
      <c r="G142" s="818"/>
      <c r="H142" s="819"/>
    </row>
    <row r="143" spans="1:8" ht="18.75">
      <c r="A143" s="2741" t="s">
        <v>49</v>
      </c>
      <c r="B143" s="2741"/>
      <c r="C143" s="2741"/>
      <c r="D143" s="2741"/>
      <c r="E143" s="2741"/>
      <c r="F143" s="2741"/>
      <c r="G143" s="2741"/>
      <c r="H143" s="2741"/>
    </row>
    <row r="144" spans="1:8" ht="30.75" customHeight="1">
      <c r="A144" s="2717" t="s">
        <v>1124</v>
      </c>
      <c r="B144" s="2718"/>
      <c r="C144" s="2718"/>
      <c r="D144" s="2718"/>
      <c r="E144" s="2718"/>
      <c r="F144" s="2718"/>
      <c r="G144" s="2718"/>
      <c r="H144" s="2718"/>
    </row>
    <row r="145" spans="1:9" ht="15.75" thickBot="1">
      <c r="A145" s="2719" t="s">
        <v>29</v>
      </c>
      <c r="B145" s="2720"/>
      <c r="C145" s="2720"/>
      <c r="D145" s="2720"/>
      <c r="E145" s="2720"/>
      <c r="F145" s="2721"/>
      <c r="G145" s="2722" t="s">
        <v>640</v>
      </c>
      <c r="H145" s="2715" t="s">
        <v>639</v>
      </c>
    </row>
    <row r="146" spans="1:9" ht="75.75" thickBot="1">
      <c r="A146" s="1106" t="s">
        <v>39</v>
      </c>
      <c r="B146" s="1107" t="s">
        <v>40</v>
      </c>
      <c r="C146" s="1107" t="s">
        <v>41</v>
      </c>
      <c r="D146" s="1107" t="s">
        <v>45</v>
      </c>
      <c r="E146" s="1108" t="s">
        <v>42</v>
      </c>
      <c r="F146" s="823" t="s">
        <v>43</v>
      </c>
      <c r="G146" s="2713"/>
      <c r="H146" s="2723"/>
      <c r="I146" s="767" t="s">
        <v>939</v>
      </c>
    </row>
    <row r="147" spans="1:9">
      <c r="A147" s="824">
        <v>3</v>
      </c>
      <c r="B147" s="825" t="s">
        <v>64</v>
      </c>
      <c r="C147" s="825" t="s">
        <v>61</v>
      </c>
      <c r="D147" s="825" t="s">
        <v>62</v>
      </c>
      <c r="E147" s="825" t="s">
        <v>65</v>
      </c>
      <c r="F147" s="1173" t="s">
        <v>55</v>
      </c>
      <c r="G147" s="1174" t="s">
        <v>948</v>
      </c>
      <c r="H147" s="828">
        <v>5520</v>
      </c>
    </row>
    <row r="148" spans="1:9">
      <c r="A148" s="824">
        <v>3</v>
      </c>
      <c r="B148" s="825" t="s">
        <v>64</v>
      </c>
      <c r="C148" s="825" t="s">
        <v>61</v>
      </c>
      <c r="D148" s="825" t="s">
        <v>62</v>
      </c>
      <c r="E148" s="825" t="s">
        <v>65</v>
      </c>
      <c r="F148" s="1175" t="s">
        <v>113</v>
      </c>
      <c r="G148" s="1176" t="s">
        <v>649</v>
      </c>
      <c r="H148" s="828">
        <v>460</v>
      </c>
    </row>
    <row r="149" spans="1:9">
      <c r="A149" s="824">
        <v>3</v>
      </c>
      <c r="B149" s="825" t="s">
        <v>64</v>
      </c>
      <c r="C149" s="825" t="s">
        <v>61</v>
      </c>
      <c r="D149" s="825" t="s">
        <v>62</v>
      </c>
      <c r="E149" s="825" t="s">
        <v>65</v>
      </c>
      <c r="F149" s="1175" t="s">
        <v>650</v>
      </c>
      <c r="G149" s="1176" t="s">
        <v>651</v>
      </c>
      <c r="H149" s="828">
        <v>460</v>
      </c>
    </row>
    <row r="150" spans="1:9" ht="28.5">
      <c r="A150" s="824">
        <v>3</v>
      </c>
      <c r="B150" s="825" t="s">
        <v>64</v>
      </c>
      <c r="C150" s="825" t="s">
        <v>61</v>
      </c>
      <c r="D150" s="825" t="s">
        <v>62</v>
      </c>
      <c r="E150" s="825" t="s">
        <v>65</v>
      </c>
      <c r="F150" s="1177">
        <v>51401</v>
      </c>
      <c r="G150" s="1176" t="s">
        <v>652</v>
      </c>
      <c r="H150" s="830">
        <v>414</v>
      </c>
    </row>
    <row r="151" spans="1:9" ht="28.5">
      <c r="A151" s="824">
        <v>3</v>
      </c>
      <c r="B151" s="825" t="s">
        <v>64</v>
      </c>
      <c r="C151" s="825" t="s">
        <v>61</v>
      </c>
      <c r="D151" s="825" t="s">
        <v>62</v>
      </c>
      <c r="E151" s="825" t="s">
        <v>65</v>
      </c>
      <c r="F151" s="1177">
        <v>51501</v>
      </c>
      <c r="G151" s="1176" t="s">
        <v>653</v>
      </c>
      <c r="H151" s="830">
        <v>427.8</v>
      </c>
    </row>
    <row r="152" spans="1:9" hidden="1">
      <c r="A152" s="824">
        <v>3</v>
      </c>
      <c r="B152" s="825" t="s">
        <v>64</v>
      </c>
      <c r="C152" s="825" t="s">
        <v>61</v>
      </c>
      <c r="D152" s="825" t="s">
        <v>62</v>
      </c>
      <c r="E152" s="825" t="s">
        <v>65</v>
      </c>
      <c r="F152" s="1177">
        <v>54109</v>
      </c>
      <c r="G152" s="827" t="s">
        <v>663</v>
      </c>
      <c r="H152" s="830"/>
    </row>
    <row r="153" spans="1:9" ht="28.5" hidden="1">
      <c r="A153" s="824">
        <v>3</v>
      </c>
      <c r="B153" s="825" t="s">
        <v>64</v>
      </c>
      <c r="C153" s="825" t="s">
        <v>61</v>
      </c>
      <c r="D153" s="825" t="s">
        <v>62</v>
      </c>
      <c r="E153" s="825" t="s">
        <v>65</v>
      </c>
      <c r="F153" s="826">
        <v>54110</v>
      </c>
      <c r="G153" s="827" t="s">
        <v>1125</v>
      </c>
      <c r="H153" s="830"/>
    </row>
    <row r="154" spans="1:9">
      <c r="A154" s="824">
        <v>3</v>
      </c>
      <c r="B154" s="825" t="s">
        <v>64</v>
      </c>
      <c r="C154" s="825" t="s">
        <v>61</v>
      </c>
      <c r="D154" s="825" t="s">
        <v>62</v>
      </c>
      <c r="E154" s="825" t="s">
        <v>65</v>
      </c>
      <c r="F154" s="1178">
        <v>54302</v>
      </c>
      <c r="G154" s="1176" t="s">
        <v>662</v>
      </c>
      <c r="H154" s="830">
        <f>258+200+260.2</f>
        <v>718.2</v>
      </c>
    </row>
    <row r="155" spans="1:9" ht="24" customHeight="1" thickBot="1">
      <c r="A155" s="833"/>
      <c r="B155" s="834"/>
      <c r="C155" s="834"/>
      <c r="D155" s="834"/>
      <c r="E155" s="835"/>
      <c r="F155" s="836"/>
      <c r="G155" s="837"/>
      <c r="H155" s="838">
        <f>SUM(H147:H154)</f>
        <v>8000</v>
      </c>
    </row>
    <row r="156" spans="1:9" ht="13.5" thickBot="1">
      <c r="A156" s="1146"/>
      <c r="B156" s="1146"/>
      <c r="C156" s="1146"/>
      <c r="D156" s="1146"/>
      <c r="E156" s="1146"/>
      <c r="F156" s="1146"/>
      <c r="G156" s="1146"/>
      <c r="H156" s="1146"/>
    </row>
    <row r="157" spans="1:9" ht="15" customHeight="1">
      <c r="A157" s="2685" t="s">
        <v>693</v>
      </c>
      <c r="B157" s="2686"/>
      <c r="C157" s="2686"/>
      <c r="D157" s="2686"/>
      <c r="E157" s="2686"/>
      <c r="F157" s="2686"/>
      <c r="G157" s="2687" t="s">
        <v>1021</v>
      </c>
      <c r="H157" s="2688"/>
    </row>
    <row r="158" spans="1:9">
      <c r="A158" s="842"/>
      <c r="B158" s="843"/>
      <c r="C158" s="844"/>
      <c r="D158" s="844"/>
      <c r="E158" s="844"/>
      <c r="F158" s="844"/>
      <c r="G158" s="845"/>
      <c r="H158" s="846"/>
    </row>
    <row r="159" spans="1:9" ht="14.25">
      <c r="A159" s="2689" t="s">
        <v>710</v>
      </c>
      <c r="B159" s="2690"/>
      <c r="C159" s="2690"/>
      <c r="D159" s="2690"/>
      <c r="E159" s="2690"/>
      <c r="F159" s="2691"/>
      <c r="G159" s="2689" t="s">
        <v>694</v>
      </c>
      <c r="H159" s="2691"/>
    </row>
    <row r="160" spans="1:9">
      <c r="A160" s="2692" t="s">
        <v>709</v>
      </c>
      <c r="B160" s="2693"/>
      <c r="C160" s="2693"/>
      <c r="D160" s="2693"/>
      <c r="E160" s="2693"/>
      <c r="F160" s="2694"/>
      <c r="G160" s="845"/>
      <c r="H160" s="846"/>
    </row>
    <row r="161" spans="1:8" ht="33" customHeight="1">
      <c r="A161" s="2695"/>
      <c r="B161" s="2696"/>
      <c r="C161" s="2696"/>
      <c r="D161" s="2696"/>
      <c r="E161" s="2696"/>
      <c r="F161" s="2697"/>
      <c r="G161" s="2698" t="s">
        <v>695</v>
      </c>
      <c r="H161" s="2691"/>
    </row>
    <row r="162" spans="1:8">
      <c r="A162" s="842"/>
      <c r="B162" s="843"/>
      <c r="C162" s="843"/>
      <c r="D162" s="843"/>
      <c r="E162" s="843"/>
      <c r="F162" s="843"/>
      <c r="G162" s="847"/>
      <c r="H162" s="846"/>
    </row>
    <row r="163" spans="1:8" thickBot="1">
      <c r="A163" s="2699" t="s">
        <v>692</v>
      </c>
      <c r="B163" s="2700"/>
      <c r="C163" s="2700"/>
      <c r="D163" s="2700"/>
      <c r="E163" s="2700"/>
      <c r="F163" s="2701"/>
      <c r="G163" s="2702" t="s">
        <v>696</v>
      </c>
      <c r="H163" s="2701"/>
    </row>
    <row r="164" spans="1:8">
      <c r="A164" s="1121"/>
      <c r="B164" s="1122"/>
      <c r="C164" s="1122"/>
      <c r="D164" s="1122"/>
      <c r="E164" s="1122"/>
      <c r="F164" s="1122"/>
      <c r="G164" s="1123"/>
      <c r="H164" s="1122"/>
    </row>
    <row r="165" spans="1:8" ht="40.5" customHeight="1">
      <c r="A165" s="2716" t="s">
        <v>821</v>
      </c>
      <c r="B165" s="2716"/>
      <c r="C165" s="2716"/>
      <c r="D165" s="2716"/>
      <c r="E165" s="2716"/>
      <c r="F165" s="2716"/>
      <c r="G165" s="2716"/>
      <c r="H165" s="2716"/>
    </row>
    <row r="166" spans="1:8">
      <c r="A166" s="553"/>
      <c r="B166" s="554"/>
      <c r="C166" s="554"/>
      <c r="D166" s="554"/>
      <c r="E166" s="554"/>
      <c r="F166" s="554"/>
      <c r="G166" s="555"/>
      <c r="H166" s="554"/>
    </row>
    <row r="167" spans="1:8">
      <c r="A167" s="553"/>
      <c r="B167" s="554"/>
      <c r="C167" s="554"/>
      <c r="D167" s="554"/>
      <c r="E167" s="554"/>
      <c r="F167" s="554"/>
      <c r="G167" s="555"/>
      <c r="H167" s="554"/>
    </row>
    <row r="170" spans="1:8" ht="18.75">
      <c r="A170" s="2162" t="s">
        <v>111</v>
      </c>
      <c r="B170" s="2162"/>
      <c r="C170" s="2162"/>
      <c r="D170" s="2162"/>
      <c r="E170" s="2162"/>
      <c r="F170" s="2162"/>
      <c r="G170" s="2162"/>
      <c r="H170" s="2162"/>
    </row>
    <row r="171" spans="1:8" ht="12.75">
      <c r="A171"/>
      <c r="B171"/>
      <c r="C171"/>
      <c r="D171"/>
      <c r="E171"/>
      <c r="F171"/>
      <c r="G171"/>
      <c r="H171"/>
    </row>
    <row r="172" spans="1:8" ht="18.75">
      <c r="A172" s="2163" t="s">
        <v>211</v>
      </c>
      <c r="B172" s="2164"/>
      <c r="C172" s="2164"/>
      <c r="D172" s="2164"/>
      <c r="E172" s="2164"/>
      <c r="F172" s="2164"/>
      <c r="G172" s="2164"/>
      <c r="H172" s="2164"/>
    </row>
    <row r="173" spans="1:8" ht="18.75">
      <c r="A173" s="2163" t="s">
        <v>1212</v>
      </c>
      <c r="B173" s="2164"/>
      <c r="C173" s="2164"/>
      <c r="D173" s="2164"/>
      <c r="E173" s="2164"/>
      <c r="F173" s="2164"/>
      <c r="G173" s="2164"/>
      <c r="H173" s="2164"/>
    </row>
    <row r="174" spans="1:8" ht="18.75">
      <c r="A174" s="2163" t="s">
        <v>32</v>
      </c>
      <c r="B174" s="2164"/>
      <c r="C174" s="2164"/>
      <c r="D174" s="2164"/>
      <c r="E174" s="2164"/>
      <c r="F174" s="2164"/>
      <c r="G174" s="2164"/>
      <c r="H174" s="2164"/>
    </row>
    <row r="175" spans="1:8">
      <c r="A175" s="33"/>
    </row>
    <row r="176" spans="1:8" ht="18.75">
      <c r="A176" s="2596" t="s">
        <v>49</v>
      </c>
      <c r="B176" s="2596"/>
      <c r="C176" s="2596"/>
      <c r="D176" s="2596"/>
      <c r="E176" s="2596"/>
      <c r="F176" s="2596"/>
      <c r="G176" s="2596"/>
      <c r="H176" s="2596"/>
    </row>
    <row r="177" spans="1:9" ht="41.25" customHeight="1">
      <c r="A177" s="2758" t="s">
        <v>1293</v>
      </c>
      <c r="B177" s="2759"/>
      <c r="C177" s="2759"/>
      <c r="D177" s="2759"/>
      <c r="E177" s="2759"/>
      <c r="F177" s="2759"/>
      <c r="G177" s="2759"/>
      <c r="H177" s="2759"/>
    </row>
    <row r="178" spans="1:9" ht="15.75" thickBot="1">
      <c r="A178" s="2567" t="s">
        <v>29</v>
      </c>
      <c r="B178" s="2568"/>
      <c r="C178" s="2568"/>
      <c r="D178" s="2568"/>
      <c r="E178" s="2568"/>
      <c r="F178" s="2569"/>
      <c r="G178" s="2570" t="s">
        <v>640</v>
      </c>
      <c r="H178" s="2572" t="s">
        <v>639</v>
      </c>
    </row>
    <row r="179" spans="1:9" ht="75.75" thickBot="1">
      <c r="A179" s="403" t="s">
        <v>39</v>
      </c>
      <c r="B179" s="404" t="s">
        <v>40</v>
      </c>
      <c r="C179" s="405" t="s">
        <v>41</v>
      </c>
      <c r="D179" s="404" t="s">
        <v>45</v>
      </c>
      <c r="E179" s="406" t="s">
        <v>42</v>
      </c>
      <c r="F179" s="407" t="s">
        <v>43</v>
      </c>
      <c r="G179" s="2571"/>
      <c r="H179" s="2595"/>
      <c r="I179" s="766" t="s">
        <v>935</v>
      </c>
    </row>
    <row r="180" spans="1:9">
      <c r="A180" s="34">
        <v>3</v>
      </c>
      <c r="B180" s="23" t="s">
        <v>64</v>
      </c>
      <c r="C180" s="23" t="s">
        <v>61</v>
      </c>
      <c r="D180" s="23" t="s">
        <v>62</v>
      </c>
      <c r="E180" s="23" t="s">
        <v>65</v>
      </c>
      <c r="F180" s="14" t="s">
        <v>209</v>
      </c>
      <c r="G180" s="28" t="s">
        <v>208</v>
      </c>
      <c r="H180" s="24">
        <v>3050</v>
      </c>
    </row>
    <row r="181" spans="1:9">
      <c r="A181" s="34">
        <v>3</v>
      </c>
      <c r="B181" s="23" t="s">
        <v>64</v>
      </c>
      <c r="C181" s="23" t="s">
        <v>61</v>
      </c>
      <c r="D181" s="23" t="s">
        <v>62</v>
      </c>
      <c r="E181" s="23" t="s">
        <v>65</v>
      </c>
      <c r="F181" s="409" t="s">
        <v>498</v>
      </c>
      <c r="G181" s="410" t="s">
        <v>210</v>
      </c>
      <c r="H181" s="24">
        <v>200</v>
      </c>
    </row>
    <row r="182" spans="1:9">
      <c r="A182" s="34">
        <v>3</v>
      </c>
      <c r="B182" s="23" t="s">
        <v>64</v>
      </c>
      <c r="C182" s="23" t="s">
        <v>61</v>
      </c>
      <c r="D182" s="23" t="s">
        <v>62</v>
      </c>
      <c r="E182" s="23" t="s">
        <v>65</v>
      </c>
      <c r="F182" s="409" t="s">
        <v>642</v>
      </c>
      <c r="G182" s="410" t="s">
        <v>643</v>
      </c>
      <c r="H182" s="24">
        <v>500</v>
      </c>
    </row>
    <row r="183" spans="1:9">
      <c r="A183" s="34">
        <v>3</v>
      </c>
      <c r="B183" s="23" t="s">
        <v>64</v>
      </c>
      <c r="C183" s="23" t="s">
        <v>61</v>
      </c>
      <c r="D183" s="23" t="s">
        <v>62</v>
      </c>
      <c r="E183" s="23" t="s">
        <v>65</v>
      </c>
      <c r="F183" s="13">
        <v>54111</v>
      </c>
      <c r="G183" s="22" t="s">
        <v>58</v>
      </c>
      <c r="H183" s="25">
        <v>1400</v>
      </c>
    </row>
    <row r="184" spans="1:9">
      <c r="A184" s="34">
        <v>3</v>
      </c>
      <c r="B184" s="23" t="s">
        <v>64</v>
      </c>
      <c r="C184" s="23" t="s">
        <v>61</v>
      </c>
      <c r="D184" s="23" t="s">
        <v>62</v>
      </c>
      <c r="E184" s="23" t="s">
        <v>65</v>
      </c>
      <c r="F184" s="13">
        <v>54112</v>
      </c>
      <c r="G184" s="22" t="s">
        <v>57</v>
      </c>
      <c r="H184" s="25">
        <v>500</v>
      </c>
    </row>
    <row r="185" spans="1:9">
      <c r="A185" s="34">
        <v>3</v>
      </c>
      <c r="B185" s="23" t="s">
        <v>64</v>
      </c>
      <c r="C185" s="23" t="s">
        <v>61</v>
      </c>
      <c r="D185" s="23" t="s">
        <v>62</v>
      </c>
      <c r="E185" s="23" t="s">
        <v>65</v>
      </c>
      <c r="F185" s="13">
        <v>54118</v>
      </c>
      <c r="G185" s="22" t="s">
        <v>644</v>
      </c>
      <c r="H185" s="25">
        <v>100</v>
      </c>
    </row>
    <row r="186" spans="1:9">
      <c r="A186" s="34">
        <v>3</v>
      </c>
      <c r="B186" s="23" t="s">
        <v>64</v>
      </c>
      <c r="C186" s="23" t="s">
        <v>61</v>
      </c>
      <c r="D186" s="23" t="s">
        <v>62</v>
      </c>
      <c r="E186" s="23" t="s">
        <v>65</v>
      </c>
      <c r="F186" s="13">
        <v>54119</v>
      </c>
      <c r="G186" s="22" t="s">
        <v>645</v>
      </c>
      <c r="H186" s="25">
        <v>150</v>
      </c>
    </row>
    <row r="187" spans="1:9">
      <c r="A187" s="34">
        <v>3</v>
      </c>
      <c r="B187" s="23" t="s">
        <v>64</v>
      </c>
      <c r="C187" s="23" t="s">
        <v>61</v>
      </c>
      <c r="D187" s="23" t="s">
        <v>62</v>
      </c>
      <c r="E187" s="23" t="s">
        <v>65</v>
      </c>
      <c r="F187" s="13">
        <v>54199</v>
      </c>
      <c r="G187" s="22" t="s">
        <v>646</v>
      </c>
      <c r="H187" s="25">
        <v>200</v>
      </c>
    </row>
    <row r="188" spans="1:9">
      <c r="A188" s="34">
        <v>3</v>
      </c>
      <c r="B188" s="23" t="s">
        <v>64</v>
      </c>
      <c r="C188" s="23" t="s">
        <v>61</v>
      </c>
      <c r="D188" s="23" t="s">
        <v>62</v>
      </c>
      <c r="E188" s="23" t="s">
        <v>65</v>
      </c>
      <c r="F188" s="13">
        <v>54201</v>
      </c>
      <c r="G188" s="22" t="s">
        <v>647</v>
      </c>
      <c r="H188" s="25">
        <v>800</v>
      </c>
    </row>
    <row r="189" spans="1:9">
      <c r="A189" s="34">
        <v>3</v>
      </c>
      <c r="B189" s="23" t="s">
        <v>64</v>
      </c>
      <c r="C189" s="23" t="s">
        <v>61</v>
      </c>
      <c r="D189" s="23" t="s">
        <v>62</v>
      </c>
      <c r="E189" s="23" t="s">
        <v>65</v>
      </c>
      <c r="F189" s="13">
        <v>54202</v>
      </c>
      <c r="G189" s="22" t="s">
        <v>648</v>
      </c>
      <c r="H189" s="25">
        <v>2100</v>
      </c>
    </row>
    <row r="190" spans="1:9" ht="15.75" thickBot="1">
      <c r="A190" s="1034"/>
      <c r="B190" s="1035"/>
      <c r="C190" s="1035"/>
      <c r="D190" s="1035"/>
      <c r="E190" s="1036"/>
      <c r="F190" s="1037"/>
      <c r="G190" s="1038"/>
      <c r="H190" s="1039">
        <f>SUM(H180:H189)</f>
        <v>9000</v>
      </c>
    </row>
    <row r="191" spans="1:9" ht="15.75" thickBot="1">
      <c r="B191" s="9"/>
      <c r="C191" s="10"/>
      <c r="D191" s="3"/>
      <c r="E191" s="3"/>
      <c r="F191" s="3"/>
    </row>
    <row r="192" spans="1:9" ht="15" customHeight="1">
      <c r="A192" s="2573" t="s">
        <v>693</v>
      </c>
      <c r="B192" s="2574"/>
      <c r="C192" s="2574"/>
      <c r="D192" s="2574"/>
      <c r="E192" s="2574"/>
      <c r="F192" s="2574"/>
      <c r="G192" s="2575" t="s">
        <v>1323</v>
      </c>
      <c r="H192" s="2576"/>
    </row>
    <row r="193" spans="1:8">
      <c r="A193" s="482"/>
      <c r="B193" s="551"/>
      <c r="C193" s="19"/>
      <c r="D193" s="19"/>
      <c r="E193" s="19"/>
      <c r="F193" s="19"/>
      <c r="G193" s="483"/>
      <c r="H193" s="484"/>
    </row>
    <row r="194" spans="1:8" ht="14.25">
      <c r="A194" s="2580" t="s">
        <v>707</v>
      </c>
      <c r="B194" s="2598"/>
      <c r="C194" s="2598"/>
      <c r="D194" s="2598"/>
      <c r="E194" s="2598"/>
      <c r="F194" s="2552"/>
      <c r="G194" s="2580" t="s">
        <v>694</v>
      </c>
      <c r="H194" s="2552"/>
    </row>
    <row r="195" spans="1:8">
      <c r="A195" s="2597" t="s">
        <v>708</v>
      </c>
      <c r="B195" s="2584"/>
      <c r="C195" s="2584"/>
      <c r="D195" s="2584"/>
      <c r="E195" s="2584"/>
      <c r="F195" s="2585"/>
      <c r="G195" s="483"/>
      <c r="H195" s="484"/>
    </row>
    <row r="196" spans="1:8" ht="48" customHeight="1">
      <c r="A196" s="2586"/>
      <c r="B196" s="2587"/>
      <c r="C196" s="2587"/>
      <c r="D196" s="2587"/>
      <c r="E196" s="2587"/>
      <c r="F196" s="2588"/>
      <c r="G196" s="2589" t="s">
        <v>695</v>
      </c>
      <c r="H196" s="2552"/>
    </row>
    <row r="197" spans="1:8">
      <c r="A197" s="482"/>
      <c r="B197" s="551"/>
      <c r="C197" s="551"/>
      <c r="D197" s="551"/>
      <c r="E197" s="551"/>
      <c r="F197" s="551"/>
      <c r="G197" s="485"/>
      <c r="H197" s="484"/>
    </row>
    <row r="198" spans="1:8" thickBot="1">
      <c r="A198" s="2590" t="s">
        <v>692</v>
      </c>
      <c r="B198" s="2561"/>
      <c r="C198" s="2561"/>
      <c r="D198" s="2561"/>
      <c r="E198" s="2561"/>
      <c r="F198" s="2562"/>
      <c r="G198" s="2591" t="s">
        <v>696</v>
      </c>
      <c r="H198" s="2562"/>
    </row>
    <row r="200" spans="1:8" ht="42" customHeight="1">
      <c r="A200" s="2601" t="s">
        <v>821</v>
      </c>
      <c r="B200" s="2601"/>
      <c r="C200" s="2601"/>
      <c r="D200" s="2601"/>
      <c r="E200" s="2601"/>
      <c r="F200" s="2601"/>
      <c r="G200" s="2601"/>
      <c r="H200" s="2601"/>
    </row>
    <row r="206" spans="1:8" ht="18.75">
      <c r="A206" s="2162" t="s">
        <v>111</v>
      </c>
      <c r="B206" s="2162"/>
      <c r="C206" s="2162"/>
      <c r="D206" s="2162"/>
      <c r="E206" s="2162"/>
      <c r="F206" s="2162"/>
      <c r="G206" s="2162"/>
      <c r="H206" s="2162"/>
    </row>
    <row r="207" spans="1:8" ht="18.75">
      <c r="A207" s="2162" t="s">
        <v>110</v>
      </c>
      <c r="B207" s="2162"/>
      <c r="C207" s="2162"/>
      <c r="D207" s="2162"/>
      <c r="E207" s="2162"/>
      <c r="F207" s="2162"/>
      <c r="G207" s="2162"/>
      <c r="H207" s="2162"/>
    </row>
    <row r="208" spans="1:8" ht="18.75">
      <c r="A208" s="2163" t="s">
        <v>211</v>
      </c>
      <c r="B208" s="2164"/>
      <c r="C208" s="2164"/>
      <c r="D208" s="2164"/>
      <c r="E208" s="2164"/>
      <c r="F208" s="2164"/>
      <c r="G208" s="2164"/>
      <c r="H208" s="2164"/>
    </row>
    <row r="209" spans="1:8" ht="18.75">
      <c r="A209" s="2163" t="s">
        <v>1212</v>
      </c>
      <c r="B209" s="2164"/>
      <c r="C209" s="2164"/>
      <c r="D209" s="2164"/>
      <c r="E209" s="2164"/>
      <c r="F209" s="2164"/>
      <c r="G209" s="2164"/>
      <c r="H209" s="2164"/>
    </row>
    <row r="210" spans="1:8" ht="18.75">
      <c r="A210" s="2163" t="s">
        <v>32</v>
      </c>
      <c r="B210" s="2164"/>
      <c r="C210" s="2164"/>
      <c r="D210" s="2164"/>
      <c r="E210" s="2164"/>
      <c r="F210" s="2164"/>
      <c r="G210" s="2164"/>
      <c r="H210" s="2164"/>
    </row>
    <row r="211" spans="1:8">
      <c r="A211" s="33"/>
    </row>
    <row r="212" spans="1:8" ht="18.75">
      <c r="A212" s="2596" t="s">
        <v>49</v>
      </c>
      <c r="B212" s="2596"/>
      <c r="C212" s="2596"/>
      <c r="D212" s="2596"/>
      <c r="E212" s="2596"/>
      <c r="F212" s="2596"/>
      <c r="G212" s="2596"/>
      <c r="H212" s="2596"/>
    </row>
    <row r="213" spans="1:8" ht="63" customHeight="1">
      <c r="A213" s="2756" t="s">
        <v>1294</v>
      </c>
      <c r="B213" s="2757"/>
      <c r="C213" s="2757"/>
      <c r="D213" s="2757"/>
      <c r="E213" s="2757"/>
      <c r="F213" s="2757"/>
      <c r="G213" s="2757"/>
      <c r="H213" s="2757"/>
    </row>
    <row r="214" spans="1:8" ht="15.75" thickBot="1">
      <c r="A214" s="2567" t="s">
        <v>29</v>
      </c>
      <c r="B214" s="2568"/>
      <c r="C214" s="2568"/>
      <c r="D214" s="2568"/>
      <c r="E214" s="2568"/>
      <c r="F214" s="2569"/>
      <c r="G214" s="2570" t="s">
        <v>640</v>
      </c>
      <c r="H214" s="2572" t="s">
        <v>639</v>
      </c>
    </row>
    <row r="215" spans="1:8" ht="75.75" thickBot="1">
      <c r="A215" s="411" t="s">
        <v>39</v>
      </c>
      <c r="B215" s="412" t="s">
        <v>40</v>
      </c>
      <c r="C215" s="412" t="s">
        <v>41</v>
      </c>
      <c r="D215" s="412" t="s">
        <v>45</v>
      </c>
      <c r="E215" s="413" t="s">
        <v>42</v>
      </c>
      <c r="F215" s="407" t="s">
        <v>43</v>
      </c>
      <c r="G215" s="2571"/>
      <c r="H215" s="2595"/>
    </row>
    <row r="216" spans="1:8" ht="15.75">
      <c r="A216" s="456">
        <v>3</v>
      </c>
      <c r="B216" s="457" t="s">
        <v>64</v>
      </c>
      <c r="C216" s="457" t="s">
        <v>61</v>
      </c>
      <c r="D216" s="457" t="s">
        <v>62</v>
      </c>
      <c r="E216" s="457" t="s">
        <v>65</v>
      </c>
      <c r="F216" s="458" t="s">
        <v>55</v>
      </c>
      <c r="G216" s="459" t="s">
        <v>667</v>
      </c>
      <c r="H216" s="460">
        <f>F244</f>
        <v>35208</v>
      </c>
    </row>
    <row r="217" spans="1:8" ht="15.75">
      <c r="A217" s="456">
        <v>3</v>
      </c>
      <c r="B217" s="457" t="s">
        <v>64</v>
      </c>
      <c r="C217" s="457" t="s">
        <v>61</v>
      </c>
      <c r="D217" s="457" t="s">
        <v>62</v>
      </c>
      <c r="E217" s="457" t="s">
        <v>65</v>
      </c>
      <c r="F217" s="461" t="s">
        <v>113</v>
      </c>
      <c r="G217" s="462" t="s">
        <v>649</v>
      </c>
      <c r="H217" s="460">
        <f>SUM(F254)</f>
        <v>2934</v>
      </c>
    </row>
    <row r="218" spans="1:8" ht="15.75">
      <c r="A218" s="456">
        <v>3</v>
      </c>
      <c r="B218" s="457" t="s">
        <v>64</v>
      </c>
      <c r="C218" s="457" t="s">
        <v>61</v>
      </c>
      <c r="D218" s="457" t="s">
        <v>62</v>
      </c>
      <c r="E218" s="457" t="s">
        <v>65</v>
      </c>
      <c r="F218" s="461" t="s">
        <v>204</v>
      </c>
      <c r="G218" s="462" t="s">
        <v>651</v>
      </c>
      <c r="H218" s="460">
        <v>2934</v>
      </c>
    </row>
    <row r="219" spans="1:8" ht="28.5">
      <c r="A219" s="456">
        <v>3</v>
      </c>
      <c r="B219" s="457" t="s">
        <v>64</v>
      </c>
      <c r="C219" s="457" t="s">
        <v>61</v>
      </c>
      <c r="D219" s="457" t="s">
        <v>62</v>
      </c>
      <c r="E219" s="457" t="s">
        <v>65</v>
      </c>
      <c r="F219" s="463">
        <v>51401</v>
      </c>
      <c r="G219" s="462" t="s">
        <v>652</v>
      </c>
      <c r="H219" s="464">
        <f>G258+G259</f>
        <v>2992.6800000000003</v>
      </c>
    </row>
    <row r="220" spans="1:8" ht="28.5">
      <c r="A220" s="456">
        <v>3</v>
      </c>
      <c r="B220" s="457" t="s">
        <v>64</v>
      </c>
      <c r="C220" s="457" t="s">
        <v>61</v>
      </c>
      <c r="D220" s="457" t="s">
        <v>62</v>
      </c>
      <c r="E220" s="457" t="s">
        <v>65</v>
      </c>
      <c r="F220" s="463">
        <v>51501</v>
      </c>
      <c r="G220" s="462" t="s">
        <v>653</v>
      </c>
      <c r="H220" s="464">
        <f>G260</f>
        <v>2728.6200000000003</v>
      </c>
    </row>
    <row r="221" spans="1:8" ht="15.75">
      <c r="A221" s="456">
        <v>3</v>
      </c>
      <c r="B221" s="457" t="s">
        <v>64</v>
      </c>
      <c r="C221" s="457" t="s">
        <v>61</v>
      </c>
      <c r="D221" s="457" t="s">
        <v>62</v>
      </c>
      <c r="E221" s="457" t="s">
        <v>65</v>
      </c>
      <c r="F221" s="466">
        <v>54104</v>
      </c>
      <c r="G221" s="465" t="s">
        <v>655</v>
      </c>
      <c r="H221" s="464">
        <v>1100</v>
      </c>
    </row>
    <row r="222" spans="1:8" ht="15.75">
      <c r="A222" s="456">
        <v>3</v>
      </c>
      <c r="B222" s="457" t="s">
        <v>64</v>
      </c>
      <c r="C222" s="457" t="s">
        <v>61</v>
      </c>
      <c r="D222" s="457" t="s">
        <v>62</v>
      </c>
      <c r="E222" s="457" t="s">
        <v>65</v>
      </c>
      <c r="F222" s="467">
        <v>54117</v>
      </c>
      <c r="G222" s="468" t="s">
        <v>664</v>
      </c>
      <c r="H222" s="464">
        <v>2102.6999999999998</v>
      </c>
    </row>
    <row r="223" spans="1:8" ht="15.75" hidden="1">
      <c r="A223" s="456">
        <v>3</v>
      </c>
      <c r="B223" s="457" t="s">
        <v>64</v>
      </c>
      <c r="C223" s="457" t="s">
        <v>61</v>
      </c>
      <c r="D223" s="457" t="s">
        <v>62</v>
      </c>
      <c r="E223" s="457" t="s">
        <v>65</v>
      </c>
      <c r="F223" s="469" t="s">
        <v>657</v>
      </c>
      <c r="G223" s="465" t="s">
        <v>658</v>
      </c>
      <c r="H223" s="464"/>
    </row>
    <row r="224" spans="1:8" ht="15.75" hidden="1">
      <c r="A224" s="456">
        <v>3</v>
      </c>
      <c r="B224" s="457" t="s">
        <v>64</v>
      </c>
      <c r="C224" s="457" t="s">
        <v>61</v>
      </c>
      <c r="D224" s="457" t="s">
        <v>62</v>
      </c>
      <c r="E224" s="457" t="s">
        <v>65</v>
      </c>
      <c r="F224" s="469" t="s">
        <v>665</v>
      </c>
      <c r="G224" s="465" t="s">
        <v>666</v>
      </c>
      <c r="H224" s="464"/>
    </row>
    <row r="225" spans="1:9" ht="15.75" hidden="1">
      <c r="A225" s="456" t="s">
        <v>380</v>
      </c>
      <c r="B225" s="457" t="s">
        <v>64</v>
      </c>
      <c r="C225" s="457" t="s">
        <v>61</v>
      </c>
      <c r="D225" s="457" t="s">
        <v>62</v>
      </c>
      <c r="E225" s="457" t="s">
        <v>65</v>
      </c>
      <c r="F225" s="481">
        <v>54304</v>
      </c>
      <c r="G225" s="465" t="s">
        <v>661</v>
      </c>
      <c r="H225" s="464"/>
    </row>
    <row r="226" spans="1:9" ht="15.75" thickBot="1">
      <c r="A226" s="1034"/>
      <c r="B226" s="1035"/>
      <c r="C226" s="1035"/>
      <c r="D226" s="1035"/>
      <c r="E226" s="1036"/>
      <c r="F226" s="1037"/>
      <c r="G226" s="1038"/>
      <c r="H226" s="1039">
        <f>SUM(H216:H225)</f>
        <v>50000</v>
      </c>
      <c r="I226" s="488">
        <v>50000</v>
      </c>
    </row>
    <row r="227" spans="1:9" ht="15.75" thickBot="1">
      <c r="B227" s="9"/>
      <c r="C227" s="10"/>
      <c r="D227" s="3"/>
      <c r="E227" s="3"/>
      <c r="F227" s="3"/>
    </row>
    <row r="228" spans="1:9" ht="15" customHeight="1">
      <c r="A228" s="2573" t="s">
        <v>693</v>
      </c>
      <c r="B228" s="2574"/>
      <c r="C228" s="2574"/>
      <c r="D228" s="2574"/>
      <c r="E228" s="2574"/>
      <c r="F228" s="2574"/>
      <c r="G228" s="2575" t="s">
        <v>1323</v>
      </c>
      <c r="H228" s="2576"/>
    </row>
    <row r="229" spans="1:9">
      <c r="A229" s="482"/>
      <c r="B229" s="551"/>
      <c r="C229" s="19"/>
      <c r="D229" s="19"/>
      <c r="E229" s="19"/>
      <c r="F229" s="19"/>
      <c r="G229" s="483"/>
      <c r="H229" s="484"/>
    </row>
    <row r="230" spans="1:9" ht="61.5" customHeight="1">
      <c r="A230" s="2580" t="s">
        <v>1117</v>
      </c>
      <c r="B230" s="2598"/>
      <c r="C230" s="2598"/>
      <c r="D230" s="2598"/>
      <c r="E230" s="2598"/>
      <c r="F230" s="2552"/>
      <c r="G230" s="2580" t="s">
        <v>694</v>
      </c>
      <c r="H230" s="2552"/>
    </row>
    <row r="231" spans="1:9">
      <c r="A231" s="2597" t="s">
        <v>706</v>
      </c>
      <c r="B231" s="2584"/>
      <c r="C231" s="2584"/>
      <c r="D231" s="2584"/>
      <c r="E231" s="2584"/>
      <c r="F231" s="2585"/>
      <c r="G231" s="483"/>
      <c r="H231" s="484"/>
    </row>
    <row r="232" spans="1:9" ht="28.5" customHeight="1">
      <c r="A232" s="2586"/>
      <c r="B232" s="2587"/>
      <c r="C232" s="2587"/>
      <c r="D232" s="2587"/>
      <c r="E232" s="2587"/>
      <c r="F232" s="2588"/>
      <c r="G232" s="2589" t="s">
        <v>695</v>
      </c>
      <c r="H232" s="2552"/>
    </row>
    <row r="233" spans="1:9">
      <c r="A233" s="482"/>
      <c r="B233" s="551"/>
      <c r="C233" s="551"/>
      <c r="D233" s="551"/>
      <c r="E233" s="551"/>
      <c r="F233" s="551"/>
      <c r="G233" s="485"/>
      <c r="H233" s="484"/>
    </row>
    <row r="234" spans="1:9" thickBot="1">
      <c r="A234" s="2590" t="s">
        <v>692</v>
      </c>
      <c r="B234" s="2561"/>
      <c r="C234" s="2561"/>
      <c r="D234" s="2561"/>
      <c r="E234" s="2561"/>
      <c r="F234" s="2562"/>
      <c r="G234" s="2591" t="s">
        <v>696</v>
      </c>
      <c r="H234" s="2562"/>
    </row>
    <row r="235" spans="1:9">
      <c r="A235" s="2751"/>
      <c r="B235" s="2752"/>
      <c r="C235" s="2752"/>
      <c r="D235" s="2752"/>
      <c r="E235" s="2752"/>
      <c r="F235" s="2752"/>
      <c r="G235" s="2753"/>
      <c r="H235" s="2754"/>
    </row>
    <row r="236" spans="1:9" ht="27.75" customHeight="1">
      <c r="A236" s="2755" t="s">
        <v>676</v>
      </c>
      <c r="B236" s="2755"/>
      <c r="C236" s="2755"/>
      <c r="D236" s="2755"/>
      <c r="E236" s="2755"/>
      <c r="F236" s="2755"/>
      <c r="G236" s="2755"/>
      <c r="H236" s="430"/>
    </row>
    <row r="237" spans="1:9" ht="28.5">
      <c r="A237" s="437" t="s">
        <v>668</v>
      </c>
      <c r="B237" s="437"/>
      <c r="C237" s="437"/>
      <c r="D237" s="437"/>
      <c r="E237" s="437"/>
      <c r="F237" s="438" t="s">
        <v>1166</v>
      </c>
      <c r="G237" s="438"/>
      <c r="H237" s="432"/>
    </row>
    <row r="238" spans="1:9">
      <c r="A238" s="2748" t="s">
        <v>716</v>
      </c>
      <c r="B238" s="2748"/>
      <c r="C238" s="2748"/>
      <c r="D238" s="2748"/>
      <c r="E238" s="2748"/>
      <c r="F238" s="439">
        <v>6396</v>
      </c>
      <c r="G238" s="440"/>
      <c r="H238" s="433"/>
    </row>
    <row r="239" spans="1:9">
      <c r="A239" s="2748" t="s">
        <v>716</v>
      </c>
      <c r="B239" s="2748"/>
      <c r="C239" s="2748"/>
      <c r="D239" s="2748"/>
      <c r="E239" s="2748"/>
      <c r="F239" s="439">
        <v>6396</v>
      </c>
      <c r="G239" s="440"/>
      <c r="H239" s="433"/>
    </row>
    <row r="240" spans="1:9">
      <c r="A240" s="2748" t="s">
        <v>716</v>
      </c>
      <c r="B240" s="2748"/>
      <c r="C240" s="2748"/>
      <c r="D240" s="2748"/>
      <c r="E240" s="2748"/>
      <c r="F240" s="439">
        <v>5604</v>
      </c>
      <c r="G240" s="440"/>
      <c r="H240" s="433"/>
    </row>
    <row r="241" spans="1:9">
      <c r="A241" s="2748" t="s">
        <v>716</v>
      </c>
      <c r="B241" s="2748"/>
      <c r="C241" s="2748"/>
      <c r="D241" s="2748"/>
      <c r="E241" s="2748"/>
      <c r="F241" s="439">
        <v>5604</v>
      </c>
      <c r="G241" s="440"/>
      <c r="H241" s="433"/>
    </row>
    <row r="242" spans="1:9">
      <c r="A242" s="2748" t="s">
        <v>716</v>
      </c>
      <c r="B242" s="2748"/>
      <c r="C242" s="2748"/>
      <c r="D242" s="2748"/>
      <c r="E242" s="2748"/>
      <c r="F242" s="439">
        <v>5604</v>
      </c>
      <c r="G242" s="440"/>
      <c r="H242" s="433"/>
    </row>
    <row r="243" spans="1:9">
      <c r="A243" s="2748" t="s">
        <v>716</v>
      </c>
      <c r="B243" s="2748"/>
      <c r="C243" s="2748"/>
      <c r="D243" s="2748"/>
      <c r="E243" s="2748"/>
      <c r="F243" s="439">
        <v>5604</v>
      </c>
      <c r="G243" s="441"/>
      <c r="H243" s="433"/>
    </row>
    <row r="244" spans="1:9" ht="16.5" thickBot="1">
      <c r="A244" s="2749" t="s">
        <v>199</v>
      </c>
      <c r="B244" s="2749"/>
      <c r="C244" s="2749"/>
      <c r="D244" s="2749"/>
      <c r="E244" s="2749"/>
      <c r="F244" s="1048">
        <f>SUM(F238:F243)</f>
        <v>35208</v>
      </c>
      <c r="G244" s="443"/>
      <c r="H244" s="434"/>
    </row>
    <row r="245" spans="1:9" thickTop="1">
      <c r="A245" s="442"/>
      <c r="B245" s="442"/>
      <c r="C245" s="442"/>
      <c r="D245" s="442"/>
      <c r="E245" s="442"/>
      <c r="F245" s="439"/>
      <c r="G245" s="442"/>
      <c r="H245" s="431"/>
    </row>
    <row r="246" spans="1:9" ht="14.25">
      <c r="A246" s="2750" t="s">
        <v>669</v>
      </c>
      <c r="B246" s="2750"/>
      <c r="C246" s="2750"/>
      <c r="D246" s="2750"/>
      <c r="E246" s="437"/>
      <c r="F246" s="437"/>
      <c r="G246" s="437"/>
      <c r="H246" s="429"/>
      <c r="I246" s="488"/>
    </row>
    <row r="247" spans="1:9" ht="25.5">
      <c r="A247" s="437" t="s">
        <v>668</v>
      </c>
      <c r="B247" s="437"/>
      <c r="C247" s="437"/>
      <c r="D247" s="437"/>
      <c r="E247" s="437"/>
      <c r="F247" s="444" t="s">
        <v>670</v>
      </c>
      <c r="G247" s="438" t="s">
        <v>671</v>
      </c>
      <c r="H247" s="429"/>
    </row>
    <row r="248" spans="1:9" ht="14.25">
      <c r="A248" s="2748" t="s">
        <v>716</v>
      </c>
      <c r="B248" s="2748"/>
      <c r="C248" s="2748"/>
      <c r="D248" s="2748"/>
      <c r="E248" s="2748"/>
      <c r="F248" s="439">
        <v>533</v>
      </c>
      <c r="G248" s="445">
        <f t="shared" ref="G248:G253" si="0">+F248</f>
        <v>533</v>
      </c>
      <c r="H248" s="431"/>
    </row>
    <row r="249" spans="1:9" ht="14.25">
      <c r="A249" s="2748" t="s">
        <v>716</v>
      </c>
      <c r="B249" s="2748"/>
      <c r="C249" s="2748"/>
      <c r="D249" s="2748"/>
      <c r="E249" s="2748"/>
      <c r="F249" s="439">
        <v>533</v>
      </c>
      <c r="G249" s="446">
        <f t="shared" si="0"/>
        <v>533</v>
      </c>
      <c r="H249" s="431"/>
    </row>
    <row r="250" spans="1:9" ht="14.25">
      <c r="A250" s="2748" t="s">
        <v>716</v>
      </c>
      <c r="B250" s="2748"/>
      <c r="C250" s="2748"/>
      <c r="D250" s="2748"/>
      <c r="E250" s="2748"/>
      <c r="F250" s="439">
        <v>467</v>
      </c>
      <c r="G250" s="446">
        <f t="shared" si="0"/>
        <v>467</v>
      </c>
      <c r="H250" s="431"/>
    </row>
    <row r="251" spans="1:9" ht="14.25">
      <c r="A251" s="2748" t="s">
        <v>716</v>
      </c>
      <c r="B251" s="2748"/>
      <c r="C251" s="2748"/>
      <c r="D251" s="2748"/>
      <c r="E251" s="2748"/>
      <c r="F251" s="439">
        <v>467</v>
      </c>
      <c r="G251" s="446">
        <f t="shared" si="0"/>
        <v>467</v>
      </c>
      <c r="H251" s="431"/>
    </row>
    <row r="252" spans="1:9" ht="14.25">
      <c r="A252" s="2748" t="s">
        <v>716</v>
      </c>
      <c r="B252" s="2748"/>
      <c r="C252" s="2748"/>
      <c r="D252" s="2748"/>
      <c r="E252" s="2748"/>
      <c r="F252" s="439">
        <v>467</v>
      </c>
      <c r="G252" s="446">
        <f t="shared" si="0"/>
        <v>467</v>
      </c>
      <c r="H252" s="431"/>
    </row>
    <row r="253" spans="1:9" ht="14.25">
      <c r="A253" s="2748" t="s">
        <v>716</v>
      </c>
      <c r="B253" s="2748"/>
      <c r="C253" s="2748"/>
      <c r="D253" s="2748"/>
      <c r="E253" s="2748"/>
      <c r="F253" s="439">
        <v>467</v>
      </c>
      <c r="G253" s="446">
        <f t="shared" si="0"/>
        <v>467</v>
      </c>
      <c r="H253" s="431"/>
    </row>
    <row r="254" spans="1:9" ht="16.5" thickBot="1">
      <c r="A254" s="2749" t="s">
        <v>199</v>
      </c>
      <c r="B254" s="2749"/>
      <c r="C254" s="2749"/>
      <c r="D254" s="2749"/>
      <c r="E254" s="2749"/>
      <c r="F254" s="1048">
        <f>SUM(F248:F253)</f>
        <v>2934</v>
      </c>
      <c r="G254" s="1048">
        <f>SUM(G248:G253)</f>
        <v>2934</v>
      </c>
      <c r="H254" s="431"/>
    </row>
    <row r="255" spans="1:9" ht="15.75" thickTop="1">
      <c r="A255" s="447"/>
      <c r="B255" s="448"/>
      <c r="C255" s="449"/>
      <c r="D255" s="450"/>
      <c r="E255" s="450"/>
      <c r="F255" s="450"/>
      <c r="G255" s="451"/>
    </row>
    <row r="256" spans="1:9" ht="21" customHeight="1">
      <c r="A256" s="2745" t="s">
        <v>675</v>
      </c>
      <c r="B256" s="2745"/>
      <c r="C256" s="2745"/>
      <c r="D256" s="2745"/>
      <c r="E256" s="2745"/>
      <c r="F256" s="2745"/>
      <c r="G256" s="2745"/>
      <c r="H256" s="431"/>
    </row>
    <row r="257" spans="1:8" ht="24">
      <c r="A257" s="452"/>
      <c r="B257" s="442"/>
      <c r="C257" s="442"/>
      <c r="D257" s="442"/>
      <c r="E257" s="442"/>
      <c r="F257" s="453" t="s">
        <v>949</v>
      </c>
      <c r="G257" s="454" t="s">
        <v>199</v>
      </c>
      <c r="H257" s="432"/>
    </row>
    <row r="258" spans="1:8">
      <c r="A258" s="556" t="s">
        <v>672</v>
      </c>
      <c r="B258" s="442"/>
      <c r="C258" s="442"/>
      <c r="D258" s="442"/>
      <c r="E258" s="442"/>
      <c r="F258" s="446">
        <f>F248*7.5%*12*2+F250*7.5%*12*3+F253*7.5%*12</f>
        <v>2640.6000000000004</v>
      </c>
      <c r="G258" s="455">
        <f>SUM(E258:F258)</f>
        <v>2640.6000000000004</v>
      </c>
      <c r="H258" s="435"/>
    </row>
    <row r="259" spans="1:8">
      <c r="A259" s="556" t="s">
        <v>673</v>
      </c>
      <c r="B259" s="442"/>
      <c r="C259" s="442"/>
      <c r="D259" s="438"/>
      <c r="E259" s="438"/>
      <c r="F259" s="446">
        <f>F248*1%*12*2+F250*1%*12*3+F253*1%*12*1</f>
        <v>352.08000000000004</v>
      </c>
      <c r="G259" s="455">
        <f>SUM(E259:F259)</f>
        <v>352.08000000000004</v>
      </c>
      <c r="H259" s="435"/>
    </row>
    <row r="260" spans="1:8">
      <c r="A260" s="2746" t="s">
        <v>674</v>
      </c>
      <c r="B260" s="2746"/>
      <c r="C260" s="2746"/>
      <c r="D260" s="556"/>
      <c r="E260" s="556"/>
      <c r="F260" s="440">
        <f>F248*7.75%*12*2+F250*7.75%*12*3+F253*7.75%*12*1</f>
        <v>2728.6200000000003</v>
      </c>
      <c r="G260" s="455">
        <f>SUM(E260:F260)</f>
        <v>2728.6200000000003</v>
      </c>
      <c r="H260" s="435"/>
    </row>
    <row r="261" spans="1:8" ht="15.75" thickBot="1">
      <c r="A261" s="2747" t="s">
        <v>311</v>
      </c>
      <c r="B261" s="2747"/>
      <c r="C261" s="2747"/>
      <c r="D261" s="1046"/>
      <c r="E261" s="1046"/>
      <c r="F261" s="1047">
        <f>SUM(F258:F260)</f>
        <v>5721.3000000000011</v>
      </c>
      <c r="G261" s="1047">
        <f>SUM(G258:G260)</f>
        <v>5721.3000000000011</v>
      </c>
      <c r="H261" s="436"/>
    </row>
    <row r="262" spans="1:8" ht="15.75" thickTop="1">
      <c r="A262" s="610"/>
      <c r="B262" s="610"/>
      <c r="C262" s="610"/>
      <c r="D262" s="556"/>
      <c r="E262" s="556"/>
      <c r="F262" s="614"/>
      <c r="G262" s="614"/>
      <c r="H262" s="436"/>
    </row>
    <row r="263" spans="1:8" ht="42" customHeight="1">
      <c r="A263" s="2601" t="s">
        <v>821</v>
      </c>
      <c r="B263" s="2601"/>
      <c r="C263" s="2601"/>
      <c r="D263" s="2601"/>
      <c r="E263" s="2601"/>
      <c r="F263" s="2601"/>
      <c r="G263" s="2601"/>
      <c r="H263" s="2601"/>
    </row>
    <row r="264" spans="1:8">
      <c r="A264" s="610"/>
      <c r="B264" s="610"/>
      <c r="C264" s="610"/>
      <c r="D264" s="556"/>
      <c r="E264" s="556"/>
      <c r="F264" s="614"/>
      <c r="G264" s="614"/>
      <c r="H264" s="436"/>
    </row>
    <row r="269" spans="1:8" ht="18.75">
      <c r="A269" s="2162" t="s">
        <v>111</v>
      </c>
      <c r="B269" s="2162"/>
      <c r="C269" s="2162"/>
      <c r="D269" s="2162"/>
      <c r="E269" s="2162"/>
      <c r="F269" s="2162"/>
      <c r="G269" s="2162"/>
      <c r="H269" s="2162"/>
    </row>
    <row r="270" spans="1:8" ht="18.75">
      <c r="A270" s="2162" t="s">
        <v>110</v>
      </c>
      <c r="B270" s="2162"/>
      <c r="C270" s="2162"/>
      <c r="D270" s="2162"/>
      <c r="E270" s="2162"/>
      <c r="F270" s="2162"/>
      <c r="G270" s="2162"/>
      <c r="H270" s="2162"/>
    </row>
    <row r="271" spans="1:8" ht="18.75">
      <c r="A271" s="2163" t="s">
        <v>211</v>
      </c>
      <c r="B271" s="2164"/>
      <c r="C271" s="2164"/>
      <c r="D271" s="2164"/>
      <c r="E271" s="2164"/>
      <c r="F271" s="2164"/>
      <c r="G271" s="2164"/>
      <c r="H271" s="2164"/>
    </row>
    <row r="272" spans="1:8" ht="18.75">
      <c r="A272" s="2163" t="s">
        <v>1212</v>
      </c>
      <c r="B272" s="2164"/>
      <c r="C272" s="2164"/>
      <c r="D272" s="2164"/>
      <c r="E272" s="2164"/>
      <c r="F272" s="2164"/>
      <c r="G272" s="2164"/>
      <c r="H272" s="2164"/>
    </row>
    <row r="273" spans="1:9" ht="18.75">
      <c r="A273" s="2163" t="s">
        <v>32</v>
      </c>
      <c r="B273" s="2164"/>
      <c r="C273" s="2164"/>
      <c r="D273" s="2164"/>
      <c r="E273" s="2164"/>
      <c r="F273" s="2164"/>
      <c r="G273" s="2164"/>
      <c r="H273" s="2164"/>
    </row>
    <row r="274" spans="1:9">
      <c r="A274" s="33"/>
    </row>
    <row r="275" spans="1:9" ht="18.75">
      <c r="A275" s="2596" t="s">
        <v>49</v>
      </c>
      <c r="B275" s="2596"/>
      <c r="C275" s="2596"/>
      <c r="D275" s="2596"/>
      <c r="E275" s="2596"/>
      <c r="F275" s="2596"/>
      <c r="G275" s="2596"/>
      <c r="H275" s="2596"/>
    </row>
    <row r="276" spans="1:9" ht="34.5" customHeight="1">
      <c r="A276" s="2683" t="s">
        <v>1295</v>
      </c>
      <c r="B276" s="2684"/>
      <c r="C276" s="2684"/>
      <c r="D276" s="2684"/>
      <c r="E276" s="2684"/>
      <c r="F276" s="2684"/>
      <c r="G276" s="2684"/>
      <c r="H276" s="2684"/>
    </row>
    <row r="277" spans="1:9" ht="15.75" thickBot="1">
      <c r="A277" s="2567" t="s">
        <v>29</v>
      </c>
      <c r="B277" s="2568"/>
      <c r="C277" s="2568"/>
      <c r="D277" s="2568"/>
      <c r="E277" s="2568"/>
      <c r="F277" s="2569"/>
      <c r="G277" s="2570" t="s">
        <v>640</v>
      </c>
      <c r="H277" s="2572" t="s">
        <v>639</v>
      </c>
    </row>
    <row r="278" spans="1:9" ht="64.5" customHeight="1" thickBot="1">
      <c r="A278" s="411" t="s">
        <v>39</v>
      </c>
      <c r="B278" s="412" t="s">
        <v>40</v>
      </c>
      <c r="C278" s="412" t="s">
        <v>41</v>
      </c>
      <c r="D278" s="412" t="s">
        <v>45</v>
      </c>
      <c r="E278" s="413" t="s">
        <v>42</v>
      </c>
      <c r="F278" s="407" t="s">
        <v>43</v>
      </c>
      <c r="G278" s="2571"/>
      <c r="H278" s="2595"/>
      <c r="I278" s="995" t="s">
        <v>935</v>
      </c>
    </row>
    <row r="279" spans="1:9">
      <c r="A279" s="34">
        <v>3</v>
      </c>
      <c r="B279" s="23" t="s">
        <v>64</v>
      </c>
      <c r="C279" s="23" t="s">
        <v>61</v>
      </c>
      <c r="D279" s="23" t="s">
        <v>62</v>
      </c>
      <c r="E279" s="23" t="s">
        <v>65</v>
      </c>
      <c r="F279" s="423" t="s">
        <v>55</v>
      </c>
      <c r="G279" s="1836" t="s">
        <v>1003</v>
      </c>
      <c r="H279" s="491">
        <f>370*12</f>
        <v>4440</v>
      </c>
    </row>
    <row r="280" spans="1:9">
      <c r="A280" s="34">
        <v>3</v>
      </c>
      <c r="B280" s="23" t="s">
        <v>64</v>
      </c>
      <c r="C280" s="23" t="s">
        <v>61</v>
      </c>
      <c r="D280" s="23" t="s">
        <v>62</v>
      </c>
      <c r="E280" s="23" t="s">
        <v>65</v>
      </c>
      <c r="F280" s="424" t="s">
        <v>113</v>
      </c>
      <c r="G280" s="1837" t="s">
        <v>649</v>
      </c>
      <c r="H280" s="491">
        <v>370</v>
      </c>
    </row>
    <row r="281" spans="1:9">
      <c r="A281" s="34">
        <v>3</v>
      </c>
      <c r="B281" s="23" t="s">
        <v>64</v>
      </c>
      <c r="C281" s="23" t="s">
        <v>61</v>
      </c>
      <c r="D281" s="23" t="s">
        <v>62</v>
      </c>
      <c r="E281" s="23" t="s">
        <v>65</v>
      </c>
      <c r="F281" s="424" t="s">
        <v>650</v>
      </c>
      <c r="G281" s="1837" t="s">
        <v>651</v>
      </c>
      <c r="H281" s="491">
        <v>370</v>
      </c>
    </row>
    <row r="282" spans="1:9" ht="25.5">
      <c r="A282" s="34">
        <v>3</v>
      </c>
      <c r="B282" s="23" t="s">
        <v>64</v>
      </c>
      <c r="C282" s="23" t="s">
        <v>61</v>
      </c>
      <c r="D282" s="23" t="s">
        <v>62</v>
      </c>
      <c r="E282" s="23" t="s">
        <v>65</v>
      </c>
      <c r="F282" s="425">
        <v>51401</v>
      </c>
      <c r="G282" s="1837" t="s">
        <v>652</v>
      </c>
      <c r="H282" s="492">
        <v>377.4</v>
      </c>
    </row>
    <row r="283" spans="1:9" ht="25.5">
      <c r="A283" s="34">
        <v>3</v>
      </c>
      <c r="B283" s="23" t="s">
        <v>64</v>
      </c>
      <c r="C283" s="23" t="s">
        <v>61</v>
      </c>
      <c r="D283" s="23" t="s">
        <v>62</v>
      </c>
      <c r="E283" s="23" t="s">
        <v>65</v>
      </c>
      <c r="F283" s="425">
        <v>51501</v>
      </c>
      <c r="G283" s="1837" t="s">
        <v>653</v>
      </c>
      <c r="H283" s="492">
        <v>344.1</v>
      </c>
    </row>
    <row r="284" spans="1:9">
      <c r="A284" s="34">
        <v>3</v>
      </c>
      <c r="B284" s="23" t="s">
        <v>64</v>
      </c>
      <c r="C284" s="23" t="s">
        <v>61</v>
      </c>
      <c r="D284" s="23" t="s">
        <v>62</v>
      </c>
      <c r="E284" s="23" t="s">
        <v>65</v>
      </c>
      <c r="F284" s="425">
        <v>54101</v>
      </c>
      <c r="G284" s="1625" t="s">
        <v>654</v>
      </c>
      <c r="H284" s="492">
        <v>500</v>
      </c>
    </row>
    <row r="285" spans="1:9">
      <c r="A285" s="34">
        <v>3</v>
      </c>
      <c r="B285" s="23" t="s">
        <v>64</v>
      </c>
      <c r="C285" s="23" t="s">
        <v>61</v>
      </c>
      <c r="D285" s="23" t="s">
        <v>62</v>
      </c>
      <c r="E285" s="23" t="s">
        <v>65</v>
      </c>
      <c r="F285" s="414">
        <v>54105</v>
      </c>
      <c r="G285" s="1625" t="s">
        <v>656</v>
      </c>
      <c r="H285" s="492">
        <v>350</v>
      </c>
    </row>
    <row r="286" spans="1:9">
      <c r="A286" s="34" t="s">
        <v>380</v>
      </c>
      <c r="B286" s="23" t="s">
        <v>64</v>
      </c>
      <c r="C286" s="23" t="s">
        <v>61</v>
      </c>
      <c r="D286" s="23" t="s">
        <v>62</v>
      </c>
      <c r="E286" s="23" t="s">
        <v>65</v>
      </c>
      <c r="F286" s="486">
        <v>54114</v>
      </c>
      <c r="G286" s="1625" t="s">
        <v>723</v>
      </c>
      <c r="H286" s="492">
        <v>200</v>
      </c>
    </row>
    <row r="287" spans="1:9">
      <c r="A287" s="34" t="s">
        <v>380</v>
      </c>
      <c r="B287" s="23" t="s">
        <v>64</v>
      </c>
      <c r="C287" s="23" t="s">
        <v>61</v>
      </c>
      <c r="D287" s="23" t="s">
        <v>62</v>
      </c>
      <c r="E287" s="23" t="s">
        <v>65</v>
      </c>
      <c r="F287" s="486">
        <v>54115</v>
      </c>
      <c r="G287" s="1625" t="s">
        <v>722</v>
      </c>
      <c r="H287" s="492">
        <v>600</v>
      </c>
    </row>
    <row r="288" spans="1:9">
      <c r="A288" s="34">
        <v>3</v>
      </c>
      <c r="B288" s="23" t="s">
        <v>64</v>
      </c>
      <c r="C288" s="23" t="s">
        <v>61</v>
      </c>
      <c r="D288" s="23" t="s">
        <v>62</v>
      </c>
      <c r="E288" s="23" t="s">
        <v>65</v>
      </c>
      <c r="F288" s="425">
        <v>54199</v>
      </c>
      <c r="G288" s="1625" t="s">
        <v>658</v>
      </c>
      <c r="H288" s="492">
        <v>500</v>
      </c>
    </row>
    <row r="289" spans="1:8" hidden="1">
      <c r="A289" s="34">
        <v>3</v>
      </c>
      <c r="B289" s="23" t="s">
        <v>64</v>
      </c>
      <c r="C289" s="23" t="s">
        <v>61</v>
      </c>
      <c r="D289" s="23" t="s">
        <v>62</v>
      </c>
      <c r="E289" s="23" t="s">
        <v>65</v>
      </c>
      <c r="F289" s="425">
        <v>54201</v>
      </c>
      <c r="G289" s="1625" t="s">
        <v>905</v>
      </c>
      <c r="H289" s="492"/>
    </row>
    <row r="290" spans="1:8" hidden="1">
      <c r="A290" s="34">
        <v>3</v>
      </c>
      <c r="B290" s="23" t="s">
        <v>64</v>
      </c>
      <c r="C290" s="23" t="s">
        <v>61</v>
      </c>
      <c r="D290" s="23" t="s">
        <v>62</v>
      </c>
      <c r="E290" s="23" t="s">
        <v>65</v>
      </c>
      <c r="F290" s="425">
        <v>54202</v>
      </c>
      <c r="G290" s="1625" t="s">
        <v>906</v>
      </c>
      <c r="H290" s="492"/>
    </row>
    <row r="291" spans="1:8">
      <c r="A291" s="34">
        <v>3</v>
      </c>
      <c r="B291" s="23" t="s">
        <v>64</v>
      </c>
      <c r="C291" s="23" t="s">
        <v>61</v>
      </c>
      <c r="D291" s="23" t="s">
        <v>62</v>
      </c>
      <c r="E291" s="23" t="s">
        <v>65</v>
      </c>
      <c r="F291" s="425">
        <v>54203</v>
      </c>
      <c r="G291" s="1625" t="s">
        <v>659</v>
      </c>
      <c r="H291" s="492">
        <v>570</v>
      </c>
    </row>
    <row r="292" spans="1:8">
      <c r="A292" s="34">
        <v>3</v>
      </c>
      <c r="B292" s="23" t="s">
        <v>64</v>
      </c>
      <c r="C292" s="23" t="s">
        <v>61</v>
      </c>
      <c r="D292" s="23" t="s">
        <v>62</v>
      </c>
      <c r="E292" s="23" t="s">
        <v>65</v>
      </c>
      <c r="F292" s="426">
        <v>54304</v>
      </c>
      <c r="G292" s="1625" t="s">
        <v>689</v>
      </c>
      <c r="H292" s="493">
        <f>448.5+356</f>
        <v>804.5</v>
      </c>
    </row>
    <row r="293" spans="1:8">
      <c r="A293" s="34">
        <v>3</v>
      </c>
      <c r="B293" s="23" t="s">
        <v>64</v>
      </c>
      <c r="C293" s="23" t="s">
        <v>61</v>
      </c>
      <c r="D293" s="23" t="s">
        <v>62</v>
      </c>
      <c r="E293" s="23" t="s">
        <v>65</v>
      </c>
      <c r="F293" s="421">
        <v>54505</v>
      </c>
      <c r="G293" s="1699" t="s">
        <v>679</v>
      </c>
      <c r="H293" s="493">
        <f>1500+2500-403.28-22.72</f>
        <v>3574.0000000000005</v>
      </c>
    </row>
    <row r="294" spans="1:8" ht="15.75" thickBot="1">
      <c r="A294" s="1034"/>
      <c r="B294" s="1035"/>
      <c r="C294" s="1035"/>
      <c r="D294" s="1035"/>
      <c r="E294" s="1036"/>
      <c r="F294" s="1037"/>
      <c r="G294" s="1038"/>
      <c r="H294" s="1039">
        <f>SUM(H279:H293)</f>
        <v>13000</v>
      </c>
    </row>
    <row r="295" spans="1:8" ht="15.75" thickBot="1">
      <c r="B295" s="9"/>
      <c r="C295" s="10"/>
      <c r="D295" s="3"/>
      <c r="E295" s="3"/>
      <c r="F295" s="3"/>
    </row>
    <row r="296" spans="1:8" ht="15" customHeight="1">
      <c r="A296" s="2573" t="s">
        <v>693</v>
      </c>
      <c r="B296" s="2574"/>
      <c r="C296" s="2574"/>
      <c r="D296" s="2574"/>
      <c r="E296" s="2574"/>
      <c r="F296" s="2574"/>
      <c r="G296" s="2575" t="s">
        <v>1323</v>
      </c>
      <c r="H296" s="2576"/>
    </row>
    <row r="297" spans="1:8">
      <c r="A297" s="482"/>
      <c r="B297" s="551"/>
      <c r="C297" s="19"/>
      <c r="D297" s="19"/>
      <c r="E297" s="19"/>
      <c r="F297" s="19"/>
      <c r="G297" s="483"/>
      <c r="H297" s="484"/>
    </row>
    <row r="298" spans="1:8" ht="14.25">
      <c r="A298" s="2580" t="s">
        <v>1400</v>
      </c>
      <c r="B298" s="2598"/>
      <c r="C298" s="2598"/>
      <c r="D298" s="2598"/>
      <c r="E298" s="2598"/>
      <c r="F298" s="2552"/>
      <c r="G298" s="2580" t="s">
        <v>694</v>
      </c>
      <c r="H298" s="2552"/>
    </row>
    <row r="299" spans="1:8">
      <c r="A299" s="2597" t="s">
        <v>705</v>
      </c>
      <c r="B299" s="2584"/>
      <c r="C299" s="2584"/>
      <c r="D299" s="2584"/>
      <c r="E299" s="2584"/>
      <c r="F299" s="2585"/>
      <c r="G299" s="483"/>
      <c r="H299" s="484"/>
    </row>
    <row r="300" spans="1:8" ht="33" customHeight="1">
      <c r="A300" s="2586"/>
      <c r="B300" s="2587"/>
      <c r="C300" s="2587"/>
      <c r="D300" s="2587"/>
      <c r="E300" s="2587"/>
      <c r="F300" s="2588"/>
      <c r="G300" s="2589" t="s">
        <v>695</v>
      </c>
      <c r="H300" s="2552"/>
    </row>
    <row r="301" spans="1:8">
      <c r="A301" s="482"/>
      <c r="B301" s="551"/>
      <c r="C301" s="551"/>
      <c r="D301" s="551"/>
      <c r="E301" s="551"/>
      <c r="F301" s="551"/>
      <c r="G301" s="485"/>
      <c r="H301" s="484"/>
    </row>
    <row r="302" spans="1:8" thickBot="1">
      <c r="A302" s="2590" t="s">
        <v>692</v>
      </c>
      <c r="B302" s="2561"/>
      <c r="C302" s="2561"/>
      <c r="D302" s="2561"/>
      <c r="E302" s="2561"/>
      <c r="F302" s="2562"/>
      <c r="G302" s="2591" t="s">
        <v>696</v>
      </c>
      <c r="H302" s="2562"/>
    </row>
    <row r="303" spans="1:8">
      <c r="A303" s="553"/>
      <c r="B303" s="554"/>
      <c r="C303" s="554"/>
      <c r="D303" s="554"/>
      <c r="E303" s="554"/>
      <c r="F303" s="554"/>
      <c r="G303" s="555"/>
      <c r="H303" s="554"/>
    </row>
    <row r="304" spans="1:8" ht="42" customHeight="1">
      <c r="A304" s="2601" t="s">
        <v>821</v>
      </c>
      <c r="B304" s="2601"/>
      <c r="C304" s="2601"/>
      <c r="D304" s="2601"/>
      <c r="E304" s="2601"/>
      <c r="F304" s="2601"/>
      <c r="G304" s="2601"/>
      <c r="H304" s="2601"/>
    </row>
    <row r="305" spans="1:9">
      <c r="A305" s="553"/>
      <c r="B305" s="554"/>
      <c r="C305" s="554"/>
      <c r="D305" s="554"/>
      <c r="E305" s="554"/>
      <c r="F305" s="554"/>
      <c r="G305" s="555"/>
      <c r="H305" s="554"/>
    </row>
    <row r="306" spans="1:9">
      <c r="A306" s="553"/>
      <c r="B306" s="554"/>
      <c r="C306" s="554"/>
      <c r="D306" s="554"/>
      <c r="E306" s="554"/>
      <c r="F306" s="554"/>
      <c r="G306" s="555"/>
      <c r="H306" s="554"/>
    </row>
    <row r="309" spans="1:9" ht="18.75">
      <c r="A309" s="2703" t="s">
        <v>111</v>
      </c>
      <c r="B309" s="2703"/>
      <c r="C309" s="2703"/>
      <c r="D309" s="2703"/>
      <c r="E309" s="2703"/>
      <c r="F309" s="2703"/>
      <c r="G309" s="2703"/>
      <c r="H309" s="2703"/>
    </row>
    <row r="310" spans="1:9" ht="18.75">
      <c r="A310" s="2703" t="s">
        <v>110</v>
      </c>
      <c r="B310" s="2703"/>
      <c r="C310" s="2703"/>
      <c r="D310" s="2703"/>
      <c r="E310" s="2703"/>
      <c r="F310" s="2703"/>
      <c r="G310" s="2703"/>
      <c r="H310" s="2703"/>
    </row>
    <row r="311" spans="1:9" ht="18.75">
      <c r="A311" s="2704" t="s">
        <v>211</v>
      </c>
      <c r="B311" s="2704"/>
      <c r="C311" s="2704"/>
      <c r="D311" s="2704"/>
      <c r="E311" s="2704"/>
      <c r="F311" s="2704"/>
      <c r="G311" s="2704"/>
      <c r="H311" s="2704"/>
    </row>
    <row r="312" spans="1:9" ht="18.75">
      <c r="A312" s="2704" t="s">
        <v>641</v>
      </c>
      <c r="B312" s="2704"/>
      <c r="C312" s="2704"/>
      <c r="D312" s="2704"/>
      <c r="E312" s="2704"/>
      <c r="F312" s="2704"/>
      <c r="G312" s="2704"/>
      <c r="H312" s="2704"/>
    </row>
    <row r="313" spans="1:9" ht="18.75">
      <c r="A313" s="2704" t="s">
        <v>32</v>
      </c>
      <c r="B313" s="2704"/>
      <c r="C313" s="2704"/>
      <c r="D313" s="2704"/>
      <c r="E313" s="2704"/>
      <c r="F313" s="2704"/>
      <c r="G313" s="2704"/>
      <c r="H313" s="2704"/>
    </row>
    <row r="314" spans="1:9">
      <c r="A314" s="814"/>
      <c r="B314" s="815"/>
      <c r="C314" s="816"/>
      <c r="D314" s="817"/>
      <c r="E314" s="817"/>
      <c r="F314" s="817"/>
      <c r="G314" s="818"/>
      <c r="H314" s="819"/>
    </row>
    <row r="315" spans="1:9" ht="18.75">
      <c r="A315" s="2741" t="s">
        <v>49</v>
      </c>
      <c r="B315" s="2741"/>
      <c r="C315" s="2741"/>
      <c r="D315" s="2741"/>
      <c r="E315" s="2741"/>
      <c r="F315" s="2741"/>
      <c r="G315" s="2741"/>
      <c r="H315" s="2741"/>
    </row>
    <row r="316" spans="1:9" ht="49.5" customHeight="1">
      <c r="A316" s="2602" t="s">
        <v>690</v>
      </c>
      <c r="B316" s="2602"/>
      <c r="C316" s="2602"/>
      <c r="D316" s="2602"/>
      <c r="E316" s="2602"/>
      <c r="F316" s="2602"/>
      <c r="G316" s="2602"/>
      <c r="H316" s="2602"/>
    </row>
    <row r="317" spans="1:9" ht="15.75" thickBot="1">
      <c r="A317" s="2719" t="s">
        <v>29</v>
      </c>
      <c r="B317" s="2742"/>
      <c r="C317" s="2742"/>
      <c r="D317" s="2742"/>
      <c r="E317" s="2742"/>
      <c r="F317" s="2743"/>
      <c r="G317" s="2722" t="s">
        <v>640</v>
      </c>
      <c r="H317" s="2715" t="s">
        <v>639</v>
      </c>
    </row>
    <row r="318" spans="1:9" ht="68.25" thickBot="1">
      <c r="A318" s="820" t="s">
        <v>39</v>
      </c>
      <c r="B318" s="821" t="s">
        <v>40</v>
      </c>
      <c r="C318" s="821" t="s">
        <v>41</v>
      </c>
      <c r="D318" s="821" t="s">
        <v>45</v>
      </c>
      <c r="E318" s="822" t="s">
        <v>42</v>
      </c>
      <c r="F318" s="823" t="s">
        <v>43</v>
      </c>
      <c r="G318" s="2744"/>
      <c r="H318" s="2723"/>
      <c r="I318" s="766"/>
    </row>
    <row r="319" spans="1:9">
      <c r="A319" s="824">
        <v>3</v>
      </c>
      <c r="B319" s="825" t="s">
        <v>64</v>
      </c>
      <c r="C319" s="825" t="s">
        <v>61</v>
      </c>
      <c r="D319" s="825" t="s">
        <v>62</v>
      </c>
      <c r="E319" s="825" t="s">
        <v>65</v>
      </c>
      <c r="F319" s="826">
        <v>54101</v>
      </c>
      <c r="G319" s="827" t="s">
        <v>654</v>
      </c>
      <c r="H319" s="828">
        <v>1500</v>
      </c>
    </row>
    <row r="320" spans="1:9">
      <c r="A320" s="824">
        <v>3</v>
      </c>
      <c r="B320" s="825" t="s">
        <v>64</v>
      </c>
      <c r="C320" s="825" t="s">
        <v>61</v>
      </c>
      <c r="D320" s="825" t="s">
        <v>62</v>
      </c>
      <c r="E320" s="825" t="s">
        <v>65</v>
      </c>
      <c r="F320" s="826">
        <v>54199</v>
      </c>
      <c r="G320" s="827" t="s">
        <v>658</v>
      </c>
      <c r="H320" s="828">
        <v>800</v>
      </c>
    </row>
    <row r="321" spans="1:8">
      <c r="A321" s="824">
        <v>3</v>
      </c>
      <c r="B321" s="825" t="s">
        <v>64</v>
      </c>
      <c r="C321" s="825" t="s">
        <v>61</v>
      </c>
      <c r="D321" s="825" t="s">
        <v>62</v>
      </c>
      <c r="E321" s="825" t="s">
        <v>65</v>
      </c>
      <c r="F321" s="829" t="s">
        <v>677</v>
      </c>
      <c r="G321" s="827" t="s">
        <v>691</v>
      </c>
      <c r="H321" s="830">
        <v>1200</v>
      </c>
    </row>
    <row r="322" spans="1:8">
      <c r="A322" s="824">
        <v>3</v>
      </c>
      <c r="B322" s="825" t="s">
        <v>64</v>
      </c>
      <c r="C322" s="825" t="s">
        <v>61</v>
      </c>
      <c r="D322" s="825" t="s">
        <v>62</v>
      </c>
      <c r="E322" s="825" t="s">
        <v>65</v>
      </c>
      <c r="F322" s="831">
        <v>54505</v>
      </c>
      <c r="G322" s="832" t="s">
        <v>679</v>
      </c>
      <c r="H322" s="830">
        <v>1500</v>
      </c>
    </row>
    <row r="323" spans="1:8" ht="15.75" thickBot="1">
      <c r="A323" s="833"/>
      <c r="B323" s="834"/>
      <c r="C323" s="834"/>
      <c r="D323" s="834"/>
      <c r="E323" s="835"/>
      <c r="F323" s="836"/>
      <c r="G323" s="837"/>
      <c r="H323" s="838">
        <f>SUM(H319:H322)</f>
        <v>5000</v>
      </c>
    </row>
    <row r="324" spans="1:8" ht="15.75" thickBot="1">
      <c r="A324" s="839"/>
      <c r="B324" s="839"/>
      <c r="C324" s="840"/>
      <c r="D324" s="841"/>
      <c r="E324" s="841"/>
      <c r="F324" s="841"/>
      <c r="G324" s="818"/>
      <c r="H324" s="819"/>
    </row>
    <row r="325" spans="1:8" ht="15" customHeight="1">
      <c r="A325" s="2685" t="s">
        <v>700</v>
      </c>
      <c r="B325" s="2735"/>
      <c r="C325" s="2735"/>
      <c r="D325" s="2735"/>
      <c r="E325" s="2735"/>
      <c r="F325" s="2736"/>
      <c r="G325" s="2687" t="s">
        <v>925</v>
      </c>
      <c r="H325" s="2688"/>
    </row>
    <row r="326" spans="1:8">
      <c r="A326" s="842"/>
      <c r="B326" s="843"/>
      <c r="C326" s="844"/>
      <c r="D326" s="844"/>
      <c r="E326" s="844"/>
      <c r="F326" s="844"/>
      <c r="G326" s="845"/>
      <c r="H326" s="846"/>
    </row>
    <row r="327" spans="1:8">
      <c r="A327" s="2737" t="s">
        <v>699</v>
      </c>
      <c r="B327" s="2738"/>
      <c r="C327" s="2738"/>
      <c r="D327" s="2738"/>
      <c r="E327" s="2738"/>
      <c r="F327" s="2739"/>
      <c r="G327" s="2737" t="s">
        <v>701</v>
      </c>
      <c r="H327" s="2739"/>
    </row>
    <row r="328" spans="1:8">
      <c r="A328" s="2692" t="s">
        <v>697</v>
      </c>
      <c r="B328" s="2693"/>
      <c r="C328" s="2693"/>
      <c r="D328" s="2693"/>
      <c r="E328" s="2693"/>
      <c r="F328" s="2694"/>
      <c r="G328" s="845"/>
      <c r="H328" s="846"/>
    </row>
    <row r="329" spans="1:8">
      <c r="A329" s="2695"/>
      <c r="B329" s="2696"/>
      <c r="C329" s="2696"/>
      <c r="D329" s="2696"/>
      <c r="E329" s="2696"/>
      <c r="F329" s="2697"/>
      <c r="G329" s="2698" t="s">
        <v>702</v>
      </c>
      <c r="H329" s="2740"/>
    </row>
    <row r="330" spans="1:8">
      <c r="A330" s="842"/>
      <c r="B330" s="843"/>
      <c r="C330" s="843"/>
      <c r="D330" s="843"/>
      <c r="E330" s="843"/>
      <c r="F330" s="843"/>
      <c r="G330" s="847"/>
      <c r="H330" s="846"/>
    </row>
    <row r="331" spans="1:8" ht="15.75" thickBot="1">
      <c r="A331" s="2699" t="s">
        <v>692</v>
      </c>
      <c r="B331" s="2732"/>
      <c r="C331" s="2732"/>
      <c r="D331" s="2732"/>
      <c r="E331" s="2732"/>
      <c r="F331" s="2733"/>
      <c r="G331" s="2702" t="s">
        <v>703</v>
      </c>
      <c r="H331" s="2734"/>
    </row>
    <row r="332" spans="1:8">
      <c r="A332" s="839"/>
      <c r="B332" s="815"/>
      <c r="C332" s="816"/>
      <c r="D332" s="817"/>
      <c r="E332" s="817"/>
      <c r="F332" s="817"/>
      <c r="G332" s="818"/>
      <c r="H332" s="819"/>
    </row>
    <row r="333" spans="1:8" ht="40.5" customHeight="1">
      <c r="A333" s="2716" t="s">
        <v>821</v>
      </c>
      <c r="B333" s="2716"/>
      <c r="C333" s="2716"/>
      <c r="D333" s="2716"/>
      <c r="E333" s="2716"/>
      <c r="F333" s="2716"/>
      <c r="G333" s="2716"/>
      <c r="H333" s="2716"/>
    </row>
    <row r="339" spans="1:8" ht="18.75">
      <c r="A339" s="2217" t="s">
        <v>111</v>
      </c>
      <c r="B339" s="2217"/>
      <c r="C339" s="2217"/>
      <c r="D339" s="2217"/>
      <c r="E339" s="2217"/>
      <c r="F339" s="2217"/>
      <c r="G339" s="2217"/>
      <c r="H339" s="2217"/>
    </row>
    <row r="340" spans="1:8" ht="18.75">
      <c r="A340" s="2217" t="s">
        <v>110</v>
      </c>
      <c r="B340" s="2217"/>
      <c r="C340" s="2217"/>
      <c r="D340" s="2217"/>
      <c r="E340" s="2217"/>
      <c r="F340" s="2217"/>
      <c r="G340" s="2217"/>
      <c r="H340" s="2217"/>
    </row>
    <row r="341" spans="1:8" ht="18.75">
      <c r="A341" s="2185" t="s">
        <v>211</v>
      </c>
      <c r="B341" s="2164"/>
      <c r="C341" s="2164"/>
      <c r="D341" s="2164"/>
      <c r="E341" s="2164"/>
      <c r="F341" s="2164"/>
      <c r="G341" s="2164"/>
      <c r="H341" s="2164"/>
    </row>
    <row r="342" spans="1:8" ht="18.75">
      <c r="A342" s="2185" t="s">
        <v>1212</v>
      </c>
      <c r="B342" s="2164"/>
      <c r="C342" s="2164"/>
      <c r="D342" s="2164"/>
      <c r="E342" s="2164"/>
      <c r="F342" s="2164"/>
      <c r="G342" s="2164"/>
      <c r="H342" s="2164"/>
    </row>
    <row r="343" spans="1:8" ht="18.75">
      <c r="A343" s="2185" t="s">
        <v>32</v>
      </c>
      <c r="B343" s="2164"/>
      <c r="C343" s="2164"/>
      <c r="D343" s="2164"/>
      <c r="E343" s="2164"/>
      <c r="F343" s="2164"/>
      <c r="G343" s="2164"/>
      <c r="H343" s="2164"/>
    </row>
    <row r="344" spans="1:8">
      <c r="A344" s="850"/>
      <c r="B344" s="198"/>
      <c r="C344" s="851"/>
      <c r="D344" s="41"/>
      <c r="E344" s="41"/>
      <c r="F344" s="41"/>
      <c r="G344" s="21"/>
      <c r="H344" s="203"/>
    </row>
    <row r="345" spans="1:8" ht="30.75" customHeight="1">
      <c r="A345" s="2564" t="s">
        <v>49</v>
      </c>
      <c r="B345" s="2564"/>
      <c r="C345" s="2564"/>
      <c r="D345" s="2564"/>
      <c r="E345" s="2564"/>
      <c r="F345" s="2564"/>
      <c r="G345" s="2564"/>
      <c r="H345" s="2564"/>
    </row>
    <row r="346" spans="1:8" ht="44.25" customHeight="1">
      <c r="A346" s="2725" t="s">
        <v>1491</v>
      </c>
      <c r="B346" s="2726"/>
      <c r="C346" s="2726"/>
      <c r="D346" s="2726"/>
      <c r="E346" s="2726"/>
      <c r="F346" s="2726"/>
      <c r="G346" s="2726"/>
      <c r="H346" s="2726"/>
    </row>
    <row r="347" spans="1:8" ht="15.75" thickBot="1">
      <c r="A347" s="2567" t="s">
        <v>29</v>
      </c>
      <c r="B347" s="2568"/>
      <c r="C347" s="2568"/>
      <c r="D347" s="2568"/>
      <c r="E347" s="2568"/>
      <c r="F347" s="2569"/>
      <c r="G347" s="2570" t="s">
        <v>640</v>
      </c>
      <c r="H347" s="2572" t="s">
        <v>639</v>
      </c>
    </row>
    <row r="348" spans="1:8" ht="75.75" thickBot="1">
      <c r="A348" s="411" t="s">
        <v>39</v>
      </c>
      <c r="B348" s="412" t="s">
        <v>40</v>
      </c>
      <c r="C348" s="412" t="s">
        <v>41</v>
      </c>
      <c r="D348" s="412" t="s">
        <v>45</v>
      </c>
      <c r="E348" s="413" t="s">
        <v>42</v>
      </c>
      <c r="F348" s="407" t="s">
        <v>43</v>
      </c>
      <c r="G348" s="2571"/>
      <c r="H348" s="2572"/>
    </row>
    <row r="349" spans="1:8">
      <c r="A349" s="852" t="s">
        <v>380</v>
      </c>
      <c r="B349" s="853" t="s">
        <v>64</v>
      </c>
      <c r="C349" s="853" t="s">
        <v>61</v>
      </c>
      <c r="D349" s="853" t="s">
        <v>62</v>
      </c>
      <c r="E349" s="853" t="s">
        <v>65</v>
      </c>
      <c r="F349" s="854" t="s">
        <v>209</v>
      </c>
      <c r="G349" s="561" t="s">
        <v>724</v>
      </c>
      <c r="H349" s="855">
        <v>5000</v>
      </c>
    </row>
    <row r="350" spans="1:8" hidden="1">
      <c r="A350" s="852" t="s">
        <v>380</v>
      </c>
      <c r="B350" s="853" t="s">
        <v>64</v>
      </c>
      <c r="C350" s="853" t="s">
        <v>61</v>
      </c>
      <c r="D350" s="853" t="s">
        <v>62</v>
      </c>
      <c r="E350" s="853" t="s">
        <v>65</v>
      </c>
      <c r="F350" s="856" t="s">
        <v>530</v>
      </c>
      <c r="G350" s="848" t="s">
        <v>654</v>
      </c>
      <c r="H350" s="855"/>
    </row>
    <row r="351" spans="1:8" hidden="1">
      <c r="A351" s="852" t="s">
        <v>380</v>
      </c>
      <c r="B351" s="853" t="s">
        <v>64</v>
      </c>
      <c r="C351" s="853" t="s">
        <v>61</v>
      </c>
      <c r="D351" s="853" t="s">
        <v>62</v>
      </c>
      <c r="E351" s="853" t="s">
        <v>65</v>
      </c>
      <c r="F351" s="856" t="s">
        <v>563</v>
      </c>
      <c r="G351" s="849" t="s">
        <v>951</v>
      </c>
      <c r="H351" s="855"/>
    </row>
    <row r="352" spans="1:8" hidden="1">
      <c r="A352" s="852" t="s">
        <v>380</v>
      </c>
      <c r="B352" s="853" t="s">
        <v>64</v>
      </c>
      <c r="C352" s="853" t="s">
        <v>61</v>
      </c>
      <c r="D352" s="853" t="s">
        <v>62</v>
      </c>
      <c r="E352" s="853" t="s">
        <v>65</v>
      </c>
      <c r="F352" s="856" t="s">
        <v>637</v>
      </c>
      <c r="G352" s="849" t="s">
        <v>711</v>
      </c>
      <c r="H352" s="855"/>
    </row>
    <row r="353" spans="1:8">
      <c r="A353" s="852" t="s">
        <v>380</v>
      </c>
      <c r="B353" s="853" t="s">
        <v>64</v>
      </c>
      <c r="C353" s="853" t="s">
        <v>61</v>
      </c>
      <c r="D353" s="853" t="s">
        <v>62</v>
      </c>
      <c r="E353" s="853" t="s">
        <v>65</v>
      </c>
      <c r="F353" s="856" t="s">
        <v>657</v>
      </c>
      <c r="G353" s="539" t="s">
        <v>775</v>
      </c>
      <c r="H353" s="855">
        <v>2000</v>
      </c>
    </row>
    <row r="354" spans="1:8">
      <c r="A354" s="852" t="s">
        <v>380</v>
      </c>
      <c r="B354" s="853" t="s">
        <v>64</v>
      </c>
      <c r="C354" s="853" t="s">
        <v>61</v>
      </c>
      <c r="D354" s="853" t="s">
        <v>62</v>
      </c>
      <c r="E354" s="853" t="s">
        <v>65</v>
      </c>
      <c r="F354" s="856" t="s">
        <v>953</v>
      </c>
      <c r="G354" s="539" t="s">
        <v>952</v>
      </c>
      <c r="H354" s="855">
        <v>1500</v>
      </c>
    </row>
    <row r="355" spans="1:8">
      <c r="A355" s="852" t="s">
        <v>380</v>
      </c>
      <c r="B355" s="853" t="s">
        <v>64</v>
      </c>
      <c r="C355" s="853" t="s">
        <v>61</v>
      </c>
      <c r="D355" s="853" t="s">
        <v>62</v>
      </c>
      <c r="E355" s="853" t="s">
        <v>65</v>
      </c>
      <c r="F355" s="856" t="s">
        <v>677</v>
      </c>
      <c r="G355" s="539" t="s">
        <v>776</v>
      </c>
      <c r="H355" s="855">
        <v>1500</v>
      </c>
    </row>
    <row r="356" spans="1:8" hidden="1">
      <c r="A356" s="852" t="s">
        <v>380</v>
      </c>
      <c r="B356" s="853" t="s">
        <v>64</v>
      </c>
      <c r="C356" s="853" t="s">
        <v>61</v>
      </c>
      <c r="D356" s="853" t="s">
        <v>62</v>
      </c>
      <c r="E356" s="853" t="s">
        <v>65</v>
      </c>
      <c r="F356" s="856" t="s">
        <v>950</v>
      </c>
      <c r="G356" s="539" t="s">
        <v>1</v>
      </c>
      <c r="H356" s="855"/>
    </row>
    <row r="357" spans="1:8" ht="15.75" thickBot="1">
      <c r="A357" s="1040"/>
      <c r="B357" s="1041"/>
      <c r="C357" s="1041"/>
      <c r="D357" s="1041"/>
      <c r="E357" s="1042"/>
      <c r="F357" s="1043"/>
      <c r="G357" s="1044"/>
      <c r="H357" s="1045">
        <f>SUM(H349:H356)</f>
        <v>10000</v>
      </c>
    </row>
    <row r="358" spans="1:8" ht="15.75" thickBot="1">
      <c r="A358" s="200"/>
      <c r="B358" s="200"/>
      <c r="C358" s="201"/>
      <c r="D358" s="202"/>
      <c r="E358" s="202"/>
      <c r="F358" s="202"/>
      <c r="G358" s="21"/>
      <c r="H358" s="203"/>
    </row>
    <row r="359" spans="1:8" ht="15" customHeight="1">
      <c r="A359" s="2541" t="s">
        <v>693</v>
      </c>
      <c r="B359" s="2542"/>
      <c r="C359" s="2542"/>
      <c r="D359" s="2542"/>
      <c r="E359" s="2542"/>
      <c r="F359" s="2542"/>
      <c r="G359" s="2543" t="s">
        <v>1323</v>
      </c>
      <c r="H359" s="2544"/>
    </row>
    <row r="360" spans="1:8">
      <c r="A360" s="857"/>
      <c r="B360" s="47"/>
      <c r="C360" s="160"/>
      <c r="D360" s="160"/>
      <c r="E360" s="160"/>
      <c r="F360" s="160"/>
      <c r="G360" s="858"/>
      <c r="H360" s="859"/>
    </row>
    <row r="361" spans="1:8" ht="32.25" customHeight="1">
      <c r="A361" s="2548" t="s">
        <v>1399</v>
      </c>
      <c r="B361" s="2730"/>
      <c r="C361" s="2730"/>
      <c r="D361" s="2730"/>
      <c r="E361" s="2730"/>
      <c r="F361" s="2731"/>
      <c r="G361" s="2551" t="s">
        <v>694</v>
      </c>
      <c r="H361" s="2552"/>
    </row>
    <row r="362" spans="1:8">
      <c r="A362" s="2553" t="s">
        <v>1022</v>
      </c>
      <c r="B362" s="2554"/>
      <c r="C362" s="2554"/>
      <c r="D362" s="2554"/>
      <c r="E362" s="2554"/>
      <c r="F362" s="2555"/>
      <c r="G362" s="858"/>
      <c r="H362" s="859"/>
    </row>
    <row r="363" spans="1:8" ht="31.5" customHeight="1">
      <c r="A363" s="2556"/>
      <c r="B363" s="2557"/>
      <c r="C363" s="2557"/>
      <c r="D363" s="2557"/>
      <c r="E363" s="2557"/>
      <c r="F363" s="2558"/>
      <c r="G363" s="2559" t="s">
        <v>772</v>
      </c>
      <c r="H363" s="2552"/>
    </row>
    <row r="364" spans="1:8">
      <c r="A364" s="857"/>
      <c r="B364" s="47"/>
      <c r="C364" s="47"/>
      <c r="D364" s="47"/>
      <c r="E364" s="47"/>
      <c r="F364" s="47"/>
      <c r="G364" s="860"/>
      <c r="H364" s="859"/>
    </row>
    <row r="365" spans="1:8" thickBot="1">
      <c r="A365" s="2560" t="s">
        <v>692</v>
      </c>
      <c r="B365" s="2561"/>
      <c r="C365" s="2561"/>
      <c r="D365" s="2561"/>
      <c r="E365" s="2561"/>
      <c r="F365" s="2562"/>
      <c r="G365" s="2563" t="s">
        <v>696</v>
      </c>
      <c r="H365" s="2562"/>
    </row>
    <row r="366" spans="1:8">
      <c r="A366" s="200"/>
      <c r="B366" s="198"/>
      <c r="C366" s="851"/>
      <c r="D366" s="41"/>
      <c r="E366" s="41"/>
      <c r="F366" s="41"/>
      <c r="G366" s="21"/>
      <c r="H366" s="203"/>
    </row>
    <row r="367" spans="1:8" ht="42" customHeight="1">
      <c r="A367" s="2641" t="s">
        <v>821</v>
      </c>
      <c r="B367" s="2641"/>
      <c r="C367" s="2641"/>
      <c r="D367" s="2641"/>
      <c r="E367" s="2641"/>
      <c r="F367" s="2641"/>
      <c r="G367" s="2641"/>
      <c r="H367" s="2641"/>
    </row>
    <row r="374" spans="1:9" ht="18.75">
      <c r="A374" s="2162" t="s">
        <v>111</v>
      </c>
      <c r="B374" s="2162"/>
      <c r="C374" s="2162"/>
      <c r="D374" s="2162"/>
      <c r="E374" s="2162"/>
      <c r="F374" s="2162"/>
      <c r="G374" s="2162"/>
      <c r="H374" s="2162"/>
    </row>
    <row r="375" spans="1:9" ht="18.75">
      <c r="A375" s="2162" t="s">
        <v>110</v>
      </c>
      <c r="B375" s="2162"/>
      <c r="C375" s="2162"/>
      <c r="D375" s="2162"/>
      <c r="E375" s="2162"/>
      <c r="F375" s="2162"/>
      <c r="G375" s="2162"/>
      <c r="H375" s="2162"/>
    </row>
    <row r="376" spans="1:9" ht="18.75">
      <c r="A376" s="2163" t="s">
        <v>211</v>
      </c>
      <c r="B376" s="2164"/>
      <c r="C376" s="2164"/>
      <c r="D376" s="2164"/>
      <c r="E376" s="2164"/>
      <c r="F376" s="2164"/>
      <c r="G376" s="2164"/>
      <c r="H376" s="2164"/>
    </row>
    <row r="377" spans="1:9" ht="18.75">
      <c r="A377" s="2163" t="s">
        <v>1212</v>
      </c>
      <c r="B377" s="2164"/>
      <c r="C377" s="2164"/>
      <c r="D377" s="2164"/>
      <c r="E377" s="2164"/>
      <c r="F377" s="2164"/>
      <c r="G377" s="2164"/>
      <c r="H377" s="2164"/>
    </row>
    <row r="378" spans="1:9" ht="18.75">
      <c r="A378" s="2163" t="s">
        <v>32</v>
      </c>
      <c r="B378" s="2164"/>
      <c r="C378" s="2164"/>
      <c r="D378" s="2164"/>
      <c r="E378" s="2164"/>
      <c r="F378" s="2164"/>
      <c r="G378" s="2164"/>
      <c r="H378" s="2164"/>
    </row>
    <row r="379" spans="1:9">
      <c r="A379" s="33"/>
    </row>
    <row r="380" spans="1:9" ht="28.5" customHeight="1">
      <c r="A380" s="2727" t="s">
        <v>49</v>
      </c>
      <c r="B380" s="2727"/>
      <c r="C380" s="2727"/>
      <c r="D380" s="2727"/>
      <c r="E380" s="2727"/>
      <c r="F380" s="2727"/>
      <c r="G380" s="2727"/>
      <c r="H380" s="2727"/>
    </row>
    <row r="381" spans="1:9" ht="40.5" customHeight="1">
      <c r="A381" s="2728" t="s">
        <v>1401</v>
      </c>
      <c r="B381" s="2729"/>
      <c r="C381" s="2729"/>
      <c r="D381" s="2729"/>
      <c r="E381" s="2729"/>
      <c r="F381" s="2729"/>
      <c r="G381" s="2729"/>
      <c r="H381" s="2729"/>
    </row>
    <row r="382" spans="1:9" ht="15.75" thickBot="1">
      <c r="A382" s="2567" t="s">
        <v>29</v>
      </c>
      <c r="B382" s="2568"/>
      <c r="C382" s="2568"/>
      <c r="D382" s="2568"/>
      <c r="E382" s="2568"/>
      <c r="F382" s="2569"/>
      <c r="G382" s="2570" t="s">
        <v>640</v>
      </c>
      <c r="H382" s="2572" t="s">
        <v>639</v>
      </c>
    </row>
    <row r="383" spans="1:9" ht="75.75" thickBot="1">
      <c r="A383" s="411" t="s">
        <v>39</v>
      </c>
      <c r="B383" s="412" t="s">
        <v>40</v>
      </c>
      <c r="C383" s="412" t="s">
        <v>41</v>
      </c>
      <c r="D383" s="412" t="s">
        <v>45</v>
      </c>
      <c r="E383" s="413" t="s">
        <v>42</v>
      </c>
      <c r="F383" s="407" t="s">
        <v>43</v>
      </c>
      <c r="G383" s="2571"/>
      <c r="H383" s="2572"/>
      <c r="I383" s="770" t="s">
        <v>942</v>
      </c>
    </row>
    <row r="384" spans="1:9" ht="18">
      <c r="A384" s="34">
        <v>3</v>
      </c>
      <c r="B384" s="23" t="s">
        <v>64</v>
      </c>
      <c r="C384" s="23" t="s">
        <v>61</v>
      </c>
      <c r="D384" s="23" t="s">
        <v>62</v>
      </c>
      <c r="E384" s="23" t="s">
        <v>65</v>
      </c>
      <c r="F384" s="425">
        <v>51202</v>
      </c>
      <c r="G384" s="1641" t="s">
        <v>724</v>
      </c>
      <c r="H384" s="1054">
        <v>3000</v>
      </c>
      <c r="I384" s="770"/>
    </row>
    <row r="385" spans="1:8" ht="15.75" thickBot="1">
      <c r="A385" s="34">
        <v>3</v>
      </c>
      <c r="B385" s="23" t="s">
        <v>64</v>
      </c>
      <c r="C385" s="23" t="s">
        <v>61</v>
      </c>
      <c r="D385" s="23" t="s">
        <v>62</v>
      </c>
      <c r="E385" s="23" t="s">
        <v>65</v>
      </c>
      <c r="F385" s="425">
        <v>54101</v>
      </c>
      <c r="G385" s="419" t="s">
        <v>654</v>
      </c>
      <c r="H385" s="491">
        <v>3000</v>
      </c>
    </row>
    <row r="386" spans="1:8">
      <c r="A386" s="34">
        <v>3</v>
      </c>
      <c r="B386" s="23" t="s">
        <v>64</v>
      </c>
      <c r="C386" s="23" t="s">
        <v>61</v>
      </c>
      <c r="D386" s="23" t="s">
        <v>62</v>
      </c>
      <c r="E386" s="23" t="s">
        <v>65</v>
      </c>
      <c r="F386" s="423" t="s">
        <v>752</v>
      </c>
      <c r="G386" s="415" t="s">
        <v>713</v>
      </c>
      <c r="H386" s="491">
        <v>3600</v>
      </c>
    </row>
    <row r="387" spans="1:8">
      <c r="A387" s="34">
        <v>3</v>
      </c>
      <c r="B387" s="23" t="s">
        <v>64</v>
      </c>
      <c r="C387" s="23" t="s">
        <v>61</v>
      </c>
      <c r="D387" s="23" t="s">
        <v>62</v>
      </c>
      <c r="E387" s="23" t="s">
        <v>65</v>
      </c>
      <c r="F387" s="486">
        <v>54313</v>
      </c>
      <c r="G387" s="419" t="s">
        <v>793</v>
      </c>
      <c r="H387" s="492">
        <v>3000</v>
      </c>
    </row>
    <row r="388" spans="1:8">
      <c r="A388" s="34">
        <v>3</v>
      </c>
      <c r="B388" s="23" t="s">
        <v>64</v>
      </c>
      <c r="C388" s="23" t="s">
        <v>61</v>
      </c>
      <c r="D388" s="23" t="s">
        <v>62</v>
      </c>
      <c r="E388" s="23" t="s">
        <v>65</v>
      </c>
      <c r="F388" s="486">
        <v>54403</v>
      </c>
      <c r="G388" s="419" t="s">
        <v>941</v>
      </c>
      <c r="H388" s="492">
        <v>2400</v>
      </c>
    </row>
    <row r="389" spans="1:8">
      <c r="A389" s="34">
        <v>3</v>
      </c>
      <c r="B389" s="23" t="s">
        <v>64</v>
      </c>
      <c r="C389" s="23" t="s">
        <v>61</v>
      </c>
      <c r="D389" s="23" t="s">
        <v>62</v>
      </c>
      <c r="E389" s="23" t="s">
        <v>65</v>
      </c>
      <c r="F389" s="486">
        <v>56304</v>
      </c>
      <c r="G389" s="419" t="s">
        <v>754</v>
      </c>
      <c r="H389" s="492">
        <v>5000</v>
      </c>
    </row>
    <row r="390" spans="1:8" ht="15.75" thickBot="1">
      <c r="A390" s="1034"/>
      <c r="B390" s="1035"/>
      <c r="C390" s="1035"/>
      <c r="D390" s="1035"/>
      <c r="E390" s="1036"/>
      <c r="F390" s="1037"/>
      <c r="G390" s="1038"/>
      <c r="H390" s="1039">
        <f>SUM(H384:H389)</f>
        <v>20000</v>
      </c>
    </row>
    <row r="391" spans="1:8" ht="15.75" thickBot="1">
      <c r="B391" s="9"/>
      <c r="C391" s="10"/>
      <c r="D391" s="3"/>
      <c r="E391" s="3"/>
      <c r="F391" s="3"/>
    </row>
    <row r="392" spans="1:8" ht="15" customHeight="1">
      <c r="A392" s="2573" t="s">
        <v>693</v>
      </c>
      <c r="B392" s="2574"/>
      <c r="C392" s="2574"/>
      <c r="D392" s="2574"/>
      <c r="E392" s="2574"/>
      <c r="F392" s="2574"/>
      <c r="G392" s="2575" t="s">
        <v>1323</v>
      </c>
      <c r="H392" s="2576"/>
    </row>
    <row r="393" spans="1:8">
      <c r="A393" s="482"/>
      <c r="B393" s="551"/>
      <c r="C393" s="19"/>
      <c r="D393" s="19"/>
      <c r="E393" s="19"/>
      <c r="F393" s="19"/>
      <c r="G393" s="483"/>
      <c r="H393" s="484"/>
    </row>
    <row r="394" spans="1:8" ht="14.25">
      <c r="A394" s="2580" t="s">
        <v>1402</v>
      </c>
      <c r="B394" s="2598"/>
      <c r="C394" s="2598"/>
      <c r="D394" s="2598"/>
      <c r="E394" s="2598"/>
      <c r="F394" s="2552"/>
      <c r="G394" s="2580" t="s">
        <v>694</v>
      </c>
      <c r="H394" s="2552"/>
    </row>
    <row r="395" spans="1:8">
      <c r="A395" s="2597" t="s">
        <v>794</v>
      </c>
      <c r="B395" s="2584"/>
      <c r="C395" s="2584"/>
      <c r="D395" s="2584"/>
      <c r="E395" s="2584"/>
      <c r="F395" s="2585"/>
      <c r="G395" s="483"/>
      <c r="H395" s="484"/>
    </row>
    <row r="396" spans="1:8" ht="14.25">
      <c r="A396" s="2586"/>
      <c r="B396" s="2587"/>
      <c r="C396" s="2587"/>
      <c r="D396" s="2587"/>
      <c r="E396" s="2587"/>
      <c r="F396" s="2588"/>
      <c r="G396" s="2589" t="s">
        <v>695</v>
      </c>
      <c r="H396" s="2552"/>
    </row>
    <row r="397" spans="1:8">
      <c r="A397" s="482"/>
      <c r="B397" s="551"/>
      <c r="C397" s="551"/>
      <c r="D397" s="551"/>
      <c r="E397" s="551"/>
      <c r="F397" s="551"/>
      <c r="G397" s="485"/>
      <c r="H397" s="484"/>
    </row>
    <row r="398" spans="1:8" thickBot="1">
      <c r="A398" s="2590" t="s">
        <v>692</v>
      </c>
      <c r="B398" s="2561"/>
      <c r="C398" s="2561"/>
      <c r="D398" s="2561"/>
      <c r="E398" s="2561"/>
      <c r="F398" s="2562"/>
      <c r="G398" s="2591" t="s">
        <v>696</v>
      </c>
      <c r="H398" s="2562"/>
    </row>
    <row r="400" spans="1:8" ht="43.5" customHeight="1">
      <c r="A400" s="2601" t="s">
        <v>821</v>
      </c>
      <c r="B400" s="2601"/>
      <c r="C400" s="2601"/>
      <c r="D400" s="2601"/>
      <c r="E400" s="2601"/>
      <c r="F400" s="2601"/>
      <c r="G400" s="2601"/>
      <c r="H400" s="2601"/>
    </row>
    <row r="404" spans="1:8" ht="18.75">
      <c r="A404" s="2162" t="s">
        <v>111</v>
      </c>
      <c r="B404" s="2162"/>
      <c r="C404" s="2162"/>
      <c r="D404" s="2162"/>
      <c r="E404" s="2162"/>
      <c r="F404" s="2162"/>
      <c r="G404" s="2162"/>
      <c r="H404" s="2162"/>
    </row>
    <row r="405" spans="1:8" ht="18.75">
      <c r="A405" s="2162" t="s">
        <v>110</v>
      </c>
      <c r="B405" s="2162"/>
      <c r="C405" s="2162"/>
      <c r="D405" s="2162"/>
      <c r="E405" s="2162"/>
      <c r="F405" s="2162"/>
      <c r="G405" s="2162"/>
      <c r="H405" s="2162"/>
    </row>
    <row r="406" spans="1:8" ht="18.75">
      <c r="A406" s="2163" t="s">
        <v>211</v>
      </c>
      <c r="B406" s="2164"/>
      <c r="C406" s="2164"/>
      <c r="D406" s="2164"/>
      <c r="E406" s="2164"/>
      <c r="F406" s="2164"/>
      <c r="G406" s="2164"/>
      <c r="H406" s="2164"/>
    </row>
    <row r="407" spans="1:8" ht="18.75">
      <c r="A407" s="2163" t="s">
        <v>1212</v>
      </c>
      <c r="B407" s="2164"/>
      <c r="C407" s="2164"/>
      <c r="D407" s="2164"/>
      <c r="E407" s="2164"/>
      <c r="F407" s="2164"/>
      <c r="G407" s="2164"/>
      <c r="H407" s="2164"/>
    </row>
    <row r="408" spans="1:8" ht="18.75">
      <c r="A408" s="2163" t="s">
        <v>32</v>
      </c>
      <c r="B408" s="2164"/>
      <c r="C408" s="2164"/>
      <c r="D408" s="2164"/>
      <c r="E408" s="2164"/>
      <c r="F408" s="2164"/>
      <c r="G408" s="2164"/>
      <c r="H408" s="2164"/>
    </row>
    <row r="409" spans="1:8">
      <c r="A409" s="33"/>
    </row>
    <row r="410" spans="1:8" ht="18.75">
      <c r="A410" s="2596" t="s">
        <v>49</v>
      </c>
      <c r="B410" s="2596"/>
      <c r="C410" s="2596"/>
      <c r="D410" s="2596"/>
      <c r="E410" s="2596"/>
      <c r="F410" s="2596"/>
      <c r="G410" s="2596"/>
      <c r="H410" s="2596"/>
    </row>
    <row r="411" spans="1:8" ht="30" customHeight="1">
      <c r="A411" s="2725" t="s">
        <v>1403</v>
      </c>
      <c r="B411" s="2726"/>
      <c r="C411" s="2726"/>
      <c r="D411" s="2726"/>
      <c r="E411" s="2726"/>
      <c r="F411" s="2726"/>
      <c r="G411" s="2726"/>
      <c r="H411" s="2726"/>
    </row>
    <row r="412" spans="1:8" ht="15.75" thickBot="1">
      <c r="A412" s="2567" t="s">
        <v>29</v>
      </c>
      <c r="B412" s="2568"/>
      <c r="C412" s="2568"/>
      <c r="D412" s="2568"/>
      <c r="E412" s="2568"/>
      <c r="F412" s="2569"/>
      <c r="G412" s="2570" t="s">
        <v>640</v>
      </c>
      <c r="H412" s="2572" t="s">
        <v>639</v>
      </c>
    </row>
    <row r="413" spans="1:8" ht="75.75" thickBot="1">
      <c r="A413" s="411" t="s">
        <v>39</v>
      </c>
      <c r="B413" s="412" t="s">
        <v>40</v>
      </c>
      <c r="C413" s="412" t="s">
        <v>41</v>
      </c>
      <c r="D413" s="412" t="s">
        <v>45</v>
      </c>
      <c r="E413" s="413" t="s">
        <v>42</v>
      </c>
      <c r="F413" s="407" t="s">
        <v>43</v>
      </c>
      <c r="G413" s="2571"/>
      <c r="H413" s="2595"/>
    </row>
    <row r="414" spans="1:8">
      <c r="A414" s="34">
        <v>3</v>
      </c>
      <c r="B414" s="23" t="s">
        <v>64</v>
      </c>
      <c r="C414" s="23" t="s">
        <v>61</v>
      </c>
      <c r="D414" s="23" t="s">
        <v>62</v>
      </c>
      <c r="E414" s="23" t="s">
        <v>65</v>
      </c>
      <c r="F414" s="421">
        <v>56305</v>
      </c>
      <c r="G414" s="422" t="s">
        <v>795</v>
      </c>
      <c r="H414" s="420">
        <v>90000</v>
      </c>
    </row>
    <row r="415" spans="1:8" ht="15.75" thickBot="1">
      <c r="A415" s="1034"/>
      <c r="B415" s="1035"/>
      <c r="C415" s="1035"/>
      <c r="D415" s="1035"/>
      <c r="E415" s="1036"/>
      <c r="F415" s="1037"/>
      <c r="G415" s="1038"/>
      <c r="H415" s="1039">
        <f>SUM(H414:H414)</f>
        <v>90000</v>
      </c>
    </row>
    <row r="416" spans="1:8" ht="15.75" thickBot="1">
      <c r="B416" s="9"/>
      <c r="C416" s="10"/>
      <c r="D416" s="3"/>
      <c r="E416" s="3"/>
      <c r="F416" s="3"/>
    </row>
    <row r="417" spans="1:8" ht="15" customHeight="1">
      <c r="A417" s="2573" t="s">
        <v>693</v>
      </c>
      <c r="B417" s="2574"/>
      <c r="C417" s="2574"/>
      <c r="D417" s="2574"/>
      <c r="E417" s="2574"/>
      <c r="F417" s="2574"/>
      <c r="G417" s="2575" t="s">
        <v>1323</v>
      </c>
      <c r="H417" s="2576"/>
    </row>
    <row r="418" spans="1:8">
      <c r="A418" s="482"/>
      <c r="B418" s="551"/>
      <c r="C418" s="19"/>
      <c r="D418" s="19"/>
      <c r="E418" s="19"/>
      <c r="F418" s="19"/>
      <c r="G418" s="483"/>
      <c r="H418" s="484"/>
    </row>
    <row r="419" spans="1:8" ht="14.25">
      <c r="A419" s="2580" t="s">
        <v>797</v>
      </c>
      <c r="B419" s="2598"/>
      <c r="C419" s="2598"/>
      <c r="D419" s="2598"/>
      <c r="E419" s="2598"/>
      <c r="F419" s="2552"/>
      <c r="G419" s="2580" t="s">
        <v>694</v>
      </c>
      <c r="H419" s="2552"/>
    </row>
    <row r="420" spans="1:8">
      <c r="A420" s="2597" t="s">
        <v>796</v>
      </c>
      <c r="B420" s="2584"/>
      <c r="C420" s="2584"/>
      <c r="D420" s="2584"/>
      <c r="E420" s="2584"/>
      <c r="F420" s="2585"/>
      <c r="G420" s="483"/>
      <c r="H420" s="484"/>
    </row>
    <row r="421" spans="1:8" ht="14.25">
      <c r="A421" s="2586"/>
      <c r="B421" s="2587"/>
      <c r="C421" s="2587"/>
      <c r="D421" s="2587"/>
      <c r="E421" s="2587"/>
      <c r="F421" s="2588"/>
      <c r="G421" s="2589" t="s">
        <v>695</v>
      </c>
      <c r="H421" s="2552"/>
    </row>
    <row r="422" spans="1:8">
      <c r="A422" s="482"/>
      <c r="B422" s="551"/>
      <c r="C422" s="551"/>
      <c r="D422" s="551"/>
      <c r="E422" s="551"/>
      <c r="F422" s="551"/>
      <c r="G422" s="485"/>
      <c r="H422" s="484"/>
    </row>
    <row r="423" spans="1:8" thickBot="1">
      <c r="A423" s="2590" t="s">
        <v>692</v>
      </c>
      <c r="B423" s="2561"/>
      <c r="C423" s="2561"/>
      <c r="D423" s="2561"/>
      <c r="E423" s="2561"/>
      <c r="F423" s="2562"/>
      <c r="G423" s="2591" t="s">
        <v>696</v>
      </c>
      <c r="H423" s="2562"/>
    </row>
    <row r="425" spans="1:8" ht="40.5" customHeight="1">
      <c r="A425" s="2601" t="s">
        <v>821</v>
      </c>
      <c r="B425" s="2601"/>
      <c r="C425" s="2601"/>
      <c r="D425" s="2601"/>
      <c r="E425" s="2601"/>
      <c r="F425" s="2601"/>
      <c r="G425" s="2601"/>
      <c r="H425" s="2601"/>
    </row>
    <row r="430" spans="1:8" ht="18.75">
      <c r="A430" s="2162" t="s">
        <v>111</v>
      </c>
      <c r="B430" s="2162"/>
      <c r="C430" s="2162"/>
      <c r="D430" s="2162"/>
      <c r="E430" s="2162"/>
      <c r="F430" s="2162"/>
      <c r="G430" s="2162"/>
      <c r="H430" s="2162"/>
    </row>
    <row r="431" spans="1:8" ht="18.75">
      <c r="A431" s="2162" t="s">
        <v>110</v>
      </c>
      <c r="B431" s="2162"/>
      <c r="C431" s="2162"/>
      <c r="D431" s="2162"/>
      <c r="E431" s="2162"/>
      <c r="F431" s="2162"/>
      <c r="G431" s="2162"/>
      <c r="H431" s="2162"/>
    </row>
    <row r="432" spans="1:8" ht="18.75">
      <c r="A432" s="2163" t="s">
        <v>211</v>
      </c>
      <c r="B432" s="2163"/>
      <c r="C432" s="2163"/>
      <c r="D432" s="2163"/>
      <c r="E432" s="2163"/>
      <c r="F432" s="2163"/>
      <c r="G432" s="2163"/>
      <c r="H432" s="2163"/>
    </row>
    <row r="433" spans="1:9" ht="18.75">
      <c r="A433" s="2163" t="s">
        <v>1212</v>
      </c>
      <c r="B433" s="2163"/>
      <c r="C433" s="2163"/>
      <c r="D433" s="2163"/>
      <c r="E433" s="2163"/>
      <c r="F433" s="2163"/>
      <c r="G433" s="2163"/>
      <c r="H433" s="2163"/>
    </row>
    <row r="434" spans="1:9" ht="18.75">
      <c r="A434" s="2163" t="s">
        <v>32</v>
      </c>
      <c r="B434" s="2163"/>
      <c r="C434" s="2163"/>
      <c r="D434" s="2163"/>
      <c r="E434" s="2163"/>
      <c r="F434" s="2163"/>
      <c r="G434" s="2163"/>
      <c r="H434" s="2163"/>
    </row>
    <row r="435" spans="1:9">
      <c r="A435" s="33"/>
    </row>
    <row r="436" spans="1:9" ht="18.75">
      <c r="A436" s="2592" t="s">
        <v>49</v>
      </c>
      <c r="B436" s="2592"/>
      <c r="C436" s="2592"/>
      <c r="D436" s="2592"/>
      <c r="E436" s="2592"/>
      <c r="F436" s="2592"/>
      <c r="G436" s="2592"/>
      <c r="H436" s="2592"/>
    </row>
    <row r="437" spans="1:9" ht="31.5" customHeight="1">
      <c r="A437" s="2724" t="s">
        <v>1404</v>
      </c>
      <c r="B437" s="2724"/>
      <c r="C437" s="2724"/>
      <c r="D437" s="2724"/>
      <c r="E437" s="2724"/>
      <c r="F437" s="2724"/>
      <c r="G437" s="2724"/>
      <c r="H437" s="2724"/>
    </row>
    <row r="438" spans="1:9" ht="15.75" thickBot="1">
      <c r="A438" s="2567" t="s">
        <v>29</v>
      </c>
      <c r="B438" s="2568"/>
      <c r="C438" s="2568"/>
      <c r="D438" s="2568"/>
      <c r="E438" s="2568"/>
      <c r="F438" s="2569"/>
      <c r="G438" s="2570" t="s">
        <v>640</v>
      </c>
      <c r="H438" s="2572" t="s">
        <v>639</v>
      </c>
    </row>
    <row r="439" spans="1:9" ht="75.75" thickBot="1">
      <c r="A439" s="411" t="s">
        <v>39</v>
      </c>
      <c r="B439" s="412" t="s">
        <v>40</v>
      </c>
      <c r="C439" s="412" t="s">
        <v>41</v>
      </c>
      <c r="D439" s="412" t="s">
        <v>45</v>
      </c>
      <c r="E439" s="413" t="s">
        <v>42</v>
      </c>
      <c r="F439" s="407" t="s">
        <v>43</v>
      </c>
      <c r="G439" s="2571"/>
      <c r="H439" s="2595"/>
      <c r="I439" s="767" t="s">
        <v>940</v>
      </c>
    </row>
    <row r="440" spans="1:9">
      <c r="A440" s="34">
        <v>3</v>
      </c>
      <c r="B440" s="23" t="s">
        <v>64</v>
      </c>
      <c r="C440" s="23" t="s">
        <v>61</v>
      </c>
      <c r="D440" s="23" t="s">
        <v>62</v>
      </c>
      <c r="E440" s="23" t="s">
        <v>65</v>
      </c>
      <c r="F440" s="414">
        <v>54101</v>
      </c>
      <c r="G440" s="419" t="s">
        <v>654</v>
      </c>
      <c r="H440" s="24">
        <v>800</v>
      </c>
    </row>
    <row r="441" spans="1:9">
      <c r="A441" s="34">
        <v>3</v>
      </c>
      <c r="B441" s="23" t="s">
        <v>64</v>
      </c>
      <c r="C441" s="23" t="s">
        <v>61</v>
      </c>
      <c r="D441" s="23" t="s">
        <v>62</v>
      </c>
      <c r="E441" s="23" t="s">
        <v>65</v>
      </c>
      <c r="F441" s="418" t="s">
        <v>677</v>
      </c>
      <c r="G441" s="419" t="s">
        <v>678</v>
      </c>
      <c r="H441" s="25">
        <v>500</v>
      </c>
    </row>
    <row r="442" spans="1:9">
      <c r="A442" s="34">
        <v>3</v>
      </c>
      <c r="B442" s="23" t="s">
        <v>64</v>
      </c>
      <c r="C442" s="23" t="s">
        <v>61</v>
      </c>
      <c r="D442" s="23" t="s">
        <v>62</v>
      </c>
      <c r="E442" s="23" t="s">
        <v>65</v>
      </c>
      <c r="F442" s="421">
        <v>54505</v>
      </c>
      <c r="G442" s="422" t="s">
        <v>679</v>
      </c>
      <c r="H442" s="25">
        <v>1000</v>
      </c>
    </row>
    <row r="443" spans="1:9">
      <c r="A443" s="34">
        <v>3</v>
      </c>
      <c r="B443" s="23" t="s">
        <v>64</v>
      </c>
      <c r="C443" s="23" t="s">
        <v>61</v>
      </c>
      <c r="D443" s="23" t="s">
        <v>62</v>
      </c>
      <c r="E443" s="23" t="s">
        <v>65</v>
      </c>
      <c r="F443" s="421">
        <v>56304</v>
      </c>
      <c r="G443" s="422" t="s">
        <v>680</v>
      </c>
      <c r="H443" s="25">
        <v>500</v>
      </c>
    </row>
    <row r="444" spans="1:9">
      <c r="A444" s="34">
        <v>3</v>
      </c>
      <c r="B444" s="23" t="s">
        <v>64</v>
      </c>
      <c r="C444" s="23" t="s">
        <v>61</v>
      </c>
      <c r="D444" s="23" t="s">
        <v>62</v>
      </c>
      <c r="E444" s="23" t="s">
        <v>65</v>
      </c>
      <c r="F444" s="417" t="s">
        <v>143</v>
      </c>
      <c r="G444" s="416" t="s">
        <v>660</v>
      </c>
      <c r="H444" s="25">
        <v>200</v>
      </c>
    </row>
    <row r="445" spans="1:9" ht="15.75" thickBot="1">
      <c r="A445" s="1034"/>
      <c r="B445" s="1035"/>
      <c r="C445" s="1035"/>
      <c r="D445" s="1035"/>
      <c r="E445" s="1036"/>
      <c r="F445" s="1037"/>
      <c r="G445" s="1038"/>
      <c r="H445" s="1039">
        <f>SUM(H440:H444)</f>
        <v>3000</v>
      </c>
    </row>
    <row r="446" spans="1:9" ht="15.75" thickBot="1">
      <c r="B446" s="9"/>
      <c r="C446" s="10"/>
      <c r="D446" s="3"/>
      <c r="E446" s="3"/>
      <c r="F446" s="3"/>
    </row>
    <row r="447" spans="1:9" ht="15" customHeight="1">
      <c r="A447" s="2573" t="s">
        <v>693</v>
      </c>
      <c r="B447" s="2574"/>
      <c r="C447" s="2574"/>
      <c r="D447" s="2574"/>
      <c r="E447" s="2574"/>
      <c r="F447" s="2574"/>
      <c r="G447" s="2575" t="s">
        <v>1323</v>
      </c>
      <c r="H447" s="2576"/>
    </row>
    <row r="448" spans="1:9">
      <c r="A448" s="482"/>
      <c r="B448" s="551"/>
      <c r="C448" s="19"/>
      <c r="D448" s="19"/>
      <c r="E448" s="19"/>
      <c r="F448" s="19"/>
      <c r="G448" s="483"/>
      <c r="H448" s="484"/>
    </row>
    <row r="449" spans="1:8" ht="14.25">
      <c r="A449" s="2580" t="s">
        <v>704</v>
      </c>
      <c r="B449" s="2598"/>
      <c r="C449" s="2598"/>
      <c r="D449" s="2598"/>
      <c r="E449" s="2598"/>
      <c r="F449" s="2552"/>
      <c r="G449" s="2580" t="s">
        <v>694</v>
      </c>
      <c r="H449" s="2552"/>
    </row>
    <row r="450" spans="1:8">
      <c r="A450" s="2597" t="s">
        <v>698</v>
      </c>
      <c r="B450" s="2584"/>
      <c r="C450" s="2584"/>
      <c r="D450" s="2584"/>
      <c r="E450" s="2584"/>
      <c r="F450" s="2585"/>
      <c r="G450" s="483"/>
      <c r="H450" s="484"/>
    </row>
    <row r="451" spans="1:8" ht="61.5" customHeight="1">
      <c r="A451" s="2586"/>
      <c r="B451" s="2587"/>
      <c r="C451" s="2587"/>
      <c r="D451" s="2587"/>
      <c r="E451" s="2587"/>
      <c r="F451" s="2588"/>
      <c r="G451" s="2589" t="s">
        <v>695</v>
      </c>
      <c r="H451" s="2552"/>
    </row>
    <row r="452" spans="1:8">
      <c r="A452" s="482"/>
      <c r="B452" s="551"/>
      <c r="C452" s="551"/>
      <c r="D452" s="551"/>
      <c r="E452" s="551"/>
      <c r="F452" s="551"/>
      <c r="G452" s="485"/>
      <c r="H452" s="484"/>
    </row>
    <row r="453" spans="1:8" thickBot="1">
      <c r="A453" s="2590" t="s">
        <v>692</v>
      </c>
      <c r="B453" s="2561"/>
      <c r="C453" s="2561"/>
      <c r="D453" s="2561"/>
      <c r="E453" s="2561"/>
      <c r="F453" s="2562"/>
      <c r="G453" s="2591" t="s">
        <v>696</v>
      </c>
      <c r="H453" s="2562"/>
    </row>
    <row r="455" spans="1:8" ht="39.75" customHeight="1">
      <c r="A455" s="2601" t="s">
        <v>821</v>
      </c>
      <c r="B455" s="2601"/>
      <c r="C455" s="2601"/>
      <c r="D455" s="2601"/>
      <c r="E455" s="2601"/>
      <c r="F455" s="2601"/>
      <c r="G455" s="2601"/>
      <c r="H455" s="2601"/>
    </row>
    <row r="459" spans="1:8" ht="18.75">
      <c r="A459" s="2703" t="s">
        <v>111</v>
      </c>
      <c r="B459" s="2703"/>
      <c r="C459" s="2703"/>
      <c r="D459" s="2703"/>
      <c r="E459" s="2703"/>
      <c r="F459" s="2703"/>
      <c r="G459" s="2703"/>
      <c r="H459" s="2703"/>
    </row>
    <row r="460" spans="1:8" ht="18.75">
      <c r="A460" s="2703" t="s">
        <v>110</v>
      </c>
      <c r="B460" s="2703"/>
      <c r="C460" s="2703"/>
      <c r="D460" s="2703"/>
      <c r="E460" s="2703"/>
      <c r="F460" s="2703"/>
      <c r="G460" s="2703"/>
      <c r="H460" s="2703"/>
    </row>
    <row r="461" spans="1:8" ht="18.75">
      <c r="A461" s="2704" t="s">
        <v>211</v>
      </c>
      <c r="B461" s="2705"/>
      <c r="C461" s="2705"/>
      <c r="D461" s="2705"/>
      <c r="E461" s="2705"/>
      <c r="F461" s="2705"/>
      <c r="G461" s="2705"/>
      <c r="H461" s="2705"/>
    </row>
    <row r="462" spans="1:8" ht="18.75">
      <c r="A462" s="2704" t="s">
        <v>1006</v>
      </c>
      <c r="B462" s="2705"/>
      <c r="C462" s="2705"/>
      <c r="D462" s="2705"/>
      <c r="E462" s="2705"/>
      <c r="F462" s="2705"/>
      <c r="G462" s="2705"/>
      <c r="H462" s="2705"/>
    </row>
    <row r="463" spans="1:8" ht="18.75">
      <c r="A463" s="2704" t="s">
        <v>32</v>
      </c>
      <c r="B463" s="2705"/>
      <c r="C463" s="2705"/>
      <c r="D463" s="2705"/>
      <c r="E463" s="2705"/>
      <c r="F463" s="2705"/>
      <c r="G463" s="2705"/>
      <c r="H463" s="2705"/>
    </row>
    <row r="464" spans="1:8">
      <c r="A464" s="814"/>
      <c r="B464" s="815"/>
      <c r="C464" s="816"/>
      <c r="D464" s="817"/>
      <c r="E464" s="817"/>
      <c r="F464" s="817"/>
      <c r="G464" s="818"/>
      <c r="H464" s="819"/>
    </row>
    <row r="465" spans="1:8" ht="18.75">
      <c r="A465" s="2706" t="s">
        <v>49</v>
      </c>
      <c r="B465" s="2706"/>
      <c r="C465" s="2706"/>
      <c r="D465" s="2706"/>
      <c r="E465" s="2706"/>
      <c r="F465" s="2706"/>
      <c r="G465" s="2706"/>
      <c r="H465" s="2706"/>
    </row>
    <row r="466" spans="1:8" ht="55.5" customHeight="1">
      <c r="A466" s="2717" t="s">
        <v>1131</v>
      </c>
      <c r="B466" s="2718"/>
      <c r="C466" s="2718"/>
      <c r="D466" s="2718"/>
      <c r="E466" s="2718"/>
      <c r="F466" s="2718"/>
      <c r="G466" s="2718"/>
      <c r="H466" s="2718"/>
    </row>
    <row r="467" spans="1:8" ht="15.75" thickBot="1">
      <c r="A467" s="2719" t="s">
        <v>29</v>
      </c>
      <c r="B467" s="2720"/>
      <c r="C467" s="2720"/>
      <c r="D467" s="2720"/>
      <c r="E467" s="2720"/>
      <c r="F467" s="2721"/>
      <c r="G467" s="2722" t="s">
        <v>640</v>
      </c>
      <c r="H467" s="2715" t="s">
        <v>639</v>
      </c>
    </row>
    <row r="468" spans="1:8" ht="75.75" thickBot="1">
      <c r="A468" s="1106" t="s">
        <v>39</v>
      </c>
      <c r="B468" s="1107" t="s">
        <v>40</v>
      </c>
      <c r="C468" s="1107" t="s">
        <v>41</v>
      </c>
      <c r="D468" s="1107" t="s">
        <v>45</v>
      </c>
      <c r="E468" s="1108" t="s">
        <v>42</v>
      </c>
      <c r="F468" s="823" t="s">
        <v>43</v>
      </c>
      <c r="G468" s="2713"/>
      <c r="H468" s="2723"/>
    </row>
    <row r="469" spans="1:8">
      <c r="A469" s="824">
        <v>3</v>
      </c>
      <c r="B469" s="825" t="s">
        <v>64</v>
      </c>
      <c r="C469" s="825" t="s">
        <v>61</v>
      </c>
      <c r="D469" s="825" t="s">
        <v>62</v>
      </c>
      <c r="E469" s="825" t="s">
        <v>65</v>
      </c>
      <c r="F469" s="831">
        <v>56306</v>
      </c>
      <c r="G469" s="832" t="s">
        <v>798</v>
      </c>
      <c r="H469" s="1109">
        <v>3000</v>
      </c>
    </row>
    <row r="470" spans="1:8" ht="15.75" thickBot="1">
      <c r="A470" s="1110"/>
      <c r="B470" s="1111"/>
      <c r="C470" s="1111"/>
      <c r="D470" s="1111"/>
      <c r="E470" s="1112"/>
      <c r="F470" s="1113"/>
      <c r="G470" s="1114"/>
      <c r="H470" s="1115">
        <f>SUM(H469:H469)</f>
        <v>3000</v>
      </c>
    </row>
    <row r="471" spans="1:8" ht="15.75" thickBot="1">
      <c r="A471" s="839"/>
      <c r="B471" s="839"/>
      <c r="C471" s="840"/>
      <c r="D471" s="841"/>
      <c r="E471" s="841"/>
      <c r="F471" s="841"/>
      <c r="G471" s="818"/>
      <c r="H471" s="819"/>
    </row>
    <row r="472" spans="1:8" ht="15" customHeight="1">
      <c r="A472" s="2685" t="s">
        <v>693</v>
      </c>
      <c r="B472" s="2686"/>
      <c r="C472" s="2686"/>
      <c r="D472" s="2686"/>
      <c r="E472" s="2686"/>
      <c r="F472" s="2686"/>
      <c r="G472" s="2687" t="s">
        <v>1021</v>
      </c>
      <c r="H472" s="2688"/>
    </row>
    <row r="473" spans="1:8">
      <c r="A473" s="842"/>
      <c r="B473" s="843"/>
      <c r="C473" s="844"/>
      <c r="D473" s="844"/>
      <c r="E473" s="844"/>
      <c r="F473" s="844"/>
      <c r="G473" s="845"/>
      <c r="H473" s="846"/>
    </row>
    <row r="474" spans="1:8" ht="14.25">
      <c r="A474" s="2689" t="s">
        <v>799</v>
      </c>
      <c r="B474" s="2690"/>
      <c r="C474" s="2690"/>
      <c r="D474" s="2690"/>
      <c r="E474" s="2690"/>
      <c r="F474" s="2691"/>
      <c r="G474" s="2689" t="s">
        <v>694</v>
      </c>
      <c r="H474" s="2691"/>
    </row>
    <row r="475" spans="1:8">
      <c r="A475" s="2692" t="s">
        <v>800</v>
      </c>
      <c r="B475" s="2693"/>
      <c r="C475" s="2693"/>
      <c r="D475" s="2693"/>
      <c r="E475" s="2693"/>
      <c r="F475" s="2694"/>
      <c r="G475" s="845"/>
      <c r="H475" s="846"/>
    </row>
    <row r="476" spans="1:8" ht="14.25">
      <c r="A476" s="2695"/>
      <c r="B476" s="2696"/>
      <c r="C476" s="2696"/>
      <c r="D476" s="2696"/>
      <c r="E476" s="2696"/>
      <c r="F476" s="2697"/>
      <c r="G476" s="2698" t="s">
        <v>737</v>
      </c>
      <c r="H476" s="2691"/>
    </row>
    <row r="477" spans="1:8">
      <c r="A477" s="842"/>
      <c r="B477" s="843"/>
      <c r="C477" s="843"/>
      <c r="D477" s="843"/>
      <c r="E477" s="843"/>
      <c r="F477" s="843"/>
      <c r="G477" s="847"/>
      <c r="H477" s="846"/>
    </row>
    <row r="478" spans="1:8" thickBot="1">
      <c r="A478" s="2699" t="s">
        <v>692</v>
      </c>
      <c r="B478" s="2700"/>
      <c r="C478" s="2700"/>
      <c r="D478" s="2700"/>
      <c r="E478" s="2700"/>
      <c r="F478" s="2701"/>
      <c r="G478" s="2702" t="s">
        <v>696</v>
      </c>
      <c r="H478" s="2701"/>
    </row>
    <row r="479" spans="1:8">
      <c r="A479" s="839"/>
      <c r="B479" s="815"/>
      <c r="C479" s="816"/>
      <c r="D479" s="817"/>
      <c r="E479" s="817"/>
      <c r="F479" s="817"/>
      <c r="G479" s="818"/>
      <c r="H479" s="819"/>
    </row>
    <row r="480" spans="1:8" ht="45" customHeight="1">
      <c r="A480" s="2716" t="s">
        <v>821</v>
      </c>
      <c r="B480" s="2716"/>
      <c r="C480" s="2716"/>
      <c r="D480" s="2716"/>
      <c r="E480" s="2716"/>
      <c r="F480" s="2716"/>
      <c r="G480" s="2716"/>
      <c r="H480" s="2716"/>
    </row>
    <row r="486" spans="1:8" ht="18.75">
      <c r="A486" s="2217" t="s">
        <v>111</v>
      </c>
      <c r="B486" s="2217"/>
      <c r="C486" s="2217"/>
      <c r="D486" s="2217"/>
      <c r="E486" s="2217"/>
      <c r="F486" s="2217"/>
      <c r="G486" s="2217"/>
      <c r="H486" s="2217"/>
    </row>
    <row r="487" spans="1:8" ht="18.75">
      <c r="A487" s="2217" t="s">
        <v>110</v>
      </c>
      <c r="B487" s="2217"/>
      <c r="C487" s="2217"/>
      <c r="D487" s="2217"/>
      <c r="E487" s="2217"/>
      <c r="F487" s="2217"/>
      <c r="G487" s="2217"/>
      <c r="H487" s="2217"/>
    </row>
    <row r="488" spans="1:8" ht="18.75">
      <c r="A488" s="2185" t="s">
        <v>211</v>
      </c>
      <c r="B488" s="2164"/>
      <c r="C488" s="2164"/>
      <c r="D488" s="2164"/>
      <c r="E488" s="2164"/>
      <c r="F488" s="2164"/>
      <c r="G488" s="2164"/>
      <c r="H488" s="2164"/>
    </row>
    <row r="489" spans="1:8" ht="18.75">
      <c r="A489" s="2185" t="s">
        <v>1212</v>
      </c>
      <c r="B489" s="2164"/>
      <c r="C489" s="2164"/>
      <c r="D489" s="2164"/>
      <c r="E489" s="2164"/>
      <c r="F489" s="2164"/>
      <c r="G489" s="2164"/>
      <c r="H489" s="2164"/>
    </row>
    <row r="490" spans="1:8" ht="18.75">
      <c r="A490" s="2185" t="s">
        <v>32</v>
      </c>
      <c r="B490" s="2164"/>
      <c r="C490" s="2164"/>
      <c r="D490" s="2164"/>
      <c r="E490" s="2164"/>
      <c r="F490" s="2164"/>
      <c r="G490" s="2164"/>
      <c r="H490" s="2164"/>
    </row>
    <row r="491" spans="1:8">
      <c r="A491" s="850"/>
      <c r="B491" s="198"/>
      <c r="C491" s="851"/>
      <c r="D491" s="41"/>
      <c r="E491" s="41"/>
      <c r="F491" s="41"/>
      <c r="G491" s="21"/>
      <c r="H491" s="203"/>
    </row>
    <row r="492" spans="1:8" ht="18.75">
      <c r="A492" s="2613" t="s">
        <v>49</v>
      </c>
      <c r="B492" s="2613"/>
      <c r="C492" s="2613"/>
      <c r="D492" s="2613"/>
      <c r="E492" s="2613"/>
      <c r="F492" s="2613"/>
      <c r="G492" s="2613"/>
      <c r="H492" s="2613"/>
    </row>
    <row r="493" spans="1:8" ht="42.75" customHeight="1">
      <c r="A493" s="2772" t="s">
        <v>1160</v>
      </c>
      <c r="B493" s="2773"/>
      <c r="C493" s="2773"/>
      <c r="D493" s="2773"/>
      <c r="E493" s="2773"/>
      <c r="F493" s="2773"/>
      <c r="G493" s="2773"/>
      <c r="H493" s="2773"/>
    </row>
    <row r="494" spans="1:8" ht="15.75" thickBot="1">
      <c r="A494" s="2567" t="s">
        <v>29</v>
      </c>
      <c r="B494" s="2568"/>
      <c r="C494" s="2568"/>
      <c r="D494" s="2568"/>
      <c r="E494" s="2568"/>
      <c r="F494" s="2569"/>
      <c r="G494" s="2570" t="s">
        <v>640</v>
      </c>
      <c r="H494" s="2572" t="s">
        <v>639</v>
      </c>
    </row>
    <row r="495" spans="1:8" ht="75.75" thickBot="1">
      <c r="A495" s="411" t="s">
        <v>39</v>
      </c>
      <c r="B495" s="412" t="s">
        <v>40</v>
      </c>
      <c r="C495" s="412" t="s">
        <v>41</v>
      </c>
      <c r="D495" s="412" t="s">
        <v>45</v>
      </c>
      <c r="E495" s="413" t="s">
        <v>42</v>
      </c>
      <c r="F495" s="407" t="s">
        <v>43</v>
      </c>
      <c r="G495" s="2571"/>
      <c r="H495" s="2595"/>
    </row>
    <row r="496" spans="1:8" ht="16.5">
      <c r="A496" s="852" t="s">
        <v>380</v>
      </c>
      <c r="B496" s="853" t="s">
        <v>64</v>
      </c>
      <c r="C496" s="853" t="s">
        <v>61</v>
      </c>
      <c r="D496" s="853" t="s">
        <v>62</v>
      </c>
      <c r="E496" s="853" t="s">
        <v>65</v>
      </c>
      <c r="F496" s="1055">
        <v>56304</v>
      </c>
      <c r="G496" s="422" t="s">
        <v>1074</v>
      </c>
      <c r="H496" s="420">
        <v>10000</v>
      </c>
    </row>
    <row r="497" spans="1:8" ht="16.5" hidden="1">
      <c r="A497" s="852" t="s">
        <v>380</v>
      </c>
      <c r="B497" s="853" t="s">
        <v>64</v>
      </c>
      <c r="C497" s="853" t="s">
        <v>61</v>
      </c>
      <c r="D497" s="853" t="s">
        <v>62</v>
      </c>
      <c r="E497" s="853" t="s">
        <v>65</v>
      </c>
      <c r="F497" s="1055">
        <v>54111</v>
      </c>
      <c r="G497" s="422" t="s">
        <v>727</v>
      </c>
      <c r="H497" s="420"/>
    </row>
    <row r="498" spans="1:8" hidden="1">
      <c r="A498" s="852">
        <v>3</v>
      </c>
      <c r="B498" s="853" t="s">
        <v>64</v>
      </c>
      <c r="C498" s="853" t="s">
        <v>61</v>
      </c>
      <c r="D498" s="853" t="s">
        <v>62</v>
      </c>
      <c r="E498" s="853" t="s">
        <v>65</v>
      </c>
      <c r="F498" s="421">
        <v>54199</v>
      </c>
      <c r="G498" s="422" t="s">
        <v>989</v>
      </c>
      <c r="H498" s="420"/>
    </row>
    <row r="499" spans="1:8" hidden="1">
      <c r="A499" s="852">
        <v>3</v>
      </c>
      <c r="B499" s="853" t="s">
        <v>64</v>
      </c>
      <c r="C499" s="853" t="s">
        <v>61</v>
      </c>
      <c r="D499" s="853" t="s">
        <v>62</v>
      </c>
      <c r="E499" s="853" t="s">
        <v>65</v>
      </c>
      <c r="F499" s="421">
        <v>54313</v>
      </c>
      <c r="G499" s="422" t="s">
        <v>990</v>
      </c>
      <c r="H499" s="420"/>
    </row>
    <row r="500" spans="1:8" hidden="1">
      <c r="A500" s="852" t="s">
        <v>380</v>
      </c>
      <c r="B500" s="853" t="s">
        <v>64</v>
      </c>
      <c r="C500" s="853" t="s">
        <v>61</v>
      </c>
      <c r="D500" s="853" t="s">
        <v>62</v>
      </c>
      <c r="E500" s="853" t="s">
        <v>65</v>
      </c>
      <c r="F500" s="421">
        <v>54304</v>
      </c>
      <c r="G500" s="422" t="s">
        <v>991</v>
      </c>
      <c r="H500" s="420"/>
    </row>
    <row r="501" spans="1:8" ht="15.75" thickBot="1">
      <c r="A501" s="1040"/>
      <c r="B501" s="1041"/>
      <c r="C501" s="1041"/>
      <c r="D501" s="1041"/>
      <c r="E501" s="1042"/>
      <c r="F501" s="1043"/>
      <c r="G501" s="1044"/>
      <c r="H501" s="1045">
        <f>SUM(H496:H500)</f>
        <v>10000</v>
      </c>
    </row>
    <row r="502" spans="1:8" ht="15.75" thickBot="1">
      <c r="A502" s="200"/>
      <c r="B502" s="200"/>
      <c r="C502" s="201"/>
      <c r="D502" s="202"/>
      <c r="E502" s="202"/>
      <c r="F502" s="202"/>
      <c r="G502" s="21"/>
      <c r="H502" s="203"/>
    </row>
    <row r="503" spans="1:8" ht="15" customHeight="1">
      <c r="A503" s="2541" t="s">
        <v>693</v>
      </c>
      <c r="B503" s="2542"/>
      <c r="C503" s="2542"/>
      <c r="D503" s="2542"/>
      <c r="E503" s="2542"/>
      <c r="F503" s="2542"/>
      <c r="G503" s="2543" t="s">
        <v>1323</v>
      </c>
      <c r="H503" s="2544"/>
    </row>
    <row r="504" spans="1:8">
      <c r="A504" s="857"/>
      <c r="B504" s="47"/>
      <c r="C504" s="160"/>
      <c r="D504" s="160"/>
      <c r="E504" s="160"/>
      <c r="F504" s="160"/>
      <c r="G504" s="858"/>
      <c r="H504" s="859"/>
    </row>
    <row r="505" spans="1:8" ht="32.25" customHeight="1">
      <c r="A505" s="2551" t="s">
        <v>1160</v>
      </c>
      <c r="B505" s="2598"/>
      <c r="C505" s="2598"/>
      <c r="D505" s="2598"/>
      <c r="E505" s="2598"/>
      <c r="F505" s="2552"/>
      <c r="G505" s="2551" t="s">
        <v>694</v>
      </c>
      <c r="H505" s="2552"/>
    </row>
    <row r="506" spans="1:8">
      <c r="A506" s="2553" t="s">
        <v>1073</v>
      </c>
      <c r="B506" s="2554"/>
      <c r="C506" s="2554"/>
      <c r="D506" s="2554"/>
      <c r="E506" s="2554"/>
      <c r="F506" s="2555"/>
      <c r="G506" s="858"/>
      <c r="H506" s="859"/>
    </row>
    <row r="507" spans="1:8" ht="30" customHeight="1">
      <c r="A507" s="2556"/>
      <c r="B507" s="2557"/>
      <c r="C507" s="2557"/>
      <c r="D507" s="2557"/>
      <c r="E507" s="2557"/>
      <c r="F507" s="2558"/>
      <c r="G507" s="2559" t="s">
        <v>1072</v>
      </c>
      <c r="H507" s="2552"/>
    </row>
    <row r="508" spans="1:8">
      <c r="A508" s="857"/>
      <c r="B508" s="47"/>
      <c r="C508" s="47"/>
      <c r="D508" s="47"/>
      <c r="E508" s="47"/>
      <c r="F508" s="47"/>
      <c r="G508" s="860"/>
      <c r="H508" s="859"/>
    </row>
    <row r="509" spans="1:8" thickBot="1">
      <c r="A509" s="2560" t="s">
        <v>692</v>
      </c>
      <c r="B509" s="2561"/>
      <c r="C509" s="2561"/>
      <c r="D509" s="2561"/>
      <c r="E509" s="2561"/>
      <c r="F509" s="2562"/>
      <c r="G509" s="2563" t="s">
        <v>696</v>
      </c>
      <c r="H509" s="2562"/>
    </row>
    <row r="513" spans="1:8" ht="18.75">
      <c r="A513" s="2703" t="s">
        <v>111</v>
      </c>
      <c r="B513" s="2703"/>
      <c r="C513" s="2703"/>
      <c r="D513" s="2703"/>
      <c r="E513" s="2703"/>
      <c r="F513" s="2703"/>
      <c r="G513" s="2703"/>
      <c r="H513" s="2703"/>
    </row>
    <row r="514" spans="1:8" ht="18.75">
      <c r="A514" s="2703" t="s">
        <v>110</v>
      </c>
      <c r="B514" s="2703"/>
      <c r="C514" s="2703"/>
      <c r="D514" s="2703"/>
      <c r="E514" s="2703"/>
      <c r="F514" s="2703"/>
      <c r="G514" s="2703"/>
      <c r="H514" s="2703"/>
    </row>
    <row r="515" spans="1:8" ht="18.75">
      <c r="A515" s="2704" t="s">
        <v>211</v>
      </c>
      <c r="B515" s="2705"/>
      <c r="C515" s="2705"/>
      <c r="D515" s="2705"/>
      <c r="E515" s="2705"/>
      <c r="F515" s="2705"/>
      <c r="G515" s="2705"/>
      <c r="H515" s="2705"/>
    </row>
    <row r="516" spans="1:8" ht="18.75">
      <c r="A516" s="2704" t="s">
        <v>1006</v>
      </c>
      <c r="B516" s="2705"/>
      <c r="C516" s="2705"/>
      <c r="D516" s="2705"/>
      <c r="E516" s="2705"/>
      <c r="F516" s="2705"/>
      <c r="G516" s="2705"/>
      <c r="H516" s="2705"/>
    </row>
    <row r="517" spans="1:8" ht="18.75">
      <c r="A517" s="2704" t="s">
        <v>32</v>
      </c>
      <c r="B517" s="2705"/>
      <c r="C517" s="2705"/>
      <c r="D517" s="2705"/>
      <c r="E517" s="2705"/>
      <c r="F517" s="2705"/>
      <c r="G517" s="2705"/>
      <c r="H517" s="2705"/>
    </row>
    <row r="518" spans="1:8">
      <c r="A518" s="814"/>
      <c r="B518" s="815"/>
      <c r="C518" s="816"/>
      <c r="D518" s="817"/>
      <c r="E518" s="817"/>
      <c r="F518" s="817"/>
      <c r="G518" s="818"/>
      <c r="H518" s="819"/>
    </row>
    <row r="519" spans="1:8" ht="19.5" customHeight="1">
      <c r="A519" s="2706" t="s">
        <v>49</v>
      </c>
      <c r="B519" s="2706"/>
      <c r="C519" s="2706"/>
      <c r="D519" s="2706"/>
      <c r="E519" s="2706"/>
      <c r="F519" s="2706"/>
      <c r="G519" s="2706"/>
      <c r="H519" s="2706"/>
    </row>
    <row r="520" spans="1:8" ht="48.75" customHeight="1">
      <c r="A520" s="2717" t="s">
        <v>1130</v>
      </c>
      <c r="B520" s="2718"/>
      <c r="C520" s="2718"/>
      <c r="D520" s="2718"/>
      <c r="E520" s="2718"/>
      <c r="F520" s="2718"/>
      <c r="G520" s="2718"/>
      <c r="H520" s="2718"/>
    </row>
    <row r="521" spans="1:8" ht="15.75" thickBot="1">
      <c r="A521" s="2719" t="s">
        <v>29</v>
      </c>
      <c r="B521" s="2720"/>
      <c r="C521" s="2720"/>
      <c r="D521" s="2720"/>
      <c r="E521" s="2720"/>
      <c r="F521" s="2721"/>
      <c r="G521" s="2722" t="s">
        <v>640</v>
      </c>
      <c r="H521" s="2715" t="s">
        <v>639</v>
      </c>
    </row>
    <row r="522" spans="1:8" ht="75.75" thickBot="1">
      <c r="A522" s="1106" t="s">
        <v>39</v>
      </c>
      <c r="B522" s="1107" t="s">
        <v>40</v>
      </c>
      <c r="C522" s="1107" t="s">
        <v>41</v>
      </c>
      <c r="D522" s="1107" t="s">
        <v>45</v>
      </c>
      <c r="E522" s="1108" t="s">
        <v>42</v>
      </c>
      <c r="F522" s="823" t="s">
        <v>43</v>
      </c>
      <c r="G522" s="2713"/>
      <c r="H522" s="2723"/>
    </row>
    <row r="523" spans="1:8">
      <c r="A523" s="824">
        <v>3</v>
      </c>
      <c r="B523" s="825" t="s">
        <v>64</v>
      </c>
      <c r="C523" s="825" t="s">
        <v>61</v>
      </c>
      <c r="D523" s="825" t="s">
        <v>62</v>
      </c>
      <c r="E523" s="825" t="s">
        <v>65</v>
      </c>
      <c r="F523" s="831">
        <v>56306</v>
      </c>
      <c r="G523" s="832" t="s">
        <v>798</v>
      </c>
      <c r="H523" s="1109">
        <v>6000</v>
      </c>
    </row>
    <row r="524" spans="1:8" ht="15.75" thickBot="1">
      <c r="A524" s="1110"/>
      <c r="B524" s="1111"/>
      <c r="C524" s="1111"/>
      <c r="D524" s="1111"/>
      <c r="E524" s="1112"/>
      <c r="F524" s="1113"/>
      <c r="G524" s="1114"/>
      <c r="H524" s="1115">
        <f>SUM(H523:H523)</f>
        <v>6000</v>
      </c>
    </row>
    <row r="525" spans="1:8" ht="15.75" thickBot="1">
      <c r="A525" s="839"/>
      <c r="B525" s="839"/>
      <c r="C525" s="840"/>
      <c r="D525" s="841"/>
      <c r="E525" s="841"/>
      <c r="F525" s="841"/>
      <c r="G525" s="818"/>
      <c r="H525" s="819"/>
    </row>
    <row r="526" spans="1:8">
      <c r="A526" s="2685" t="s">
        <v>693</v>
      </c>
      <c r="B526" s="2686"/>
      <c r="C526" s="2686"/>
      <c r="D526" s="2686"/>
      <c r="E526" s="2686"/>
      <c r="F526" s="2686"/>
      <c r="G526" s="2687" t="s">
        <v>1021</v>
      </c>
      <c r="H526" s="2688"/>
    </row>
    <row r="527" spans="1:8" ht="15" customHeight="1">
      <c r="A527" s="842"/>
      <c r="B527" s="843"/>
      <c r="C527" s="844"/>
      <c r="D527" s="844"/>
      <c r="E527" s="844"/>
      <c r="F527" s="844"/>
      <c r="G527" s="845"/>
      <c r="H527" s="846"/>
    </row>
    <row r="528" spans="1:8" ht="14.25">
      <c r="A528" s="2689" t="s">
        <v>799</v>
      </c>
      <c r="B528" s="2690"/>
      <c r="C528" s="2690"/>
      <c r="D528" s="2690"/>
      <c r="E528" s="2690"/>
      <c r="F528" s="2691"/>
      <c r="G528" s="2689" t="s">
        <v>694</v>
      </c>
      <c r="H528" s="2691"/>
    </row>
    <row r="529" spans="1:8" ht="14.25" customHeight="1">
      <c r="A529" s="2692" t="s">
        <v>800</v>
      </c>
      <c r="B529" s="2693"/>
      <c r="C529" s="2693"/>
      <c r="D529" s="2693"/>
      <c r="E529" s="2693"/>
      <c r="F529" s="2694"/>
      <c r="G529" s="845"/>
      <c r="H529" s="846"/>
    </row>
    <row r="530" spans="1:8" ht="14.25">
      <c r="A530" s="2695"/>
      <c r="B530" s="2696"/>
      <c r="C530" s="2696"/>
      <c r="D530" s="2696"/>
      <c r="E530" s="2696"/>
      <c r="F530" s="2697"/>
      <c r="G530" s="2698" t="s">
        <v>737</v>
      </c>
      <c r="H530" s="2691"/>
    </row>
    <row r="531" spans="1:8">
      <c r="A531" s="842"/>
      <c r="B531" s="843"/>
      <c r="C531" s="843"/>
      <c r="D531" s="843"/>
      <c r="E531" s="843"/>
      <c r="F531" s="843"/>
      <c r="G531" s="847"/>
      <c r="H531" s="846"/>
    </row>
    <row r="532" spans="1:8" thickBot="1">
      <c r="A532" s="2699" t="s">
        <v>692</v>
      </c>
      <c r="B532" s="2700"/>
      <c r="C532" s="2700"/>
      <c r="D532" s="2700"/>
      <c r="E532" s="2700"/>
      <c r="F532" s="2701"/>
      <c r="G532" s="2702" t="s">
        <v>696</v>
      </c>
      <c r="H532" s="2701"/>
    </row>
    <row r="533" spans="1:8">
      <c r="A533" s="839"/>
      <c r="B533" s="815"/>
      <c r="C533" s="816"/>
      <c r="D533" s="817"/>
      <c r="E533" s="817"/>
      <c r="F533" s="817"/>
      <c r="G533" s="818"/>
      <c r="H533" s="819"/>
    </row>
    <row r="534" spans="1:8" ht="39" customHeight="1">
      <c r="A534" s="2716" t="s">
        <v>821</v>
      </c>
      <c r="B534" s="2716"/>
      <c r="C534" s="2716"/>
      <c r="D534" s="2716"/>
      <c r="E534" s="2716"/>
      <c r="F534" s="2716"/>
      <c r="G534" s="2716"/>
      <c r="H534" s="2716"/>
    </row>
    <row r="536" spans="1:8" ht="18.75">
      <c r="A536" s="2703" t="s">
        <v>111</v>
      </c>
      <c r="B536" s="2703"/>
      <c r="C536" s="2703"/>
      <c r="D536" s="2703"/>
      <c r="E536" s="2703"/>
      <c r="F536" s="2703"/>
      <c r="G536" s="2703"/>
      <c r="H536" s="2703"/>
    </row>
    <row r="537" spans="1:8" ht="18.75">
      <c r="A537" s="2703" t="s">
        <v>110</v>
      </c>
      <c r="B537" s="2703"/>
      <c r="C537" s="2703"/>
      <c r="D537" s="2703"/>
      <c r="E537" s="2703"/>
      <c r="F537" s="2703"/>
      <c r="G537" s="2703"/>
      <c r="H537" s="2703"/>
    </row>
    <row r="538" spans="1:8" ht="18.75">
      <c r="A538" s="2704" t="s">
        <v>211</v>
      </c>
      <c r="B538" s="2705"/>
      <c r="C538" s="2705"/>
      <c r="D538" s="2705"/>
      <c r="E538" s="2705"/>
      <c r="F538" s="2705"/>
      <c r="G538" s="2705"/>
      <c r="H538" s="2705"/>
    </row>
    <row r="539" spans="1:8" ht="18.75">
      <c r="A539" s="2704" t="s">
        <v>1006</v>
      </c>
      <c r="B539" s="2705"/>
      <c r="C539" s="2705"/>
      <c r="D539" s="2705"/>
      <c r="E539" s="2705"/>
      <c r="F539" s="2705"/>
      <c r="G539" s="2705"/>
      <c r="H539" s="2705"/>
    </row>
    <row r="540" spans="1:8" ht="18.75">
      <c r="A540" s="2704" t="s">
        <v>32</v>
      </c>
      <c r="B540" s="2705"/>
      <c r="C540" s="2705"/>
      <c r="D540" s="2705"/>
      <c r="E540" s="2705"/>
      <c r="F540" s="2705"/>
      <c r="G540" s="2705"/>
      <c r="H540" s="2705"/>
    </row>
    <row r="541" spans="1:8">
      <c r="A541" s="814"/>
      <c r="B541" s="815"/>
      <c r="C541" s="816"/>
      <c r="D541" s="817"/>
      <c r="E541" s="817"/>
      <c r="F541" s="817"/>
      <c r="G541" s="818"/>
      <c r="H541" s="819"/>
    </row>
    <row r="542" spans="1:8" ht="18.75">
      <c r="A542" s="2706" t="s">
        <v>49</v>
      </c>
      <c r="B542" s="2706"/>
      <c r="C542" s="2706"/>
      <c r="D542" s="2706"/>
      <c r="E542" s="2706"/>
      <c r="F542" s="2706"/>
      <c r="G542" s="2706"/>
      <c r="H542" s="2706"/>
    </row>
    <row r="543" spans="1:8" ht="47.25" customHeight="1" thickBot="1">
      <c r="A543" s="2707" t="s">
        <v>1121</v>
      </c>
      <c r="B543" s="2708"/>
      <c r="C543" s="2708"/>
      <c r="D543" s="2708"/>
      <c r="E543" s="2708"/>
      <c r="F543" s="2708"/>
      <c r="G543" s="2708"/>
      <c r="H543" s="2708"/>
    </row>
    <row r="544" spans="1:8" ht="15.75" thickBot="1">
      <c r="A544" s="2709" t="s">
        <v>29</v>
      </c>
      <c r="B544" s="2710"/>
      <c r="C544" s="2710"/>
      <c r="D544" s="2710"/>
      <c r="E544" s="2710"/>
      <c r="F544" s="2711"/>
      <c r="G544" s="2712" t="s">
        <v>640</v>
      </c>
      <c r="H544" s="2714" t="s">
        <v>639</v>
      </c>
    </row>
    <row r="545" spans="1:8" ht="75.75" thickBot="1">
      <c r="A545" s="1106" t="s">
        <v>39</v>
      </c>
      <c r="B545" s="1107" t="s">
        <v>40</v>
      </c>
      <c r="C545" s="1107" t="s">
        <v>41</v>
      </c>
      <c r="D545" s="1107" t="s">
        <v>45</v>
      </c>
      <c r="E545" s="1108" t="s">
        <v>42</v>
      </c>
      <c r="F545" s="823" t="s">
        <v>43</v>
      </c>
      <c r="G545" s="2713"/>
      <c r="H545" s="2715"/>
    </row>
    <row r="546" spans="1:8">
      <c r="A546" s="824" t="s">
        <v>381</v>
      </c>
      <c r="B546" s="825" t="s">
        <v>64</v>
      </c>
      <c r="C546" s="825" t="s">
        <v>61</v>
      </c>
      <c r="D546" s="825" t="s">
        <v>62</v>
      </c>
      <c r="E546" s="825" t="s">
        <v>65</v>
      </c>
      <c r="F546" s="1173" t="s">
        <v>387</v>
      </c>
      <c r="G546" s="1691" t="s">
        <v>1074</v>
      </c>
      <c r="H546" s="1692">
        <v>87400</v>
      </c>
    </row>
    <row r="547" spans="1:8">
      <c r="A547" s="824" t="s">
        <v>381</v>
      </c>
      <c r="B547" s="825" t="s">
        <v>64</v>
      </c>
      <c r="C547" s="825" t="s">
        <v>61</v>
      </c>
      <c r="D547" s="825" t="s">
        <v>62</v>
      </c>
      <c r="E547" s="825" t="s">
        <v>65</v>
      </c>
      <c r="F547" s="1175" t="s">
        <v>735</v>
      </c>
      <c r="G547" s="1693" t="s">
        <v>736</v>
      </c>
      <c r="H547" s="1694">
        <v>4600</v>
      </c>
    </row>
    <row r="548" spans="1:8" ht="15.75" thickBot="1">
      <c r="A548" s="833"/>
      <c r="B548" s="834"/>
      <c r="C548" s="834"/>
      <c r="D548" s="834"/>
      <c r="E548" s="835"/>
      <c r="F548" s="836"/>
      <c r="G548" s="837"/>
      <c r="H548" s="838">
        <f>SUM(H546:H547)</f>
        <v>92000</v>
      </c>
    </row>
    <row r="549" spans="1:8" ht="15.75" thickBot="1">
      <c r="A549" s="839"/>
      <c r="B549" s="839"/>
      <c r="C549" s="840"/>
      <c r="D549" s="841"/>
      <c r="E549" s="841"/>
      <c r="F549" s="841"/>
      <c r="G549" s="818"/>
      <c r="H549" s="819"/>
    </row>
    <row r="550" spans="1:8">
      <c r="A550" s="2685" t="s">
        <v>1122</v>
      </c>
      <c r="B550" s="2686"/>
      <c r="C550" s="2686"/>
      <c r="D550" s="2686"/>
      <c r="E550" s="2686"/>
      <c r="F550" s="2686"/>
      <c r="G550" s="2687" t="s">
        <v>1021</v>
      </c>
      <c r="H550" s="2688"/>
    </row>
    <row r="551" spans="1:8">
      <c r="A551" s="842"/>
      <c r="B551" s="843"/>
      <c r="C551" s="844"/>
      <c r="D551" s="844"/>
      <c r="E551" s="844"/>
      <c r="F551" s="844"/>
      <c r="G551" s="845"/>
      <c r="H551" s="846"/>
    </row>
    <row r="552" spans="1:8" ht="14.25">
      <c r="A552" s="2689" t="s">
        <v>1121</v>
      </c>
      <c r="B552" s="2690"/>
      <c r="C552" s="2690"/>
      <c r="D552" s="2690"/>
      <c r="E552" s="2690"/>
      <c r="F552" s="2691"/>
      <c r="G552" s="2689" t="s">
        <v>1067</v>
      </c>
      <c r="H552" s="2691"/>
    </row>
    <row r="553" spans="1:8">
      <c r="A553" s="2692" t="s">
        <v>1123</v>
      </c>
      <c r="B553" s="2693"/>
      <c r="C553" s="2693"/>
      <c r="D553" s="2693"/>
      <c r="E553" s="2693"/>
      <c r="F553" s="2694"/>
      <c r="G553" s="845"/>
      <c r="H553" s="846"/>
    </row>
    <row r="554" spans="1:8" ht="14.25">
      <c r="A554" s="2695"/>
      <c r="B554" s="2696"/>
      <c r="C554" s="2696"/>
      <c r="D554" s="2696"/>
      <c r="E554" s="2696"/>
      <c r="F554" s="2697"/>
      <c r="G554" s="2698" t="s">
        <v>737</v>
      </c>
      <c r="H554" s="2691"/>
    </row>
    <row r="555" spans="1:8">
      <c r="A555" s="842"/>
      <c r="B555" s="843"/>
      <c r="C555" s="843"/>
      <c r="D555" s="843"/>
      <c r="E555" s="843"/>
      <c r="F555" s="843"/>
      <c r="G555" s="847"/>
      <c r="H555" s="846"/>
    </row>
    <row r="556" spans="1:8" thickBot="1">
      <c r="A556" s="2699" t="s">
        <v>692</v>
      </c>
      <c r="B556" s="2700"/>
      <c r="C556" s="2700"/>
      <c r="D556" s="2700"/>
      <c r="E556" s="2700"/>
      <c r="F556" s="2701"/>
      <c r="G556" s="2702" t="s">
        <v>696</v>
      </c>
      <c r="H556" s="2701"/>
    </row>
    <row r="559" spans="1:8" ht="18.75">
      <c r="A559" s="2217" t="s">
        <v>111</v>
      </c>
      <c r="B559" s="2217"/>
      <c r="C559" s="2217"/>
      <c r="D559" s="2217"/>
      <c r="E559" s="2217"/>
      <c r="F559" s="2217"/>
      <c r="G559" s="2217"/>
      <c r="H559" s="2217"/>
    </row>
    <row r="560" spans="1:8" ht="18.75">
      <c r="A560" s="2217" t="s">
        <v>110</v>
      </c>
      <c r="B560" s="2217"/>
      <c r="C560" s="2217"/>
      <c r="D560" s="2217"/>
      <c r="E560" s="2217"/>
      <c r="F560" s="2217"/>
      <c r="G560" s="2217"/>
      <c r="H560" s="2217"/>
    </row>
    <row r="561" spans="1:9" ht="18.75">
      <c r="A561" s="2185" t="s">
        <v>211</v>
      </c>
      <c r="B561" s="2164"/>
      <c r="C561" s="2164"/>
      <c r="D561" s="2164"/>
      <c r="E561" s="2164"/>
      <c r="F561" s="2164"/>
      <c r="G561" s="2164"/>
      <c r="H561" s="2164"/>
    </row>
    <row r="562" spans="1:9" ht="18.75">
      <c r="A562" s="2185" t="s">
        <v>1212</v>
      </c>
      <c r="B562" s="2164"/>
      <c r="C562" s="2164"/>
      <c r="D562" s="2164"/>
      <c r="E562" s="2164"/>
      <c r="F562" s="2164"/>
      <c r="G562" s="2164"/>
      <c r="H562" s="2164"/>
    </row>
    <row r="563" spans="1:9" ht="18.75">
      <c r="A563" s="2185" t="s">
        <v>32</v>
      </c>
      <c r="B563" s="2164"/>
      <c r="C563" s="2164"/>
      <c r="D563" s="2164"/>
      <c r="E563" s="2164"/>
      <c r="F563" s="2164"/>
      <c r="G563" s="2164"/>
      <c r="H563" s="2164"/>
    </row>
    <row r="564" spans="1:9">
      <c r="A564" s="850"/>
      <c r="B564" s="198"/>
      <c r="C564" s="851"/>
      <c r="D564" s="41"/>
      <c r="E564" s="41"/>
      <c r="F564" s="41"/>
      <c r="G564" s="21"/>
      <c r="H564" s="203"/>
    </row>
    <row r="565" spans="1:9" ht="18.75">
      <c r="A565" s="2564" t="s">
        <v>49</v>
      </c>
      <c r="B565" s="2564"/>
      <c r="C565" s="2564"/>
      <c r="D565" s="2564"/>
      <c r="E565" s="2564"/>
      <c r="F565" s="2564"/>
      <c r="G565" s="2564"/>
      <c r="H565" s="2564"/>
    </row>
    <row r="566" spans="1:9" ht="51" customHeight="1">
      <c r="A566" s="2683" t="s">
        <v>1443</v>
      </c>
      <c r="B566" s="2684"/>
      <c r="C566" s="2684"/>
      <c r="D566" s="2684"/>
      <c r="E566" s="2684"/>
      <c r="F566" s="2684"/>
      <c r="G566" s="2684"/>
      <c r="H566" s="2684"/>
      <c r="I566" s="1706" t="s">
        <v>1490</v>
      </c>
    </row>
    <row r="567" spans="1:9" ht="15.75" thickBot="1">
      <c r="A567" s="2567" t="s">
        <v>29</v>
      </c>
      <c r="B567" s="2568"/>
      <c r="C567" s="2568"/>
      <c r="D567" s="2568"/>
      <c r="E567" s="2568"/>
      <c r="F567" s="2569"/>
      <c r="G567" s="2570" t="s">
        <v>640</v>
      </c>
      <c r="H567" s="2572" t="s">
        <v>639</v>
      </c>
    </row>
    <row r="568" spans="1:9" ht="75.75" thickBot="1">
      <c r="A568" s="411" t="s">
        <v>39</v>
      </c>
      <c r="B568" s="412" t="s">
        <v>40</v>
      </c>
      <c r="C568" s="412" t="s">
        <v>41</v>
      </c>
      <c r="D568" s="412" t="s">
        <v>45</v>
      </c>
      <c r="E568" s="413" t="s">
        <v>42</v>
      </c>
      <c r="F568" s="407" t="s">
        <v>43</v>
      </c>
      <c r="G568" s="2571"/>
      <c r="H568" s="2572"/>
    </row>
    <row r="569" spans="1:9">
      <c r="A569" s="852" t="s">
        <v>380</v>
      </c>
      <c r="B569" s="853" t="s">
        <v>64</v>
      </c>
      <c r="C569" s="853" t="s">
        <v>61</v>
      </c>
      <c r="D569" s="853" t="s">
        <v>62</v>
      </c>
      <c r="E569" s="853" t="s">
        <v>65</v>
      </c>
      <c r="F569" s="854" t="s">
        <v>209</v>
      </c>
      <c r="G569" s="561" t="s">
        <v>724</v>
      </c>
      <c r="H569" s="855">
        <v>5500</v>
      </c>
    </row>
    <row r="570" spans="1:9">
      <c r="A570" s="852" t="s">
        <v>380</v>
      </c>
      <c r="B570" s="853" t="s">
        <v>64</v>
      </c>
      <c r="C570" s="853" t="s">
        <v>61</v>
      </c>
      <c r="D570" s="853" t="s">
        <v>62</v>
      </c>
      <c r="E570" s="853" t="s">
        <v>65</v>
      </c>
      <c r="F570" s="424" t="s">
        <v>726</v>
      </c>
      <c r="G570" s="416" t="s">
        <v>727</v>
      </c>
      <c r="H570" s="855">
        <v>7000</v>
      </c>
    </row>
    <row r="571" spans="1:9">
      <c r="A571" s="852" t="s">
        <v>380</v>
      </c>
      <c r="B571" s="853" t="s">
        <v>64</v>
      </c>
      <c r="C571" s="853" t="s">
        <v>61</v>
      </c>
      <c r="D571" s="853" t="s">
        <v>62</v>
      </c>
      <c r="E571" s="853" t="s">
        <v>65</v>
      </c>
      <c r="F571" s="425">
        <v>54112</v>
      </c>
      <c r="G571" s="416" t="s">
        <v>728</v>
      </c>
      <c r="H571" s="855">
        <v>1500</v>
      </c>
    </row>
    <row r="572" spans="1:9">
      <c r="A572" s="852" t="s">
        <v>380</v>
      </c>
      <c r="B572" s="853" t="s">
        <v>64</v>
      </c>
      <c r="C572" s="853" t="s">
        <v>61</v>
      </c>
      <c r="D572" s="853" t="s">
        <v>62</v>
      </c>
      <c r="E572" s="853" t="s">
        <v>65</v>
      </c>
      <c r="F572" s="425">
        <v>54118</v>
      </c>
      <c r="G572" s="416" t="s">
        <v>729</v>
      </c>
      <c r="H572" s="855">
        <v>500</v>
      </c>
    </row>
    <row r="573" spans="1:9">
      <c r="A573" s="852" t="s">
        <v>380</v>
      </c>
      <c r="B573" s="853" t="s">
        <v>64</v>
      </c>
      <c r="C573" s="853" t="s">
        <v>61</v>
      </c>
      <c r="D573" s="853" t="s">
        <v>62</v>
      </c>
      <c r="E573" s="853" t="s">
        <v>65</v>
      </c>
      <c r="F573" s="856" t="s">
        <v>657</v>
      </c>
      <c r="G573" s="539" t="s">
        <v>775</v>
      </c>
      <c r="H573" s="855">
        <v>500</v>
      </c>
    </row>
    <row r="574" spans="1:9" ht="15.75" thickBot="1">
      <c r="A574" s="1040"/>
      <c r="B574" s="1041"/>
      <c r="C574" s="1041"/>
      <c r="D574" s="1041"/>
      <c r="E574" s="1042"/>
      <c r="F574" s="1043"/>
      <c r="G574" s="1044"/>
      <c r="H574" s="1045">
        <f>SUM(H569:H573)</f>
        <v>15000</v>
      </c>
    </row>
    <row r="575" spans="1:9" ht="15.75" thickBot="1">
      <c r="A575" s="200"/>
      <c r="B575" s="200"/>
      <c r="C575" s="201"/>
      <c r="D575" s="202"/>
      <c r="E575" s="202"/>
      <c r="F575" s="202"/>
      <c r="G575" s="21"/>
      <c r="H575" s="203"/>
    </row>
    <row r="576" spans="1:9">
      <c r="A576" s="2541" t="s">
        <v>693</v>
      </c>
      <c r="B576" s="2542"/>
      <c r="C576" s="2542"/>
      <c r="D576" s="2542"/>
      <c r="E576" s="2542"/>
      <c r="F576" s="2542"/>
      <c r="G576" s="2543" t="s">
        <v>1323</v>
      </c>
      <c r="H576" s="2544"/>
    </row>
    <row r="577" spans="1:8">
      <c r="A577" s="2545" t="s">
        <v>1443</v>
      </c>
      <c r="B577" s="2546"/>
      <c r="C577" s="2546"/>
      <c r="D577" s="2546"/>
      <c r="E577" s="2546"/>
      <c r="F577" s="2547"/>
      <c r="G577" s="858"/>
      <c r="H577" s="859"/>
    </row>
    <row r="578" spans="1:8" ht="14.25" customHeight="1">
      <c r="A578" s="2548"/>
      <c r="B578" s="2549"/>
      <c r="C578" s="2549"/>
      <c r="D578" s="2549"/>
      <c r="E578" s="2549"/>
      <c r="F578" s="2550"/>
      <c r="G578" s="2551" t="s">
        <v>694</v>
      </c>
      <c r="H578" s="2552"/>
    </row>
    <row r="579" spans="1:8">
      <c r="A579" s="2553" t="s">
        <v>1444</v>
      </c>
      <c r="B579" s="2554"/>
      <c r="C579" s="2554"/>
      <c r="D579" s="2554"/>
      <c r="E579" s="2554"/>
      <c r="F579" s="2555"/>
      <c r="G579" s="858"/>
      <c r="H579" s="859"/>
    </row>
    <row r="580" spans="1:8" ht="25.5" customHeight="1">
      <c r="A580" s="2556"/>
      <c r="B580" s="2557"/>
      <c r="C580" s="2557"/>
      <c r="D580" s="2557"/>
      <c r="E580" s="2557"/>
      <c r="F580" s="2558"/>
      <c r="G580" s="2559" t="s">
        <v>772</v>
      </c>
      <c r="H580" s="2552"/>
    </row>
    <row r="581" spans="1:8">
      <c r="A581" s="857"/>
      <c r="B581" s="47"/>
      <c r="C581" s="47"/>
      <c r="D581" s="47"/>
      <c r="E581" s="47"/>
      <c r="F581" s="47"/>
      <c r="G581" s="860"/>
      <c r="H581" s="859"/>
    </row>
    <row r="582" spans="1:8" thickBot="1">
      <c r="A582" s="2560" t="s">
        <v>692</v>
      </c>
      <c r="B582" s="2561"/>
      <c r="C582" s="2561"/>
      <c r="D582" s="2561"/>
      <c r="E582" s="2561"/>
      <c r="F582" s="2562"/>
      <c r="G582" s="2563" t="s">
        <v>696</v>
      </c>
      <c r="H582" s="2562"/>
    </row>
    <row r="583" spans="1:8" hidden="1">
      <c r="A583" s="200"/>
      <c r="B583" s="198"/>
      <c r="C583" s="851"/>
      <c r="D583" s="41"/>
      <c r="E583" s="41"/>
      <c r="F583" s="41"/>
      <c r="G583" s="21"/>
      <c r="H583" s="203"/>
    </row>
    <row r="584" spans="1:8" ht="46.5" customHeight="1">
      <c r="A584" s="2641" t="s">
        <v>821</v>
      </c>
      <c r="B584" s="2641"/>
      <c r="C584" s="2641"/>
      <c r="D584" s="2641"/>
      <c r="E584" s="2641"/>
      <c r="F584" s="2641"/>
      <c r="G584" s="2641"/>
      <c r="H584" s="2641"/>
    </row>
    <row r="589" spans="1:8" ht="18.75">
      <c r="A589" s="2703" t="s">
        <v>111</v>
      </c>
      <c r="B589" s="2703"/>
      <c r="C589" s="2703"/>
      <c r="D589" s="2703"/>
      <c r="E589" s="2703"/>
      <c r="F589" s="2703"/>
      <c r="G589" s="2703"/>
      <c r="H589" s="2703"/>
    </row>
    <row r="590" spans="1:8" ht="18.75">
      <c r="A590" s="2703" t="s">
        <v>110</v>
      </c>
      <c r="B590" s="2703"/>
      <c r="C590" s="2703"/>
      <c r="D590" s="2703"/>
      <c r="E590" s="2703"/>
      <c r="F590" s="2703"/>
      <c r="G590" s="2703"/>
      <c r="H590" s="2703"/>
    </row>
    <row r="591" spans="1:8" ht="18.75">
      <c r="A591" s="2704" t="s">
        <v>211</v>
      </c>
      <c r="B591" s="2705"/>
      <c r="C591" s="2705"/>
      <c r="D591" s="2705"/>
      <c r="E591" s="2705"/>
      <c r="F591" s="2705"/>
      <c r="G591" s="2705"/>
      <c r="H591" s="2705"/>
    </row>
    <row r="592" spans="1:8" ht="18.75">
      <c r="A592" s="2704" t="s">
        <v>1212</v>
      </c>
      <c r="B592" s="2705"/>
      <c r="C592" s="2705"/>
      <c r="D592" s="2705"/>
      <c r="E592" s="2705"/>
      <c r="F592" s="2705"/>
      <c r="G592" s="2705"/>
      <c r="H592" s="2705"/>
    </row>
    <row r="593" spans="1:8" ht="18.75">
      <c r="A593" s="2704" t="s">
        <v>32</v>
      </c>
      <c r="B593" s="2705"/>
      <c r="C593" s="2705"/>
      <c r="D593" s="2705"/>
      <c r="E593" s="2705"/>
      <c r="F593" s="2705"/>
      <c r="G593" s="2705"/>
      <c r="H593" s="2705"/>
    </row>
    <row r="594" spans="1:8">
      <c r="A594" s="814"/>
      <c r="B594" s="815"/>
      <c r="C594" s="816"/>
      <c r="D594" s="817"/>
      <c r="E594" s="817"/>
      <c r="F594" s="817"/>
      <c r="G594" s="818"/>
      <c r="H594" s="819"/>
    </row>
    <row r="595" spans="1:8" ht="18.75">
      <c r="A595" s="2777" t="s">
        <v>49</v>
      </c>
      <c r="B595" s="2777"/>
      <c r="C595" s="2777"/>
      <c r="D595" s="2777"/>
      <c r="E595" s="2777"/>
      <c r="F595" s="2777"/>
      <c r="G595" s="2777"/>
      <c r="H595" s="2777"/>
    </row>
    <row r="596" spans="1:8" ht="42" customHeight="1">
      <c r="A596" s="2778" t="s">
        <v>1467</v>
      </c>
      <c r="B596" s="2779"/>
      <c r="C596" s="2779"/>
      <c r="D596" s="2779"/>
      <c r="E596" s="2779"/>
      <c r="F596" s="2779"/>
      <c r="G596" s="2779"/>
      <c r="H596" s="2779"/>
    </row>
    <row r="597" spans="1:8" ht="15.75" thickBot="1">
      <c r="A597" s="2719" t="s">
        <v>29</v>
      </c>
      <c r="B597" s="2720"/>
      <c r="C597" s="2720"/>
      <c r="D597" s="2720"/>
      <c r="E597" s="2720"/>
      <c r="F597" s="2721"/>
      <c r="G597" s="2722" t="s">
        <v>640</v>
      </c>
      <c r="H597" s="2715" t="s">
        <v>639</v>
      </c>
    </row>
    <row r="598" spans="1:8" ht="75.75" thickBot="1">
      <c r="A598" s="1106" t="s">
        <v>39</v>
      </c>
      <c r="B598" s="1107" t="s">
        <v>40</v>
      </c>
      <c r="C598" s="1107" t="s">
        <v>41</v>
      </c>
      <c r="D598" s="1107" t="s">
        <v>45</v>
      </c>
      <c r="E598" s="1108" t="s">
        <v>42</v>
      </c>
      <c r="F598" s="823" t="s">
        <v>43</v>
      </c>
      <c r="G598" s="2713"/>
      <c r="H598" s="2715"/>
    </row>
    <row r="599" spans="1:8">
      <c r="A599" s="824" t="s">
        <v>380</v>
      </c>
      <c r="B599" s="825" t="s">
        <v>64</v>
      </c>
      <c r="C599" s="825" t="s">
        <v>61</v>
      </c>
      <c r="D599" s="825" t="s">
        <v>62</v>
      </c>
      <c r="E599" s="825" t="s">
        <v>65</v>
      </c>
      <c r="F599" s="1173" t="s">
        <v>209</v>
      </c>
      <c r="G599" s="1691" t="s">
        <v>724</v>
      </c>
      <c r="H599" s="1692">
        <v>2500</v>
      </c>
    </row>
    <row r="600" spans="1:8">
      <c r="A600" s="824" t="s">
        <v>380</v>
      </c>
      <c r="B600" s="825" t="s">
        <v>64</v>
      </c>
      <c r="C600" s="825" t="s">
        <v>61</v>
      </c>
      <c r="D600" s="825" t="s">
        <v>62</v>
      </c>
      <c r="E600" s="825" t="s">
        <v>65</v>
      </c>
      <c r="F600" s="1175" t="s">
        <v>726</v>
      </c>
      <c r="G600" s="1176" t="s">
        <v>727</v>
      </c>
      <c r="H600" s="1692">
        <f>3000-750</f>
        <v>2250</v>
      </c>
    </row>
    <row r="601" spans="1:8">
      <c r="A601" s="824" t="s">
        <v>380</v>
      </c>
      <c r="B601" s="825" t="s">
        <v>64</v>
      </c>
      <c r="C601" s="825" t="s">
        <v>61</v>
      </c>
      <c r="D601" s="825" t="s">
        <v>62</v>
      </c>
      <c r="E601" s="825" t="s">
        <v>65</v>
      </c>
      <c r="F601" s="1175" t="s">
        <v>657</v>
      </c>
      <c r="G601" s="1707" t="s">
        <v>775</v>
      </c>
      <c r="H601" s="1692">
        <v>250</v>
      </c>
    </row>
    <row r="602" spans="1:8" ht="15.75" thickBot="1">
      <c r="A602" s="1110"/>
      <c r="B602" s="1111"/>
      <c r="C602" s="1111"/>
      <c r="D602" s="1111"/>
      <c r="E602" s="1112"/>
      <c r="F602" s="1113"/>
      <c r="G602" s="1114"/>
      <c r="H602" s="1115">
        <f>SUM(H599:H601)</f>
        <v>5000</v>
      </c>
    </row>
    <row r="603" spans="1:8" ht="15.75" thickBot="1">
      <c r="A603" s="839"/>
      <c r="B603" s="839"/>
      <c r="C603" s="840"/>
      <c r="D603" s="841"/>
      <c r="E603" s="841"/>
      <c r="F603" s="841"/>
      <c r="G603" s="818"/>
      <c r="H603" s="819"/>
    </row>
    <row r="604" spans="1:8">
      <c r="A604" s="2685" t="s">
        <v>693</v>
      </c>
      <c r="B604" s="2686"/>
      <c r="C604" s="2686"/>
      <c r="D604" s="2686"/>
      <c r="E604" s="2686"/>
      <c r="F604" s="2686"/>
      <c r="G604" s="2687" t="s">
        <v>1323</v>
      </c>
      <c r="H604" s="2688"/>
    </row>
    <row r="605" spans="1:8">
      <c r="A605" s="2774" t="s">
        <v>1467</v>
      </c>
      <c r="B605" s="2775"/>
      <c r="C605" s="2775"/>
      <c r="D605" s="2775"/>
      <c r="E605" s="2775"/>
      <c r="F605" s="2776"/>
      <c r="G605" s="845"/>
      <c r="H605" s="846"/>
    </row>
    <row r="606" spans="1:8" ht="14.25">
      <c r="A606" s="2737"/>
      <c r="B606" s="2738"/>
      <c r="C606" s="2738"/>
      <c r="D606" s="2738"/>
      <c r="E606" s="2738"/>
      <c r="F606" s="2739"/>
      <c r="G606" s="2689" t="s">
        <v>694</v>
      </c>
      <c r="H606" s="2691"/>
    </row>
    <row r="607" spans="1:8">
      <c r="A607" s="2692" t="s">
        <v>1444</v>
      </c>
      <c r="B607" s="2693"/>
      <c r="C607" s="2693"/>
      <c r="D607" s="2693"/>
      <c r="E607" s="2693"/>
      <c r="F607" s="2694"/>
      <c r="G607" s="845"/>
      <c r="H607" s="846"/>
    </row>
    <row r="608" spans="1:8" ht="14.25">
      <c r="A608" s="2695"/>
      <c r="B608" s="2696"/>
      <c r="C608" s="2696"/>
      <c r="D608" s="2696"/>
      <c r="E608" s="2696"/>
      <c r="F608" s="2697"/>
      <c r="G608" s="2698" t="s">
        <v>772</v>
      </c>
      <c r="H608" s="2691"/>
    </row>
    <row r="609" spans="1:8">
      <c r="A609" s="842"/>
      <c r="B609" s="843"/>
      <c r="C609" s="843"/>
      <c r="D609" s="843"/>
      <c r="E609" s="843"/>
      <c r="F609" s="843"/>
      <c r="G609" s="847"/>
      <c r="H609" s="846"/>
    </row>
    <row r="610" spans="1:8" thickBot="1">
      <c r="A610" s="2699" t="s">
        <v>692</v>
      </c>
      <c r="B610" s="2700"/>
      <c r="C610" s="2700"/>
      <c r="D610" s="2700"/>
      <c r="E610" s="2700"/>
      <c r="F610" s="2701"/>
      <c r="G610" s="2702" t="s">
        <v>696</v>
      </c>
      <c r="H610" s="2701"/>
    </row>
  </sheetData>
  <mergeCells count="382">
    <mergeCell ref="A604:F604"/>
    <mergeCell ref="G604:H604"/>
    <mergeCell ref="A605:F606"/>
    <mergeCell ref="G606:H606"/>
    <mergeCell ref="A607:F608"/>
    <mergeCell ref="G608:H608"/>
    <mergeCell ref="A610:F610"/>
    <mergeCell ref="G610:H610"/>
    <mergeCell ref="A589:H589"/>
    <mergeCell ref="A590:H590"/>
    <mergeCell ref="A591:H591"/>
    <mergeCell ref="A592:H592"/>
    <mergeCell ref="A593:H593"/>
    <mergeCell ref="A595:H595"/>
    <mergeCell ref="A596:H596"/>
    <mergeCell ref="A597:F597"/>
    <mergeCell ref="G597:G598"/>
    <mergeCell ref="H597:H598"/>
    <mergeCell ref="A503:F503"/>
    <mergeCell ref="G503:H503"/>
    <mergeCell ref="A505:F505"/>
    <mergeCell ref="G505:H505"/>
    <mergeCell ref="A506:F507"/>
    <mergeCell ref="G507:H507"/>
    <mergeCell ref="A509:F509"/>
    <mergeCell ref="G509:H509"/>
    <mergeCell ref="A486:H486"/>
    <mergeCell ref="A487:H487"/>
    <mergeCell ref="A488:H488"/>
    <mergeCell ref="A489:H489"/>
    <mergeCell ref="A490:H490"/>
    <mergeCell ref="A492:H492"/>
    <mergeCell ref="A493:H493"/>
    <mergeCell ref="A494:F494"/>
    <mergeCell ref="G494:G495"/>
    <mergeCell ref="H494:H495"/>
    <mergeCell ref="A1:H1"/>
    <mergeCell ref="A2:H2"/>
    <mergeCell ref="A4:H4"/>
    <mergeCell ref="A5:H5"/>
    <mergeCell ref="A6:H6"/>
    <mergeCell ref="A8:H8"/>
    <mergeCell ref="A19:F19"/>
    <mergeCell ref="G19:H19"/>
    <mergeCell ref="A20:F21"/>
    <mergeCell ref="G21:H21"/>
    <mergeCell ref="A23:F23"/>
    <mergeCell ref="G23:H23"/>
    <mergeCell ref="A9:H9"/>
    <mergeCell ref="A10:F10"/>
    <mergeCell ref="G10:G11"/>
    <mergeCell ref="H10:H11"/>
    <mergeCell ref="A17:F17"/>
    <mergeCell ref="G17:H17"/>
    <mergeCell ref="A32:H32"/>
    <mergeCell ref="A34:H34"/>
    <mergeCell ref="A35:H35"/>
    <mergeCell ref="A36:F36"/>
    <mergeCell ref="G36:G37"/>
    <mergeCell ref="H36:H37"/>
    <mergeCell ref="A24:F24"/>
    <mergeCell ref="G24:H24"/>
    <mergeCell ref="A28:H28"/>
    <mergeCell ref="A29:H29"/>
    <mergeCell ref="A30:H30"/>
    <mergeCell ref="A31:H31"/>
    <mergeCell ref="A25:H25"/>
    <mergeCell ref="A62:F62"/>
    <mergeCell ref="G62:H62"/>
    <mergeCell ref="A65:E65"/>
    <mergeCell ref="A66:E66"/>
    <mergeCell ref="A56:F56"/>
    <mergeCell ref="G56:H56"/>
    <mergeCell ref="A58:F58"/>
    <mergeCell ref="G58:H58"/>
    <mergeCell ref="A59:F60"/>
    <mergeCell ref="G60:H60"/>
    <mergeCell ref="A82:H82"/>
    <mergeCell ref="A83:F83"/>
    <mergeCell ref="G83:G84"/>
    <mergeCell ref="H83:H84"/>
    <mergeCell ref="A89:F89"/>
    <mergeCell ref="G89:H89"/>
    <mergeCell ref="A75:H75"/>
    <mergeCell ref="A76:H76"/>
    <mergeCell ref="A77:H77"/>
    <mergeCell ref="A78:H78"/>
    <mergeCell ref="A79:H79"/>
    <mergeCell ref="A81:H81"/>
    <mergeCell ref="A103:H103"/>
    <mergeCell ref="A104:H104"/>
    <mergeCell ref="A105:H105"/>
    <mergeCell ref="A106:H106"/>
    <mergeCell ref="A107:H107"/>
    <mergeCell ref="A109:H109"/>
    <mergeCell ref="A91:F91"/>
    <mergeCell ref="G91:H91"/>
    <mergeCell ref="A92:F93"/>
    <mergeCell ref="G93:H93"/>
    <mergeCell ref="A95:F95"/>
    <mergeCell ref="G95:H95"/>
    <mergeCell ref="A124:F124"/>
    <mergeCell ref="G124:H124"/>
    <mergeCell ref="A125:F126"/>
    <mergeCell ref="G126:H126"/>
    <mergeCell ref="A128:F128"/>
    <mergeCell ref="G128:H128"/>
    <mergeCell ref="A110:H110"/>
    <mergeCell ref="A111:F111"/>
    <mergeCell ref="G111:G112"/>
    <mergeCell ref="H111:H112"/>
    <mergeCell ref="A122:F122"/>
    <mergeCell ref="G122:H122"/>
    <mergeCell ref="A144:H144"/>
    <mergeCell ref="A145:F145"/>
    <mergeCell ref="G145:G146"/>
    <mergeCell ref="H145:H146"/>
    <mergeCell ref="A157:F157"/>
    <mergeCell ref="G157:H157"/>
    <mergeCell ref="A137:H137"/>
    <mergeCell ref="A138:H138"/>
    <mergeCell ref="A139:H139"/>
    <mergeCell ref="A140:H140"/>
    <mergeCell ref="A141:H141"/>
    <mergeCell ref="A143:H143"/>
    <mergeCell ref="A170:H170"/>
    <mergeCell ref="A172:H172"/>
    <mergeCell ref="A173:H173"/>
    <mergeCell ref="A174:H174"/>
    <mergeCell ref="A176:H176"/>
    <mergeCell ref="A177:H177"/>
    <mergeCell ref="A159:F159"/>
    <mergeCell ref="G159:H159"/>
    <mergeCell ref="A160:F161"/>
    <mergeCell ref="G161:H161"/>
    <mergeCell ref="A163:F163"/>
    <mergeCell ref="G163:H163"/>
    <mergeCell ref="A195:F196"/>
    <mergeCell ref="G196:H196"/>
    <mergeCell ref="A198:F198"/>
    <mergeCell ref="G198:H198"/>
    <mergeCell ref="A206:H206"/>
    <mergeCell ref="A207:H207"/>
    <mergeCell ref="A178:F178"/>
    <mergeCell ref="G178:G179"/>
    <mergeCell ref="H178:H179"/>
    <mergeCell ref="A192:F192"/>
    <mergeCell ref="G192:H192"/>
    <mergeCell ref="A194:F194"/>
    <mergeCell ref="G194:H194"/>
    <mergeCell ref="A228:F228"/>
    <mergeCell ref="G228:H228"/>
    <mergeCell ref="A230:F230"/>
    <mergeCell ref="G230:H230"/>
    <mergeCell ref="A231:F232"/>
    <mergeCell ref="G232:H232"/>
    <mergeCell ref="A208:H208"/>
    <mergeCell ref="A209:H209"/>
    <mergeCell ref="A210:H210"/>
    <mergeCell ref="A212:H212"/>
    <mergeCell ref="A213:H213"/>
    <mergeCell ref="A214:F214"/>
    <mergeCell ref="G214:G215"/>
    <mergeCell ref="H214:H215"/>
    <mergeCell ref="A239:E239"/>
    <mergeCell ref="A240:E240"/>
    <mergeCell ref="A241:E241"/>
    <mergeCell ref="A242:E242"/>
    <mergeCell ref="A243:E243"/>
    <mergeCell ref="A246:D246"/>
    <mergeCell ref="A234:F234"/>
    <mergeCell ref="G234:H234"/>
    <mergeCell ref="A235:F235"/>
    <mergeCell ref="G235:H235"/>
    <mergeCell ref="A236:G236"/>
    <mergeCell ref="A238:E238"/>
    <mergeCell ref="A244:E244"/>
    <mergeCell ref="A256:G256"/>
    <mergeCell ref="A260:C260"/>
    <mergeCell ref="A261:C261"/>
    <mergeCell ref="A269:H269"/>
    <mergeCell ref="A270:H270"/>
    <mergeCell ref="A271:H271"/>
    <mergeCell ref="A248:E248"/>
    <mergeCell ref="A249:E249"/>
    <mergeCell ref="A250:E250"/>
    <mergeCell ref="A251:E251"/>
    <mergeCell ref="A252:E252"/>
    <mergeCell ref="A253:E253"/>
    <mergeCell ref="A254:E254"/>
    <mergeCell ref="A296:F296"/>
    <mergeCell ref="G296:H296"/>
    <mergeCell ref="A298:F298"/>
    <mergeCell ref="G298:H298"/>
    <mergeCell ref="A299:F300"/>
    <mergeCell ref="G300:H300"/>
    <mergeCell ref="A272:H272"/>
    <mergeCell ref="A273:H273"/>
    <mergeCell ref="A275:H275"/>
    <mergeCell ref="A276:H276"/>
    <mergeCell ref="A277:F277"/>
    <mergeCell ref="G277:G278"/>
    <mergeCell ref="H277:H278"/>
    <mergeCell ref="A313:H313"/>
    <mergeCell ref="A315:H315"/>
    <mergeCell ref="A316:H316"/>
    <mergeCell ref="A317:F317"/>
    <mergeCell ref="G317:G318"/>
    <mergeCell ref="H317:H318"/>
    <mergeCell ref="A302:F302"/>
    <mergeCell ref="G302:H302"/>
    <mergeCell ref="A309:H309"/>
    <mergeCell ref="A310:H310"/>
    <mergeCell ref="A311:H311"/>
    <mergeCell ref="A312:H312"/>
    <mergeCell ref="A331:F331"/>
    <mergeCell ref="G331:H331"/>
    <mergeCell ref="A339:H339"/>
    <mergeCell ref="A340:H340"/>
    <mergeCell ref="A341:H341"/>
    <mergeCell ref="A342:H342"/>
    <mergeCell ref="A325:F325"/>
    <mergeCell ref="G325:H325"/>
    <mergeCell ref="A327:F327"/>
    <mergeCell ref="G327:H327"/>
    <mergeCell ref="A328:F329"/>
    <mergeCell ref="G329:H329"/>
    <mergeCell ref="A359:F359"/>
    <mergeCell ref="G359:H359"/>
    <mergeCell ref="A361:F361"/>
    <mergeCell ref="G361:H361"/>
    <mergeCell ref="A362:F363"/>
    <mergeCell ref="G363:H363"/>
    <mergeCell ref="A343:H343"/>
    <mergeCell ref="A345:H345"/>
    <mergeCell ref="A346:H346"/>
    <mergeCell ref="A347:F347"/>
    <mergeCell ref="G347:G348"/>
    <mergeCell ref="H347:H348"/>
    <mergeCell ref="A378:H378"/>
    <mergeCell ref="A380:H380"/>
    <mergeCell ref="A381:H381"/>
    <mergeCell ref="A382:F382"/>
    <mergeCell ref="G382:G383"/>
    <mergeCell ref="H382:H383"/>
    <mergeCell ref="A365:F365"/>
    <mergeCell ref="G365:H365"/>
    <mergeCell ref="A374:H374"/>
    <mergeCell ref="A375:H375"/>
    <mergeCell ref="A376:H376"/>
    <mergeCell ref="A377:H377"/>
    <mergeCell ref="A398:F398"/>
    <mergeCell ref="G398:H398"/>
    <mergeCell ref="A404:H404"/>
    <mergeCell ref="A405:H405"/>
    <mergeCell ref="A406:H406"/>
    <mergeCell ref="A407:H407"/>
    <mergeCell ref="A392:F392"/>
    <mergeCell ref="G392:H392"/>
    <mergeCell ref="A394:F394"/>
    <mergeCell ref="G394:H394"/>
    <mergeCell ref="A395:F396"/>
    <mergeCell ref="G396:H396"/>
    <mergeCell ref="A400:H400"/>
    <mergeCell ref="A417:F417"/>
    <mergeCell ref="G417:H417"/>
    <mergeCell ref="A419:F419"/>
    <mergeCell ref="G419:H419"/>
    <mergeCell ref="A420:F421"/>
    <mergeCell ref="G421:H421"/>
    <mergeCell ref="A408:H408"/>
    <mergeCell ref="A410:H410"/>
    <mergeCell ref="A411:H411"/>
    <mergeCell ref="A412:F412"/>
    <mergeCell ref="G412:G413"/>
    <mergeCell ref="H412:H413"/>
    <mergeCell ref="A434:H434"/>
    <mergeCell ref="A436:H436"/>
    <mergeCell ref="A437:H437"/>
    <mergeCell ref="A438:F438"/>
    <mergeCell ref="G438:G439"/>
    <mergeCell ref="H438:H439"/>
    <mergeCell ref="A423:F423"/>
    <mergeCell ref="G423:H423"/>
    <mergeCell ref="A430:H430"/>
    <mergeCell ref="A431:H431"/>
    <mergeCell ref="A432:H432"/>
    <mergeCell ref="A433:H433"/>
    <mergeCell ref="A425:H425"/>
    <mergeCell ref="A453:F453"/>
    <mergeCell ref="G453:H453"/>
    <mergeCell ref="A459:H459"/>
    <mergeCell ref="A460:H460"/>
    <mergeCell ref="A461:H461"/>
    <mergeCell ref="A462:H462"/>
    <mergeCell ref="A447:F447"/>
    <mergeCell ref="G447:H447"/>
    <mergeCell ref="A449:F449"/>
    <mergeCell ref="G449:H449"/>
    <mergeCell ref="A450:F451"/>
    <mergeCell ref="G451:H451"/>
    <mergeCell ref="A455:H455"/>
    <mergeCell ref="A480:H480"/>
    <mergeCell ref="A69:H69"/>
    <mergeCell ref="A97:H97"/>
    <mergeCell ref="A130:H130"/>
    <mergeCell ref="A165:H165"/>
    <mergeCell ref="A200:H200"/>
    <mergeCell ref="A263:H263"/>
    <mergeCell ref="A304:H304"/>
    <mergeCell ref="A333:H333"/>
    <mergeCell ref="A367:H367"/>
    <mergeCell ref="A478:F478"/>
    <mergeCell ref="G478:H478"/>
    <mergeCell ref="A472:F472"/>
    <mergeCell ref="G472:H472"/>
    <mergeCell ref="A474:F474"/>
    <mergeCell ref="G474:H474"/>
    <mergeCell ref="A475:F476"/>
    <mergeCell ref="G476:H476"/>
    <mergeCell ref="A463:H463"/>
    <mergeCell ref="A465:H465"/>
    <mergeCell ref="A466:H466"/>
    <mergeCell ref="A467:F467"/>
    <mergeCell ref="G467:G468"/>
    <mergeCell ref="H467:H468"/>
    <mergeCell ref="A513:H513"/>
    <mergeCell ref="A514:H514"/>
    <mergeCell ref="A515:H515"/>
    <mergeCell ref="A516:H516"/>
    <mergeCell ref="A517:H517"/>
    <mergeCell ref="A519:H519"/>
    <mergeCell ref="A520:H520"/>
    <mergeCell ref="A521:F521"/>
    <mergeCell ref="G521:G522"/>
    <mergeCell ref="H521:H522"/>
    <mergeCell ref="A526:F526"/>
    <mergeCell ref="G526:H526"/>
    <mergeCell ref="A528:F528"/>
    <mergeCell ref="G528:H528"/>
    <mergeCell ref="A529:F530"/>
    <mergeCell ref="G530:H530"/>
    <mergeCell ref="A532:F532"/>
    <mergeCell ref="G532:H532"/>
    <mergeCell ref="A534:H534"/>
    <mergeCell ref="A550:F550"/>
    <mergeCell ref="G550:H550"/>
    <mergeCell ref="A552:F552"/>
    <mergeCell ref="G552:H552"/>
    <mergeCell ref="A553:F554"/>
    <mergeCell ref="G554:H554"/>
    <mergeCell ref="A556:F556"/>
    <mergeCell ref="G556:H556"/>
    <mergeCell ref="A536:H536"/>
    <mergeCell ref="A537:H537"/>
    <mergeCell ref="A538:H538"/>
    <mergeCell ref="A539:H539"/>
    <mergeCell ref="A540:H540"/>
    <mergeCell ref="A542:H542"/>
    <mergeCell ref="A543:H543"/>
    <mergeCell ref="A544:F544"/>
    <mergeCell ref="G544:G545"/>
    <mergeCell ref="H544:H545"/>
    <mergeCell ref="A559:H559"/>
    <mergeCell ref="A560:H560"/>
    <mergeCell ref="A561:H561"/>
    <mergeCell ref="A562:H562"/>
    <mergeCell ref="A563:H563"/>
    <mergeCell ref="A565:H565"/>
    <mergeCell ref="A566:H566"/>
    <mergeCell ref="A567:F567"/>
    <mergeCell ref="G567:G568"/>
    <mergeCell ref="H567:H568"/>
    <mergeCell ref="A576:F576"/>
    <mergeCell ref="G576:H576"/>
    <mergeCell ref="G578:H578"/>
    <mergeCell ref="A579:F580"/>
    <mergeCell ref="G580:H580"/>
    <mergeCell ref="A582:F582"/>
    <mergeCell ref="G582:H582"/>
    <mergeCell ref="A584:H584"/>
    <mergeCell ref="A577:F578"/>
  </mergeCells>
  <pageMargins left="0.6692913385826772" right="0.11811023622047245" top="0.35433070866141736" bottom="0.15748031496062992" header="0.11811023622047245" footer="0.11811023622047245"/>
  <pageSetup scale="80" orientation="portrait" r:id="rId1"/>
  <legacy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2:Q5056"/>
  <sheetViews>
    <sheetView topLeftCell="A1562" zoomScale="80" zoomScaleNormal="80" workbookViewId="0">
      <selection activeCell="A1559" activeCellId="38" sqref="A64:H92 A125:H152 A156:H184 A284:H310 A316:H342 A345:H371 A375:H402 A406:H432 A435:H461 A464:H490 A492:H518 A520:H541 A544:H565 A567:H588 A591:H612 A615:H636 A639:H660 A662:H683 A686:H707 A710:H736 A739:H760 A773:H799 A803:H830 A833:H859 A865:H889 A896:H923 A956:H982 A1042:H1068 A1237:H1264 A1205:H1232 A1303:H1329 A1334:H1360 A1363:H1382 A1387:H1412 A1416:H1441 A1444:H1471 A1474:H1500 A1533:H1555 A1559:H1585"/>
    </sheetView>
  </sheetViews>
  <sheetFormatPr baseColWidth="10" defaultRowHeight="15"/>
  <cols>
    <col min="1" max="1" width="7.7109375" style="9" customWidth="1"/>
    <col min="2" max="2" width="7.7109375" style="5" customWidth="1"/>
    <col min="3" max="3" width="7.7109375" style="4" customWidth="1"/>
    <col min="4" max="5" width="7.7109375" style="1" customWidth="1"/>
    <col min="6" max="6" width="15.7109375" style="1" customWidth="1"/>
    <col min="7" max="7" width="47.140625" style="2" customWidth="1"/>
    <col min="8" max="8" width="19" style="8" customWidth="1"/>
  </cols>
  <sheetData>
    <row r="2" spans="1:8" ht="18.75">
      <c r="A2" s="2703" t="s">
        <v>111</v>
      </c>
      <c r="B2" s="2705"/>
      <c r="C2" s="2705"/>
      <c r="D2" s="2705"/>
      <c r="E2" s="2705"/>
      <c r="F2" s="2705"/>
      <c r="G2" s="2705"/>
      <c r="H2" s="2705"/>
    </row>
    <row r="3" spans="1:8" ht="18.75">
      <c r="A3" s="2703" t="s">
        <v>757</v>
      </c>
      <c r="B3" s="2705"/>
      <c r="C3" s="2705"/>
      <c r="D3" s="2705"/>
      <c r="E3" s="2705"/>
      <c r="F3" s="2705"/>
      <c r="G3" s="2705"/>
      <c r="H3" s="2705"/>
    </row>
    <row r="4" spans="1:8" ht="18.75">
      <c r="A4" s="2704" t="s">
        <v>211</v>
      </c>
      <c r="B4" s="2705"/>
      <c r="C4" s="2705"/>
      <c r="D4" s="2705"/>
      <c r="E4" s="2705"/>
      <c r="F4" s="2705"/>
      <c r="G4" s="2705"/>
      <c r="H4" s="2705"/>
    </row>
    <row r="5" spans="1:8" ht="18.75">
      <c r="A5" s="2704" t="s">
        <v>1006</v>
      </c>
      <c r="B5" s="2705"/>
      <c r="C5" s="2705"/>
      <c r="D5" s="2705"/>
      <c r="E5" s="2705"/>
      <c r="F5" s="2705"/>
      <c r="G5" s="2705"/>
      <c r="H5" s="2705"/>
    </row>
    <row r="6" spans="1:8" ht="18.75">
      <c r="A6" s="2704" t="s">
        <v>32</v>
      </c>
      <c r="B6" s="2705"/>
      <c r="C6" s="2705"/>
      <c r="D6" s="2705"/>
      <c r="E6" s="2705"/>
      <c r="F6" s="2705"/>
      <c r="G6" s="2705"/>
      <c r="H6" s="2705"/>
    </row>
    <row r="7" spans="1:8">
      <c r="A7" s="814"/>
      <c r="B7" s="815"/>
      <c r="C7" s="816"/>
      <c r="D7" s="817"/>
      <c r="E7" s="817"/>
      <c r="F7" s="817"/>
      <c r="G7" s="818"/>
      <c r="H7" s="819"/>
    </row>
    <row r="8" spans="1:8" ht="18.75">
      <c r="A8" s="2706" t="s">
        <v>49</v>
      </c>
      <c r="B8" s="2706"/>
      <c r="C8" s="2706"/>
      <c r="D8" s="2706"/>
      <c r="E8" s="2706"/>
      <c r="F8" s="2706"/>
      <c r="G8" s="2706"/>
      <c r="H8" s="2706"/>
    </row>
    <row r="9" spans="1:8" ht="27.75" customHeight="1">
      <c r="A9" s="2602" t="s">
        <v>1075</v>
      </c>
      <c r="B9" s="2603"/>
      <c r="C9" s="2603"/>
      <c r="D9" s="2603"/>
      <c r="E9" s="2603"/>
      <c r="F9" s="2603"/>
      <c r="G9" s="2603"/>
      <c r="H9" s="2603"/>
    </row>
    <row r="10" spans="1:8" ht="15.75" thickBot="1">
      <c r="A10" s="2719" t="s">
        <v>29</v>
      </c>
      <c r="B10" s="2720"/>
      <c r="C10" s="2720"/>
      <c r="D10" s="2720"/>
      <c r="E10" s="2720"/>
      <c r="F10" s="2721"/>
      <c r="G10" s="2722" t="s">
        <v>640</v>
      </c>
      <c r="H10" s="2715" t="s">
        <v>639</v>
      </c>
    </row>
    <row r="11" spans="1:8" ht="75.75" thickBot="1">
      <c r="A11" s="1106" t="s">
        <v>39</v>
      </c>
      <c r="B11" s="1107" t="s">
        <v>40</v>
      </c>
      <c r="C11" s="1107" t="s">
        <v>41</v>
      </c>
      <c r="D11" s="1107" t="s">
        <v>45</v>
      </c>
      <c r="E11" s="1108" t="s">
        <v>42</v>
      </c>
      <c r="F11" s="823" t="s">
        <v>43</v>
      </c>
      <c r="G11" s="2713"/>
      <c r="H11" s="2723"/>
    </row>
    <row r="12" spans="1:8" ht="16.5" customHeight="1">
      <c r="A12" s="824" t="s">
        <v>381</v>
      </c>
      <c r="B12" s="825" t="s">
        <v>69</v>
      </c>
      <c r="C12" s="825" t="s">
        <v>59</v>
      </c>
      <c r="D12" s="825" t="s">
        <v>62</v>
      </c>
      <c r="E12" s="825" t="s">
        <v>65</v>
      </c>
      <c r="F12" s="1116">
        <v>51202</v>
      </c>
      <c r="G12" s="1117" t="s">
        <v>759</v>
      </c>
      <c r="H12" s="1118">
        <v>900</v>
      </c>
    </row>
    <row r="13" spans="1:8" ht="16.5" customHeight="1">
      <c r="A13" s="824" t="s">
        <v>381</v>
      </c>
      <c r="B13" s="825" t="s">
        <v>69</v>
      </c>
      <c r="C13" s="825" t="s">
        <v>59</v>
      </c>
      <c r="D13" s="825" t="s">
        <v>62</v>
      </c>
      <c r="E13" s="825" t="s">
        <v>65</v>
      </c>
      <c r="F13" s="826">
        <v>54111</v>
      </c>
      <c r="G13" s="827" t="s">
        <v>778</v>
      </c>
      <c r="H13" s="1118">
        <v>800</v>
      </c>
    </row>
    <row r="14" spans="1:8" ht="16.5" customHeight="1">
      <c r="A14" s="824" t="s">
        <v>381</v>
      </c>
      <c r="B14" s="825" t="s">
        <v>69</v>
      </c>
      <c r="C14" s="825" t="s">
        <v>59</v>
      </c>
      <c r="D14" s="825" t="s">
        <v>62</v>
      </c>
      <c r="E14" s="825" t="s">
        <v>65</v>
      </c>
      <c r="F14" s="826">
        <v>54112</v>
      </c>
      <c r="G14" s="827" t="s">
        <v>782</v>
      </c>
      <c r="H14" s="1118">
        <v>500</v>
      </c>
    </row>
    <row r="15" spans="1:8" ht="16.5" customHeight="1">
      <c r="A15" s="824" t="s">
        <v>381</v>
      </c>
      <c r="B15" s="825" t="s">
        <v>69</v>
      </c>
      <c r="C15" s="825" t="s">
        <v>59</v>
      </c>
      <c r="D15" s="825" t="s">
        <v>62</v>
      </c>
      <c r="E15" s="825" t="s">
        <v>65</v>
      </c>
      <c r="F15" s="826">
        <v>54118</v>
      </c>
      <c r="G15" s="827" t="s">
        <v>746</v>
      </c>
      <c r="H15" s="1118">
        <v>150</v>
      </c>
    </row>
    <row r="16" spans="1:8" ht="16.5" customHeight="1">
      <c r="A16" s="824" t="s">
        <v>381</v>
      </c>
      <c r="B16" s="825" t="s">
        <v>69</v>
      </c>
      <c r="C16" s="825" t="s">
        <v>59</v>
      </c>
      <c r="D16" s="825" t="s">
        <v>62</v>
      </c>
      <c r="E16" s="825" t="s">
        <v>65</v>
      </c>
      <c r="F16" s="826">
        <v>54199</v>
      </c>
      <c r="G16" s="827" t="s">
        <v>658</v>
      </c>
      <c r="H16" s="1118">
        <v>150</v>
      </c>
    </row>
    <row r="17" spans="1:8" ht="16.5" customHeight="1">
      <c r="A17" s="824" t="s">
        <v>381</v>
      </c>
      <c r="B17" s="825" t="s">
        <v>69</v>
      </c>
      <c r="C17" s="825" t="s">
        <v>59</v>
      </c>
      <c r="D17" s="825" t="s">
        <v>62</v>
      </c>
      <c r="E17" s="825" t="s">
        <v>65</v>
      </c>
      <c r="F17" s="829" t="s">
        <v>677</v>
      </c>
      <c r="G17" s="827" t="s">
        <v>678</v>
      </c>
      <c r="H17" s="1118">
        <v>200</v>
      </c>
    </row>
    <row r="18" spans="1:8" ht="16.5" customHeight="1">
      <c r="A18" s="824" t="s">
        <v>381</v>
      </c>
      <c r="B18" s="825" t="s">
        <v>69</v>
      </c>
      <c r="C18" s="825" t="s">
        <v>59</v>
      </c>
      <c r="D18" s="825" t="s">
        <v>62</v>
      </c>
      <c r="E18" s="825" t="s">
        <v>65</v>
      </c>
      <c r="F18" s="831">
        <v>61608</v>
      </c>
      <c r="G18" s="832" t="s">
        <v>780</v>
      </c>
      <c r="H18" s="1119">
        <v>300</v>
      </c>
    </row>
    <row r="19" spans="1:8" ht="19.5" customHeight="1" thickBot="1">
      <c r="A19" s="1110"/>
      <c r="B19" s="1111"/>
      <c r="C19" s="1111"/>
      <c r="D19" s="1111"/>
      <c r="E19" s="1112"/>
      <c r="F19" s="1113"/>
      <c r="G19" s="1114"/>
      <c r="H19" s="1120">
        <f>SUM(H12:H18)</f>
        <v>3000</v>
      </c>
    </row>
    <row r="20" spans="1:8" ht="15.75" thickBot="1">
      <c r="A20" s="839"/>
      <c r="B20" s="839"/>
      <c r="C20" s="840"/>
      <c r="D20" s="841"/>
      <c r="E20" s="841"/>
      <c r="F20" s="841"/>
      <c r="G20" s="818"/>
      <c r="H20" s="819"/>
    </row>
    <row r="21" spans="1:8">
      <c r="A21" s="2685" t="s">
        <v>1080</v>
      </c>
      <c r="B21" s="2686"/>
      <c r="C21" s="2686"/>
      <c r="D21" s="2686"/>
      <c r="E21" s="2686"/>
      <c r="F21" s="2686"/>
      <c r="G21" s="2687" t="s">
        <v>1021</v>
      </c>
      <c r="H21" s="2688"/>
    </row>
    <row r="22" spans="1:8">
      <c r="A22" s="842"/>
      <c r="B22" s="843"/>
      <c r="C22" s="844"/>
      <c r="D22" s="844"/>
      <c r="E22" s="844"/>
      <c r="F22" s="844"/>
      <c r="G22" s="845"/>
      <c r="H22" s="846"/>
    </row>
    <row r="23" spans="1:8" ht="32.25" customHeight="1">
      <c r="A23" s="2689" t="s">
        <v>1075</v>
      </c>
      <c r="B23" s="2690"/>
      <c r="C23" s="2690"/>
      <c r="D23" s="2690"/>
      <c r="E23" s="2690"/>
      <c r="F23" s="2691"/>
      <c r="G23" s="2689" t="s">
        <v>1076</v>
      </c>
      <c r="H23" s="2691"/>
    </row>
    <row r="24" spans="1:8">
      <c r="A24" s="2692" t="s">
        <v>834</v>
      </c>
      <c r="B24" s="2693"/>
      <c r="C24" s="2693"/>
      <c r="D24" s="2693"/>
      <c r="E24" s="2693"/>
      <c r="F24" s="2694"/>
      <c r="G24" s="845"/>
      <c r="H24" s="846"/>
    </row>
    <row r="25" spans="1:8" ht="32.25" customHeight="1">
      <c r="A25" s="2695"/>
      <c r="B25" s="2696"/>
      <c r="C25" s="2696"/>
      <c r="D25" s="2696"/>
      <c r="E25" s="2696"/>
      <c r="F25" s="2697"/>
      <c r="G25" s="2698" t="s">
        <v>695</v>
      </c>
      <c r="H25" s="2691"/>
    </row>
    <row r="26" spans="1:8">
      <c r="A26" s="842"/>
      <c r="B26" s="843"/>
      <c r="C26" s="843"/>
      <c r="D26" s="843"/>
      <c r="E26" s="843"/>
      <c r="F26" s="843"/>
      <c r="G26" s="847"/>
      <c r="H26" s="846"/>
    </row>
    <row r="27" spans="1:8" thickBot="1">
      <c r="A27" s="2699" t="s">
        <v>692</v>
      </c>
      <c r="B27" s="2700"/>
      <c r="C27" s="2700"/>
      <c r="D27" s="2700"/>
      <c r="E27" s="2700"/>
      <c r="F27" s="2701"/>
      <c r="G27" s="2702" t="s">
        <v>696</v>
      </c>
      <c r="H27" s="2701"/>
    </row>
    <row r="28" spans="1:8">
      <c r="A28" s="1121"/>
      <c r="B28" s="1122"/>
      <c r="C28" s="1122"/>
      <c r="D28" s="1122"/>
      <c r="E28" s="1122"/>
      <c r="F28" s="1122"/>
      <c r="G28" s="1123"/>
      <c r="H28" s="1122"/>
    </row>
    <row r="29" spans="1:8" ht="46.5" customHeight="1">
      <c r="A29" s="2716" t="s">
        <v>821</v>
      </c>
      <c r="B29" s="2716"/>
      <c r="C29" s="2716"/>
      <c r="D29" s="2716"/>
      <c r="E29" s="2716"/>
      <c r="F29" s="2716"/>
      <c r="G29" s="2716"/>
      <c r="H29" s="2716"/>
    </row>
    <row r="30" spans="1:8">
      <c r="A30" s="553"/>
      <c r="B30" s="554"/>
      <c r="C30" s="554"/>
      <c r="D30" s="554"/>
      <c r="E30" s="554"/>
      <c r="F30" s="554"/>
      <c r="G30" s="555"/>
      <c r="H30" s="554"/>
    </row>
    <row r="31" spans="1:8">
      <c r="A31" s="553"/>
      <c r="B31" s="554"/>
      <c r="C31" s="554"/>
      <c r="D31" s="554"/>
      <c r="E31" s="554"/>
      <c r="F31" s="554"/>
      <c r="G31" s="555"/>
      <c r="H31" s="554"/>
    </row>
    <row r="33" spans="1:8" ht="18.75">
      <c r="A33" s="2703" t="s">
        <v>111</v>
      </c>
      <c r="B33" s="2705"/>
      <c r="C33" s="2705"/>
      <c r="D33" s="2705"/>
      <c r="E33" s="2705"/>
      <c r="F33" s="2705"/>
      <c r="G33" s="2705"/>
      <c r="H33" s="2705"/>
    </row>
    <row r="34" spans="1:8" ht="18.75">
      <c r="A34" s="2703" t="s">
        <v>757</v>
      </c>
      <c r="B34" s="2705"/>
      <c r="C34" s="2705"/>
      <c r="D34" s="2705"/>
      <c r="E34" s="2705"/>
      <c r="F34" s="2705"/>
      <c r="G34" s="2705"/>
      <c r="H34" s="2705"/>
    </row>
    <row r="35" spans="1:8" ht="18.75">
      <c r="A35" s="2704" t="s">
        <v>211</v>
      </c>
      <c r="B35" s="2705"/>
      <c r="C35" s="2705"/>
      <c r="D35" s="2705"/>
      <c r="E35" s="2705"/>
      <c r="F35" s="2705"/>
      <c r="G35" s="2705"/>
      <c r="H35" s="2705"/>
    </row>
    <row r="36" spans="1:8" ht="18.75">
      <c r="A36" s="2704" t="s">
        <v>1006</v>
      </c>
      <c r="B36" s="2705"/>
      <c r="C36" s="2705"/>
      <c r="D36" s="2705"/>
      <c r="E36" s="2705"/>
      <c r="F36" s="2705"/>
      <c r="G36" s="2705"/>
      <c r="H36" s="2705"/>
    </row>
    <row r="37" spans="1:8" ht="18.75">
      <c r="A37" s="2704" t="s">
        <v>32</v>
      </c>
      <c r="B37" s="2705"/>
      <c r="C37" s="2705"/>
      <c r="D37" s="2705"/>
      <c r="E37" s="2705"/>
      <c r="F37" s="2705"/>
      <c r="G37" s="2705"/>
      <c r="H37" s="2705"/>
    </row>
    <row r="38" spans="1:8">
      <c r="A38" s="814"/>
      <c r="B38" s="815"/>
      <c r="C38" s="816"/>
      <c r="D38" s="817"/>
      <c r="E38" s="817"/>
      <c r="F38" s="817"/>
      <c r="G38" s="818"/>
      <c r="H38" s="819"/>
    </row>
    <row r="39" spans="1:8" ht="18.75">
      <c r="A39" s="2706" t="s">
        <v>49</v>
      </c>
      <c r="B39" s="2706"/>
      <c r="C39" s="2706"/>
      <c r="D39" s="2706"/>
      <c r="E39" s="2706"/>
      <c r="F39" s="2706"/>
      <c r="G39" s="2706"/>
      <c r="H39" s="2706"/>
    </row>
    <row r="40" spans="1:8" ht="26.25" customHeight="1">
      <c r="A40" s="2717" t="s">
        <v>1077</v>
      </c>
      <c r="B40" s="2718"/>
      <c r="C40" s="2718"/>
      <c r="D40" s="2718"/>
      <c r="E40" s="2718"/>
      <c r="F40" s="2718"/>
      <c r="G40" s="2718"/>
      <c r="H40" s="2718"/>
    </row>
    <row r="41" spans="1:8" ht="15.75" thickBot="1">
      <c r="A41" s="2719" t="s">
        <v>29</v>
      </c>
      <c r="B41" s="2720"/>
      <c r="C41" s="2720"/>
      <c r="D41" s="2720"/>
      <c r="E41" s="2720"/>
      <c r="F41" s="2721"/>
      <c r="G41" s="2722" t="s">
        <v>640</v>
      </c>
      <c r="H41" s="2715" t="s">
        <v>639</v>
      </c>
    </row>
    <row r="42" spans="1:8" ht="75.75" thickBot="1">
      <c r="A42" s="1106" t="s">
        <v>39</v>
      </c>
      <c r="B42" s="1107" t="s">
        <v>40</v>
      </c>
      <c r="C42" s="1107" t="s">
        <v>41</v>
      </c>
      <c r="D42" s="1107" t="s">
        <v>45</v>
      </c>
      <c r="E42" s="1108" t="s">
        <v>42</v>
      </c>
      <c r="F42" s="823" t="s">
        <v>43</v>
      </c>
      <c r="G42" s="2713"/>
      <c r="H42" s="2723"/>
    </row>
    <row r="43" spans="1:8">
      <c r="A43" s="824" t="s">
        <v>381</v>
      </c>
      <c r="B43" s="825" t="s">
        <v>69</v>
      </c>
      <c r="C43" s="825" t="s">
        <v>59</v>
      </c>
      <c r="D43" s="825" t="s">
        <v>62</v>
      </c>
      <c r="E43" s="825" t="s">
        <v>65</v>
      </c>
      <c r="F43" s="1116">
        <v>51202</v>
      </c>
      <c r="G43" s="1117" t="s">
        <v>759</v>
      </c>
      <c r="H43" s="1118">
        <v>2800</v>
      </c>
    </row>
    <row r="44" spans="1:8">
      <c r="A44" s="824" t="s">
        <v>381</v>
      </c>
      <c r="B44" s="825" t="s">
        <v>69</v>
      </c>
      <c r="C44" s="825" t="s">
        <v>59</v>
      </c>
      <c r="D44" s="825" t="s">
        <v>62</v>
      </c>
      <c r="E44" s="825" t="s">
        <v>65</v>
      </c>
      <c r="F44" s="826">
        <v>54111</v>
      </c>
      <c r="G44" s="827" t="s">
        <v>778</v>
      </c>
      <c r="H44" s="1118">
        <v>5500</v>
      </c>
    </row>
    <row r="45" spans="1:8">
      <c r="A45" s="824" t="s">
        <v>381</v>
      </c>
      <c r="B45" s="825" t="s">
        <v>69</v>
      </c>
      <c r="C45" s="825" t="s">
        <v>59</v>
      </c>
      <c r="D45" s="825" t="s">
        <v>62</v>
      </c>
      <c r="E45" s="825" t="s">
        <v>65</v>
      </c>
      <c r="F45" s="826">
        <v>54112</v>
      </c>
      <c r="G45" s="827" t="s">
        <v>782</v>
      </c>
      <c r="H45" s="1118">
        <v>250</v>
      </c>
    </row>
    <row r="46" spans="1:8">
      <c r="A46" s="824" t="s">
        <v>381</v>
      </c>
      <c r="B46" s="825" t="s">
        <v>69</v>
      </c>
      <c r="C46" s="825" t="s">
        <v>59</v>
      </c>
      <c r="D46" s="825" t="s">
        <v>62</v>
      </c>
      <c r="E46" s="825" t="s">
        <v>65</v>
      </c>
      <c r="F46" s="826">
        <v>54118</v>
      </c>
      <c r="G46" s="827" t="s">
        <v>746</v>
      </c>
      <c r="H46" s="1118">
        <v>200</v>
      </c>
    </row>
    <row r="47" spans="1:8">
      <c r="A47" s="824" t="s">
        <v>381</v>
      </c>
      <c r="B47" s="825" t="s">
        <v>69</v>
      </c>
      <c r="C47" s="825" t="s">
        <v>59</v>
      </c>
      <c r="D47" s="825" t="s">
        <v>62</v>
      </c>
      <c r="E47" s="825" t="s">
        <v>65</v>
      </c>
      <c r="F47" s="826">
        <v>54199</v>
      </c>
      <c r="G47" s="827" t="s">
        <v>658</v>
      </c>
      <c r="H47" s="1118">
        <v>250</v>
      </c>
    </row>
    <row r="48" spans="1:8">
      <c r="A48" s="824" t="s">
        <v>381</v>
      </c>
      <c r="B48" s="825" t="s">
        <v>69</v>
      </c>
      <c r="C48" s="825" t="s">
        <v>59</v>
      </c>
      <c r="D48" s="825" t="s">
        <v>62</v>
      </c>
      <c r="E48" s="825" t="s">
        <v>65</v>
      </c>
      <c r="F48" s="829" t="s">
        <v>677</v>
      </c>
      <c r="G48" s="827" t="s">
        <v>678</v>
      </c>
      <c r="H48" s="1118">
        <v>500</v>
      </c>
    </row>
    <row r="49" spans="1:8">
      <c r="A49" s="824" t="s">
        <v>381</v>
      </c>
      <c r="B49" s="825" t="s">
        <v>69</v>
      </c>
      <c r="C49" s="825" t="s">
        <v>59</v>
      </c>
      <c r="D49" s="825" t="s">
        <v>62</v>
      </c>
      <c r="E49" s="825" t="s">
        <v>65</v>
      </c>
      <c r="F49" s="831">
        <v>61608</v>
      </c>
      <c r="G49" s="832" t="s">
        <v>780</v>
      </c>
      <c r="H49" s="1119">
        <v>500</v>
      </c>
    </row>
    <row r="50" spans="1:8" ht="15.75" thickBot="1">
      <c r="A50" s="833"/>
      <c r="B50" s="834"/>
      <c r="C50" s="834"/>
      <c r="D50" s="834"/>
      <c r="E50" s="835"/>
      <c r="F50" s="836"/>
      <c r="G50" s="837"/>
      <c r="H50" s="1124">
        <f>SUM(H43:H49)</f>
        <v>10000</v>
      </c>
    </row>
    <row r="51" spans="1:8" ht="15.75" thickBot="1">
      <c r="A51" s="839"/>
      <c r="B51" s="839"/>
      <c r="C51" s="840"/>
      <c r="D51" s="841"/>
      <c r="E51" s="841"/>
      <c r="F51" s="841"/>
      <c r="G51" s="818"/>
      <c r="H51" s="819"/>
    </row>
    <row r="52" spans="1:8">
      <c r="A52" s="2685" t="s">
        <v>1080</v>
      </c>
      <c r="B52" s="2686"/>
      <c r="C52" s="2686"/>
      <c r="D52" s="2686"/>
      <c r="E52" s="2686"/>
      <c r="F52" s="2686"/>
      <c r="G52" s="2687" t="s">
        <v>1021</v>
      </c>
      <c r="H52" s="2688"/>
    </row>
    <row r="53" spans="1:8">
      <c r="A53" s="842"/>
      <c r="B53" s="843"/>
      <c r="C53" s="844"/>
      <c r="D53" s="844"/>
      <c r="E53" s="844"/>
      <c r="F53" s="844"/>
      <c r="G53" s="845"/>
      <c r="H53" s="846"/>
    </row>
    <row r="54" spans="1:8" ht="30.75" customHeight="1">
      <c r="A54" s="2689" t="s">
        <v>1077</v>
      </c>
      <c r="B54" s="2690"/>
      <c r="C54" s="2690"/>
      <c r="D54" s="2690"/>
      <c r="E54" s="2690"/>
      <c r="F54" s="2691"/>
      <c r="G54" s="2689" t="s">
        <v>1079</v>
      </c>
      <c r="H54" s="2691"/>
    </row>
    <row r="55" spans="1:8">
      <c r="A55" s="2692" t="s">
        <v>1078</v>
      </c>
      <c r="B55" s="2693"/>
      <c r="C55" s="2693"/>
      <c r="D55" s="2693"/>
      <c r="E55" s="2693"/>
      <c r="F55" s="2694"/>
      <c r="G55" s="845"/>
      <c r="H55" s="846"/>
    </row>
    <row r="56" spans="1:8" ht="26.25" customHeight="1">
      <c r="A56" s="2695"/>
      <c r="B56" s="2696"/>
      <c r="C56" s="2696"/>
      <c r="D56" s="2696"/>
      <c r="E56" s="2696"/>
      <c r="F56" s="2697"/>
      <c r="G56" s="2698" t="s">
        <v>695</v>
      </c>
      <c r="H56" s="2691"/>
    </row>
    <row r="57" spans="1:8">
      <c r="A57" s="842"/>
      <c r="B57" s="843"/>
      <c r="C57" s="843"/>
      <c r="D57" s="843"/>
      <c r="E57" s="843"/>
      <c r="F57" s="843"/>
      <c r="G57" s="847"/>
      <c r="H57" s="846"/>
    </row>
    <row r="58" spans="1:8" thickBot="1">
      <c r="A58" s="2699" t="s">
        <v>692</v>
      </c>
      <c r="B58" s="2700"/>
      <c r="C58" s="2700"/>
      <c r="D58" s="2700"/>
      <c r="E58" s="2700"/>
      <c r="F58" s="2701"/>
      <c r="G58" s="2702" t="s">
        <v>696</v>
      </c>
      <c r="H58" s="2701"/>
    </row>
    <row r="59" spans="1:8">
      <c r="A59" s="839"/>
      <c r="B59" s="815"/>
      <c r="C59" s="816"/>
      <c r="D59" s="817"/>
      <c r="E59" s="817"/>
      <c r="F59" s="817"/>
      <c r="G59" s="818"/>
      <c r="H59" s="819"/>
    </row>
    <row r="60" spans="1:8" ht="40.5" customHeight="1">
      <c r="A60" s="2716" t="s">
        <v>821</v>
      </c>
      <c r="B60" s="2716"/>
      <c r="C60" s="2716"/>
      <c r="D60" s="2716"/>
      <c r="E60" s="2716"/>
      <c r="F60" s="2716"/>
      <c r="G60" s="2716"/>
      <c r="H60" s="2716"/>
    </row>
    <row r="61" spans="1:8" ht="18.75">
      <c r="A61" s="613"/>
      <c r="B61" s="613"/>
      <c r="C61" s="613"/>
      <c r="D61" s="613"/>
      <c r="E61" s="613"/>
      <c r="F61" s="613"/>
      <c r="G61" s="613"/>
      <c r="H61" s="613"/>
    </row>
    <row r="62" spans="1:8" ht="18.75">
      <c r="A62" s="613"/>
      <c r="B62" s="613"/>
      <c r="C62" s="613"/>
      <c r="D62" s="613"/>
      <c r="E62" s="613"/>
      <c r="F62" s="613"/>
      <c r="G62" s="613"/>
      <c r="H62" s="613"/>
    </row>
    <row r="63" spans="1:8" ht="18.75">
      <c r="A63" s="613"/>
      <c r="B63" s="613"/>
      <c r="C63" s="613"/>
      <c r="D63" s="613"/>
      <c r="E63" s="613"/>
      <c r="F63" s="613"/>
      <c r="G63" s="613"/>
      <c r="H63" s="613"/>
    </row>
    <row r="64" spans="1:8" ht="18.75">
      <c r="A64" s="2217" t="s">
        <v>111</v>
      </c>
      <c r="B64" s="2164"/>
      <c r="C64" s="2164"/>
      <c r="D64" s="2164"/>
      <c r="E64" s="2164"/>
      <c r="F64" s="2164"/>
      <c r="G64" s="2164"/>
      <c r="H64" s="2164"/>
    </row>
    <row r="65" spans="1:8" ht="18.75">
      <c r="A65" s="2217" t="s">
        <v>757</v>
      </c>
      <c r="B65" s="2164"/>
      <c r="C65" s="2164"/>
      <c r="D65" s="2164"/>
      <c r="E65" s="2164"/>
      <c r="F65" s="2164"/>
      <c r="G65" s="2164"/>
      <c r="H65" s="2164"/>
    </row>
    <row r="66" spans="1:8" ht="18.75">
      <c r="A66" s="2185" t="s">
        <v>211</v>
      </c>
      <c r="B66" s="2164"/>
      <c r="C66" s="2164"/>
      <c r="D66" s="2164"/>
      <c r="E66" s="2164"/>
      <c r="F66" s="2164"/>
      <c r="G66" s="2164"/>
      <c r="H66" s="2164"/>
    </row>
    <row r="67" spans="1:8" ht="18.75">
      <c r="A67" s="2185" t="s">
        <v>1212</v>
      </c>
      <c r="B67" s="2164"/>
      <c r="C67" s="2164"/>
      <c r="D67" s="2164"/>
      <c r="E67" s="2164"/>
      <c r="F67" s="2164"/>
      <c r="G67" s="2164"/>
      <c r="H67" s="2164"/>
    </row>
    <row r="68" spans="1:8" ht="18.75">
      <c r="A68" s="2185" t="s">
        <v>32</v>
      </c>
      <c r="B68" s="2164"/>
      <c r="C68" s="2164"/>
      <c r="D68" s="2164"/>
      <c r="E68" s="2164"/>
      <c r="F68" s="2164"/>
      <c r="G68" s="2164"/>
      <c r="H68" s="2164"/>
    </row>
    <row r="69" spans="1:8">
      <c r="A69" s="850"/>
      <c r="B69" s="198"/>
      <c r="C69" s="851"/>
      <c r="D69" s="41"/>
      <c r="E69" s="41"/>
      <c r="F69" s="41"/>
      <c r="G69" s="21"/>
      <c r="H69" s="203"/>
    </row>
    <row r="70" spans="1:8" ht="18.75">
      <c r="A70" s="2613" t="s">
        <v>49</v>
      </c>
      <c r="B70" s="2613"/>
      <c r="C70" s="2613"/>
      <c r="D70" s="2613"/>
      <c r="E70" s="2613"/>
      <c r="F70" s="2613"/>
      <c r="G70" s="2613"/>
      <c r="H70" s="2613"/>
    </row>
    <row r="71" spans="1:8" ht="30" customHeight="1" thickBot="1">
      <c r="A71" s="2825" t="s">
        <v>783</v>
      </c>
      <c r="B71" s="2826"/>
      <c r="C71" s="2826"/>
      <c r="D71" s="2826"/>
      <c r="E71" s="2826"/>
      <c r="F71" s="2826"/>
      <c r="G71" s="2826"/>
      <c r="H71" s="2826"/>
    </row>
    <row r="72" spans="1:8" ht="15.75" thickBot="1">
      <c r="A72" s="2606" t="s">
        <v>29</v>
      </c>
      <c r="B72" s="2607"/>
      <c r="C72" s="2607"/>
      <c r="D72" s="2607"/>
      <c r="E72" s="2607"/>
      <c r="F72" s="2608"/>
      <c r="G72" s="2609" t="s">
        <v>640</v>
      </c>
      <c r="H72" s="2610" t="s">
        <v>639</v>
      </c>
    </row>
    <row r="73" spans="1:8" ht="75.75" thickBot="1">
      <c r="A73" s="411" t="s">
        <v>39</v>
      </c>
      <c r="B73" s="412" t="s">
        <v>40</v>
      </c>
      <c r="C73" s="412" t="s">
        <v>41</v>
      </c>
      <c r="D73" s="412" t="s">
        <v>45</v>
      </c>
      <c r="E73" s="413" t="s">
        <v>42</v>
      </c>
      <c r="F73" s="407" t="s">
        <v>43</v>
      </c>
      <c r="G73" s="2571"/>
      <c r="H73" s="2595"/>
    </row>
    <row r="74" spans="1:8">
      <c r="A74" s="852" t="s">
        <v>381</v>
      </c>
      <c r="B74" s="853" t="s">
        <v>69</v>
      </c>
      <c r="C74" s="853" t="s">
        <v>59</v>
      </c>
      <c r="D74" s="853" t="s">
        <v>62</v>
      </c>
      <c r="E74" s="853" t="s">
        <v>65</v>
      </c>
      <c r="F74" s="427">
        <v>51202</v>
      </c>
      <c r="G74" s="428" t="s">
        <v>759</v>
      </c>
      <c r="H74" s="557">
        <v>2000</v>
      </c>
    </row>
    <row r="75" spans="1:8">
      <c r="A75" s="852" t="s">
        <v>381</v>
      </c>
      <c r="B75" s="853" t="s">
        <v>69</v>
      </c>
      <c r="C75" s="853" t="s">
        <v>59</v>
      </c>
      <c r="D75" s="853" t="s">
        <v>62</v>
      </c>
      <c r="E75" s="853" t="s">
        <v>65</v>
      </c>
      <c r="F75" s="427">
        <v>54107</v>
      </c>
      <c r="G75" s="428" t="s">
        <v>725</v>
      </c>
      <c r="H75" s="557">
        <v>600</v>
      </c>
    </row>
    <row r="76" spans="1:8">
      <c r="A76" s="852" t="s">
        <v>381</v>
      </c>
      <c r="B76" s="853" t="s">
        <v>69</v>
      </c>
      <c r="C76" s="853" t="s">
        <v>59</v>
      </c>
      <c r="D76" s="853" t="s">
        <v>62</v>
      </c>
      <c r="E76" s="853" t="s">
        <v>65</v>
      </c>
      <c r="F76" s="414">
        <v>54111</v>
      </c>
      <c r="G76" s="419" t="s">
        <v>778</v>
      </c>
      <c r="H76" s="557">
        <v>4900</v>
      </c>
    </row>
    <row r="77" spans="1:8">
      <c r="A77" s="852" t="s">
        <v>381</v>
      </c>
      <c r="B77" s="853" t="s">
        <v>69</v>
      </c>
      <c r="C77" s="853" t="s">
        <v>59</v>
      </c>
      <c r="D77" s="853" t="s">
        <v>62</v>
      </c>
      <c r="E77" s="853" t="s">
        <v>65</v>
      </c>
      <c r="F77" s="414">
        <v>54112</v>
      </c>
      <c r="G77" s="419" t="s">
        <v>782</v>
      </c>
      <c r="H77" s="557">
        <v>500</v>
      </c>
    </row>
    <row r="78" spans="1:8">
      <c r="A78" s="852" t="s">
        <v>381</v>
      </c>
      <c r="B78" s="853" t="s">
        <v>69</v>
      </c>
      <c r="C78" s="853" t="s">
        <v>59</v>
      </c>
      <c r="D78" s="853" t="s">
        <v>62</v>
      </c>
      <c r="E78" s="853" t="s">
        <v>65</v>
      </c>
      <c r="F78" s="414">
        <v>54118</v>
      </c>
      <c r="G78" s="419" t="s">
        <v>746</v>
      </c>
      <c r="H78" s="557">
        <v>500</v>
      </c>
    </row>
    <row r="79" spans="1:8">
      <c r="A79" s="852" t="s">
        <v>381</v>
      </c>
      <c r="B79" s="853" t="s">
        <v>69</v>
      </c>
      <c r="C79" s="853" t="s">
        <v>59</v>
      </c>
      <c r="D79" s="853" t="s">
        <v>62</v>
      </c>
      <c r="E79" s="853" t="s">
        <v>65</v>
      </c>
      <c r="F79" s="414">
        <v>54199</v>
      </c>
      <c r="G79" s="419" t="s">
        <v>658</v>
      </c>
      <c r="H79" s="557">
        <v>300</v>
      </c>
    </row>
    <row r="80" spans="1:8">
      <c r="A80" s="852" t="s">
        <v>381</v>
      </c>
      <c r="B80" s="853" t="s">
        <v>69</v>
      </c>
      <c r="C80" s="853" t="s">
        <v>59</v>
      </c>
      <c r="D80" s="853" t="s">
        <v>62</v>
      </c>
      <c r="E80" s="853" t="s">
        <v>65</v>
      </c>
      <c r="F80" s="418" t="s">
        <v>677</v>
      </c>
      <c r="G80" s="419" t="s">
        <v>678</v>
      </c>
      <c r="H80" s="557">
        <v>700</v>
      </c>
    </row>
    <row r="81" spans="1:8">
      <c r="A81" s="852" t="s">
        <v>381</v>
      </c>
      <c r="B81" s="853" t="s">
        <v>69</v>
      </c>
      <c r="C81" s="853" t="s">
        <v>59</v>
      </c>
      <c r="D81" s="853" t="s">
        <v>62</v>
      </c>
      <c r="E81" s="853" t="s">
        <v>65</v>
      </c>
      <c r="F81" s="421">
        <v>61608</v>
      </c>
      <c r="G81" s="422" t="s">
        <v>780</v>
      </c>
      <c r="H81" s="559">
        <v>500</v>
      </c>
    </row>
    <row r="82" spans="1:8" ht="15.75" thickBot="1">
      <c r="A82" s="1058"/>
      <c r="B82" s="1059"/>
      <c r="C82" s="1059"/>
      <c r="D82" s="1059"/>
      <c r="E82" s="1060"/>
      <c r="F82" s="1061"/>
      <c r="G82" s="1062"/>
      <c r="H82" s="1063">
        <f>SUM(H74:H81)</f>
        <v>10000</v>
      </c>
    </row>
    <row r="83" spans="1:8" ht="15.75" thickBot="1">
      <c r="A83" s="200"/>
      <c r="B83" s="200"/>
      <c r="C83" s="201"/>
      <c r="D83" s="202"/>
      <c r="E83" s="202"/>
      <c r="F83" s="202"/>
      <c r="G83" s="21"/>
      <c r="H83" s="203"/>
    </row>
    <row r="84" spans="1:8">
      <c r="A84" s="2541" t="s">
        <v>1080</v>
      </c>
      <c r="B84" s="2542"/>
      <c r="C84" s="2542"/>
      <c r="D84" s="2542"/>
      <c r="E84" s="2542"/>
      <c r="F84" s="2542"/>
      <c r="G84" s="2543" t="s">
        <v>1323</v>
      </c>
      <c r="H84" s="2544"/>
    </row>
    <row r="85" spans="1:8">
      <c r="A85" s="857"/>
      <c r="B85" s="47"/>
      <c r="C85" s="160"/>
      <c r="D85" s="160"/>
      <c r="E85" s="160"/>
      <c r="F85" s="160"/>
      <c r="G85" s="858"/>
      <c r="H85" s="859"/>
    </row>
    <row r="86" spans="1:8" ht="14.25">
      <c r="A86" s="2551" t="s">
        <v>836</v>
      </c>
      <c r="B86" s="2598"/>
      <c r="C86" s="2598"/>
      <c r="D86" s="2598"/>
      <c r="E86" s="2598"/>
      <c r="F86" s="2552"/>
      <c r="G86" s="2551" t="s">
        <v>1081</v>
      </c>
      <c r="H86" s="2552"/>
    </row>
    <row r="87" spans="1:8">
      <c r="A87" s="2553" t="s">
        <v>837</v>
      </c>
      <c r="B87" s="2554"/>
      <c r="C87" s="2554"/>
      <c r="D87" s="2554"/>
      <c r="E87" s="2554"/>
      <c r="F87" s="2555"/>
      <c r="G87" s="858"/>
      <c r="H87" s="859"/>
    </row>
    <row r="88" spans="1:8" ht="14.25">
      <c r="A88" s="2556"/>
      <c r="B88" s="2557"/>
      <c r="C88" s="2557"/>
      <c r="D88" s="2557"/>
      <c r="E88" s="2557"/>
      <c r="F88" s="2558"/>
      <c r="G88" s="2559" t="s">
        <v>695</v>
      </c>
      <c r="H88" s="2552"/>
    </row>
    <row r="89" spans="1:8">
      <c r="A89" s="857"/>
      <c r="B89" s="47"/>
      <c r="C89" s="47"/>
      <c r="D89" s="47"/>
      <c r="E89" s="47"/>
      <c r="F89" s="47"/>
      <c r="G89" s="860"/>
      <c r="H89" s="859"/>
    </row>
    <row r="90" spans="1:8" thickBot="1">
      <c r="A90" s="2560" t="s">
        <v>692</v>
      </c>
      <c r="B90" s="2561"/>
      <c r="C90" s="2561"/>
      <c r="D90" s="2561"/>
      <c r="E90" s="2561"/>
      <c r="F90" s="2562"/>
      <c r="G90" s="2563" t="s">
        <v>696</v>
      </c>
      <c r="H90" s="2562"/>
    </row>
    <row r="91" spans="1:8">
      <c r="A91" s="1056"/>
      <c r="B91" s="554"/>
      <c r="C91" s="554"/>
      <c r="D91" s="554"/>
      <c r="E91" s="554"/>
      <c r="F91" s="554"/>
      <c r="G91" s="1057"/>
      <c r="H91" s="554"/>
    </row>
    <row r="92" spans="1:8" ht="41.25" customHeight="1">
      <c r="A92" s="2641" t="s">
        <v>821</v>
      </c>
      <c r="B92" s="2641"/>
      <c r="C92" s="2641"/>
      <c r="D92" s="2641"/>
      <c r="E92" s="2641"/>
      <c r="F92" s="2641"/>
      <c r="G92" s="2641"/>
      <c r="H92" s="2641"/>
    </row>
    <row r="93" spans="1:8">
      <c r="A93" s="553"/>
      <c r="B93" s="554"/>
      <c r="C93" s="554"/>
      <c r="D93" s="554"/>
      <c r="E93" s="554"/>
      <c r="F93" s="554"/>
      <c r="G93" s="555"/>
      <c r="H93" s="554"/>
    </row>
    <row r="96" spans="1:8" ht="18.75">
      <c r="A96" s="2703" t="s">
        <v>111</v>
      </c>
      <c r="B96" s="2705"/>
      <c r="C96" s="2705"/>
      <c r="D96" s="2705"/>
      <c r="E96" s="2705"/>
      <c r="F96" s="2705"/>
      <c r="G96" s="2705"/>
      <c r="H96" s="2705"/>
    </row>
    <row r="97" spans="1:8" ht="18.75">
      <c r="A97" s="2703" t="s">
        <v>757</v>
      </c>
      <c r="B97" s="2705"/>
      <c r="C97" s="2705"/>
      <c r="D97" s="2705"/>
      <c r="E97" s="2705"/>
      <c r="F97" s="2705"/>
      <c r="G97" s="2705"/>
      <c r="H97" s="2705"/>
    </row>
    <row r="98" spans="1:8" ht="18.75">
      <c r="A98" s="2704" t="s">
        <v>211</v>
      </c>
      <c r="B98" s="2705"/>
      <c r="C98" s="2705"/>
      <c r="D98" s="2705"/>
      <c r="E98" s="2705"/>
      <c r="F98" s="2705"/>
      <c r="G98" s="2705"/>
      <c r="H98" s="2705"/>
    </row>
    <row r="99" spans="1:8" ht="18.75">
      <c r="A99" s="2704" t="s">
        <v>1006</v>
      </c>
      <c r="B99" s="2705"/>
      <c r="C99" s="2705"/>
      <c r="D99" s="2705"/>
      <c r="E99" s="2705"/>
      <c r="F99" s="2705"/>
      <c r="G99" s="2705"/>
      <c r="H99" s="2705"/>
    </row>
    <row r="100" spans="1:8" ht="18.75">
      <c r="A100" s="2704" t="s">
        <v>32</v>
      </c>
      <c r="B100" s="2705"/>
      <c r="C100" s="2705"/>
      <c r="D100" s="2705"/>
      <c r="E100" s="2705"/>
      <c r="F100" s="2705"/>
      <c r="G100" s="2705"/>
      <c r="H100" s="2705"/>
    </row>
    <row r="101" spans="1:8">
      <c r="A101" s="814"/>
      <c r="B101" s="815"/>
      <c r="C101" s="816"/>
      <c r="D101" s="817"/>
      <c r="E101" s="817"/>
      <c r="F101" s="817"/>
      <c r="G101" s="818"/>
      <c r="H101" s="819"/>
    </row>
    <row r="102" spans="1:8" ht="18.75">
      <c r="A102" s="2706" t="s">
        <v>49</v>
      </c>
      <c r="B102" s="2706"/>
      <c r="C102" s="2706"/>
      <c r="D102" s="2706"/>
      <c r="E102" s="2706"/>
      <c r="F102" s="2706"/>
      <c r="G102" s="2706"/>
      <c r="H102" s="2706"/>
    </row>
    <row r="103" spans="1:8" ht="43.5" customHeight="1" thickBot="1">
      <c r="A103" s="2827" t="s">
        <v>1082</v>
      </c>
      <c r="B103" s="2828"/>
      <c r="C103" s="2828"/>
      <c r="D103" s="2828"/>
      <c r="E103" s="2828"/>
      <c r="F103" s="2828"/>
      <c r="G103" s="2828"/>
      <c r="H103" s="2828"/>
    </row>
    <row r="104" spans="1:8" ht="15.75" thickBot="1">
      <c r="A104" s="2709" t="s">
        <v>29</v>
      </c>
      <c r="B104" s="2710"/>
      <c r="C104" s="2710"/>
      <c r="D104" s="2710"/>
      <c r="E104" s="2710"/>
      <c r="F104" s="2711"/>
      <c r="G104" s="2712" t="s">
        <v>640</v>
      </c>
      <c r="H104" s="2714" t="s">
        <v>639</v>
      </c>
    </row>
    <row r="105" spans="1:8" ht="75.75" thickBot="1">
      <c r="A105" s="1106" t="s">
        <v>39</v>
      </c>
      <c r="B105" s="1107" t="s">
        <v>40</v>
      </c>
      <c r="C105" s="1107" t="s">
        <v>41</v>
      </c>
      <c r="D105" s="1107" t="s">
        <v>45</v>
      </c>
      <c r="E105" s="1108" t="s">
        <v>42</v>
      </c>
      <c r="F105" s="1125" t="s">
        <v>43</v>
      </c>
      <c r="G105" s="2829"/>
      <c r="H105" s="2715"/>
    </row>
    <row r="106" spans="1:8" ht="18">
      <c r="A106" s="824" t="s">
        <v>381</v>
      </c>
      <c r="B106" s="825" t="s">
        <v>69</v>
      </c>
      <c r="C106" s="825" t="s">
        <v>59</v>
      </c>
      <c r="D106" s="825" t="s">
        <v>62</v>
      </c>
      <c r="E106" s="825" t="s">
        <v>65</v>
      </c>
      <c r="F106" s="1126">
        <v>51202</v>
      </c>
      <c r="G106" s="1127" t="s">
        <v>777</v>
      </c>
      <c r="H106" s="1128">
        <v>10000</v>
      </c>
    </row>
    <row r="107" spans="1:8" ht="18">
      <c r="A107" s="824" t="s">
        <v>381</v>
      </c>
      <c r="B107" s="825" t="s">
        <v>69</v>
      </c>
      <c r="C107" s="825" t="s">
        <v>59</v>
      </c>
      <c r="D107" s="825" t="s">
        <v>62</v>
      </c>
      <c r="E107" s="825" t="s">
        <v>65</v>
      </c>
      <c r="F107" s="1126">
        <v>54107</v>
      </c>
      <c r="G107" s="1127" t="s">
        <v>725</v>
      </c>
      <c r="H107" s="1128">
        <v>1000</v>
      </c>
    </row>
    <row r="108" spans="1:8" ht="18">
      <c r="A108" s="824" t="s">
        <v>381</v>
      </c>
      <c r="B108" s="825" t="s">
        <v>69</v>
      </c>
      <c r="C108" s="825" t="s">
        <v>59</v>
      </c>
      <c r="D108" s="825" t="s">
        <v>62</v>
      </c>
      <c r="E108" s="825" t="s">
        <v>65</v>
      </c>
      <c r="F108" s="1126">
        <v>54111</v>
      </c>
      <c r="G108" s="827" t="s">
        <v>778</v>
      </c>
      <c r="H108" s="1128">
        <v>13900</v>
      </c>
    </row>
    <row r="109" spans="1:8" ht="18">
      <c r="A109" s="824" t="s">
        <v>381</v>
      </c>
      <c r="B109" s="825" t="s">
        <v>69</v>
      </c>
      <c r="C109" s="825" t="s">
        <v>59</v>
      </c>
      <c r="D109" s="825" t="s">
        <v>62</v>
      </c>
      <c r="E109" s="825" t="s">
        <v>65</v>
      </c>
      <c r="F109" s="1126">
        <v>54112</v>
      </c>
      <c r="G109" s="827" t="s">
        <v>782</v>
      </c>
      <c r="H109" s="1128">
        <v>1000</v>
      </c>
    </row>
    <row r="110" spans="1:8" ht="18">
      <c r="A110" s="824" t="s">
        <v>381</v>
      </c>
      <c r="B110" s="825" t="s">
        <v>69</v>
      </c>
      <c r="C110" s="825" t="s">
        <v>59</v>
      </c>
      <c r="D110" s="825" t="s">
        <v>62</v>
      </c>
      <c r="E110" s="825" t="s">
        <v>65</v>
      </c>
      <c r="F110" s="1126">
        <v>54118</v>
      </c>
      <c r="G110" s="827" t="s">
        <v>746</v>
      </c>
      <c r="H110" s="1128">
        <v>600</v>
      </c>
    </row>
    <row r="111" spans="1:8" ht="18">
      <c r="A111" s="824" t="s">
        <v>381</v>
      </c>
      <c r="B111" s="825" t="s">
        <v>69</v>
      </c>
      <c r="C111" s="825" t="s">
        <v>59</v>
      </c>
      <c r="D111" s="825" t="s">
        <v>62</v>
      </c>
      <c r="E111" s="825" t="s">
        <v>65</v>
      </c>
      <c r="F111" s="1126">
        <v>54199</v>
      </c>
      <c r="G111" s="827" t="s">
        <v>658</v>
      </c>
      <c r="H111" s="1128">
        <v>500</v>
      </c>
    </row>
    <row r="112" spans="1:8" ht="18">
      <c r="A112" s="824" t="s">
        <v>381</v>
      </c>
      <c r="B112" s="825" t="s">
        <v>69</v>
      </c>
      <c r="C112" s="825" t="s">
        <v>59</v>
      </c>
      <c r="D112" s="825" t="s">
        <v>62</v>
      </c>
      <c r="E112" s="825" t="s">
        <v>65</v>
      </c>
      <c r="F112" s="1126">
        <v>54304</v>
      </c>
      <c r="G112" s="827" t="s">
        <v>776</v>
      </c>
      <c r="H112" s="1128">
        <v>1500</v>
      </c>
    </row>
    <row r="113" spans="1:8">
      <c r="A113" s="824" t="s">
        <v>381</v>
      </c>
      <c r="B113" s="825" t="s">
        <v>69</v>
      </c>
      <c r="C113" s="825" t="s">
        <v>59</v>
      </c>
      <c r="D113" s="825" t="s">
        <v>62</v>
      </c>
      <c r="E113" s="825" t="s">
        <v>65</v>
      </c>
      <c r="F113" s="826">
        <v>61608</v>
      </c>
      <c r="G113" s="827" t="s">
        <v>1083</v>
      </c>
      <c r="H113" s="1109">
        <v>1500</v>
      </c>
    </row>
    <row r="114" spans="1:8" ht="15.75" thickBot="1">
      <c r="A114" s="833"/>
      <c r="B114" s="834"/>
      <c r="C114" s="834"/>
      <c r="D114" s="834"/>
      <c r="E114" s="835"/>
      <c r="F114" s="836"/>
      <c r="G114" s="837"/>
      <c r="H114" s="1124">
        <f>SUM(H106:H113)</f>
        <v>30000</v>
      </c>
    </row>
    <row r="115" spans="1:8" ht="15.75" thickBot="1">
      <c r="A115" s="839"/>
      <c r="B115" s="839"/>
      <c r="C115" s="840"/>
      <c r="D115" s="841"/>
      <c r="E115" s="841"/>
      <c r="F115" s="841"/>
      <c r="G115" s="818"/>
      <c r="H115" s="819"/>
    </row>
    <row r="116" spans="1:8">
      <c r="A116" s="2685" t="s">
        <v>1080</v>
      </c>
      <c r="B116" s="2686"/>
      <c r="C116" s="2686"/>
      <c r="D116" s="2686"/>
      <c r="E116" s="2686"/>
      <c r="F116" s="2686"/>
      <c r="G116" s="2687" t="s">
        <v>1021</v>
      </c>
      <c r="H116" s="2688"/>
    </row>
    <row r="117" spans="1:8">
      <c r="A117" s="842"/>
      <c r="B117" s="843"/>
      <c r="C117" s="844"/>
      <c r="D117" s="844"/>
      <c r="E117" s="844"/>
      <c r="F117" s="844"/>
      <c r="G117" s="845"/>
      <c r="H117" s="846"/>
    </row>
    <row r="118" spans="1:8" ht="31.5" customHeight="1">
      <c r="A118" s="2689" t="s">
        <v>1082</v>
      </c>
      <c r="B118" s="2690"/>
      <c r="C118" s="2690"/>
      <c r="D118" s="2690"/>
      <c r="E118" s="2690"/>
      <c r="F118" s="2691"/>
      <c r="G118" s="2689" t="s">
        <v>1081</v>
      </c>
      <c r="H118" s="2691"/>
    </row>
    <row r="119" spans="1:8" ht="15" customHeight="1">
      <c r="A119" s="2692" t="s">
        <v>835</v>
      </c>
      <c r="B119" s="2693"/>
      <c r="C119" s="2693"/>
      <c r="D119" s="2693"/>
      <c r="E119" s="2693"/>
      <c r="F119" s="2694"/>
      <c r="G119" s="845"/>
      <c r="H119" s="846"/>
    </row>
    <row r="120" spans="1:8" ht="20.25" customHeight="1">
      <c r="A120" s="2695"/>
      <c r="B120" s="2696"/>
      <c r="C120" s="2696"/>
      <c r="D120" s="2696"/>
      <c r="E120" s="2696"/>
      <c r="F120" s="2697"/>
      <c r="G120" s="2698" t="s">
        <v>695</v>
      </c>
      <c r="H120" s="2691"/>
    </row>
    <row r="121" spans="1:8">
      <c r="A121" s="842"/>
      <c r="B121" s="843"/>
      <c r="C121" s="843"/>
      <c r="D121" s="843"/>
      <c r="E121" s="843"/>
      <c r="F121" s="843"/>
      <c r="G121" s="847"/>
      <c r="H121" s="846"/>
    </row>
    <row r="122" spans="1:8" thickBot="1">
      <c r="A122" s="2699" t="s">
        <v>692</v>
      </c>
      <c r="B122" s="2700"/>
      <c r="C122" s="2700"/>
      <c r="D122" s="2700"/>
      <c r="E122" s="2700"/>
      <c r="F122" s="2701"/>
      <c r="G122" s="2702" t="s">
        <v>696</v>
      </c>
      <c r="H122" s="2701"/>
    </row>
    <row r="123" spans="1:8" ht="43.5" customHeight="1">
      <c r="A123" s="2716" t="s">
        <v>821</v>
      </c>
      <c r="B123" s="2716"/>
      <c r="C123" s="2716"/>
      <c r="D123" s="2716"/>
      <c r="E123" s="2716"/>
      <c r="F123" s="2716"/>
      <c r="G123" s="2716"/>
      <c r="H123" s="2716"/>
    </row>
    <row r="125" spans="1:8" ht="18.75">
      <c r="A125" s="2162" t="s">
        <v>111</v>
      </c>
      <c r="B125" s="2164"/>
      <c r="C125" s="2164"/>
      <c r="D125" s="2164"/>
      <c r="E125" s="2164"/>
      <c r="F125" s="2164"/>
      <c r="G125" s="2164"/>
      <c r="H125" s="2164"/>
    </row>
    <row r="126" spans="1:8" ht="18.75">
      <c r="A126" s="2162" t="s">
        <v>757</v>
      </c>
      <c r="B126" s="2164"/>
      <c r="C126" s="2164"/>
      <c r="D126" s="2164"/>
      <c r="E126" s="2164"/>
      <c r="F126" s="2164"/>
      <c r="G126" s="2164"/>
      <c r="H126" s="2164"/>
    </row>
    <row r="127" spans="1:8" ht="18.75">
      <c r="A127" s="2163" t="s">
        <v>211</v>
      </c>
      <c r="B127" s="2164"/>
      <c r="C127" s="2164"/>
      <c r="D127" s="2164"/>
      <c r="E127" s="2164"/>
      <c r="F127" s="2164"/>
      <c r="G127" s="2164"/>
      <c r="H127" s="2164"/>
    </row>
    <row r="128" spans="1:8" ht="18.75">
      <c r="A128" s="2163" t="s">
        <v>1212</v>
      </c>
      <c r="B128" s="2164"/>
      <c r="C128" s="2164"/>
      <c r="D128" s="2164"/>
      <c r="E128" s="2164"/>
      <c r="F128" s="2164"/>
      <c r="G128" s="2164"/>
      <c r="H128" s="2164"/>
    </row>
    <row r="129" spans="1:9" ht="18.75">
      <c r="A129" s="2163" t="s">
        <v>32</v>
      </c>
      <c r="B129" s="2164"/>
      <c r="C129" s="2164"/>
      <c r="D129" s="2164"/>
      <c r="E129" s="2164"/>
      <c r="F129" s="2164"/>
      <c r="G129" s="2164"/>
      <c r="H129" s="2164"/>
    </row>
    <row r="130" spans="1:9">
      <c r="A130" s="33"/>
    </row>
    <row r="131" spans="1:9" ht="18.75">
      <c r="A131" s="2596" t="s">
        <v>49</v>
      </c>
      <c r="B131" s="2596"/>
      <c r="C131" s="2596"/>
      <c r="D131" s="2596"/>
      <c r="E131" s="2596"/>
      <c r="F131" s="2596"/>
      <c r="G131" s="2596"/>
      <c r="H131" s="2596"/>
    </row>
    <row r="132" spans="1:9" ht="30" customHeight="1" thickBot="1">
      <c r="A132" s="2830" t="s">
        <v>1508</v>
      </c>
      <c r="B132" s="2831"/>
      <c r="C132" s="2831"/>
      <c r="D132" s="2831"/>
      <c r="E132" s="2831"/>
      <c r="F132" s="2831"/>
      <c r="G132" s="2831"/>
      <c r="H132" s="2831"/>
      <c r="I132" s="1146"/>
    </row>
    <row r="133" spans="1:9" ht="15.75" thickBot="1">
      <c r="A133" s="2606" t="s">
        <v>29</v>
      </c>
      <c r="B133" s="2607"/>
      <c r="C133" s="2607"/>
      <c r="D133" s="2607"/>
      <c r="E133" s="2607"/>
      <c r="F133" s="2608"/>
      <c r="G133" s="2609" t="s">
        <v>640</v>
      </c>
      <c r="H133" s="2610" t="s">
        <v>639</v>
      </c>
    </row>
    <row r="134" spans="1:9" ht="75.75" thickBot="1">
      <c r="A134" s="411" t="s">
        <v>39</v>
      </c>
      <c r="B134" s="412" t="s">
        <v>40</v>
      </c>
      <c r="C134" s="412" t="s">
        <v>41</v>
      </c>
      <c r="D134" s="412" t="s">
        <v>45</v>
      </c>
      <c r="E134" s="413" t="s">
        <v>42</v>
      </c>
      <c r="F134" s="407" t="s">
        <v>43</v>
      </c>
      <c r="G134" s="2571"/>
      <c r="H134" s="2595"/>
    </row>
    <row r="135" spans="1:9">
      <c r="A135" s="34" t="s">
        <v>381</v>
      </c>
      <c r="B135" s="23" t="s">
        <v>69</v>
      </c>
      <c r="C135" s="23" t="s">
        <v>59</v>
      </c>
      <c r="D135" s="23" t="s">
        <v>62</v>
      </c>
      <c r="E135" s="23" t="s">
        <v>65</v>
      </c>
      <c r="F135" s="414">
        <v>51202</v>
      </c>
      <c r="G135" s="419" t="s">
        <v>759</v>
      </c>
      <c r="H135" s="420">
        <f>15000+4750-500</f>
        <v>19250</v>
      </c>
    </row>
    <row r="136" spans="1:9">
      <c r="A136" s="34" t="s">
        <v>381</v>
      </c>
      <c r="B136" s="23" t="s">
        <v>69</v>
      </c>
      <c r="C136" s="23" t="s">
        <v>59</v>
      </c>
      <c r="D136" s="23" t="s">
        <v>62</v>
      </c>
      <c r="E136" s="23" t="s">
        <v>65</v>
      </c>
      <c r="F136" s="414">
        <v>54111</v>
      </c>
      <c r="G136" s="419" t="s">
        <v>778</v>
      </c>
      <c r="H136" s="420">
        <f>9000-2000</f>
        <v>7000</v>
      </c>
    </row>
    <row r="137" spans="1:9">
      <c r="A137" s="34" t="s">
        <v>381</v>
      </c>
      <c r="B137" s="23" t="s">
        <v>69</v>
      </c>
      <c r="C137" s="23" t="s">
        <v>59</v>
      </c>
      <c r="D137" s="23" t="s">
        <v>62</v>
      </c>
      <c r="E137" s="23" t="s">
        <v>65</v>
      </c>
      <c r="F137" s="414">
        <v>54107</v>
      </c>
      <c r="G137" s="419" t="s">
        <v>743</v>
      </c>
      <c r="H137" s="420">
        <v>300</v>
      </c>
    </row>
    <row r="138" spans="1:9">
      <c r="A138" s="34" t="s">
        <v>381</v>
      </c>
      <c r="B138" s="23" t="s">
        <v>69</v>
      </c>
      <c r="C138" s="23" t="s">
        <v>59</v>
      </c>
      <c r="D138" s="23" t="s">
        <v>62</v>
      </c>
      <c r="E138" s="23" t="s">
        <v>65</v>
      </c>
      <c r="F138" s="414">
        <v>54118</v>
      </c>
      <c r="G138" s="419" t="s">
        <v>746</v>
      </c>
      <c r="H138" s="420">
        <v>500</v>
      </c>
    </row>
    <row r="139" spans="1:9">
      <c r="A139" s="34" t="s">
        <v>381</v>
      </c>
      <c r="B139" s="23" t="s">
        <v>69</v>
      </c>
      <c r="C139" s="23" t="s">
        <v>59</v>
      </c>
      <c r="D139" s="23" t="s">
        <v>62</v>
      </c>
      <c r="E139" s="23" t="s">
        <v>65</v>
      </c>
      <c r="F139" s="418" t="s">
        <v>677</v>
      </c>
      <c r="G139" s="419" t="s">
        <v>678</v>
      </c>
      <c r="H139" s="420">
        <v>1200</v>
      </c>
    </row>
    <row r="140" spans="1:9">
      <c r="A140" s="34" t="s">
        <v>381</v>
      </c>
      <c r="B140" s="23" t="s">
        <v>69</v>
      </c>
      <c r="C140" s="23" t="s">
        <v>59</v>
      </c>
      <c r="D140" s="23" t="s">
        <v>62</v>
      </c>
      <c r="E140" s="23" t="s">
        <v>65</v>
      </c>
      <c r="F140" s="421">
        <v>54316</v>
      </c>
      <c r="G140" s="422" t="s">
        <v>784</v>
      </c>
      <c r="H140" s="420">
        <f>12000-2250</f>
        <v>9750</v>
      </c>
    </row>
    <row r="141" spans="1:9">
      <c r="A141" s="34" t="s">
        <v>381</v>
      </c>
      <c r="B141" s="23" t="s">
        <v>69</v>
      </c>
      <c r="C141" s="23" t="s">
        <v>59</v>
      </c>
      <c r="D141" s="23" t="s">
        <v>62</v>
      </c>
      <c r="E141" s="23" t="s">
        <v>65</v>
      </c>
      <c r="F141" s="421">
        <v>61608</v>
      </c>
      <c r="G141" s="422" t="s">
        <v>780</v>
      </c>
      <c r="H141" s="560">
        <v>2000</v>
      </c>
    </row>
    <row r="142" spans="1:9" ht="15.75" thickBot="1">
      <c r="A142" s="1064"/>
      <c r="B142" s="1065"/>
      <c r="C142" s="1065"/>
      <c r="D142" s="1065"/>
      <c r="E142" s="1066"/>
      <c r="F142" s="1067"/>
      <c r="G142" s="1068"/>
      <c r="H142" s="1069">
        <f>SUM(H135:H141)</f>
        <v>40000</v>
      </c>
    </row>
    <row r="143" spans="1:9" ht="15.75" thickBot="1">
      <c r="B143" s="9"/>
      <c r="C143" s="10"/>
      <c r="D143" s="3"/>
      <c r="E143" s="3"/>
      <c r="F143" s="3"/>
    </row>
    <row r="144" spans="1:9">
      <c r="A144" s="2541" t="s">
        <v>1080</v>
      </c>
      <c r="B144" s="2542"/>
      <c r="C144" s="2542"/>
      <c r="D144" s="2542"/>
      <c r="E144" s="2542"/>
      <c r="F144" s="2542"/>
      <c r="G144" s="2575" t="s">
        <v>1323</v>
      </c>
      <c r="H144" s="2576"/>
    </row>
    <row r="145" spans="1:8">
      <c r="A145" s="482"/>
      <c r="B145" s="551"/>
      <c r="C145" s="19"/>
      <c r="D145" s="19"/>
      <c r="E145" s="19"/>
      <c r="F145" s="19"/>
      <c r="G145" s="483"/>
      <c r="H145" s="484"/>
    </row>
    <row r="146" spans="1:8" ht="14.25" customHeight="1">
      <c r="A146" s="2580" t="s">
        <v>838</v>
      </c>
      <c r="B146" s="2598"/>
      <c r="C146" s="2598"/>
      <c r="D146" s="2598"/>
      <c r="E146" s="2598"/>
      <c r="F146" s="2552"/>
      <c r="G146" s="2551" t="s">
        <v>1081</v>
      </c>
      <c r="H146" s="2552"/>
    </row>
    <row r="147" spans="1:8">
      <c r="A147" s="2597" t="s">
        <v>839</v>
      </c>
      <c r="B147" s="2584"/>
      <c r="C147" s="2584"/>
      <c r="D147" s="2584"/>
      <c r="E147" s="2584"/>
      <c r="F147" s="2585"/>
      <c r="G147" s="483"/>
      <c r="H147" s="484"/>
    </row>
    <row r="148" spans="1:8" ht="30" customHeight="1">
      <c r="A148" s="2586"/>
      <c r="B148" s="2587"/>
      <c r="C148" s="2587"/>
      <c r="D148" s="2587"/>
      <c r="E148" s="2587"/>
      <c r="F148" s="2588"/>
      <c r="G148" s="2589" t="s">
        <v>695</v>
      </c>
      <c r="H148" s="2552"/>
    </row>
    <row r="149" spans="1:8">
      <c r="A149" s="482"/>
      <c r="B149" s="551"/>
      <c r="C149" s="551"/>
      <c r="D149" s="551"/>
      <c r="E149" s="551"/>
      <c r="F149" s="551"/>
      <c r="G149" s="485"/>
      <c r="H149" s="484"/>
    </row>
    <row r="150" spans="1:8" thickBot="1">
      <c r="A150" s="2590" t="s">
        <v>692</v>
      </c>
      <c r="B150" s="2561"/>
      <c r="C150" s="2561"/>
      <c r="D150" s="2561"/>
      <c r="E150" s="2561"/>
      <c r="F150" s="2562"/>
      <c r="G150" s="2591" t="s">
        <v>696</v>
      </c>
      <c r="H150" s="2562"/>
    </row>
    <row r="152" spans="1:8" ht="42" customHeight="1">
      <c r="A152" s="2601" t="s">
        <v>821</v>
      </c>
      <c r="B152" s="2601"/>
      <c r="C152" s="2601"/>
      <c r="D152" s="2601"/>
      <c r="E152" s="2601"/>
      <c r="F152" s="2601"/>
      <c r="G152" s="2601"/>
      <c r="H152" s="2601"/>
    </row>
    <row r="156" spans="1:8" ht="18.75">
      <c r="A156" s="2162" t="s">
        <v>111</v>
      </c>
      <c r="B156" s="2164"/>
      <c r="C156" s="2164"/>
      <c r="D156" s="2164"/>
      <c r="E156" s="2164"/>
      <c r="F156" s="2164"/>
      <c r="G156" s="2164"/>
      <c r="H156" s="2164"/>
    </row>
    <row r="157" spans="1:8" ht="18.75">
      <c r="A157" s="2162" t="s">
        <v>757</v>
      </c>
      <c r="B157" s="2164"/>
      <c r="C157" s="2164"/>
      <c r="D157" s="2164"/>
      <c r="E157" s="2164"/>
      <c r="F157" s="2164"/>
      <c r="G157" s="2164"/>
      <c r="H157" s="2164"/>
    </row>
    <row r="158" spans="1:8" ht="18.75">
      <c r="A158" s="2163" t="s">
        <v>211</v>
      </c>
      <c r="B158" s="2164"/>
      <c r="C158" s="2164"/>
      <c r="D158" s="2164"/>
      <c r="E158" s="2164"/>
      <c r="F158" s="2164"/>
      <c r="G158" s="2164"/>
      <c r="H158" s="2164"/>
    </row>
    <row r="159" spans="1:8" ht="18.75">
      <c r="A159" s="2163" t="s">
        <v>1212</v>
      </c>
      <c r="B159" s="2164"/>
      <c r="C159" s="2164"/>
      <c r="D159" s="2164"/>
      <c r="E159" s="2164"/>
      <c r="F159" s="2164"/>
      <c r="G159" s="2164"/>
      <c r="H159" s="2164"/>
    </row>
    <row r="160" spans="1:8" ht="18.75">
      <c r="A160" s="2163" t="s">
        <v>32</v>
      </c>
      <c r="B160" s="2164"/>
      <c r="C160" s="2164"/>
      <c r="D160" s="2164"/>
      <c r="E160" s="2164"/>
      <c r="F160" s="2164"/>
      <c r="G160" s="2164"/>
      <c r="H160" s="2164"/>
    </row>
    <row r="161" spans="1:9">
      <c r="A161" s="33"/>
    </row>
    <row r="162" spans="1:9" ht="18.75">
      <c r="A162" s="2596" t="s">
        <v>49</v>
      </c>
      <c r="B162" s="2596"/>
      <c r="C162" s="2596"/>
      <c r="D162" s="2596"/>
      <c r="E162" s="2596"/>
      <c r="F162" s="2596"/>
      <c r="G162" s="2596"/>
      <c r="H162" s="2596"/>
    </row>
    <row r="163" spans="1:9" ht="32.25" customHeight="1">
      <c r="A163" s="2796" t="s">
        <v>1084</v>
      </c>
      <c r="B163" s="2797"/>
      <c r="C163" s="2797"/>
      <c r="D163" s="2797"/>
      <c r="E163" s="2797"/>
      <c r="F163" s="2797"/>
      <c r="G163" s="2797"/>
      <c r="H163" s="2797"/>
      <c r="I163" s="1146"/>
    </row>
    <row r="164" spans="1:9" ht="15.75" thickBot="1">
      <c r="A164" s="2567" t="s">
        <v>29</v>
      </c>
      <c r="B164" s="2568"/>
      <c r="C164" s="2568"/>
      <c r="D164" s="2568"/>
      <c r="E164" s="2568"/>
      <c r="F164" s="2569"/>
      <c r="G164" s="2570" t="s">
        <v>640</v>
      </c>
      <c r="H164" s="2572" t="s">
        <v>639</v>
      </c>
    </row>
    <row r="165" spans="1:9" ht="75.75" thickBot="1">
      <c r="A165" s="411" t="s">
        <v>39</v>
      </c>
      <c r="B165" s="412" t="s">
        <v>40</v>
      </c>
      <c r="C165" s="412" t="s">
        <v>41</v>
      </c>
      <c r="D165" s="412" t="s">
        <v>45</v>
      </c>
      <c r="E165" s="413" t="s">
        <v>42</v>
      </c>
      <c r="F165" s="407" t="s">
        <v>43</v>
      </c>
      <c r="G165" s="2571"/>
      <c r="H165" s="2595"/>
    </row>
    <row r="166" spans="1:9">
      <c r="A166" s="34" t="s">
        <v>381</v>
      </c>
      <c r="B166" s="23" t="s">
        <v>69</v>
      </c>
      <c r="C166" s="23" t="s">
        <v>59</v>
      </c>
      <c r="D166" s="23" t="s">
        <v>62</v>
      </c>
      <c r="E166" s="23" t="s">
        <v>65</v>
      </c>
      <c r="F166" s="414">
        <v>51202</v>
      </c>
      <c r="G166" s="419" t="s">
        <v>759</v>
      </c>
      <c r="H166" s="557">
        <v>9000</v>
      </c>
    </row>
    <row r="167" spans="1:9">
      <c r="A167" s="34" t="s">
        <v>381</v>
      </c>
      <c r="B167" s="23" t="s">
        <v>69</v>
      </c>
      <c r="C167" s="23" t="s">
        <v>59</v>
      </c>
      <c r="D167" s="23" t="s">
        <v>62</v>
      </c>
      <c r="E167" s="23" t="s">
        <v>65</v>
      </c>
      <c r="F167" s="414">
        <v>54107</v>
      </c>
      <c r="G167" s="419" t="s">
        <v>725</v>
      </c>
      <c r="H167" s="557">
        <v>1000</v>
      </c>
    </row>
    <row r="168" spans="1:9">
      <c r="A168" s="34" t="s">
        <v>381</v>
      </c>
      <c r="B168" s="23" t="s">
        <v>69</v>
      </c>
      <c r="C168" s="23" t="s">
        <v>59</v>
      </c>
      <c r="D168" s="23" t="s">
        <v>62</v>
      </c>
      <c r="E168" s="23" t="s">
        <v>65</v>
      </c>
      <c r="F168" s="414">
        <v>54111</v>
      </c>
      <c r="G168" s="419" t="s">
        <v>778</v>
      </c>
      <c r="H168" s="557">
        <v>11550</v>
      </c>
    </row>
    <row r="169" spans="1:9">
      <c r="A169" s="34" t="s">
        <v>381</v>
      </c>
      <c r="B169" s="23" t="s">
        <v>69</v>
      </c>
      <c r="C169" s="23" t="s">
        <v>59</v>
      </c>
      <c r="D169" s="23" t="s">
        <v>62</v>
      </c>
      <c r="E169" s="23" t="s">
        <v>65</v>
      </c>
      <c r="F169" s="414">
        <v>54112</v>
      </c>
      <c r="G169" s="419" t="s">
        <v>779</v>
      </c>
      <c r="H169" s="557">
        <v>900</v>
      </c>
    </row>
    <row r="170" spans="1:9">
      <c r="A170" s="34" t="s">
        <v>381</v>
      </c>
      <c r="B170" s="23" t="s">
        <v>69</v>
      </c>
      <c r="C170" s="23" t="s">
        <v>59</v>
      </c>
      <c r="D170" s="23" t="s">
        <v>62</v>
      </c>
      <c r="E170" s="23" t="s">
        <v>65</v>
      </c>
      <c r="F170" s="414">
        <v>54118</v>
      </c>
      <c r="G170" s="419" t="s">
        <v>746</v>
      </c>
      <c r="H170" s="557">
        <v>500</v>
      </c>
    </row>
    <row r="171" spans="1:9">
      <c r="A171" s="34" t="s">
        <v>381</v>
      </c>
      <c r="B171" s="23" t="s">
        <v>69</v>
      </c>
      <c r="C171" s="23" t="s">
        <v>59</v>
      </c>
      <c r="D171" s="23" t="s">
        <v>62</v>
      </c>
      <c r="E171" s="23" t="s">
        <v>65</v>
      </c>
      <c r="F171" s="414">
        <v>54199</v>
      </c>
      <c r="G171" s="419" t="s">
        <v>658</v>
      </c>
      <c r="H171" s="557">
        <v>500</v>
      </c>
    </row>
    <row r="172" spans="1:9">
      <c r="A172" s="34" t="s">
        <v>381</v>
      </c>
      <c r="B172" s="23" t="s">
        <v>69</v>
      </c>
      <c r="C172" s="23" t="s">
        <v>59</v>
      </c>
      <c r="D172" s="23" t="s">
        <v>62</v>
      </c>
      <c r="E172" s="23" t="s">
        <v>65</v>
      </c>
      <c r="F172" s="418" t="s">
        <v>677</v>
      </c>
      <c r="G172" s="419" t="s">
        <v>678</v>
      </c>
      <c r="H172" s="557">
        <v>300</v>
      </c>
    </row>
    <row r="173" spans="1:9">
      <c r="A173" s="34" t="s">
        <v>381</v>
      </c>
      <c r="B173" s="23" t="s">
        <v>69</v>
      </c>
      <c r="C173" s="23" t="s">
        <v>59</v>
      </c>
      <c r="D173" s="23" t="s">
        <v>62</v>
      </c>
      <c r="E173" s="23" t="s">
        <v>65</v>
      </c>
      <c r="F173" s="421">
        <v>61608</v>
      </c>
      <c r="G173" s="422" t="s">
        <v>780</v>
      </c>
      <c r="H173" s="558">
        <v>1250</v>
      </c>
    </row>
    <row r="174" spans="1:9" ht="15.75" thickBot="1">
      <c r="A174" s="1064"/>
      <c r="B174" s="1065"/>
      <c r="C174" s="1065"/>
      <c r="D174" s="1065"/>
      <c r="E174" s="1066"/>
      <c r="F174" s="1067"/>
      <c r="G174" s="1068"/>
      <c r="H174" s="1069">
        <f>SUM(H166:H173)</f>
        <v>25000</v>
      </c>
    </row>
    <row r="175" spans="1:9" ht="15.75" thickBot="1">
      <c r="B175" s="9"/>
      <c r="C175" s="10"/>
      <c r="D175" s="3"/>
      <c r="E175" s="3"/>
      <c r="F175" s="3"/>
    </row>
    <row r="176" spans="1:9">
      <c r="A176" s="2541" t="s">
        <v>1080</v>
      </c>
      <c r="B176" s="2542"/>
      <c r="C176" s="2542"/>
      <c r="D176" s="2542"/>
      <c r="E176" s="2542"/>
      <c r="F176" s="2542"/>
      <c r="G176" s="2575" t="s">
        <v>1323</v>
      </c>
      <c r="H176" s="2576"/>
    </row>
    <row r="177" spans="1:8">
      <c r="A177" s="482"/>
      <c r="B177" s="551"/>
      <c r="C177" s="19"/>
      <c r="D177" s="19"/>
      <c r="E177" s="19"/>
      <c r="F177" s="19"/>
      <c r="G177" s="483"/>
      <c r="H177" s="484"/>
    </row>
    <row r="178" spans="1:8" ht="14.25" customHeight="1">
      <c r="A178" s="2580" t="s">
        <v>1084</v>
      </c>
      <c r="B178" s="2598"/>
      <c r="C178" s="2598"/>
      <c r="D178" s="2598"/>
      <c r="E178" s="2598"/>
      <c r="F178" s="2552"/>
      <c r="G178" s="2551" t="s">
        <v>1081</v>
      </c>
      <c r="H178" s="2552"/>
    </row>
    <row r="179" spans="1:8">
      <c r="A179" s="2597" t="s">
        <v>1085</v>
      </c>
      <c r="B179" s="2584"/>
      <c r="C179" s="2584"/>
      <c r="D179" s="2584"/>
      <c r="E179" s="2584"/>
      <c r="F179" s="2585"/>
      <c r="G179" s="483"/>
      <c r="H179" s="484"/>
    </row>
    <row r="180" spans="1:8" ht="45.75" customHeight="1">
      <c r="A180" s="2586"/>
      <c r="B180" s="2587"/>
      <c r="C180" s="2587"/>
      <c r="D180" s="2587"/>
      <c r="E180" s="2587"/>
      <c r="F180" s="2588"/>
      <c r="G180" s="2589" t="s">
        <v>695</v>
      </c>
      <c r="H180" s="2552"/>
    </row>
    <row r="181" spans="1:8">
      <c r="A181" s="482"/>
      <c r="B181" s="551"/>
      <c r="C181" s="551"/>
      <c r="D181" s="551"/>
      <c r="E181" s="551"/>
      <c r="F181" s="551"/>
      <c r="G181" s="485"/>
      <c r="H181" s="484"/>
    </row>
    <row r="182" spans="1:8" thickBot="1">
      <c r="A182" s="2590" t="s">
        <v>692</v>
      </c>
      <c r="B182" s="2561"/>
      <c r="C182" s="2561"/>
      <c r="D182" s="2561"/>
      <c r="E182" s="2561"/>
      <c r="F182" s="2562"/>
      <c r="G182" s="2591" t="s">
        <v>696</v>
      </c>
      <c r="H182" s="2562"/>
    </row>
    <row r="183" spans="1:8">
      <c r="A183" s="553"/>
      <c r="B183" s="554"/>
      <c r="C183" s="554"/>
      <c r="D183" s="554"/>
      <c r="E183" s="554"/>
      <c r="F183" s="554"/>
      <c r="G183" s="555"/>
      <c r="H183" s="554"/>
    </row>
    <row r="184" spans="1:8" ht="42" customHeight="1">
      <c r="A184" s="2601" t="s">
        <v>821</v>
      </c>
      <c r="B184" s="2601"/>
      <c r="C184" s="2601"/>
      <c r="D184" s="2601"/>
      <c r="E184" s="2601"/>
      <c r="F184" s="2601"/>
      <c r="G184" s="2601"/>
      <c r="H184" s="2601"/>
    </row>
    <row r="185" spans="1:8">
      <c r="A185" s="553"/>
      <c r="B185" s="554"/>
      <c r="C185" s="554"/>
      <c r="D185" s="554"/>
      <c r="E185" s="554"/>
      <c r="F185" s="554"/>
      <c r="G185" s="555"/>
      <c r="H185" s="554"/>
    </row>
    <row r="187" spans="1:8">
      <c r="A187" s="553"/>
      <c r="B187" s="554"/>
      <c r="C187" s="554"/>
      <c r="D187" s="554"/>
      <c r="E187" s="554"/>
      <c r="F187" s="554"/>
      <c r="G187" s="555"/>
      <c r="H187" s="554"/>
    </row>
    <row r="190" spans="1:8" ht="18.75">
      <c r="A190" s="2217" t="s">
        <v>528</v>
      </c>
      <c r="B190" s="2164"/>
      <c r="C190" s="2164"/>
      <c r="D190" s="2164"/>
      <c r="E190" s="2164"/>
      <c r="F190" s="2164"/>
      <c r="G190" s="2164"/>
      <c r="H190" s="2164"/>
    </row>
    <row r="191" spans="1:8" ht="18.75">
      <c r="A191" s="2703" t="s">
        <v>757</v>
      </c>
      <c r="B191" s="2705"/>
      <c r="C191" s="2705"/>
      <c r="D191" s="2705"/>
      <c r="E191" s="2705"/>
      <c r="F191" s="2705"/>
      <c r="G191" s="2705"/>
      <c r="H191" s="2705"/>
    </row>
    <row r="192" spans="1:8" ht="18.75">
      <c r="A192" s="2704" t="s">
        <v>211</v>
      </c>
      <c r="B192" s="2705"/>
      <c r="C192" s="2705"/>
      <c r="D192" s="2705"/>
      <c r="E192" s="2705"/>
      <c r="F192" s="2705"/>
      <c r="G192" s="2705"/>
      <c r="H192" s="2705"/>
    </row>
    <row r="193" spans="1:9" ht="18.75">
      <c r="A193" s="2704" t="s">
        <v>1006</v>
      </c>
      <c r="B193" s="2705"/>
      <c r="C193" s="2705"/>
      <c r="D193" s="2705"/>
      <c r="E193" s="2705"/>
      <c r="F193" s="2705"/>
      <c r="G193" s="2705"/>
      <c r="H193" s="2705"/>
    </row>
    <row r="194" spans="1:9" ht="18.75">
      <c r="A194" s="2704" t="s">
        <v>32</v>
      </c>
      <c r="B194" s="2705"/>
      <c r="C194" s="2705"/>
      <c r="D194" s="2705"/>
      <c r="E194" s="2705"/>
      <c r="F194" s="2705"/>
      <c r="G194" s="2705"/>
      <c r="H194" s="2705"/>
    </row>
    <row r="195" spans="1:9" ht="6.75" customHeight="1">
      <c r="A195" s="814"/>
      <c r="B195" s="815"/>
      <c r="C195" s="816"/>
      <c r="D195" s="817"/>
      <c r="E195" s="817"/>
      <c r="F195" s="817"/>
      <c r="G195" s="818"/>
      <c r="H195" s="819"/>
    </row>
    <row r="196" spans="1:9" ht="18.75">
      <c r="A196" s="2706" t="s">
        <v>49</v>
      </c>
      <c r="B196" s="2706"/>
      <c r="C196" s="2706"/>
      <c r="D196" s="2706"/>
      <c r="E196" s="2706"/>
      <c r="F196" s="2706"/>
      <c r="G196" s="2706"/>
      <c r="H196" s="2706"/>
    </row>
    <row r="197" spans="1:9" ht="33.75" customHeight="1">
      <c r="A197" s="2717" t="s">
        <v>1086</v>
      </c>
      <c r="B197" s="2718"/>
      <c r="C197" s="2718"/>
      <c r="D197" s="2718"/>
      <c r="E197" s="2718"/>
      <c r="F197" s="2718"/>
      <c r="G197" s="2718"/>
      <c r="H197" s="2718"/>
      <c r="I197" s="1146"/>
    </row>
    <row r="198" spans="1:9" ht="15.75" thickBot="1">
      <c r="A198" s="2719" t="s">
        <v>29</v>
      </c>
      <c r="B198" s="2720"/>
      <c r="C198" s="2720"/>
      <c r="D198" s="2720"/>
      <c r="E198" s="2720"/>
      <c r="F198" s="2721"/>
      <c r="G198" s="2722" t="s">
        <v>640</v>
      </c>
      <c r="H198" s="2715" t="s">
        <v>639</v>
      </c>
    </row>
    <row r="199" spans="1:9" ht="77.25" customHeight="1" thickBot="1">
      <c r="A199" s="1106" t="s">
        <v>39</v>
      </c>
      <c r="B199" s="1107" t="s">
        <v>40</v>
      </c>
      <c r="C199" s="1107" t="s">
        <v>41</v>
      </c>
      <c r="D199" s="1107" t="s">
        <v>45</v>
      </c>
      <c r="E199" s="1108" t="s">
        <v>42</v>
      </c>
      <c r="F199" s="823" t="s">
        <v>43</v>
      </c>
      <c r="G199" s="2713"/>
      <c r="H199" s="2723"/>
    </row>
    <row r="200" spans="1:9">
      <c r="A200" s="824" t="s">
        <v>381</v>
      </c>
      <c r="B200" s="825" t="s">
        <v>69</v>
      </c>
      <c r="C200" s="825" t="s">
        <v>59</v>
      </c>
      <c r="D200" s="825" t="s">
        <v>62</v>
      </c>
      <c r="E200" s="825" t="s">
        <v>65</v>
      </c>
      <c r="F200" s="1116">
        <v>51202</v>
      </c>
      <c r="G200" s="1117" t="s">
        <v>759</v>
      </c>
      <c r="H200" s="1118">
        <v>7400</v>
      </c>
    </row>
    <row r="201" spans="1:9">
      <c r="A201" s="824" t="s">
        <v>381</v>
      </c>
      <c r="B201" s="825" t="s">
        <v>69</v>
      </c>
      <c r="C201" s="825" t="s">
        <v>59</v>
      </c>
      <c r="D201" s="825" t="s">
        <v>62</v>
      </c>
      <c r="E201" s="825" t="s">
        <v>65</v>
      </c>
      <c r="F201" s="1116">
        <v>54107</v>
      </c>
      <c r="G201" s="1117" t="s">
        <v>725</v>
      </c>
      <c r="H201" s="1118">
        <v>1000</v>
      </c>
    </row>
    <row r="202" spans="1:9">
      <c r="A202" s="824" t="s">
        <v>381</v>
      </c>
      <c r="B202" s="825" t="s">
        <v>69</v>
      </c>
      <c r="C202" s="825" t="s">
        <v>59</v>
      </c>
      <c r="D202" s="825" t="s">
        <v>62</v>
      </c>
      <c r="E202" s="825" t="s">
        <v>65</v>
      </c>
      <c r="F202" s="826">
        <v>54111</v>
      </c>
      <c r="G202" s="827" t="s">
        <v>778</v>
      </c>
      <c r="H202" s="1118">
        <v>9000</v>
      </c>
    </row>
    <row r="203" spans="1:9">
      <c r="A203" s="824" t="s">
        <v>381</v>
      </c>
      <c r="B203" s="825" t="s">
        <v>69</v>
      </c>
      <c r="C203" s="825" t="s">
        <v>59</v>
      </c>
      <c r="D203" s="825" t="s">
        <v>62</v>
      </c>
      <c r="E203" s="825" t="s">
        <v>65</v>
      </c>
      <c r="F203" s="826">
        <v>54112</v>
      </c>
      <c r="G203" s="827" t="s">
        <v>782</v>
      </c>
      <c r="H203" s="1118">
        <v>500</v>
      </c>
    </row>
    <row r="204" spans="1:9">
      <c r="A204" s="824" t="s">
        <v>381</v>
      </c>
      <c r="B204" s="825" t="s">
        <v>69</v>
      </c>
      <c r="C204" s="825" t="s">
        <v>59</v>
      </c>
      <c r="D204" s="825" t="s">
        <v>62</v>
      </c>
      <c r="E204" s="825" t="s">
        <v>65</v>
      </c>
      <c r="F204" s="826">
        <v>54118</v>
      </c>
      <c r="G204" s="827" t="s">
        <v>746</v>
      </c>
      <c r="H204" s="1118">
        <v>300</v>
      </c>
    </row>
    <row r="205" spans="1:9">
      <c r="A205" s="824" t="s">
        <v>381</v>
      </c>
      <c r="B205" s="825" t="s">
        <v>69</v>
      </c>
      <c r="C205" s="825" t="s">
        <v>59</v>
      </c>
      <c r="D205" s="825" t="s">
        <v>62</v>
      </c>
      <c r="E205" s="825" t="s">
        <v>65</v>
      </c>
      <c r="F205" s="826">
        <v>54199</v>
      </c>
      <c r="G205" s="827" t="s">
        <v>658</v>
      </c>
      <c r="H205" s="1118">
        <v>300</v>
      </c>
    </row>
    <row r="206" spans="1:9">
      <c r="A206" s="824" t="s">
        <v>381</v>
      </c>
      <c r="B206" s="825" t="s">
        <v>69</v>
      </c>
      <c r="C206" s="825" t="s">
        <v>59</v>
      </c>
      <c r="D206" s="825" t="s">
        <v>62</v>
      </c>
      <c r="E206" s="825" t="s">
        <v>65</v>
      </c>
      <c r="F206" s="829" t="s">
        <v>677</v>
      </c>
      <c r="G206" s="827" t="s">
        <v>678</v>
      </c>
      <c r="H206" s="1118">
        <v>500</v>
      </c>
    </row>
    <row r="207" spans="1:9">
      <c r="A207" s="824" t="s">
        <v>381</v>
      </c>
      <c r="B207" s="825" t="s">
        <v>69</v>
      </c>
      <c r="C207" s="825" t="s">
        <v>59</v>
      </c>
      <c r="D207" s="825" t="s">
        <v>62</v>
      </c>
      <c r="E207" s="825" t="s">
        <v>65</v>
      </c>
      <c r="F207" s="831">
        <v>61608</v>
      </c>
      <c r="G207" s="832" t="s">
        <v>780</v>
      </c>
      <c r="H207" s="1119">
        <v>1000</v>
      </c>
    </row>
    <row r="208" spans="1:9" ht="15.75" thickBot="1">
      <c r="A208" s="1110"/>
      <c r="B208" s="1111"/>
      <c r="C208" s="1111"/>
      <c r="D208" s="1111"/>
      <c r="E208" s="1112"/>
      <c r="F208" s="1113"/>
      <c r="G208" s="1114"/>
      <c r="H208" s="1120">
        <f>SUM(H200:H207)</f>
        <v>20000</v>
      </c>
    </row>
    <row r="209" spans="1:8" ht="15.75" thickBot="1">
      <c r="A209" s="839"/>
      <c r="B209" s="839"/>
      <c r="C209" s="840"/>
      <c r="D209" s="841"/>
      <c r="E209" s="841"/>
      <c r="F209" s="841"/>
      <c r="G209" s="818"/>
      <c r="H209" s="819"/>
    </row>
    <row r="210" spans="1:8">
      <c r="A210" s="2685" t="s">
        <v>1080</v>
      </c>
      <c r="B210" s="2686"/>
      <c r="C210" s="2686"/>
      <c r="D210" s="2686"/>
      <c r="E210" s="2686"/>
      <c r="F210" s="2686"/>
      <c r="G210" s="2687" t="s">
        <v>1021</v>
      </c>
      <c r="H210" s="2688"/>
    </row>
    <row r="211" spans="1:8">
      <c r="A211" s="842"/>
      <c r="B211" s="843"/>
      <c r="C211" s="844"/>
      <c r="D211" s="844"/>
      <c r="E211" s="844"/>
      <c r="F211" s="844"/>
      <c r="G211" s="845"/>
      <c r="H211" s="846"/>
    </row>
    <row r="212" spans="1:8" ht="31.5" customHeight="1">
      <c r="A212" s="2689" t="s">
        <v>1086</v>
      </c>
      <c r="B212" s="2690"/>
      <c r="C212" s="2690"/>
      <c r="D212" s="2690"/>
      <c r="E212" s="2690"/>
      <c r="F212" s="2691"/>
      <c r="G212" s="2689" t="s">
        <v>1081</v>
      </c>
      <c r="H212" s="2691"/>
    </row>
    <row r="213" spans="1:8" ht="15" customHeight="1">
      <c r="A213" s="2692" t="s">
        <v>1085</v>
      </c>
      <c r="B213" s="2693"/>
      <c r="C213" s="2693"/>
      <c r="D213" s="2693"/>
      <c r="E213" s="2693"/>
      <c r="F213" s="2694"/>
      <c r="G213" s="845"/>
      <c r="H213" s="846"/>
    </row>
    <row r="214" spans="1:8" ht="46.5" customHeight="1">
      <c r="A214" s="2695"/>
      <c r="B214" s="2696"/>
      <c r="C214" s="2696"/>
      <c r="D214" s="2696"/>
      <c r="E214" s="2696"/>
      <c r="F214" s="2697"/>
      <c r="G214" s="2698" t="s">
        <v>695</v>
      </c>
      <c r="H214" s="2691"/>
    </row>
    <row r="215" spans="1:8">
      <c r="A215" s="842"/>
      <c r="B215" s="843"/>
      <c r="C215" s="843"/>
      <c r="D215" s="843"/>
      <c r="E215" s="843"/>
      <c r="F215" s="843"/>
      <c r="G215" s="847"/>
      <c r="H215" s="846"/>
    </row>
    <row r="216" spans="1:8" thickBot="1">
      <c r="A216" s="2699" t="s">
        <v>692</v>
      </c>
      <c r="B216" s="2700"/>
      <c r="C216" s="2700"/>
      <c r="D216" s="2700"/>
      <c r="E216" s="2700"/>
      <c r="F216" s="2701"/>
      <c r="G216" s="2702" t="s">
        <v>696</v>
      </c>
      <c r="H216" s="2701"/>
    </row>
    <row r="217" spans="1:8">
      <c r="A217" s="839"/>
      <c r="B217" s="815"/>
      <c r="C217" s="816"/>
      <c r="D217" s="817"/>
      <c r="E217" s="817"/>
      <c r="F217" s="817"/>
      <c r="G217" s="818"/>
      <c r="H217" s="819"/>
    </row>
    <row r="218" spans="1:8" ht="42.75" customHeight="1">
      <c r="A218" s="2716" t="s">
        <v>821</v>
      </c>
      <c r="B218" s="2716"/>
      <c r="C218" s="2716"/>
      <c r="D218" s="2716"/>
      <c r="E218" s="2716"/>
      <c r="F218" s="2716"/>
      <c r="G218" s="2716"/>
      <c r="H218" s="2716"/>
    </row>
    <row r="221" spans="1:8" ht="18.75">
      <c r="A221" s="2703" t="s">
        <v>111</v>
      </c>
      <c r="B221" s="2705"/>
      <c r="C221" s="2705"/>
      <c r="D221" s="2705"/>
      <c r="E221" s="2705"/>
      <c r="F221" s="2705"/>
      <c r="G221" s="2705"/>
      <c r="H221" s="2705"/>
    </row>
    <row r="222" spans="1:8" ht="18.75">
      <c r="A222" s="2703" t="s">
        <v>757</v>
      </c>
      <c r="B222" s="2705"/>
      <c r="C222" s="2705"/>
      <c r="D222" s="2705"/>
      <c r="E222" s="2705"/>
      <c r="F222" s="2705"/>
      <c r="G222" s="2705"/>
      <c r="H222" s="2705"/>
    </row>
    <row r="223" spans="1:8" ht="18.75">
      <c r="A223" s="2704" t="s">
        <v>211</v>
      </c>
      <c r="B223" s="2705"/>
      <c r="C223" s="2705"/>
      <c r="D223" s="2705"/>
      <c r="E223" s="2705"/>
      <c r="F223" s="2705"/>
      <c r="G223" s="2705"/>
      <c r="H223" s="2705"/>
    </row>
    <row r="224" spans="1:8" ht="18.75">
      <c r="A224" s="2704" t="s">
        <v>1006</v>
      </c>
      <c r="B224" s="2705"/>
      <c r="C224" s="2705"/>
      <c r="D224" s="2705"/>
      <c r="E224" s="2705"/>
      <c r="F224" s="2705"/>
      <c r="G224" s="2705"/>
      <c r="H224" s="2705"/>
    </row>
    <row r="225" spans="1:8" ht="18.75">
      <c r="A225" s="2704" t="s">
        <v>32</v>
      </c>
      <c r="B225" s="2705"/>
      <c r="C225" s="2705"/>
      <c r="D225" s="2705"/>
      <c r="E225" s="2705"/>
      <c r="F225" s="2705"/>
      <c r="G225" s="2705"/>
      <c r="H225" s="2705"/>
    </row>
    <row r="226" spans="1:8">
      <c r="A226" s="814"/>
      <c r="B226" s="815"/>
      <c r="C226" s="816"/>
      <c r="D226" s="817"/>
      <c r="E226" s="817"/>
      <c r="F226" s="817"/>
      <c r="G226" s="818"/>
      <c r="H226" s="819"/>
    </row>
    <row r="227" spans="1:8" ht="18.75">
      <c r="A227" s="2706" t="s">
        <v>49</v>
      </c>
      <c r="B227" s="2706"/>
      <c r="C227" s="2706"/>
      <c r="D227" s="2706"/>
      <c r="E227" s="2706"/>
      <c r="F227" s="2706"/>
      <c r="G227" s="2706"/>
      <c r="H227" s="2706"/>
    </row>
    <row r="228" spans="1:8" ht="48.75" customHeight="1">
      <c r="A228" s="2717" t="s">
        <v>1087</v>
      </c>
      <c r="B228" s="2718"/>
      <c r="C228" s="2718"/>
      <c r="D228" s="2718"/>
      <c r="E228" s="2718"/>
      <c r="F228" s="2718"/>
      <c r="G228" s="2718"/>
      <c r="H228" s="2718"/>
    </row>
    <row r="229" spans="1:8" ht="15.75" thickBot="1">
      <c r="A229" s="2719" t="s">
        <v>29</v>
      </c>
      <c r="B229" s="2720"/>
      <c r="C229" s="2720"/>
      <c r="D229" s="2720"/>
      <c r="E229" s="2720"/>
      <c r="F229" s="2721"/>
      <c r="G229" s="2722" t="s">
        <v>640</v>
      </c>
      <c r="H229" s="2715" t="s">
        <v>639</v>
      </c>
    </row>
    <row r="230" spans="1:8" ht="75.75" thickBot="1">
      <c r="A230" s="1106" t="s">
        <v>39</v>
      </c>
      <c r="B230" s="1107" t="s">
        <v>40</v>
      </c>
      <c r="C230" s="1107" t="s">
        <v>41</v>
      </c>
      <c r="D230" s="1107" t="s">
        <v>45</v>
      </c>
      <c r="E230" s="1108" t="s">
        <v>42</v>
      </c>
      <c r="F230" s="823" t="s">
        <v>43</v>
      </c>
      <c r="G230" s="2713"/>
      <c r="H230" s="2723"/>
    </row>
    <row r="231" spans="1:8">
      <c r="A231" s="824" t="s">
        <v>381</v>
      </c>
      <c r="B231" s="825" t="s">
        <v>69</v>
      </c>
      <c r="C231" s="825" t="s">
        <v>59</v>
      </c>
      <c r="D231" s="825" t="s">
        <v>62</v>
      </c>
      <c r="E231" s="825" t="s">
        <v>65</v>
      </c>
      <c r="F231" s="1116">
        <v>51202</v>
      </c>
      <c r="G231" s="1117" t="s">
        <v>759</v>
      </c>
      <c r="H231" s="1118">
        <v>7000</v>
      </c>
    </row>
    <row r="232" spans="1:8">
      <c r="A232" s="824" t="s">
        <v>381</v>
      </c>
      <c r="B232" s="825" t="s">
        <v>69</v>
      </c>
      <c r="C232" s="825" t="s">
        <v>59</v>
      </c>
      <c r="D232" s="825" t="s">
        <v>62</v>
      </c>
      <c r="E232" s="825" t="s">
        <v>65</v>
      </c>
      <c r="F232" s="826">
        <v>54119</v>
      </c>
      <c r="G232" s="827" t="s">
        <v>1089</v>
      </c>
      <c r="H232" s="1118">
        <v>12000</v>
      </c>
    </row>
    <row r="233" spans="1:8" hidden="1">
      <c r="A233" s="824" t="s">
        <v>381</v>
      </c>
      <c r="B233" s="825" t="s">
        <v>69</v>
      </c>
      <c r="C233" s="825" t="s">
        <v>59</v>
      </c>
      <c r="D233" s="825" t="s">
        <v>62</v>
      </c>
      <c r="E233" s="825" t="s">
        <v>65</v>
      </c>
      <c r="F233" s="826">
        <v>54112</v>
      </c>
      <c r="G233" s="827" t="s">
        <v>782</v>
      </c>
      <c r="H233" s="1118"/>
    </row>
    <row r="234" spans="1:8" hidden="1">
      <c r="A234" s="824" t="s">
        <v>381</v>
      </c>
      <c r="B234" s="825" t="s">
        <v>69</v>
      </c>
      <c r="C234" s="825" t="s">
        <v>59</v>
      </c>
      <c r="D234" s="825" t="s">
        <v>62</v>
      </c>
      <c r="E234" s="825" t="s">
        <v>65</v>
      </c>
      <c r="F234" s="826">
        <v>54118</v>
      </c>
      <c r="G234" s="827" t="s">
        <v>746</v>
      </c>
      <c r="H234" s="1118"/>
    </row>
    <row r="235" spans="1:8" hidden="1">
      <c r="A235" s="824" t="s">
        <v>381</v>
      </c>
      <c r="B235" s="825" t="s">
        <v>69</v>
      </c>
      <c r="C235" s="825" t="s">
        <v>59</v>
      </c>
      <c r="D235" s="825" t="s">
        <v>62</v>
      </c>
      <c r="E235" s="825" t="s">
        <v>65</v>
      </c>
      <c r="F235" s="826">
        <v>54199</v>
      </c>
      <c r="G235" s="827" t="s">
        <v>658</v>
      </c>
      <c r="H235" s="1118"/>
    </row>
    <row r="236" spans="1:8" hidden="1">
      <c r="A236" s="824" t="s">
        <v>381</v>
      </c>
      <c r="B236" s="825" t="s">
        <v>69</v>
      </c>
      <c r="C236" s="825" t="s">
        <v>59</v>
      </c>
      <c r="D236" s="825" t="s">
        <v>62</v>
      </c>
      <c r="E236" s="825" t="s">
        <v>65</v>
      </c>
      <c r="F236" s="829" t="s">
        <v>677</v>
      </c>
      <c r="G236" s="827" t="s">
        <v>678</v>
      </c>
      <c r="H236" s="1118"/>
    </row>
    <row r="237" spans="1:8">
      <c r="A237" s="824" t="s">
        <v>381</v>
      </c>
      <c r="B237" s="825" t="s">
        <v>69</v>
      </c>
      <c r="C237" s="825" t="s">
        <v>59</v>
      </c>
      <c r="D237" s="825" t="s">
        <v>62</v>
      </c>
      <c r="E237" s="825" t="s">
        <v>65</v>
      </c>
      <c r="F237" s="831">
        <v>61608</v>
      </c>
      <c r="G237" s="832" t="s">
        <v>780</v>
      </c>
      <c r="H237" s="1119">
        <v>1000</v>
      </c>
    </row>
    <row r="238" spans="1:8" ht="15.75" thickBot="1">
      <c r="A238" s="1110"/>
      <c r="B238" s="1111"/>
      <c r="C238" s="1111"/>
      <c r="D238" s="1111"/>
      <c r="E238" s="1112"/>
      <c r="F238" s="1113"/>
      <c r="G238" s="1114"/>
      <c r="H238" s="1120">
        <f>SUM(H231:H237)</f>
        <v>20000</v>
      </c>
    </row>
    <row r="239" spans="1:8" ht="15.75" thickBot="1">
      <c r="A239" s="839"/>
      <c r="B239" s="839"/>
      <c r="C239" s="840"/>
      <c r="D239" s="841"/>
      <c r="E239" s="841"/>
      <c r="F239" s="841"/>
      <c r="G239" s="818"/>
      <c r="H239" s="819"/>
    </row>
    <row r="240" spans="1:8" ht="15" customHeight="1">
      <c r="A240" s="2685" t="s">
        <v>1080</v>
      </c>
      <c r="B240" s="2686"/>
      <c r="C240" s="2686"/>
      <c r="D240" s="2686"/>
      <c r="E240" s="2686"/>
      <c r="F240" s="2686"/>
      <c r="G240" s="2687" t="s">
        <v>1021</v>
      </c>
      <c r="H240" s="2688"/>
    </row>
    <row r="241" spans="1:8">
      <c r="A241" s="842"/>
      <c r="B241" s="843"/>
      <c r="C241" s="844"/>
      <c r="D241" s="844"/>
      <c r="E241" s="844"/>
      <c r="F241" s="844"/>
      <c r="G241" s="845"/>
      <c r="H241" s="846"/>
    </row>
    <row r="242" spans="1:8" ht="38.25" customHeight="1">
      <c r="A242" s="2689" t="s">
        <v>1087</v>
      </c>
      <c r="B242" s="2690"/>
      <c r="C242" s="2690"/>
      <c r="D242" s="2690"/>
      <c r="E242" s="2690"/>
      <c r="F242" s="2691"/>
      <c r="G242" s="2689" t="s">
        <v>1081</v>
      </c>
      <c r="H242" s="2691"/>
    </row>
    <row r="243" spans="1:8">
      <c r="A243" s="2692" t="s">
        <v>1088</v>
      </c>
      <c r="B243" s="2693"/>
      <c r="C243" s="2693"/>
      <c r="D243" s="2693"/>
      <c r="E243" s="2693"/>
      <c r="F243" s="2694"/>
      <c r="G243" s="845"/>
      <c r="H243" s="846"/>
    </row>
    <row r="244" spans="1:8" ht="33" customHeight="1">
      <c r="A244" s="2695"/>
      <c r="B244" s="2696"/>
      <c r="C244" s="2696"/>
      <c r="D244" s="2696"/>
      <c r="E244" s="2696"/>
      <c r="F244" s="2697"/>
      <c r="G244" s="2698" t="s">
        <v>695</v>
      </c>
      <c r="H244" s="2691"/>
    </row>
    <row r="245" spans="1:8">
      <c r="A245" s="842"/>
      <c r="B245" s="843"/>
      <c r="C245" s="843"/>
      <c r="D245" s="843"/>
      <c r="E245" s="843"/>
      <c r="F245" s="843"/>
      <c r="G245" s="847"/>
      <c r="H245" s="846"/>
    </row>
    <row r="246" spans="1:8" thickBot="1">
      <c r="A246" s="2699" t="s">
        <v>692</v>
      </c>
      <c r="B246" s="2700"/>
      <c r="C246" s="2700"/>
      <c r="D246" s="2700"/>
      <c r="E246" s="2700"/>
      <c r="F246" s="2701"/>
      <c r="G246" s="2702" t="s">
        <v>696</v>
      </c>
      <c r="H246" s="2701"/>
    </row>
    <row r="247" spans="1:8">
      <c r="A247" s="839"/>
      <c r="B247" s="815"/>
      <c r="C247" s="816"/>
      <c r="D247" s="817"/>
      <c r="E247" s="817"/>
      <c r="F247" s="817"/>
      <c r="G247" s="818"/>
      <c r="H247" s="819"/>
    </row>
    <row r="248" spans="1:8" ht="40.5" customHeight="1">
      <c r="A248" s="2641" t="s">
        <v>821</v>
      </c>
      <c r="B248" s="2641"/>
      <c r="C248" s="2641"/>
      <c r="D248" s="2641"/>
      <c r="E248" s="2641"/>
      <c r="F248" s="2641"/>
      <c r="G248" s="2641"/>
      <c r="H248" s="2641"/>
    </row>
    <row r="251" spans="1:8" ht="18.75">
      <c r="A251" s="2703" t="s">
        <v>111</v>
      </c>
      <c r="B251" s="2705"/>
      <c r="C251" s="2705"/>
      <c r="D251" s="2705"/>
      <c r="E251" s="2705"/>
      <c r="F251" s="2705"/>
      <c r="G251" s="2705"/>
      <c r="H251" s="2705"/>
    </row>
    <row r="252" spans="1:8" ht="18.75">
      <c r="A252" s="2703" t="s">
        <v>757</v>
      </c>
      <c r="B252" s="2705"/>
      <c r="C252" s="2705"/>
      <c r="D252" s="2705"/>
      <c r="E252" s="2705"/>
      <c r="F252" s="2705"/>
      <c r="G252" s="2705"/>
      <c r="H252" s="2705"/>
    </row>
    <row r="253" spans="1:8" ht="18.75">
      <c r="A253" s="2704" t="s">
        <v>211</v>
      </c>
      <c r="B253" s="2705"/>
      <c r="C253" s="2705"/>
      <c r="D253" s="2705"/>
      <c r="E253" s="2705"/>
      <c r="F253" s="2705"/>
      <c r="G253" s="2705"/>
      <c r="H253" s="2705"/>
    </row>
    <row r="254" spans="1:8" ht="18.75">
      <c r="A254" s="2704" t="s">
        <v>1006</v>
      </c>
      <c r="B254" s="2705"/>
      <c r="C254" s="2705"/>
      <c r="D254" s="2705"/>
      <c r="E254" s="2705"/>
      <c r="F254" s="2705"/>
      <c r="G254" s="2705"/>
      <c r="H254" s="2705"/>
    </row>
    <row r="255" spans="1:8" ht="18.75">
      <c r="A255" s="2704" t="s">
        <v>32</v>
      </c>
      <c r="B255" s="2705"/>
      <c r="C255" s="2705"/>
      <c r="D255" s="2705"/>
      <c r="E255" s="2705"/>
      <c r="F255" s="2705"/>
      <c r="G255" s="2705"/>
      <c r="H255" s="2705"/>
    </row>
    <row r="256" spans="1:8">
      <c r="A256" s="814"/>
      <c r="B256" s="815"/>
      <c r="C256" s="816"/>
      <c r="D256" s="817"/>
      <c r="E256" s="817"/>
      <c r="F256" s="817"/>
      <c r="G256" s="818"/>
      <c r="H256" s="819"/>
    </row>
    <row r="257" spans="1:8" ht="18.75">
      <c r="A257" s="2706" t="s">
        <v>49</v>
      </c>
      <c r="B257" s="2706"/>
      <c r="C257" s="2706"/>
      <c r="D257" s="2706"/>
      <c r="E257" s="2706"/>
      <c r="F257" s="2706"/>
      <c r="G257" s="2706"/>
      <c r="H257" s="2706"/>
    </row>
    <row r="258" spans="1:8" ht="44.25" customHeight="1">
      <c r="A258" s="2717" t="s">
        <v>1090</v>
      </c>
      <c r="B258" s="2718"/>
      <c r="C258" s="2718"/>
      <c r="D258" s="2718"/>
      <c r="E258" s="2718"/>
      <c r="F258" s="2718"/>
      <c r="G258" s="2718"/>
      <c r="H258" s="2718"/>
    </row>
    <row r="259" spans="1:8" ht="15.75" thickBot="1">
      <c r="A259" s="2719" t="s">
        <v>29</v>
      </c>
      <c r="B259" s="2720"/>
      <c r="C259" s="2720"/>
      <c r="D259" s="2720"/>
      <c r="E259" s="2720"/>
      <c r="F259" s="2823"/>
      <c r="G259" s="2722" t="s">
        <v>640</v>
      </c>
      <c r="H259" s="2715" t="s">
        <v>639</v>
      </c>
    </row>
    <row r="260" spans="1:8" ht="75.75" thickBot="1">
      <c r="A260" s="1106" t="s">
        <v>39</v>
      </c>
      <c r="B260" s="1107" t="s">
        <v>40</v>
      </c>
      <c r="C260" s="1107" t="s">
        <v>41</v>
      </c>
      <c r="D260" s="1107" t="s">
        <v>45</v>
      </c>
      <c r="E260" s="1108" t="s">
        <v>42</v>
      </c>
      <c r="F260" s="1647" t="s">
        <v>43</v>
      </c>
      <c r="G260" s="2824"/>
      <c r="H260" s="2723"/>
    </row>
    <row r="261" spans="1:8">
      <c r="A261" s="824" t="s">
        <v>381</v>
      </c>
      <c r="B261" s="825" t="s">
        <v>69</v>
      </c>
      <c r="C261" s="825" t="s">
        <v>59</v>
      </c>
      <c r="D261" s="825" t="s">
        <v>62</v>
      </c>
      <c r="E261" s="825" t="s">
        <v>65</v>
      </c>
      <c r="F261" s="1116">
        <v>51202</v>
      </c>
      <c r="G261" s="1117" t="s">
        <v>759</v>
      </c>
      <c r="H261" s="1118">
        <v>14000</v>
      </c>
    </row>
    <row r="262" spans="1:8">
      <c r="A262" s="824" t="s">
        <v>381</v>
      </c>
      <c r="B262" s="825" t="s">
        <v>69</v>
      </c>
      <c r="C262" s="825" t="s">
        <v>59</v>
      </c>
      <c r="D262" s="825" t="s">
        <v>62</v>
      </c>
      <c r="E262" s="825" t="s">
        <v>65</v>
      </c>
      <c r="F262" s="1116">
        <v>54107</v>
      </c>
      <c r="G262" s="1117" t="s">
        <v>725</v>
      </c>
      <c r="H262" s="1118">
        <v>800</v>
      </c>
    </row>
    <row r="263" spans="1:8">
      <c r="A263" s="824" t="s">
        <v>381</v>
      </c>
      <c r="B263" s="825" t="s">
        <v>69</v>
      </c>
      <c r="C263" s="825" t="s">
        <v>59</v>
      </c>
      <c r="D263" s="825" t="s">
        <v>62</v>
      </c>
      <c r="E263" s="825" t="s">
        <v>65</v>
      </c>
      <c r="F263" s="826">
        <v>54111</v>
      </c>
      <c r="G263" s="827" t="s">
        <v>778</v>
      </c>
      <c r="H263" s="1118">
        <v>15450</v>
      </c>
    </row>
    <row r="264" spans="1:8">
      <c r="A264" s="824" t="s">
        <v>381</v>
      </c>
      <c r="B264" s="825" t="s">
        <v>69</v>
      </c>
      <c r="C264" s="825" t="s">
        <v>59</v>
      </c>
      <c r="D264" s="825" t="s">
        <v>62</v>
      </c>
      <c r="E264" s="825" t="s">
        <v>65</v>
      </c>
      <c r="F264" s="826">
        <v>54112</v>
      </c>
      <c r="G264" s="827" t="s">
        <v>782</v>
      </c>
      <c r="H264" s="1118">
        <v>1000</v>
      </c>
    </row>
    <row r="265" spans="1:8">
      <c r="A265" s="824" t="s">
        <v>381</v>
      </c>
      <c r="B265" s="825" t="s">
        <v>69</v>
      </c>
      <c r="C265" s="825" t="s">
        <v>59</v>
      </c>
      <c r="D265" s="825" t="s">
        <v>62</v>
      </c>
      <c r="E265" s="825" t="s">
        <v>65</v>
      </c>
      <c r="F265" s="826">
        <v>54118</v>
      </c>
      <c r="G265" s="827" t="s">
        <v>746</v>
      </c>
      <c r="H265" s="1118">
        <v>500</v>
      </c>
    </row>
    <row r="266" spans="1:8">
      <c r="A266" s="824" t="s">
        <v>381</v>
      </c>
      <c r="B266" s="825" t="s">
        <v>69</v>
      </c>
      <c r="C266" s="825" t="s">
        <v>59</v>
      </c>
      <c r="D266" s="825" t="s">
        <v>62</v>
      </c>
      <c r="E266" s="825" t="s">
        <v>65</v>
      </c>
      <c r="F266" s="826">
        <v>54199</v>
      </c>
      <c r="G266" s="827" t="s">
        <v>658</v>
      </c>
      <c r="H266" s="1118">
        <v>500</v>
      </c>
    </row>
    <row r="267" spans="1:8">
      <c r="A267" s="824" t="s">
        <v>381</v>
      </c>
      <c r="B267" s="825" t="s">
        <v>69</v>
      </c>
      <c r="C267" s="825" t="s">
        <v>59</v>
      </c>
      <c r="D267" s="825" t="s">
        <v>62</v>
      </c>
      <c r="E267" s="825" t="s">
        <v>65</v>
      </c>
      <c r="F267" s="829" t="s">
        <v>677</v>
      </c>
      <c r="G267" s="827" t="s">
        <v>678</v>
      </c>
      <c r="H267" s="1118">
        <v>1000</v>
      </c>
    </row>
    <row r="268" spans="1:8">
      <c r="A268" s="824" t="s">
        <v>381</v>
      </c>
      <c r="B268" s="825" t="s">
        <v>69</v>
      </c>
      <c r="C268" s="825" t="s">
        <v>59</v>
      </c>
      <c r="D268" s="825" t="s">
        <v>62</v>
      </c>
      <c r="E268" s="825" t="s">
        <v>65</v>
      </c>
      <c r="F268" s="831">
        <v>61608</v>
      </c>
      <c r="G268" s="832" t="s">
        <v>780</v>
      </c>
      <c r="H268" s="1119">
        <v>1750</v>
      </c>
    </row>
    <row r="269" spans="1:8" ht="15.75" thickBot="1">
      <c r="A269" s="1110"/>
      <c r="B269" s="1111"/>
      <c r="C269" s="1111"/>
      <c r="D269" s="1111"/>
      <c r="E269" s="1112"/>
      <c r="F269" s="1113"/>
      <c r="G269" s="1114"/>
      <c r="H269" s="1115">
        <f>SUM(H261:H268)</f>
        <v>35000</v>
      </c>
    </row>
    <row r="270" spans="1:8" ht="15.75" thickBot="1">
      <c r="A270" s="839"/>
      <c r="B270" s="839"/>
      <c r="C270" s="840"/>
      <c r="D270" s="841"/>
      <c r="E270" s="841"/>
      <c r="F270" s="841"/>
      <c r="G270" s="818"/>
      <c r="H270" s="819"/>
    </row>
    <row r="271" spans="1:8" ht="15" customHeight="1">
      <c r="A271" s="2685" t="s">
        <v>1080</v>
      </c>
      <c r="B271" s="2686"/>
      <c r="C271" s="2686"/>
      <c r="D271" s="2686"/>
      <c r="E271" s="2686"/>
      <c r="F271" s="2686"/>
      <c r="G271" s="2687" t="s">
        <v>1021</v>
      </c>
      <c r="H271" s="2688"/>
    </row>
    <row r="272" spans="1:8">
      <c r="A272" s="842"/>
      <c r="B272" s="843"/>
      <c r="C272" s="844"/>
      <c r="D272" s="844"/>
      <c r="E272" s="844"/>
      <c r="F272" s="844"/>
      <c r="G272" s="845"/>
      <c r="H272" s="846"/>
    </row>
    <row r="273" spans="1:8" ht="31.5" customHeight="1">
      <c r="A273" s="2689" t="s">
        <v>1090</v>
      </c>
      <c r="B273" s="2690"/>
      <c r="C273" s="2690"/>
      <c r="D273" s="2690"/>
      <c r="E273" s="2690"/>
      <c r="F273" s="2691"/>
      <c r="G273" s="2689" t="s">
        <v>1081</v>
      </c>
      <c r="H273" s="2691"/>
    </row>
    <row r="274" spans="1:8" ht="15" customHeight="1">
      <c r="A274" s="2692" t="s">
        <v>1085</v>
      </c>
      <c r="B274" s="2693"/>
      <c r="C274" s="2693"/>
      <c r="D274" s="2693"/>
      <c r="E274" s="2693"/>
      <c r="F274" s="2694"/>
      <c r="G274" s="845"/>
      <c r="H274" s="846"/>
    </row>
    <row r="275" spans="1:8" ht="44.25" customHeight="1">
      <c r="A275" s="2695"/>
      <c r="B275" s="2696"/>
      <c r="C275" s="2696"/>
      <c r="D275" s="2696"/>
      <c r="E275" s="2696"/>
      <c r="F275" s="2697"/>
      <c r="G275" s="2698" t="s">
        <v>772</v>
      </c>
      <c r="H275" s="2691"/>
    </row>
    <row r="276" spans="1:8">
      <c r="A276" s="842"/>
      <c r="B276" s="843"/>
      <c r="C276" s="843"/>
      <c r="D276" s="843"/>
      <c r="E276" s="843"/>
      <c r="F276" s="843"/>
      <c r="G276" s="847"/>
      <c r="H276" s="846"/>
    </row>
    <row r="277" spans="1:8" thickBot="1">
      <c r="A277" s="2699" t="s">
        <v>692</v>
      </c>
      <c r="B277" s="2700"/>
      <c r="C277" s="2700"/>
      <c r="D277" s="2700"/>
      <c r="E277" s="2700"/>
      <c r="F277" s="2701"/>
      <c r="G277" s="2702" t="s">
        <v>696</v>
      </c>
      <c r="H277" s="2701"/>
    </row>
    <row r="278" spans="1:8" ht="39.75" customHeight="1">
      <c r="A278" s="2716" t="s">
        <v>821</v>
      </c>
      <c r="B278" s="2716"/>
      <c r="C278" s="2716"/>
      <c r="D278" s="2716"/>
      <c r="E278" s="2716"/>
      <c r="F278" s="2716"/>
      <c r="G278" s="2716"/>
      <c r="H278" s="2716"/>
    </row>
    <row r="279" spans="1:8">
      <c r="A279" s="1056"/>
      <c r="B279" s="554"/>
      <c r="C279" s="554"/>
      <c r="D279" s="554"/>
      <c r="E279" s="554"/>
      <c r="F279" s="554"/>
      <c r="G279" s="1057"/>
      <c r="H279" s="554"/>
    </row>
    <row r="284" spans="1:8" ht="18.75">
      <c r="A284" s="2217" t="s">
        <v>111</v>
      </c>
      <c r="B284" s="2164"/>
      <c r="C284" s="2164"/>
      <c r="D284" s="2164"/>
      <c r="E284" s="2164"/>
      <c r="F284" s="2164"/>
      <c r="G284" s="2164"/>
      <c r="H284" s="2164"/>
    </row>
    <row r="285" spans="1:8" ht="18.75">
      <c r="A285" s="2217" t="s">
        <v>757</v>
      </c>
      <c r="B285" s="2164"/>
      <c r="C285" s="2164"/>
      <c r="D285" s="2164"/>
      <c r="E285" s="2164"/>
      <c r="F285" s="2164"/>
      <c r="G285" s="2164"/>
      <c r="H285" s="2164"/>
    </row>
    <row r="286" spans="1:8" ht="18.75">
      <c r="A286" s="2185" t="s">
        <v>211</v>
      </c>
      <c r="B286" s="2164"/>
      <c r="C286" s="2164"/>
      <c r="D286" s="2164"/>
      <c r="E286" s="2164"/>
      <c r="F286" s="2164"/>
      <c r="G286" s="2164"/>
      <c r="H286" s="2164"/>
    </row>
    <row r="287" spans="1:8" ht="18.75">
      <c r="A287" s="2185" t="s">
        <v>1212</v>
      </c>
      <c r="B287" s="2164"/>
      <c r="C287" s="2164"/>
      <c r="D287" s="2164"/>
      <c r="E287" s="2164"/>
      <c r="F287" s="2164"/>
      <c r="G287" s="2164"/>
      <c r="H287" s="2164"/>
    </row>
    <row r="288" spans="1:8" ht="18.75">
      <c r="A288" s="2185" t="s">
        <v>32</v>
      </c>
      <c r="B288" s="2164"/>
      <c r="C288" s="2164"/>
      <c r="D288" s="2164"/>
      <c r="E288" s="2164"/>
      <c r="F288" s="2164"/>
      <c r="G288" s="2164"/>
      <c r="H288" s="2164"/>
    </row>
    <row r="289" spans="1:9">
      <c r="A289" s="850"/>
      <c r="B289" s="198"/>
      <c r="C289" s="851"/>
      <c r="D289" s="41"/>
      <c r="E289" s="41"/>
      <c r="F289" s="41"/>
      <c r="G289" s="21"/>
      <c r="H289" s="203"/>
    </row>
    <row r="290" spans="1:9" ht="18.75">
      <c r="A290" s="2613" t="s">
        <v>49</v>
      </c>
      <c r="B290" s="2613"/>
      <c r="C290" s="2613"/>
      <c r="D290" s="2613"/>
      <c r="E290" s="2613"/>
      <c r="F290" s="2613"/>
      <c r="G290" s="2613"/>
      <c r="H290" s="2613"/>
    </row>
    <row r="291" spans="1:9" ht="35.25" customHeight="1">
      <c r="A291" s="2821" t="s">
        <v>1091</v>
      </c>
      <c r="B291" s="2822"/>
      <c r="C291" s="2822"/>
      <c r="D291" s="2822"/>
      <c r="E291" s="2822"/>
      <c r="F291" s="2822"/>
      <c r="G291" s="2822"/>
      <c r="H291" s="2822"/>
      <c r="I291" s="1146"/>
    </row>
    <row r="292" spans="1:9" ht="15.75" thickBot="1">
      <c r="A292" s="2567" t="s">
        <v>29</v>
      </c>
      <c r="B292" s="2568"/>
      <c r="C292" s="2568"/>
      <c r="D292" s="2568"/>
      <c r="E292" s="2568"/>
      <c r="F292" s="2569"/>
      <c r="G292" s="2570" t="s">
        <v>640</v>
      </c>
      <c r="H292" s="2572" t="s">
        <v>639</v>
      </c>
    </row>
    <row r="293" spans="1:9" ht="75.75" thickBot="1">
      <c r="A293" s="411" t="s">
        <v>39</v>
      </c>
      <c r="B293" s="412" t="s">
        <v>40</v>
      </c>
      <c r="C293" s="412" t="s">
        <v>41</v>
      </c>
      <c r="D293" s="412" t="s">
        <v>45</v>
      </c>
      <c r="E293" s="413" t="s">
        <v>42</v>
      </c>
      <c r="F293" s="407" t="s">
        <v>43</v>
      </c>
      <c r="G293" s="2571"/>
      <c r="H293" s="2595"/>
    </row>
    <row r="294" spans="1:9">
      <c r="A294" s="852" t="s">
        <v>381</v>
      </c>
      <c r="B294" s="853" t="s">
        <v>69</v>
      </c>
      <c r="C294" s="853" t="s">
        <v>59</v>
      </c>
      <c r="D294" s="853" t="s">
        <v>62</v>
      </c>
      <c r="E294" s="853" t="s">
        <v>65</v>
      </c>
      <c r="F294" s="854" t="s">
        <v>209</v>
      </c>
      <c r="G294" s="415" t="s">
        <v>724</v>
      </c>
      <c r="H294" s="491">
        <v>7000</v>
      </c>
    </row>
    <row r="295" spans="1:9">
      <c r="A295" s="852" t="s">
        <v>381</v>
      </c>
      <c r="B295" s="853" t="s">
        <v>69</v>
      </c>
      <c r="C295" s="853" t="s">
        <v>59</v>
      </c>
      <c r="D295" s="853" t="s">
        <v>62</v>
      </c>
      <c r="E295" s="853" t="s">
        <v>65</v>
      </c>
      <c r="F295" s="856" t="s">
        <v>498</v>
      </c>
      <c r="G295" s="415" t="s">
        <v>725</v>
      </c>
      <c r="H295" s="491">
        <v>500</v>
      </c>
    </row>
    <row r="296" spans="1:9">
      <c r="A296" s="852" t="s">
        <v>381</v>
      </c>
      <c r="B296" s="853" t="s">
        <v>69</v>
      </c>
      <c r="C296" s="853" t="s">
        <v>59</v>
      </c>
      <c r="D296" s="853" t="s">
        <v>62</v>
      </c>
      <c r="E296" s="853" t="s">
        <v>65</v>
      </c>
      <c r="F296" s="856" t="s">
        <v>726</v>
      </c>
      <c r="G296" s="416" t="s">
        <v>727</v>
      </c>
      <c r="H296" s="491">
        <v>9500</v>
      </c>
    </row>
    <row r="297" spans="1:9">
      <c r="A297" s="852" t="s">
        <v>381</v>
      </c>
      <c r="B297" s="853" t="s">
        <v>69</v>
      </c>
      <c r="C297" s="853" t="s">
        <v>59</v>
      </c>
      <c r="D297" s="853" t="s">
        <v>62</v>
      </c>
      <c r="E297" s="853" t="s">
        <v>65</v>
      </c>
      <c r="F297" s="856" t="s">
        <v>771</v>
      </c>
      <c r="G297" s="419" t="s">
        <v>782</v>
      </c>
      <c r="H297" s="491">
        <v>500</v>
      </c>
    </row>
    <row r="298" spans="1:9">
      <c r="A298" s="852" t="s">
        <v>381</v>
      </c>
      <c r="B298" s="853" t="s">
        <v>69</v>
      </c>
      <c r="C298" s="853" t="s">
        <v>59</v>
      </c>
      <c r="D298" s="853" t="s">
        <v>62</v>
      </c>
      <c r="E298" s="853" t="s">
        <v>65</v>
      </c>
      <c r="F298" s="425">
        <v>54118</v>
      </c>
      <c r="G298" s="416" t="s">
        <v>729</v>
      </c>
      <c r="H298" s="492">
        <v>500</v>
      </c>
    </row>
    <row r="299" spans="1:9">
      <c r="A299" s="852" t="s">
        <v>381</v>
      </c>
      <c r="B299" s="853" t="s">
        <v>69</v>
      </c>
      <c r="C299" s="853" t="s">
        <v>59</v>
      </c>
      <c r="D299" s="853" t="s">
        <v>62</v>
      </c>
      <c r="E299" s="853" t="s">
        <v>65</v>
      </c>
      <c r="F299" s="425">
        <v>54199</v>
      </c>
      <c r="G299" s="419" t="s">
        <v>730</v>
      </c>
      <c r="H299" s="492">
        <v>300</v>
      </c>
    </row>
    <row r="300" spans="1:9">
      <c r="A300" s="852" t="s">
        <v>381</v>
      </c>
      <c r="B300" s="853" t="s">
        <v>69</v>
      </c>
      <c r="C300" s="853" t="s">
        <v>59</v>
      </c>
      <c r="D300" s="853" t="s">
        <v>62</v>
      </c>
      <c r="E300" s="853" t="s">
        <v>65</v>
      </c>
      <c r="F300" s="487">
        <v>54304</v>
      </c>
      <c r="G300" s="419" t="s">
        <v>661</v>
      </c>
      <c r="H300" s="492">
        <v>700</v>
      </c>
    </row>
    <row r="301" spans="1:9">
      <c r="A301" s="852" t="s">
        <v>381</v>
      </c>
      <c r="B301" s="853" t="s">
        <v>69</v>
      </c>
      <c r="C301" s="853" t="s">
        <v>59</v>
      </c>
      <c r="D301" s="853" t="s">
        <v>62</v>
      </c>
      <c r="E301" s="853" t="s">
        <v>65</v>
      </c>
      <c r="F301" s="487">
        <v>61608</v>
      </c>
      <c r="G301" s="419" t="s">
        <v>731</v>
      </c>
      <c r="H301" s="492">
        <v>1000</v>
      </c>
    </row>
    <row r="302" spans="1:9" ht="15.75" thickBot="1">
      <c r="A302" s="1058"/>
      <c r="B302" s="1059"/>
      <c r="C302" s="1059"/>
      <c r="D302" s="1059"/>
      <c r="E302" s="1060"/>
      <c r="F302" s="1061"/>
      <c r="G302" s="1062"/>
      <c r="H302" s="1072">
        <f>SUM(H294:H301)</f>
        <v>20000</v>
      </c>
      <c r="I302">
        <f>5000-4903.3</f>
        <v>96.699999999999818</v>
      </c>
    </row>
    <row r="303" spans="1:9" ht="15.75" thickBot="1">
      <c r="A303" s="200"/>
      <c r="B303" s="200"/>
      <c r="C303" s="201"/>
      <c r="D303" s="202"/>
      <c r="E303" s="202"/>
      <c r="F303" s="202"/>
      <c r="G303" s="21"/>
      <c r="H303" s="203"/>
    </row>
    <row r="304" spans="1:9">
      <c r="A304" s="2541" t="s">
        <v>1080</v>
      </c>
      <c r="B304" s="2542"/>
      <c r="C304" s="2542"/>
      <c r="D304" s="2542"/>
      <c r="E304" s="2542"/>
      <c r="F304" s="2542"/>
      <c r="G304" s="2543" t="s">
        <v>1323</v>
      </c>
      <c r="H304" s="2544"/>
    </row>
    <row r="305" spans="1:8">
      <c r="A305" s="857"/>
      <c r="B305" s="47"/>
      <c r="C305" s="160"/>
      <c r="D305" s="160"/>
      <c r="E305" s="160"/>
      <c r="F305" s="160"/>
      <c r="G305" s="858"/>
      <c r="H305" s="859"/>
    </row>
    <row r="306" spans="1:8" ht="31.5" customHeight="1">
      <c r="A306" s="2551" t="s">
        <v>1091</v>
      </c>
      <c r="B306" s="2598"/>
      <c r="C306" s="2598"/>
      <c r="D306" s="2598"/>
      <c r="E306" s="2598"/>
      <c r="F306" s="2552"/>
      <c r="G306" s="2551" t="s">
        <v>1092</v>
      </c>
      <c r="H306" s="2552"/>
    </row>
    <row r="307" spans="1:8">
      <c r="A307" s="2638" t="s">
        <v>954</v>
      </c>
      <c r="B307" s="2554"/>
      <c r="C307" s="2554"/>
      <c r="D307" s="2554"/>
      <c r="E307" s="2554"/>
      <c r="F307" s="2555"/>
      <c r="G307" s="858"/>
      <c r="H307" s="859"/>
    </row>
    <row r="308" spans="1:8" ht="29.25" customHeight="1">
      <c r="A308" s="2556"/>
      <c r="B308" s="2557"/>
      <c r="C308" s="2557"/>
      <c r="D308" s="2557"/>
      <c r="E308" s="2557"/>
      <c r="F308" s="2558"/>
      <c r="G308" s="2559" t="s">
        <v>695</v>
      </c>
      <c r="H308" s="2552"/>
    </row>
    <row r="309" spans="1:8">
      <c r="A309" s="857"/>
      <c r="B309" s="47"/>
      <c r="C309" s="47"/>
      <c r="D309" s="47"/>
      <c r="E309" s="47"/>
      <c r="F309" s="47"/>
      <c r="G309" s="860"/>
      <c r="H309" s="859"/>
    </row>
    <row r="310" spans="1:8" thickBot="1">
      <c r="A310" s="2560" t="s">
        <v>692</v>
      </c>
      <c r="B310" s="2561"/>
      <c r="C310" s="2561"/>
      <c r="D310" s="2561"/>
      <c r="E310" s="2561"/>
      <c r="F310" s="2562"/>
      <c r="G310" s="2563" t="s">
        <v>696</v>
      </c>
      <c r="H310" s="2562"/>
    </row>
    <row r="312" spans="1:8" ht="40.5" customHeight="1">
      <c r="A312" s="2601"/>
      <c r="B312" s="2601"/>
      <c r="C312" s="2601"/>
      <c r="D312" s="2601"/>
      <c r="E312" s="2601"/>
      <c r="F312" s="2601"/>
      <c r="G312" s="2601"/>
      <c r="H312" s="2601"/>
    </row>
    <row r="313" spans="1:8" ht="18.75">
      <c r="A313" s="613"/>
      <c r="B313" s="613"/>
      <c r="C313" s="613"/>
      <c r="D313" s="613"/>
      <c r="E313" s="613"/>
      <c r="F313" s="613"/>
      <c r="G313" s="613"/>
      <c r="H313" s="613"/>
    </row>
    <row r="314" spans="1:8" ht="18.75">
      <c r="A314" s="613"/>
      <c r="B314" s="613"/>
      <c r="C314" s="613"/>
      <c r="D314" s="613"/>
      <c r="E314" s="613"/>
      <c r="F314" s="613"/>
      <c r="G314" s="613"/>
      <c r="H314" s="613"/>
    </row>
    <row r="316" spans="1:8" ht="18.75">
      <c r="A316" s="2162" t="s">
        <v>111</v>
      </c>
      <c r="B316" s="2164"/>
      <c r="C316" s="2164"/>
      <c r="D316" s="2164"/>
      <c r="E316" s="2164"/>
      <c r="F316" s="2164"/>
      <c r="G316" s="2164"/>
      <c r="H316" s="2164"/>
    </row>
    <row r="317" spans="1:8" ht="18.75">
      <c r="A317" s="2162" t="s">
        <v>757</v>
      </c>
      <c r="B317" s="2164"/>
      <c r="C317" s="2164"/>
      <c r="D317" s="2164"/>
      <c r="E317" s="2164"/>
      <c r="F317" s="2164"/>
      <c r="G317" s="2164"/>
      <c r="H317" s="2164"/>
    </row>
    <row r="318" spans="1:8" ht="18.75">
      <c r="A318" s="2163" t="s">
        <v>211</v>
      </c>
      <c r="B318" s="2164"/>
      <c r="C318" s="2164"/>
      <c r="D318" s="2164"/>
      <c r="E318" s="2164"/>
      <c r="F318" s="2164"/>
      <c r="G318" s="2164"/>
      <c r="H318" s="2164"/>
    </row>
    <row r="319" spans="1:8" ht="18.75">
      <c r="A319" s="2163" t="s">
        <v>1212</v>
      </c>
      <c r="B319" s="2164"/>
      <c r="C319" s="2164"/>
      <c r="D319" s="2164"/>
      <c r="E319" s="2164"/>
      <c r="F319" s="2164"/>
      <c r="G319" s="2164"/>
      <c r="H319" s="2164"/>
    </row>
    <row r="320" spans="1:8" ht="18.75">
      <c r="A320" s="2163" t="s">
        <v>32</v>
      </c>
      <c r="B320" s="2164"/>
      <c r="C320" s="2164"/>
      <c r="D320" s="2164"/>
      <c r="E320" s="2164"/>
      <c r="F320" s="2164"/>
      <c r="G320" s="2164"/>
      <c r="H320" s="2164"/>
    </row>
    <row r="321" spans="1:8">
      <c r="A321" s="33"/>
    </row>
    <row r="322" spans="1:8" ht="18.75">
      <c r="A322" s="2596" t="s">
        <v>49</v>
      </c>
      <c r="B322" s="2596"/>
      <c r="C322" s="2596"/>
      <c r="D322" s="2596"/>
      <c r="E322" s="2596"/>
      <c r="F322" s="2596"/>
      <c r="G322" s="2596"/>
      <c r="H322" s="2596"/>
    </row>
    <row r="323" spans="1:8" ht="37.5" customHeight="1">
      <c r="A323" s="2780" t="s">
        <v>1161</v>
      </c>
      <c r="B323" s="2781"/>
      <c r="C323" s="2781"/>
      <c r="D323" s="2781"/>
      <c r="E323" s="2781"/>
      <c r="F323" s="2781"/>
      <c r="G323" s="2781"/>
      <c r="H323" s="2781"/>
    </row>
    <row r="324" spans="1:8" ht="15.75" customHeight="1" thickBot="1">
      <c r="A324" s="2567" t="s">
        <v>29</v>
      </c>
      <c r="B324" s="2568"/>
      <c r="C324" s="2568"/>
      <c r="D324" s="2568"/>
      <c r="E324" s="2568"/>
      <c r="F324" s="2569"/>
      <c r="G324" s="2570" t="s">
        <v>640</v>
      </c>
      <c r="H324" s="2572" t="s">
        <v>639</v>
      </c>
    </row>
    <row r="325" spans="1:8" ht="75.75" thickBot="1">
      <c r="A325" s="411" t="s">
        <v>39</v>
      </c>
      <c r="B325" s="412" t="s">
        <v>40</v>
      </c>
      <c r="C325" s="412" t="s">
        <v>41</v>
      </c>
      <c r="D325" s="412" t="s">
        <v>45</v>
      </c>
      <c r="E325" s="413" t="s">
        <v>42</v>
      </c>
      <c r="F325" s="407" t="s">
        <v>43</v>
      </c>
      <c r="G325" s="2571"/>
      <c r="H325" s="2595"/>
    </row>
    <row r="326" spans="1:8">
      <c r="A326" s="34" t="s">
        <v>381</v>
      </c>
      <c r="B326" s="23" t="s">
        <v>69</v>
      </c>
      <c r="C326" s="23" t="s">
        <v>59</v>
      </c>
      <c r="D326" s="23" t="s">
        <v>62</v>
      </c>
      <c r="E326" s="23" t="s">
        <v>65</v>
      </c>
      <c r="F326" s="423" t="s">
        <v>209</v>
      </c>
      <c r="G326" s="415" t="s">
        <v>724</v>
      </c>
      <c r="H326" s="24">
        <v>7000</v>
      </c>
    </row>
    <row r="327" spans="1:8">
      <c r="A327" s="34" t="s">
        <v>381</v>
      </c>
      <c r="B327" s="23" t="s">
        <v>69</v>
      </c>
      <c r="C327" s="23" t="s">
        <v>59</v>
      </c>
      <c r="D327" s="23" t="s">
        <v>62</v>
      </c>
      <c r="E327" s="23" t="s">
        <v>65</v>
      </c>
      <c r="F327" s="424" t="s">
        <v>498</v>
      </c>
      <c r="G327" s="416" t="s">
        <v>725</v>
      </c>
      <c r="H327" s="24">
        <v>800</v>
      </c>
    </row>
    <row r="328" spans="1:8">
      <c r="A328" s="34" t="s">
        <v>381</v>
      </c>
      <c r="B328" s="23" t="s">
        <v>69</v>
      </c>
      <c r="C328" s="23" t="s">
        <v>59</v>
      </c>
      <c r="D328" s="23" t="s">
        <v>62</v>
      </c>
      <c r="E328" s="23" t="s">
        <v>65</v>
      </c>
      <c r="F328" s="424" t="s">
        <v>726</v>
      </c>
      <c r="G328" s="416" t="s">
        <v>727</v>
      </c>
      <c r="H328" s="24">
        <v>9800</v>
      </c>
    </row>
    <row r="329" spans="1:8">
      <c r="A329" s="34" t="s">
        <v>381</v>
      </c>
      <c r="B329" s="23" t="s">
        <v>69</v>
      </c>
      <c r="C329" s="23" t="s">
        <v>59</v>
      </c>
      <c r="D329" s="23" t="s">
        <v>62</v>
      </c>
      <c r="E329" s="23" t="s">
        <v>65</v>
      </c>
      <c r="F329" s="425">
        <v>54112</v>
      </c>
      <c r="G329" s="416" t="s">
        <v>728</v>
      </c>
      <c r="H329" s="25">
        <v>900</v>
      </c>
    </row>
    <row r="330" spans="1:8">
      <c r="A330" s="34" t="s">
        <v>381</v>
      </c>
      <c r="B330" s="23" t="s">
        <v>69</v>
      </c>
      <c r="C330" s="23" t="s">
        <v>59</v>
      </c>
      <c r="D330" s="23" t="s">
        <v>62</v>
      </c>
      <c r="E330" s="23" t="s">
        <v>65</v>
      </c>
      <c r="F330" s="425">
        <v>54118</v>
      </c>
      <c r="G330" s="416" t="s">
        <v>729</v>
      </c>
      <c r="H330" s="25">
        <v>300</v>
      </c>
    </row>
    <row r="331" spans="1:8">
      <c r="A331" s="34" t="s">
        <v>381</v>
      </c>
      <c r="B331" s="23" t="s">
        <v>69</v>
      </c>
      <c r="C331" s="23" t="s">
        <v>59</v>
      </c>
      <c r="D331" s="23" t="s">
        <v>62</v>
      </c>
      <c r="E331" s="23" t="s">
        <v>65</v>
      </c>
      <c r="F331" s="425">
        <v>54199</v>
      </c>
      <c r="G331" s="419" t="s">
        <v>730</v>
      </c>
      <c r="H331" s="25">
        <v>200</v>
      </c>
    </row>
    <row r="332" spans="1:8">
      <c r="A332" s="34" t="s">
        <v>381</v>
      </c>
      <c r="B332" s="23" t="s">
        <v>69</v>
      </c>
      <c r="C332" s="23" t="s">
        <v>59</v>
      </c>
      <c r="D332" s="23" t="s">
        <v>62</v>
      </c>
      <c r="E332" s="23" t="s">
        <v>65</v>
      </c>
      <c r="F332" s="487">
        <v>61608</v>
      </c>
      <c r="G332" s="419" t="s">
        <v>731</v>
      </c>
      <c r="H332" s="25">
        <v>1000</v>
      </c>
    </row>
    <row r="333" spans="1:8" ht="15.75" thickBot="1">
      <c r="A333" s="1064"/>
      <c r="B333" s="1065"/>
      <c r="C333" s="1065"/>
      <c r="D333" s="1065"/>
      <c r="E333" s="1066"/>
      <c r="F333" s="1067"/>
      <c r="G333" s="1068"/>
      <c r="H333" s="1071">
        <f>SUM(H326:H332)</f>
        <v>20000</v>
      </c>
    </row>
    <row r="334" spans="1:8" ht="15.75" thickBot="1">
      <c r="B334" s="9"/>
      <c r="C334" s="10"/>
      <c r="D334" s="3"/>
      <c r="E334" s="3"/>
      <c r="F334" s="3"/>
    </row>
    <row r="335" spans="1:8" ht="15" customHeight="1">
      <c r="A335" s="2573" t="s">
        <v>732</v>
      </c>
      <c r="B335" s="2574"/>
      <c r="C335" s="2574"/>
      <c r="D335" s="2574"/>
      <c r="E335" s="2574"/>
      <c r="F335" s="2574"/>
      <c r="G335" s="2575" t="s">
        <v>1021</v>
      </c>
      <c r="H335" s="2576"/>
    </row>
    <row r="336" spans="1:8">
      <c r="A336" s="482"/>
      <c r="B336" s="551"/>
      <c r="C336" s="19"/>
      <c r="D336" s="19"/>
      <c r="E336" s="19"/>
      <c r="F336" s="19"/>
      <c r="G336" s="483"/>
      <c r="H336" s="484"/>
    </row>
    <row r="337" spans="1:8" ht="33" customHeight="1">
      <c r="A337" s="2580" t="s">
        <v>1093</v>
      </c>
      <c r="B337" s="2598"/>
      <c r="C337" s="2598"/>
      <c r="D337" s="2598"/>
      <c r="E337" s="2598"/>
      <c r="F337" s="2552"/>
      <c r="G337" s="2580" t="s">
        <v>1096</v>
      </c>
      <c r="H337" s="2552"/>
    </row>
    <row r="338" spans="1:8" ht="15" customHeight="1">
      <c r="A338" s="2597" t="s">
        <v>955</v>
      </c>
      <c r="B338" s="2584"/>
      <c r="C338" s="2584"/>
      <c r="D338" s="2584"/>
      <c r="E338" s="2584"/>
      <c r="F338" s="2585"/>
      <c r="G338" s="483"/>
      <c r="H338" s="484"/>
    </row>
    <row r="339" spans="1:8" ht="16.5" customHeight="1">
      <c r="A339" s="2586"/>
      <c r="B339" s="2587"/>
      <c r="C339" s="2587"/>
      <c r="D339" s="2587"/>
      <c r="E339" s="2587"/>
      <c r="F339" s="2588"/>
      <c r="G339" s="2589" t="s">
        <v>695</v>
      </c>
      <c r="H339" s="2552"/>
    </row>
    <row r="340" spans="1:8">
      <c r="A340" s="482"/>
      <c r="B340" s="551"/>
      <c r="C340" s="551"/>
      <c r="D340" s="551"/>
      <c r="E340" s="551"/>
      <c r="F340" s="551"/>
      <c r="G340" s="485"/>
      <c r="H340" s="484"/>
    </row>
    <row r="341" spans="1:8" ht="15" customHeight="1" thickBot="1">
      <c r="A341" s="2590" t="s">
        <v>692</v>
      </c>
      <c r="B341" s="2561"/>
      <c r="C341" s="2561"/>
      <c r="D341" s="2561"/>
      <c r="E341" s="2561"/>
      <c r="F341" s="2562"/>
      <c r="G341" s="2591" t="s">
        <v>696</v>
      </c>
      <c r="H341" s="2562"/>
    </row>
    <row r="342" spans="1:8" ht="39.75" customHeight="1">
      <c r="A342" s="2601" t="s">
        <v>821</v>
      </c>
      <c r="B342" s="2601"/>
      <c r="C342" s="2601"/>
      <c r="D342" s="2601"/>
      <c r="E342" s="2601"/>
      <c r="F342" s="2601"/>
      <c r="G342" s="2601"/>
      <c r="H342" s="2601"/>
    </row>
    <row r="343" spans="1:8" ht="18.75" customHeight="1"/>
    <row r="345" spans="1:8" ht="18.75">
      <c r="A345" s="2162" t="s">
        <v>111</v>
      </c>
      <c r="B345" s="2164"/>
      <c r="C345" s="2164"/>
      <c r="D345" s="2164"/>
      <c r="E345" s="2164"/>
      <c r="F345" s="2164"/>
      <c r="G345" s="2164"/>
      <c r="H345" s="2164"/>
    </row>
    <row r="346" spans="1:8" ht="18.75">
      <c r="A346" s="2162" t="s">
        <v>757</v>
      </c>
      <c r="B346" s="2164"/>
      <c r="C346" s="2164"/>
      <c r="D346" s="2164"/>
      <c r="E346" s="2164"/>
      <c r="F346" s="2164"/>
      <c r="G346" s="2164"/>
      <c r="H346" s="2164"/>
    </row>
    <row r="347" spans="1:8" ht="18.75">
      <c r="A347" s="2163" t="s">
        <v>211</v>
      </c>
      <c r="B347" s="2164"/>
      <c r="C347" s="2164"/>
      <c r="D347" s="2164"/>
      <c r="E347" s="2164"/>
      <c r="F347" s="2164"/>
      <c r="G347" s="2164"/>
      <c r="H347" s="2164"/>
    </row>
    <row r="348" spans="1:8" ht="18.75">
      <c r="A348" s="2163" t="s">
        <v>1212</v>
      </c>
      <c r="B348" s="2164"/>
      <c r="C348" s="2164"/>
      <c r="D348" s="2164"/>
      <c r="E348" s="2164"/>
      <c r="F348" s="2164"/>
      <c r="G348" s="2164"/>
      <c r="H348" s="2164"/>
    </row>
    <row r="349" spans="1:8" ht="18.75">
      <c r="A349" s="2163" t="s">
        <v>32</v>
      </c>
      <c r="B349" s="2164"/>
      <c r="C349" s="2164"/>
      <c r="D349" s="2164"/>
      <c r="E349" s="2164"/>
      <c r="F349" s="2164"/>
      <c r="G349" s="2164"/>
      <c r="H349" s="2164"/>
    </row>
    <row r="350" spans="1:8">
      <c r="A350" s="33"/>
    </row>
    <row r="351" spans="1:8" ht="18.75">
      <c r="A351" s="2596" t="s">
        <v>49</v>
      </c>
      <c r="B351" s="2596"/>
      <c r="C351" s="2596"/>
      <c r="D351" s="2596"/>
      <c r="E351" s="2596"/>
      <c r="F351" s="2596"/>
      <c r="G351" s="2596"/>
      <c r="H351" s="2596"/>
    </row>
    <row r="352" spans="1:8" ht="42.75" customHeight="1" thickBot="1">
      <c r="A352" s="2780" t="s">
        <v>1410</v>
      </c>
      <c r="B352" s="2781"/>
      <c r="C352" s="2781"/>
      <c r="D352" s="2781"/>
      <c r="E352" s="2781"/>
      <c r="F352" s="2781"/>
      <c r="G352" s="2781"/>
      <c r="H352" s="2781"/>
    </row>
    <row r="353" spans="1:8" ht="15.75" thickBot="1">
      <c r="A353" s="2606" t="s">
        <v>29</v>
      </c>
      <c r="B353" s="2607"/>
      <c r="C353" s="2607"/>
      <c r="D353" s="2607"/>
      <c r="E353" s="2607"/>
      <c r="F353" s="2608"/>
      <c r="G353" s="2609" t="s">
        <v>640</v>
      </c>
      <c r="H353" s="2610" t="s">
        <v>639</v>
      </c>
    </row>
    <row r="354" spans="1:8" ht="75.75" thickBot="1">
      <c r="A354" s="411" t="s">
        <v>39</v>
      </c>
      <c r="B354" s="412" t="s">
        <v>40</v>
      </c>
      <c r="C354" s="412" t="s">
        <v>41</v>
      </c>
      <c r="D354" s="412" t="s">
        <v>45</v>
      </c>
      <c r="E354" s="413" t="s">
        <v>42</v>
      </c>
      <c r="F354" s="407" t="s">
        <v>43</v>
      </c>
      <c r="G354" s="2630"/>
      <c r="H354" s="2572"/>
    </row>
    <row r="355" spans="1:8" ht="18">
      <c r="A355" s="34" t="s">
        <v>381</v>
      </c>
      <c r="B355" s="23" t="s">
        <v>69</v>
      </c>
      <c r="C355" s="23" t="s">
        <v>59</v>
      </c>
      <c r="D355" s="23" t="s">
        <v>62</v>
      </c>
      <c r="E355" s="23" t="s">
        <v>65</v>
      </c>
      <c r="F355" s="423" t="s">
        <v>1134</v>
      </c>
      <c r="G355" s="415" t="s">
        <v>1135</v>
      </c>
      <c r="H355" s="1054">
        <v>114000</v>
      </c>
    </row>
    <row r="356" spans="1:8" ht="18" hidden="1">
      <c r="A356" s="34" t="s">
        <v>381</v>
      </c>
      <c r="B356" s="23" t="s">
        <v>69</v>
      </c>
      <c r="C356" s="23" t="s">
        <v>59</v>
      </c>
      <c r="D356" s="23" t="s">
        <v>62</v>
      </c>
      <c r="E356" s="23" t="s">
        <v>65</v>
      </c>
      <c r="F356" s="424" t="s">
        <v>498</v>
      </c>
      <c r="G356" s="416" t="s">
        <v>725</v>
      </c>
      <c r="H356" s="1054"/>
    </row>
    <row r="357" spans="1:8" ht="18" hidden="1">
      <c r="A357" s="34" t="s">
        <v>381</v>
      </c>
      <c r="B357" s="23" t="s">
        <v>69</v>
      </c>
      <c r="C357" s="23" t="s">
        <v>59</v>
      </c>
      <c r="D357" s="23" t="s">
        <v>62</v>
      </c>
      <c r="E357" s="23" t="s">
        <v>65</v>
      </c>
      <c r="F357" s="424" t="s">
        <v>726</v>
      </c>
      <c r="G357" s="416" t="s">
        <v>727</v>
      </c>
      <c r="H357" s="1054"/>
    </row>
    <row r="358" spans="1:8" ht="18" hidden="1">
      <c r="A358" s="34" t="s">
        <v>381</v>
      </c>
      <c r="B358" s="23" t="s">
        <v>69</v>
      </c>
      <c r="C358" s="23" t="s">
        <v>59</v>
      </c>
      <c r="D358" s="23" t="s">
        <v>62</v>
      </c>
      <c r="E358" s="23" t="s">
        <v>65</v>
      </c>
      <c r="F358" s="425">
        <v>54112</v>
      </c>
      <c r="G358" s="416" t="s">
        <v>728</v>
      </c>
      <c r="H358" s="1054"/>
    </row>
    <row r="359" spans="1:8" ht="18" hidden="1">
      <c r="A359" s="34" t="s">
        <v>381</v>
      </c>
      <c r="B359" s="23" t="s">
        <v>69</v>
      </c>
      <c r="C359" s="23" t="s">
        <v>59</v>
      </c>
      <c r="D359" s="23" t="s">
        <v>62</v>
      </c>
      <c r="E359" s="23" t="s">
        <v>65</v>
      </c>
      <c r="F359" s="425">
        <v>54118</v>
      </c>
      <c r="G359" s="416" t="s">
        <v>729</v>
      </c>
      <c r="H359" s="1054"/>
    </row>
    <row r="360" spans="1:8" ht="18" hidden="1">
      <c r="A360" s="34" t="s">
        <v>381</v>
      </c>
      <c r="B360" s="23" t="s">
        <v>69</v>
      </c>
      <c r="C360" s="23" t="s">
        <v>59</v>
      </c>
      <c r="D360" s="23" t="s">
        <v>62</v>
      </c>
      <c r="E360" s="23" t="s">
        <v>65</v>
      </c>
      <c r="F360" s="425">
        <v>54199</v>
      </c>
      <c r="G360" s="419" t="s">
        <v>730</v>
      </c>
      <c r="H360" s="1054"/>
    </row>
    <row r="361" spans="1:8">
      <c r="A361" s="34" t="s">
        <v>381</v>
      </c>
      <c r="B361" s="23" t="s">
        <v>69</v>
      </c>
      <c r="C361" s="23" t="s">
        <v>59</v>
      </c>
      <c r="D361" s="23" t="s">
        <v>62</v>
      </c>
      <c r="E361" s="23" t="s">
        <v>65</v>
      </c>
      <c r="F361" s="487">
        <v>61608</v>
      </c>
      <c r="G361" s="419" t="s">
        <v>731</v>
      </c>
      <c r="H361" s="541">
        <v>6000</v>
      </c>
    </row>
    <row r="362" spans="1:8" ht="15.75" thickBot="1">
      <c r="A362" s="1064"/>
      <c r="B362" s="1065"/>
      <c r="C362" s="1065"/>
      <c r="D362" s="1065"/>
      <c r="E362" s="1066"/>
      <c r="F362" s="1067"/>
      <c r="G362" s="1068"/>
      <c r="H362" s="1071">
        <f>SUM(H355:H361)</f>
        <v>120000</v>
      </c>
    </row>
    <row r="363" spans="1:8" ht="15.75" thickBot="1">
      <c r="B363" s="9"/>
      <c r="C363" s="10"/>
      <c r="D363" s="3"/>
      <c r="E363" s="3"/>
      <c r="F363" s="3"/>
    </row>
    <row r="364" spans="1:8">
      <c r="A364" s="2573" t="s">
        <v>732</v>
      </c>
      <c r="B364" s="2574"/>
      <c r="C364" s="2574"/>
      <c r="D364" s="2574"/>
      <c r="E364" s="2574"/>
      <c r="F364" s="2574"/>
      <c r="G364" s="2575" t="s">
        <v>1323</v>
      </c>
      <c r="H364" s="2576"/>
    </row>
    <row r="365" spans="1:8">
      <c r="A365" s="482"/>
      <c r="B365" s="551"/>
      <c r="C365" s="19"/>
      <c r="D365" s="19"/>
      <c r="E365" s="19"/>
      <c r="F365" s="19"/>
      <c r="G365" s="483"/>
      <c r="H365" s="484"/>
    </row>
    <row r="366" spans="1:8" ht="30" customHeight="1">
      <c r="A366" s="2580" t="s">
        <v>1410</v>
      </c>
      <c r="B366" s="2598"/>
      <c r="C366" s="2598"/>
      <c r="D366" s="2598"/>
      <c r="E366" s="2598"/>
      <c r="F366" s="2552"/>
      <c r="G366" s="2580" t="s">
        <v>1095</v>
      </c>
      <c r="H366" s="2552"/>
    </row>
    <row r="367" spans="1:8">
      <c r="A367" s="2597" t="s">
        <v>1411</v>
      </c>
      <c r="B367" s="2584"/>
      <c r="C367" s="2584"/>
      <c r="D367" s="2584"/>
      <c r="E367" s="2584"/>
      <c r="F367" s="2585"/>
      <c r="G367" s="483"/>
      <c r="H367" s="484"/>
    </row>
    <row r="368" spans="1:8" ht="14.25">
      <c r="A368" s="2586"/>
      <c r="B368" s="2587"/>
      <c r="C368" s="2587"/>
      <c r="D368" s="2587"/>
      <c r="E368" s="2587"/>
      <c r="F368" s="2588"/>
      <c r="G368" s="2589" t="s">
        <v>737</v>
      </c>
      <c r="H368" s="2552"/>
    </row>
    <row r="369" spans="1:8">
      <c r="A369" s="482"/>
      <c r="B369" s="551"/>
      <c r="C369" s="551"/>
      <c r="D369" s="551"/>
      <c r="E369" s="551"/>
      <c r="F369" s="551"/>
      <c r="G369" s="485"/>
      <c r="H369" s="484"/>
    </row>
    <row r="370" spans="1:8" thickBot="1">
      <c r="A370" s="2590" t="s">
        <v>692</v>
      </c>
      <c r="B370" s="2561"/>
      <c r="C370" s="2561"/>
      <c r="D370" s="2561"/>
      <c r="E370" s="2561"/>
      <c r="F370" s="2562"/>
      <c r="G370" s="2591" t="s">
        <v>696</v>
      </c>
      <c r="H370" s="2562"/>
    </row>
    <row r="371" spans="1:8" ht="41.25" customHeight="1">
      <c r="A371" s="2601" t="s">
        <v>821</v>
      </c>
      <c r="B371" s="2601"/>
      <c r="C371" s="2601"/>
      <c r="D371" s="2601"/>
      <c r="E371" s="2601"/>
      <c r="F371" s="2601"/>
      <c r="G371" s="2601"/>
      <c r="H371" s="2601"/>
    </row>
    <row r="372" spans="1:8">
      <c r="A372" s="553"/>
      <c r="B372" s="554"/>
      <c r="C372" s="554"/>
      <c r="D372" s="554"/>
      <c r="E372" s="554"/>
      <c r="F372" s="554"/>
      <c r="G372" s="555"/>
      <c r="H372" s="554"/>
    </row>
    <row r="373" spans="1:8">
      <c r="A373" s="553"/>
      <c r="B373" s="554"/>
      <c r="C373" s="554"/>
      <c r="D373" s="554"/>
      <c r="E373" s="554"/>
      <c r="F373" s="554"/>
      <c r="G373" s="555"/>
      <c r="H373" s="554"/>
    </row>
    <row r="374" spans="1:8">
      <c r="A374" s="553"/>
      <c r="B374" s="554"/>
      <c r="C374" s="554"/>
      <c r="D374" s="554"/>
      <c r="E374" s="554"/>
      <c r="F374" s="554"/>
      <c r="G374" s="555"/>
      <c r="H374" s="554"/>
    </row>
    <row r="375" spans="1:8" ht="18.75">
      <c r="A375" s="2162" t="s">
        <v>111</v>
      </c>
      <c r="B375" s="2164"/>
      <c r="C375" s="2164"/>
      <c r="D375" s="2164"/>
      <c r="E375" s="2164"/>
      <c r="F375" s="2164"/>
      <c r="G375" s="2164"/>
      <c r="H375" s="2164"/>
    </row>
    <row r="376" spans="1:8" ht="18.75">
      <c r="A376" s="2162" t="s">
        <v>757</v>
      </c>
      <c r="B376" s="2164"/>
      <c r="C376" s="2164"/>
      <c r="D376" s="2164"/>
      <c r="E376" s="2164"/>
      <c r="F376" s="2164"/>
      <c r="G376" s="2164"/>
      <c r="H376" s="2164"/>
    </row>
    <row r="377" spans="1:8" ht="18.75">
      <c r="A377" s="2163" t="s">
        <v>211</v>
      </c>
      <c r="B377" s="2164"/>
      <c r="C377" s="2164"/>
      <c r="D377" s="2164"/>
      <c r="E377" s="2164"/>
      <c r="F377" s="2164"/>
      <c r="G377" s="2164"/>
      <c r="H377" s="2164"/>
    </row>
    <row r="378" spans="1:8" ht="18.75">
      <c r="A378" s="2163" t="s">
        <v>1212</v>
      </c>
      <c r="B378" s="2164"/>
      <c r="C378" s="2164"/>
      <c r="D378" s="2164"/>
      <c r="E378" s="2164"/>
      <c r="F378" s="2164"/>
      <c r="G378" s="2164"/>
      <c r="H378" s="2164"/>
    </row>
    <row r="379" spans="1:8" ht="18.75">
      <c r="A379" s="2163" t="s">
        <v>32</v>
      </c>
      <c r="B379" s="2164"/>
      <c r="C379" s="2164"/>
      <c r="D379" s="2164"/>
      <c r="E379" s="2164"/>
      <c r="F379" s="2164"/>
      <c r="G379" s="2164"/>
      <c r="H379" s="2164"/>
    </row>
    <row r="380" spans="1:8">
      <c r="A380" s="33"/>
    </row>
    <row r="381" spans="1:8" ht="18.75">
      <c r="A381" s="2596" t="s">
        <v>49</v>
      </c>
      <c r="B381" s="2596"/>
      <c r="C381" s="2596"/>
      <c r="D381" s="2596"/>
      <c r="E381" s="2596"/>
      <c r="F381" s="2596"/>
      <c r="G381" s="2596"/>
      <c r="H381" s="2596"/>
    </row>
    <row r="382" spans="1:8" ht="31.5" customHeight="1">
      <c r="A382" s="2832" t="s">
        <v>1094</v>
      </c>
      <c r="B382" s="2833"/>
      <c r="C382" s="2833"/>
      <c r="D382" s="2833"/>
      <c r="E382" s="2833"/>
      <c r="F382" s="2833"/>
      <c r="G382" s="2833"/>
      <c r="H382" s="2833"/>
    </row>
    <row r="383" spans="1:8" ht="15.75" customHeight="1" thickBot="1">
      <c r="A383" s="2567" t="s">
        <v>29</v>
      </c>
      <c r="B383" s="2568"/>
      <c r="C383" s="2568"/>
      <c r="D383" s="2568"/>
      <c r="E383" s="2568"/>
      <c r="F383" s="2569"/>
      <c r="G383" s="2570" t="s">
        <v>640</v>
      </c>
      <c r="H383" s="2572" t="s">
        <v>639</v>
      </c>
    </row>
    <row r="384" spans="1:8" ht="75.75" thickBot="1">
      <c r="A384" s="411" t="s">
        <v>39</v>
      </c>
      <c r="B384" s="412" t="s">
        <v>40</v>
      </c>
      <c r="C384" s="412" t="s">
        <v>41</v>
      </c>
      <c r="D384" s="412" t="s">
        <v>45</v>
      </c>
      <c r="E384" s="413" t="s">
        <v>42</v>
      </c>
      <c r="F384" s="407" t="s">
        <v>43</v>
      </c>
      <c r="G384" s="2571"/>
      <c r="H384" s="2595"/>
    </row>
    <row r="385" spans="1:8">
      <c r="A385" s="34" t="s">
        <v>381</v>
      </c>
      <c r="B385" s="23" t="s">
        <v>69</v>
      </c>
      <c r="C385" s="23" t="s">
        <v>59</v>
      </c>
      <c r="D385" s="23" t="s">
        <v>62</v>
      </c>
      <c r="E385" s="23" t="s">
        <v>65</v>
      </c>
      <c r="F385" s="414">
        <v>51202</v>
      </c>
      <c r="G385" s="419" t="s">
        <v>759</v>
      </c>
      <c r="H385" s="557">
        <v>7500</v>
      </c>
    </row>
    <row r="386" spans="1:8">
      <c r="A386" s="34" t="s">
        <v>381</v>
      </c>
      <c r="B386" s="23" t="s">
        <v>69</v>
      </c>
      <c r="C386" s="23" t="s">
        <v>59</v>
      </c>
      <c r="D386" s="23" t="s">
        <v>62</v>
      </c>
      <c r="E386" s="23" t="s">
        <v>65</v>
      </c>
      <c r="F386" s="414">
        <v>54111</v>
      </c>
      <c r="G386" s="419" t="s">
        <v>778</v>
      </c>
      <c r="H386" s="557">
        <v>9100</v>
      </c>
    </row>
    <row r="387" spans="1:8">
      <c r="A387" s="34" t="s">
        <v>381</v>
      </c>
      <c r="B387" s="23" t="s">
        <v>69</v>
      </c>
      <c r="C387" s="23" t="s">
        <v>59</v>
      </c>
      <c r="D387" s="23" t="s">
        <v>62</v>
      </c>
      <c r="E387" s="23" t="s">
        <v>65</v>
      </c>
      <c r="F387" s="414">
        <v>54112</v>
      </c>
      <c r="G387" s="419" t="s">
        <v>779</v>
      </c>
      <c r="H387" s="557">
        <v>800</v>
      </c>
    </row>
    <row r="388" spans="1:8">
      <c r="A388" s="34" t="s">
        <v>381</v>
      </c>
      <c r="B388" s="23" t="s">
        <v>69</v>
      </c>
      <c r="C388" s="23" t="s">
        <v>59</v>
      </c>
      <c r="D388" s="23" t="s">
        <v>62</v>
      </c>
      <c r="E388" s="23" t="s">
        <v>65</v>
      </c>
      <c r="F388" s="414">
        <v>54118</v>
      </c>
      <c r="G388" s="419" t="s">
        <v>746</v>
      </c>
      <c r="H388" s="557">
        <v>300</v>
      </c>
    </row>
    <row r="389" spans="1:8" ht="15" customHeight="1">
      <c r="A389" s="34" t="s">
        <v>381</v>
      </c>
      <c r="B389" s="23" t="s">
        <v>69</v>
      </c>
      <c r="C389" s="23" t="s">
        <v>59</v>
      </c>
      <c r="D389" s="23" t="s">
        <v>62</v>
      </c>
      <c r="E389" s="23" t="s">
        <v>65</v>
      </c>
      <c r="F389" s="414">
        <v>54199</v>
      </c>
      <c r="G389" s="419" t="s">
        <v>658</v>
      </c>
      <c r="H389" s="557">
        <v>500</v>
      </c>
    </row>
    <row r="390" spans="1:8">
      <c r="A390" s="34" t="s">
        <v>381</v>
      </c>
      <c r="B390" s="23" t="s">
        <v>69</v>
      </c>
      <c r="C390" s="23" t="s">
        <v>59</v>
      </c>
      <c r="D390" s="23" t="s">
        <v>62</v>
      </c>
      <c r="E390" s="23" t="s">
        <v>65</v>
      </c>
      <c r="F390" s="418" t="s">
        <v>677</v>
      </c>
      <c r="G390" s="419" t="s">
        <v>678</v>
      </c>
      <c r="H390" s="557">
        <v>800</v>
      </c>
    </row>
    <row r="391" spans="1:8" ht="14.25" customHeight="1">
      <c r="A391" s="34" t="s">
        <v>381</v>
      </c>
      <c r="B391" s="23" t="s">
        <v>69</v>
      </c>
      <c r="C391" s="23" t="s">
        <v>59</v>
      </c>
      <c r="D391" s="23" t="s">
        <v>62</v>
      </c>
      <c r="E391" s="23" t="s">
        <v>65</v>
      </c>
      <c r="F391" s="421">
        <v>61608</v>
      </c>
      <c r="G391" s="422" t="s">
        <v>780</v>
      </c>
      <c r="H391" s="558">
        <v>1000</v>
      </c>
    </row>
    <row r="392" spans="1:8" ht="15" customHeight="1" thickBot="1">
      <c r="A392" s="1064"/>
      <c r="B392" s="1065"/>
      <c r="C392" s="1065"/>
      <c r="D392" s="1065"/>
      <c r="E392" s="1066"/>
      <c r="F392" s="1067"/>
      <c r="G392" s="1068"/>
      <c r="H392" s="1069">
        <f>SUM(H385:H391)</f>
        <v>20000</v>
      </c>
    </row>
    <row r="393" spans="1:8" ht="14.25" customHeight="1" thickBot="1">
      <c r="B393" s="9"/>
      <c r="C393" s="10"/>
      <c r="D393" s="3"/>
      <c r="E393" s="3"/>
      <c r="F393" s="3"/>
    </row>
    <row r="394" spans="1:8">
      <c r="A394" s="2573" t="s">
        <v>732</v>
      </c>
      <c r="B394" s="2574"/>
      <c r="C394" s="2574"/>
      <c r="D394" s="2574"/>
      <c r="E394" s="2574"/>
      <c r="F394" s="2574"/>
      <c r="G394" s="2575" t="s">
        <v>1323</v>
      </c>
      <c r="H394" s="2576"/>
    </row>
    <row r="395" spans="1:8" ht="15" customHeight="1">
      <c r="A395" s="482"/>
      <c r="B395" s="551"/>
      <c r="C395" s="19"/>
      <c r="D395" s="19"/>
      <c r="E395" s="19"/>
      <c r="F395" s="19"/>
      <c r="G395" s="483"/>
      <c r="H395" s="484"/>
    </row>
    <row r="396" spans="1:8" ht="31.5" customHeight="1">
      <c r="A396" s="2580" t="s">
        <v>1094</v>
      </c>
      <c r="B396" s="2598"/>
      <c r="C396" s="2598"/>
      <c r="D396" s="2598"/>
      <c r="E396" s="2598"/>
      <c r="F396" s="2552"/>
      <c r="G396" s="2580" t="s">
        <v>1095</v>
      </c>
      <c r="H396" s="2552"/>
    </row>
    <row r="397" spans="1:8">
      <c r="A397" s="2597" t="s">
        <v>835</v>
      </c>
      <c r="B397" s="2584"/>
      <c r="C397" s="2584"/>
      <c r="D397" s="2584"/>
      <c r="E397" s="2584"/>
      <c r="F397" s="2585"/>
      <c r="G397" s="483"/>
      <c r="H397" s="484"/>
    </row>
    <row r="398" spans="1:8" ht="30" customHeight="1">
      <c r="A398" s="2586"/>
      <c r="B398" s="2587"/>
      <c r="C398" s="2587"/>
      <c r="D398" s="2587"/>
      <c r="E398" s="2587"/>
      <c r="F398" s="2588"/>
      <c r="G398" s="2589" t="s">
        <v>695</v>
      </c>
      <c r="H398" s="2552"/>
    </row>
    <row r="399" spans="1:8">
      <c r="A399" s="482"/>
      <c r="B399" s="551"/>
      <c r="C399" s="551"/>
      <c r="D399" s="551"/>
      <c r="E399" s="551"/>
      <c r="F399" s="551"/>
      <c r="G399" s="485"/>
      <c r="H399" s="484"/>
    </row>
    <row r="400" spans="1:8" thickBot="1">
      <c r="A400" s="2590" t="s">
        <v>692</v>
      </c>
      <c r="B400" s="2561"/>
      <c r="C400" s="2561"/>
      <c r="D400" s="2561"/>
      <c r="E400" s="2561"/>
      <c r="F400" s="2562"/>
      <c r="G400" s="2591" t="s">
        <v>696</v>
      </c>
      <c r="H400" s="2562"/>
    </row>
    <row r="401" spans="1:8">
      <c r="A401" s="553"/>
      <c r="B401" s="554"/>
      <c r="C401" s="554"/>
      <c r="D401" s="554"/>
      <c r="E401" s="554"/>
      <c r="F401" s="554"/>
      <c r="G401" s="555"/>
      <c r="H401" s="554"/>
    </row>
    <row r="402" spans="1:8" ht="42" customHeight="1">
      <c r="A402" s="2601" t="s">
        <v>821</v>
      </c>
      <c r="B402" s="2601"/>
      <c r="C402" s="2601"/>
      <c r="D402" s="2601"/>
      <c r="E402" s="2601"/>
      <c r="F402" s="2601"/>
      <c r="G402" s="2601"/>
      <c r="H402" s="2601"/>
    </row>
    <row r="403" spans="1:8">
      <c r="A403" s="553"/>
      <c r="B403" s="554"/>
      <c r="C403" s="554"/>
      <c r="D403" s="554"/>
      <c r="E403" s="554"/>
      <c r="F403" s="554"/>
      <c r="G403" s="555"/>
      <c r="H403" s="554"/>
    </row>
    <row r="404" spans="1:8">
      <c r="A404" s="553"/>
      <c r="B404" s="554"/>
      <c r="C404" s="554"/>
      <c r="D404" s="554"/>
      <c r="E404" s="554"/>
      <c r="F404" s="554"/>
      <c r="G404" s="555"/>
      <c r="H404" s="554"/>
    </row>
    <row r="405" spans="1:8">
      <c r="A405" s="553"/>
      <c r="B405" s="554"/>
      <c r="C405" s="554"/>
      <c r="D405" s="554"/>
      <c r="E405" s="554"/>
      <c r="F405" s="554"/>
      <c r="G405" s="555"/>
      <c r="H405" s="554"/>
    </row>
    <row r="406" spans="1:8" ht="18.75">
      <c r="A406" s="2217" t="s">
        <v>111</v>
      </c>
      <c r="B406" s="2164"/>
      <c r="C406" s="2164"/>
      <c r="D406" s="2164"/>
      <c r="E406" s="2164"/>
      <c r="F406" s="2164"/>
      <c r="G406" s="2164"/>
      <c r="H406" s="2164"/>
    </row>
    <row r="407" spans="1:8" ht="18.75">
      <c r="A407" s="2217" t="s">
        <v>757</v>
      </c>
      <c r="B407" s="2164"/>
      <c r="C407" s="2164"/>
      <c r="D407" s="2164"/>
      <c r="E407" s="2164"/>
      <c r="F407" s="2164"/>
      <c r="G407" s="2164"/>
      <c r="H407" s="2164"/>
    </row>
    <row r="408" spans="1:8" ht="18.75">
      <c r="A408" s="2185" t="s">
        <v>211</v>
      </c>
      <c r="B408" s="2164"/>
      <c r="C408" s="2164"/>
      <c r="D408" s="2164"/>
      <c r="E408" s="2164"/>
      <c r="F408" s="2164"/>
      <c r="G408" s="2164"/>
      <c r="H408" s="2164"/>
    </row>
    <row r="409" spans="1:8" ht="18.75">
      <c r="A409" s="2185" t="s">
        <v>1212</v>
      </c>
      <c r="B409" s="2164"/>
      <c r="C409" s="2164"/>
      <c r="D409" s="2164"/>
      <c r="E409" s="2164"/>
      <c r="F409" s="2164"/>
      <c r="G409" s="2164"/>
      <c r="H409" s="2164"/>
    </row>
    <row r="410" spans="1:8" ht="18.75">
      <c r="A410" s="2185" t="s">
        <v>32</v>
      </c>
      <c r="B410" s="2164"/>
      <c r="C410" s="2164"/>
      <c r="D410" s="2164"/>
      <c r="E410" s="2164"/>
      <c r="F410" s="2164"/>
      <c r="G410" s="2164"/>
      <c r="H410" s="2164"/>
    </row>
    <row r="411" spans="1:8">
      <c r="A411" s="850"/>
      <c r="B411" s="198"/>
      <c r="C411" s="851"/>
      <c r="D411" s="41"/>
      <c r="E411" s="41"/>
      <c r="F411" s="41"/>
      <c r="G411" s="21"/>
      <c r="H411" s="203"/>
    </row>
    <row r="412" spans="1:8" ht="26.25" customHeight="1">
      <c r="A412" s="2564" t="s">
        <v>49</v>
      </c>
      <c r="B412" s="2564"/>
      <c r="C412" s="2564"/>
      <c r="D412" s="2564"/>
      <c r="E412" s="2564"/>
      <c r="F412" s="2564"/>
      <c r="G412" s="2564"/>
      <c r="H412" s="2564"/>
    </row>
    <row r="413" spans="1:8" ht="35.25" customHeight="1">
      <c r="A413" s="2780" t="s">
        <v>1098</v>
      </c>
      <c r="B413" s="2781"/>
      <c r="C413" s="2781"/>
      <c r="D413" s="2781"/>
      <c r="E413" s="2781"/>
      <c r="F413" s="2781"/>
      <c r="G413" s="2781"/>
      <c r="H413" s="2781"/>
    </row>
    <row r="414" spans="1:8" ht="15.75" thickBot="1">
      <c r="A414" s="2567" t="s">
        <v>29</v>
      </c>
      <c r="B414" s="2568"/>
      <c r="C414" s="2568"/>
      <c r="D414" s="2568"/>
      <c r="E414" s="2568"/>
      <c r="F414" s="2569"/>
      <c r="G414" s="2570" t="s">
        <v>640</v>
      </c>
      <c r="H414" s="2572" t="s">
        <v>639</v>
      </c>
    </row>
    <row r="415" spans="1:8" ht="75.75" thickBot="1">
      <c r="A415" s="411" t="s">
        <v>39</v>
      </c>
      <c r="B415" s="412" t="s">
        <v>40</v>
      </c>
      <c r="C415" s="412" t="s">
        <v>41</v>
      </c>
      <c r="D415" s="412" t="s">
        <v>45</v>
      </c>
      <c r="E415" s="413" t="s">
        <v>42</v>
      </c>
      <c r="F415" s="407" t="s">
        <v>43</v>
      </c>
      <c r="G415" s="2571"/>
      <c r="H415" s="2595"/>
    </row>
    <row r="416" spans="1:8">
      <c r="A416" s="852" t="s">
        <v>381</v>
      </c>
      <c r="B416" s="853" t="s">
        <v>69</v>
      </c>
      <c r="C416" s="853" t="s">
        <v>59</v>
      </c>
      <c r="D416" s="853" t="s">
        <v>62</v>
      </c>
      <c r="E416" s="853" t="s">
        <v>65</v>
      </c>
      <c r="F416" s="427">
        <v>51202</v>
      </c>
      <c r="G416" s="428" t="s">
        <v>759</v>
      </c>
      <c r="H416" s="557">
        <v>7700</v>
      </c>
    </row>
    <row r="417" spans="1:8">
      <c r="A417" s="852" t="s">
        <v>381</v>
      </c>
      <c r="B417" s="853" t="s">
        <v>69</v>
      </c>
      <c r="C417" s="853" t="s">
        <v>59</v>
      </c>
      <c r="D417" s="853" t="s">
        <v>62</v>
      </c>
      <c r="E417" s="853" t="s">
        <v>65</v>
      </c>
      <c r="F417" s="414">
        <v>54111</v>
      </c>
      <c r="G417" s="419" t="s">
        <v>778</v>
      </c>
      <c r="H417" s="557">
        <v>10000</v>
      </c>
    </row>
    <row r="418" spans="1:8">
      <c r="A418" s="852" t="s">
        <v>381</v>
      </c>
      <c r="B418" s="853" t="s">
        <v>69</v>
      </c>
      <c r="C418" s="853" t="s">
        <v>59</v>
      </c>
      <c r="D418" s="853" t="s">
        <v>62</v>
      </c>
      <c r="E418" s="853" t="s">
        <v>65</v>
      </c>
      <c r="F418" s="414">
        <v>54112</v>
      </c>
      <c r="G418" s="419" t="s">
        <v>782</v>
      </c>
      <c r="H418" s="557">
        <v>500</v>
      </c>
    </row>
    <row r="419" spans="1:8">
      <c r="A419" s="852" t="s">
        <v>381</v>
      </c>
      <c r="B419" s="853" t="s">
        <v>69</v>
      </c>
      <c r="C419" s="853" t="s">
        <v>59</v>
      </c>
      <c r="D419" s="853" t="s">
        <v>62</v>
      </c>
      <c r="E419" s="853" t="s">
        <v>65</v>
      </c>
      <c r="F419" s="414">
        <v>54118</v>
      </c>
      <c r="G419" s="419" t="s">
        <v>746</v>
      </c>
      <c r="H419" s="557">
        <v>400</v>
      </c>
    </row>
    <row r="420" spans="1:8">
      <c r="A420" s="852" t="s">
        <v>381</v>
      </c>
      <c r="B420" s="853" t="s">
        <v>69</v>
      </c>
      <c r="C420" s="853" t="s">
        <v>59</v>
      </c>
      <c r="D420" s="853" t="s">
        <v>62</v>
      </c>
      <c r="E420" s="853" t="s">
        <v>65</v>
      </c>
      <c r="F420" s="414">
        <v>54199</v>
      </c>
      <c r="G420" s="419" t="s">
        <v>658</v>
      </c>
      <c r="H420" s="557">
        <v>200</v>
      </c>
    </row>
    <row r="421" spans="1:8">
      <c r="A421" s="852" t="s">
        <v>381</v>
      </c>
      <c r="B421" s="853" t="s">
        <v>69</v>
      </c>
      <c r="C421" s="853" t="s">
        <v>59</v>
      </c>
      <c r="D421" s="853" t="s">
        <v>62</v>
      </c>
      <c r="E421" s="853" t="s">
        <v>65</v>
      </c>
      <c r="F421" s="418" t="s">
        <v>677</v>
      </c>
      <c r="G421" s="419" t="s">
        <v>678</v>
      </c>
      <c r="H421" s="557">
        <v>200</v>
      </c>
    </row>
    <row r="422" spans="1:8">
      <c r="A422" s="852" t="s">
        <v>381</v>
      </c>
      <c r="B422" s="853" t="s">
        <v>69</v>
      </c>
      <c r="C422" s="853" t="s">
        <v>59</v>
      </c>
      <c r="D422" s="853" t="s">
        <v>62</v>
      </c>
      <c r="E422" s="853" t="s">
        <v>65</v>
      </c>
      <c r="F422" s="421">
        <v>61608</v>
      </c>
      <c r="G422" s="422" t="s">
        <v>780</v>
      </c>
      <c r="H422" s="558">
        <v>1000</v>
      </c>
    </row>
    <row r="423" spans="1:8" ht="15.75" thickBot="1">
      <c r="A423" s="1058"/>
      <c r="B423" s="1059"/>
      <c r="C423" s="1059"/>
      <c r="D423" s="1059"/>
      <c r="E423" s="1060"/>
      <c r="F423" s="1061"/>
      <c r="G423" s="1062"/>
      <c r="H423" s="1063">
        <f>SUM(H416:H422)</f>
        <v>20000</v>
      </c>
    </row>
    <row r="424" spans="1:8" ht="7.5" customHeight="1" thickBot="1">
      <c r="A424" s="200"/>
      <c r="B424" s="200"/>
      <c r="C424" s="201"/>
      <c r="D424" s="202"/>
      <c r="E424" s="202"/>
      <c r="F424" s="202"/>
      <c r="G424" s="21"/>
      <c r="H424" s="203"/>
    </row>
    <row r="425" spans="1:8">
      <c r="A425" s="2541" t="s">
        <v>1097</v>
      </c>
      <c r="B425" s="2542"/>
      <c r="C425" s="2542"/>
      <c r="D425" s="2542"/>
      <c r="E425" s="2542"/>
      <c r="F425" s="2542"/>
      <c r="G425" s="2543" t="s">
        <v>1323</v>
      </c>
      <c r="H425" s="2544"/>
    </row>
    <row r="426" spans="1:8" ht="34.5" customHeight="1">
      <c r="A426" s="2551" t="s">
        <v>1098</v>
      </c>
      <c r="B426" s="2598"/>
      <c r="C426" s="2598"/>
      <c r="D426" s="2598"/>
      <c r="E426" s="2598"/>
      <c r="F426" s="2552"/>
      <c r="G426" s="2551" t="s">
        <v>1095</v>
      </c>
      <c r="H426" s="2552"/>
    </row>
    <row r="427" spans="1:8">
      <c r="A427" s="2553" t="s">
        <v>1099</v>
      </c>
      <c r="B427" s="2554"/>
      <c r="C427" s="2554"/>
      <c r="D427" s="2554"/>
      <c r="E427" s="2554"/>
      <c r="F427" s="2555"/>
      <c r="G427" s="858"/>
      <c r="H427" s="859"/>
    </row>
    <row r="428" spans="1:8" ht="14.25">
      <c r="A428" s="2556"/>
      <c r="B428" s="2557"/>
      <c r="C428" s="2557"/>
      <c r="D428" s="2557"/>
      <c r="E428" s="2557"/>
      <c r="F428" s="2558"/>
      <c r="G428" s="2559" t="s">
        <v>695</v>
      </c>
      <c r="H428" s="2552"/>
    </row>
    <row r="429" spans="1:8">
      <c r="A429" s="857"/>
      <c r="B429" s="47"/>
      <c r="C429" s="47"/>
      <c r="D429" s="47"/>
      <c r="E429" s="47"/>
      <c r="F429" s="47"/>
      <c r="G429" s="860"/>
      <c r="H429" s="859"/>
    </row>
    <row r="430" spans="1:8" thickBot="1">
      <c r="A430" s="2560" t="s">
        <v>692</v>
      </c>
      <c r="B430" s="2561"/>
      <c r="C430" s="2561"/>
      <c r="D430" s="2561"/>
      <c r="E430" s="2561"/>
      <c r="F430" s="2562"/>
      <c r="G430" s="2563" t="s">
        <v>696</v>
      </c>
      <c r="H430" s="2562"/>
    </row>
    <row r="431" spans="1:8">
      <c r="A431" s="200"/>
      <c r="B431" s="198"/>
      <c r="C431" s="851"/>
      <c r="D431" s="41"/>
      <c r="E431" s="41"/>
      <c r="F431" s="41"/>
      <c r="G431" s="21"/>
      <c r="H431" s="203"/>
    </row>
    <row r="432" spans="1:8" ht="39.75" customHeight="1">
      <c r="A432" s="2641" t="s">
        <v>821</v>
      </c>
      <c r="B432" s="2641"/>
      <c r="C432" s="2641"/>
      <c r="D432" s="2641"/>
      <c r="E432" s="2641"/>
      <c r="F432" s="2641"/>
      <c r="G432" s="2641"/>
      <c r="H432" s="2641"/>
    </row>
    <row r="433" spans="1:8" ht="20.25" customHeight="1">
      <c r="A433" s="1097"/>
      <c r="B433" s="1097"/>
      <c r="C433" s="1097"/>
      <c r="D433" s="1097"/>
      <c r="E433" s="1097"/>
      <c r="F433" s="1097"/>
      <c r="G433" s="1097"/>
      <c r="H433" s="1097"/>
    </row>
    <row r="434" spans="1:8" ht="20.25" customHeight="1">
      <c r="A434" s="1097"/>
      <c r="B434" s="1097"/>
      <c r="C434" s="1097"/>
      <c r="D434" s="1097"/>
      <c r="E434" s="1097"/>
      <c r="F434" s="1097"/>
      <c r="G434" s="1097"/>
      <c r="H434" s="1097"/>
    </row>
    <row r="435" spans="1:8" ht="20.25" customHeight="1">
      <c r="A435" s="2162" t="s">
        <v>111</v>
      </c>
      <c r="B435" s="2164"/>
      <c r="C435" s="2164"/>
      <c r="D435" s="2164"/>
      <c r="E435" s="2164"/>
      <c r="F435" s="2164"/>
      <c r="G435" s="2164"/>
      <c r="H435" s="2164"/>
    </row>
    <row r="436" spans="1:8" ht="20.25" customHeight="1">
      <c r="A436" s="2162" t="s">
        <v>757</v>
      </c>
      <c r="B436" s="2164"/>
      <c r="C436" s="2164"/>
      <c r="D436" s="2164"/>
      <c r="E436" s="2164"/>
      <c r="F436" s="2164"/>
      <c r="G436" s="2164"/>
      <c r="H436" s="2164"/>
    </row>
    <row r="437" spans="1:8" ht="20.25" customHeight="1">
      <c r="A437" s="2163" t="s">
        <v>211</v>
      </c>
      <c r="B437" s="2164"/>
      <c r="C437" s="2164"/>
      <c r="D437" s="2164"/>
      <c r="E437" s="2164"/>
      <c r="F437" s="2164"/>
      <c r="G437" s="2164"/>
      <c r="H437" s="2164"/>
    </row>
    <row r="438" spans="1:8" ht="20.25" customHeight="1">
      <c r="A438" s="2163" t="s">
        <v>1212</v>
      </c>
      <c r="B438" s="2164"/>
      <c r="C438" s="2164"/>
      <c r="D438" s="2164"/>
      <c r="E438" s="2164"/>
      <c r="F438" s="2164"/>
      <c r="G438" s="2164"/>
      <c r="H438" s="2164"/>
    </row>
    <row r="439" spans="1:8" ht="20.25" customHeight="1">
      <c r="A439" s="2163" t="s">
        <v>32</v>
      </c>
      <c r="B439" s="2164"/>
      <c r="C439" s="2164"/>
      <c r="D439" s="2164"/>
      <c r="E439" s="2164"/>
      <c r="F439" s="2164"/>
      <c r="G439" s="2164"/>
      <c r="H439" s="2164"/>
    </row>
    <row r="440" spans="1:8" ht="20.25" customHeight="1">
      <c r="A440" s="33"/>
    </row>
    <row r="441" spans="1:8" ht="20.25" customHeight="1">
      <c r="A441" s="2596" t="s">
        <v>49</v>
      </c>
      <c r="B441" s="2596"/>
      <c r="C441" s="2596"/>
      <c r="D441" s="2596"/>
      <c r="E441" s="2596"/>
      <c r="F441" s="2596"/>
      <c r="G441" s="2596"/>
      <c r="H441" s="2596"/>
    </row>
    <row r="442" spans="1:8" ht="31.5" customHeight="1">
      <c r="A442" s="2780" t="s">
        <v>1413</v>
      </c>
      <c r="B442" s="2781"/>
      <c r="C442" s="2781"/>
      <c r="D442" s="2781"/>
      <c r="E442" s="2781"/>
      <c r="F442" s="2781"/>
      <c r="G442" s="2781"/>
      <c r="H442" s="2781"/>
    </row>
    <row r="443" spans="1:8" ht="20.25" customHeight="1" thickBot="1">
      <c r="A443" s="2567" t="s">
        <v>29</v>
      </c>
      <c r="B443" s="2568"/>
      <c r="C443" s="2568"/>
      <c r="D443" s="2568"/>
      <c r="E443" s="2568"/>
      <c r="F443" s="2569"/>
      <c r="G443" s="2570" t="s">
        <v>640</v>
      </c>
      <c r="H443" s="2715" t="s">
        <v>639</v>
      </c>
    </row>
    <row r="444" spans="1:8" ht="61.5" customHeight="1" thickBot="1">
      <c r="A444" s="411" t="s">
        <v>39</v>
      </c>
      <c r="B444" s="412" t="s">
        <v>40</v>
      </c>
      <c r="C444" s="412" t="s">
        <v>41</v>
      </c>
      <c r="D444" s="412" t="s">
        <v>45</v>
      </c>
      <c r="E444" s="413" t="s">
        <v>42</v>
      </c>
      <c r="F444" s="407" t="s">
        <v>43</v>
      </c>
      <c r="G444" s="2571"/>
      <c r="H444" s="2723"/>
    </row>
    <row r="445" spans="1:8" ht="20.25" customHeight="1">
      <c r="A445" s="34" t="s">
        <v>381</v>
      </c>
      <c r="B445" s="23" t="s">
        <v>69</v>
      </c>
      <c r="C445" s="23" t="s">
        <v>59</v>
      </c>
      <c r="D445" s="23" t="s">
        <v>62</v>
      </c>
      <c r="E445" s="23" t="s">
        <v>65</v>
      </c>
      <c r="F445" s="423" t="s">
        <v>209</v>
      </c>
      <c r="G445" s="415" t="s">
        <v>724</v>
      </c>
      <c r="H445" s="24">
        <v>7000</v>
      </c>
    </row>
    <row r="446" spans="1:8" ht="20.25" customHeight="1">
      <c r="A446" s="34" t="s">
        <v>381</v>
      </c>
      <c r="B446" s="23" t="s">
        <v>69</v>
      </c>
      <c r="C446" s="23" t="s">
        <v>59</v>
      </c>
      <c r="D446" s="23" t="s">
        <v>62</v>
      </c>
      <c r="E446" s="23" t="s">
        <v>65</v>
      </c>
      <c r="F446" s="424" t="s">
        <v>498</v>
      </c>
      <c r="G446" s="416" t="s">
        <v>725</v>
      </c>
      <c r="H446" s="24">
        <v>800</v>
      </c>
    </row>
    <row r="447" spans="1:8" ht="20.25" customHeight="1">
      <c r="A447" s="34" t="s">
        <v>381</v>
      </c>
      <c r="B447" s="23" t="s">
        <v>69</v>
      </c>
      <c r="C447" s="23" t="s">
        <v>59</v>
      </c>
      <c r="D447" s="23" t="s">
        <v>62</v>
      </c>
      <c r="E447" s="23" t="s">
        <v>65</v>
      </c>
      <c r="F447" s="424" t="s">
        <v>726</v>
      </c>
      <c r="G447" s="416" t="s">
        <v>727</v>
      </c>
      <c r="H447" s="24">
        <v>9800</v>
      </c>
    </row>
    <row r="448" spans="1:8" ht="20.25" customHeight="1">
      <c r="A448" s="34" t="s">
        <v>381</v>
      </c>
      <c r="B448" s="23" t="s">
        <v>69</v>
      </c>
      <c r="C448" s="23" t="s">
        <v>59</v>
      </c>
      <c r="D448" s="23" t="s">
        <v>62</v>
      </c>
      <c r="E448" s="23" t="s">
        <v>65</v>
      </c>
      <c r="F448" s="425">
        <v>54112</v>
      </c>
      <c r="G448" s="416" t="s">
        <v>728</v>
      </c>
      <c r="H448" s="25">
        <v>900</v>
      </c>
    </row>
    <row r="449" spans="1:8" ht="20.25" customHeight="1">
      <c r="A449" s="34" t="s">
        <v>381</v>
      </c>
      <c r="B449" s="23" t="s">
        <v>69</v>
      </c>
      <c r="C449" s="23" t="s">
        <v>59</v>
      </c>
      <c r="D449" s="23" t="s">
        <v>62</v>
      </c>
      <c r="E449" s="23" t="s">
        <v>65</v>
      </c>
      <c r="F449" s="425">
        <v>54118</v>
      </c>
      <c r="G449" s="416" t="s">
        <v>729</v>
      </c>
      <c r="H449" s="25">
        <v>300</v>
      </c>
    </row>
    <row r="450" spans="1:8" ht="20.25" customHeight="1">
      <c r="A450" s="34" t="s">
        <v>381</v>
      </c>
      <c r="B450" s="23" t="s">
        <v>69</v>
      </c>
      <c r="C450" s="23" t="s">
        <v>59</v>
      </c>
      <c r="D450" s="23" t="s">
        <v>62</v>
      </c>
      <c r="E450" s="23" t="s">
        <v>65</v>
      </c>
      <c r="F450" s="425">
        <v>54199</v>
      </c>
      <c r="G450" s="419" t="s">
        <v>730</v>
      </c>
      <c r="H450" s="25">
        <v>200</v>
      </c>
    </row>
    <row r="451" spans="1:8" ht="20.25" customHeight="1">
      <c r="A451" s="34" t="s">
        <v>381</v>
      </c>
      <c r="B451" s="23" t="s">
        <v>69</v>
      </c>
      <c r="C451" s="23" t="s">
        <v>59</v>
      </c>
      <c r="D451" s="23" t="s">
        <v>62</v>
      </c>
      <c r="E451" s="23" t="s">
        <v>65</v>
      </c>
      <c r="F451" s="487">
        <v>61608</v>
      </c>
      <c r="G451" s="419" t="s">
        <v>731</v>
      </c>
      <c r="H451" s="25">
        <v>1000</v>
      </c>
    </row>
    <row r="452" spans="1:8" ht="20.25" customHeight="1" thickBot="1">
      <c r="A452" s="1064"/>
      <c r="B452" s="1065"/>
      <c r="C452" s="1065"/>
      <c r="D452" s="1065"/>
      <c r="E452" s="1066"/>
      <c r="F452" s="1067"/>
      <c r="G452" s="1068"/>
      <c r="H452" s="1071">
        <f>SUM(H445:H451)</f>
        <v>20000</v>
      </c>
    </row>
    <row r="453" spans="1:8" ht="6" customHeight="1" thickBot="1">
      <c r="B453" s="9"/>
      <c r="C453" s="10"/>
      <c r="D453" s="3"/>
      <c r="E453" s="3"/>
      <c r="F453" s="3"/>
    </row>
    <row r="454" spans="1:8" ht="20.25" customHeight="1">
      <c r="A454" s="2573" t="s">
        <v>732</v>
      </c>
      <c r="B454" s="2574"/>
      <c r="C454" s="2574"/>
      <c r="D454" s="2574"/>
      <c r="E454" s="2574"/>
      <c r="F454" s="2574"/>
      <c r="G454" s="2575" t="s">
        <v>1323</v>
      </c>
      <c r="H454" s="2576"/>
    </row>
    <row r="455" spans="1:8" ht="20.25" customHeight="1">
      <c r="A455" s="2577" t="s">
        <v>1413</v>
      </c>
      <c r="B455" s="2578"/>
      <c r="C455" s="2578"/>
      <c r="D455" s="2578"/>
      <c r="E455" s="2578"/>
      <c r="F455" s="2579"/>
      <c r="G455" s="483"/>
      <c r="H455" s="484"/>
    </row>
    <row r="456" spans="1:8" ht="20.25" customHeight="1">
      <c r="A456" s="2580"/>
      <c r="B456" s="2581"/>
      <c r="C456" s="2581"/>
      <c r="D456" s="2581"/>
      <c r="E456" s="2581"/>
      <c r="F456" s="2582"/>
      <c r="G456" s="2580" t="s">
        <v>1096</v>
      </c>
      <c r="H456" s="2552"/>
    </row>
    <row r="457" spans="1:8" ht="20.25" customHeight="1">
      <c r="A457" s="2597" t="s">
        <v>955</v>
      </c>
      <c r="B457" s="2584"/>
      <c r="C457" s="2584"/>
      <c r="D457" s="2584"/>
      <c r="E457" s="2584"/>
      <c r="F457" s="2585"/>
      <c r="G457" s="483"/>
      <c r="H457" s="484"/>
    </row>
    <row r="458" spans="1:8" ht="20.25" customHeight="1">
      <c r="A458" s="2586"/>
      <c r="B458" s="2587"/>
      <c r="C458" s="2587"/>
      <c r="D458" s="2587"/>
      <c r="E458" s="2587"/>
      <c r="F458" s="2588"/>
      <c r="G458" s="2589" t="s">
        <v>695</v>
      </c>
      <c r="H458" s="2552"/>
    </row>
    <row r="459" spans="1:8" ht="20.25" customHeight="1">
      <c r="A459" s="482"/>
      <c r="B459" s="551"/>
      <c r="C459" s="551"/>
      <c r="D459" s="551"/>
      <c r="E459" s="551"/>
      <c r="F459" s="551"/>
      <c r="G459" s="485"/>
      <c r="H459" s="484"/>
    </row>
    <row r="460" spans="1:8" ht="20.25" customHeight="1">
      <c r="A460" s="2782" t="s">
        <v>692</v>
      </c>
      <c r="B460" s="2769"/>
      <c r="C460" s="2769"/>
      <c r="D460" s="2769"/>
      <c r="E460" s="2769"/>
      <c r="F460" s="2783"/>
      <c r="G460" s="2784" t="s">
        <v>696</v>
      </c>
      <c r="H460" s="2783"/>
    </row>
    <row r="461" spans="1:8" ht="50.25" customHeight="1">
      <c r="A461" s="2601" t="s">
        <v>821</v>
      </c>
      <c r="B461" s="2601"/>
      <c r="C461" s="2601"/>
      <c r="D461" s="2601"/>
      <c r="E461" s="2601"/>
      <c r="F461" s="2601"/>
      <c r="G461" s="2601"/>
      <c r="H461" s="2601"/>
    </row>
    <row r="462" spans="1:8" ht="18.75" customHeight="1">
      <c r="A462" s="613"/>
      <c r="B462" s="613"/>
      <c r="C462" s="613"/>
      <c r="D462" s="613"/>
      <c r="E462" s="613"/>
      <c r="F462" s="613"/>
      <c r="G462" s="613"/>
      <c r="H462" s="613"/>
    </row>
    <row r="463" spans="1:8" ht="18.75" customHeight="1">
      <c r="A463" s="613"/>
      <c r="B463" s="613"/>
      <c r="C463" s="613"/>
      <c r="D463" s="613"/>
      <c r="E463" s="613"/>
      <c r="F463" s="613"/>
      <c r="G463" s="613"/>
      <c r="H463" s="613"/>
    </row>
    <row r="464" spans="1:8" ht="18.75" customHeight="1">
      <c r="A464" s="2162" t="s">
        <v>111</v>
      </c>
      <c r="B464" s="2164"/>
      <c r="C464" s="2164"/>
      <c r="D464" s="2164"/>
      <c r="E464" s="2164"/>
      <c r="F464" s="2164"/>
      <c r="G464" s="2164"/>
      <c r="H464" s="2164"/>
    </row>
    <row r="465" spans="1:8" ht="18.75" customHeight="1">
      <c r="A465" s="2162" t="s">
        <v>757</v>
      </c>
      <c r="B465" s="2164"/>
      <c r="C465" s="2164"/>
      <c r="D465" s="2164"/>
      <c r="E465" s="2164"/>
      <c r="F465" s="2164"/>
      <c r="G465" s="2164"/>
      <c r="H465" s="2164"/>
    </row>
    <row r="466" spans="1:8" ht="18.75" customHeight="1">
      <c r="A466" s="2163" t="s">
        <v>211</v>
      </c>
      <c r="B466" s="2164"/>
      <c r="C466" s="2164"/>
      <c r="D466" s="2164"/>
      <c r="E466" s="2164"/>
      <c r="F466" s="2164"/>
      <c r="G466" s="2164"/>
      <c r="H466" s="2164"/>
    </row>
    <row r="467" spans="1:8" ht="18.75" customHeight="1">
      <c r="A467" s="2163" t="s">
        <v>1212</v>
      </c>
      <c r="B467" s="2164"/>
      <c r="C467" s="2164"/>
      <c r="D467" s="2164"/>
      <c r="E467" s="2164"/>
      <c r="F467" s="2164"/>
      <c r="G467" s="2164"/>
      <c r="H467" s="2164"/>
    </row>
    <row r="468" spans="1:8" ht="18.75" customHeight="1">
      <c r="A468" s="2163" t="s">
        <v>32</v>
      </c>
      <c r="B468" s="2164"/>
      <c r="C468" s="2164"/>
      <c r="D468" s="2164"/>
      <c r="E468" s="2164"/>
      <c r="F468" s="2164"/>
      <c r="G468" s="2164"/>
      <c r="H468" s="2164"/>
    </row>
    <row r="469" spans="1:8" ht="12" customHeight="1">
      <c r="A469" s="33"/>
    </row>
    <row r="470" spans="1:8" ht="18.75" customHeight="1">
      <c r="A470" s="2596" t="s">
        <v>49</v>
      </c>
      <c r="B470" s="2596"/>
      <c r="C470" s="2596"/>
      <c r="D470" s="2596"/>
      <c r="E470" s="2596"/>
      <c r="F470" s="2596"/>
      <c r="G470" s="2596"/>
      <c r="H470" s="2596"/>
    </row>
    <row r="471" spans="1:8" ht="41.25" customHeight="1">
      <c r="A471" s="2780" t="s">
        <v>1415</v>
      </c>
      <c r="B471" s="2781"/>
      <c r="C471" s="2781"/>
      <c r="D471" s="2781"/>
      <c r="E471" s="2781"/>
      <c r="F471" s="2781"/>
      <c r="G471" s="2781"/>
      <c r="H471" s="2781"/>
    </row>
    <row r="472" spans="1:8" ht="18.75" customHeight="1" thickBot="1">
      <c r="A472" s="2567" t="s">
        <v>29</v>
      </c>
      <c r="B472" s="2568"/>
      <c r="C472" s="2568"/>
      <c r="D472" s="2568"/>
      <c r="E472" s="2568"/>
      <c r="F472" s="2569"/>
      <c r="G472" s="2570" t="s">
        <v>640</v>
      </c>
      <c r="H472" s="2572" t="s">
        <v>639</v>
      </c>
    </row>
    <row r="473" spans="1:8" ht="54.75" customHeight="1" thickBot="1">
      <c r="A473" s="411" t="s">
        <v>39</v>
      </c>
      <c r="B473" s="412" t="s">
        <v>40</v>
      </c>
      <c r="C473" s="412" t="s">
        <v>41</v>
      </c>
      <c r="D473" s="412" t="s">
        <v>45</v>
      </c>
      <c r="E473" s="413" t="s">
        <v>42</v>
      </c>
      <c r="F473" s="407" t="s">
        <v>43</v>
      </c>
      <c r="G473" s="2571"/>
      <c r="H473" s="2595"/>
    </row>
    <row r="474" spans="1:8" ht="18.75" customHeight="1">
      <c r="A474" s="34" t="s">
        <v>381</v>
      </c>
      <c r="B474" s="23" t="s">
        <v>69</v>
      </c>
      <c r="C474" s="23" t="s">
        <v>59</v>
      </c>
      <c r="D474" s="23" t="s">
        <v>62</v>
      </c>
      <c r="E474" s="23" t="s">
        <v>65</v>
      </c>
      <c r="F474" s="423" t="s">
        <v>209</v>
      </c>
      <c r="G474" s="415" t="s">
        <v>724</v>
      </c>
      <c r="H474" s="24">
        <v>7000</v>
      </c>
    </row>
    <row r="475" spans="1:8" ht="18.75" customHeight="1">
      <c r="A475" s="34" t="s">
        <v>381</v>
      </c>
      <c r="B475" s="23" t="s">
        <v>69</v>
      </c>
      <c r="C475" s="23" t="s">
        <v>59</v>
      </c>
      <c r="D475" s="23" t="s">
        <v>62</v>
      </c>
      <c r="E475" s="23" t="s">
        <v>65</v>
      </c>
      <c r="F475" s="424" t="s">
        <v>498</v>
      </c>
      <c r="G475" s="416" t="s">
        <v>725</v>
      </c>
      <c r="H475" s="24">
        <v>800</v>
      </c>
    </row>
    <row r="476" spans="1:8" ht="18.75" customHeight="1">
      <c r="A476" s="34" t="s">
        <v>381</v>
      </c>
      <c r="B476" s="23" t="s">
        <v>69</v>
      </c>
      <c r="C476" s="23" t="s">
        <v>59</v>
      </c>
      <c r="D476" s="23" t="s">
        <v>62</v>
      </c>
      <c r="E476" s="23" t="s">
        <v>65</v>
      </c>
      <c r="F476" s="424" t="s">
        <v>726</v>
      </c>
      <c r="G476" s="416" t="s">
        <v>727</v>
      </c>
      <c r="H476" s="24">
        <v>9800</v>
      </c>
    </row>
    <row r="477" spans="1:8" ht="18.75" customHeight="1">
      <c r="A477" s="34" t="s">
        <v>381</v>
      </c>
      <c r="B477" s="23" t="s">
        <v>69</v>
      </c>
      <c r="C477" s="23" t="s">
        <v>59</v>
      </c>
      <c r="D477" s="23" t="s">
        <v>62</v>
      </c>
      <c r="E477" s="23" t="s">
        <v>65</v>
      </c>
      <c r="F477" s="425">
        <v>54112</v>
      </c>
      <c r="G477" s="416" t="s">
        <v>728</v>
      </c>
      <c r="H477" s="25">
        <v>900</v>
      </c>
    </row>
    <row r="478" spans="1:8" ht="18.75" customHeight="1">
      <c r="A478" s="34" t="s">
        <v>381</v>
      </c>
      <c r="B478" s="23" t="s">
        <v>69</v>
      </c>
      <c r="C478" s="23" t="s">
        <v>59</v>
      </c>
      <c r="D478" s="23" t="s">
        <v>62</v>
      </c>
      <c r="E478" s="23" t="s">
        <v>65</v>
      </c>
      <c r="F478" s="425">
        <v>54118</v>
      </c>
      <c r="G478" s="416" t="s">
        <v>729</v>
      </c>
      <c r="H478" s="25">
        <v>300</v>
      </c>
    </row>
    <row r="479" spans="1:8" ht="18.75" customHeight="1">
      <c r="A479" s="34" t="s">
        <v>381</v>
      </c>
      <c r="B479" s="23" t="s">
        <v>69</v>
      </c>
      <c r="C479" s="23" t="s">
        <v>59</v>
      </c>
      <c r="D479" s="23" t="s">
        <v>62</v>
      </c>
      <c r="E479" s="23" t="s">
        <v>65</v>
      </c>
      <c r="F479" s="425">
        <v>54199</v>
      </c>
      <c r="G479" s="419" t="s">
        <v>730</v>
      </c>
      <c r="H479" s="25">
        <v>200</v>
      </c>
    </row>
    <row r="480" spans="1:8" ht="18.75" customHeight="1">
      <c r="A480" s="34" t="s">
        <v>381</v>
      </c>
      <c r="B480" s="23" t="s">
        <v>69</v>
      </c>
      <c r="C480" s="23" t="s">
        <v>59</v>
      </c>
      <c r="D480" s="23" t="s">
        <v>62</v>
      </c>
      <c r="E480" s="23" t="s">
        <v>65</v>
      </c>
      <c r="F480" s="487">
        <v>61608</v>
      </c>
      <c r="G480" s="419" t="s">
        <v>731</v>
      </c>
      <c r="H480" s="25">
        <v>1000</v>
      </c>
    </row>
    <row r="481" spans="1:8" ht="18.75" customHeight="1" thickBot="1">
      <c r="A481" s="1064"/>
      <c r="B481" s="1065"/>
      <c r="C481" s="1065"/>
      <c r="D481" s="1065"/>
      <c r="E481" s="1066"/>
      <c r="F481" s="1067"/>
      <c r="G481" s="1068"/>
      <c r="H481" s="1071">
        <f>SUM(H474:H480)</f>
        <v>20000</v>
      </c>
    </row>
    <row r="482" spans="1:8" ht="18.75" customHeight="1" thickBot="1">
      <c r="B482" s="9"/>
      <c r="C482" s="10"/>
      <c r="D482" s="3"/>
      <c r="E482" s="3"/>
      <c r="F482" s="3"/>
    </row>
    <row r="483" spans="1:8" ht="18.75" customHeight="1">
      <c r="A483" s="2573" t="s">
        <v>732</v>
      </c>
      <c r="B483" s="2574"/>
      <c r="C483" s="2574"/>
      <c r="D483" s="2574"/>
      <c r="E483" s="2574"/>
      <c r="F483" s="2574"/>
      <c r="G483" s="2575" t="s">
        <v>1323</v>
      </c>
      <c r="H483" s="2576"/>
    </row>
    <row r="484" spans="1:8" ht="18.75" customHeight="1">
      <c r="A484" s="2577" t="s">
        <v>1415</v>
      </c>
      <c r="B484" s="2578"/>
      <c r="C484" s="2578"/>
      <c r="D484" s="2578"/>
      <c r="E484" s="2578"/>
      <c r="F484" s="2579"/>
      <c r="G484" s="483"/>
      <c r="H484" s="484"/>
    </row>
    <row r="485" spans="1:8" ht="18.75" customHeight="1">
      <c r="A485" s="2580"/>
      <c r="B485" s="2581"/>
      <c r="C485" s="2581"/>
      <c r="D485" s="2581"/>
      <c r="E485" s="2581"/>
      <c r="F485" s="2582"/>
      <c r="G485" s="2580" t="s">
        <v>1096</v>
      </c>
      <c r="H485" s="2552"/>
    </row>
    <row r="486" spans="1:8" ht="18.75" customHeight="1">
      <c r="A486" s="2597" t="s">
        <v>955</v>
      </c>
      <c r="B486" s="2584"/>
      <c r="C486" s="2584"/>
      <c r="D486" s="2584"/>
      <c r="E486" s="2584"/>
      <c r="F486" s="2585"/>
      <c r="G486" s="483"/>
      <c r="H486" s="484"/>
    </row>
    <row r="487" spans="1:8" ht="18.75" customHeight="1">
      <c r="A487" s="2586"/>
      <c r="B487" s="2587"/>
      <c r="C487" s="2587"/>
      <c r="D487" s="2587"/>
      <c r="E487" s="2587"/>
      <c r="F487" s="2588"/>
      <c r="G487" s="2589" t="s">
        <v>695</v>
      </c>
      <c r="H487" s="2552"/>
    </row>
    <row r="488" spans="1:8" ht="18.75" customHeight="1">
      <c r="A488" s="482"/>
      <c r="B488" s="551"/>
      <c r="C488" s="551"/>
      <c r="D488" s="551"/>
      <c r="E488" s="551"/>
      <c r="F488" s="551"/>
      <c r="G488" s="485"/>
      <c r="H488" s="484"/>
    </row>
    <row r="489" spans="1:8" ht="18.75" customHeight="1">
      <c r="A489" s="2782" t="s">
        <v>692</v>
      </c>
      <c r="B489" s="2769"/>
      <c r="C489" s="2769"/>
      <c r="D489" s="2769"/>
      <c r="E489" s="2769"/>
      <c r="F489" s="2783"/>
      <c r="G489" s="2784" t="s">
        <v>696</v>
      </c>
      <c r="H489" s="2783"/>
    </row>
    <row r="490" spans="1:8" ht="39" customHeight="1">
      <c r="A490" s="2601" t="s">
        <v>821</v>
      </c>
      <c r="B490" s="2601"/>
      <c r="C490" s="2601"/>
      <c r="D490" s="2601"/>
      <c r="E490" s="2601"/>
      <c r="F490" s="2601"/>
      <c r="G490" s="2601"/>
      <c r="H490" s="2601"/>
    </row>
    <row r="491" spans="1:8" ht="18.75" customHeight="1">
      <c r="A491" s="613"/>
      <c r="B491" s="613"/>
      <c r="C491" s="613"/>
      <c r="D491" s="613"/>
      <c r="E491" s="613"/>
      <c r="F491" s="613"/>
      <c r="G491" s="613"/>
      <c r="H491" s="613"/>
    </row>
    <row r="492" spans="1:8" ht="18.75" customHeight="1">
      <c r="A492" s="2162" t="s">
        <v>111</v>
      </c>
      <c r="B492" s="2164"/>
      <c r="C492" s="2164"/>
      <c r="D492" s="2164"/>
      <c r="E492" s="2164"/>
      <c r="F492" s="2164"/>
      <c r="G492" s="2164"/>
      <c r="H492" s="2164"/>
    </row>
    <row r="493" spans="1:8" ht="18.75" customHeight="1">
      <c r="A493" s="2162" t="s">
        <v>757</v>
      </c>
      <c r="B493" s="2164"/>
      <c r="C493" s="2164"/>
      <c r="D493" s="2164"/>
      <c r="E493" s="2164"/>
      <c r="F493" s="2164"/>
      <c r="G493" s="2164"/>
      <c r="H493" s="2164"/>
    </row>
    <row r="494" spans="1:8" ht="18.75" customHeight="1">
      <c r="A494" s="2163" t="s">
        <v>211</v>
      </c>
      <c r="B494" s="2164"/>
      <c r="C494" s="2164"/>
      <c r="D494" s="2164"/>
      <c r="E494" s="2164"/>
      <c r="F494" s="2164"/>
      <c r="G494" s="2164"/>
      <c r="H494" s="2164"/>
    </row>
    <row r="495" spans="1:8" ht="18.75" customHeight="1">
      <c r="A495" s="2163" t="s">
        <v>1212</v>
      </c>
      <c r="B495" s="2164"/>
      <c r="C495" s="2164"/>
      <c r="D495" s="2164"/>
      <c r="E495" s="2164"/>
      <c r="F495" s="2164"/>
      <c r="G495" s="2164"/>
      <c r="H495" s="2164"/>
    </row>
    <row r="496" spans="1:8" ht="18.75" customHeight="1">
      <c r="A496" s="2163" t="s">
        <v>32</v>
      </c>
      <c r="B496" s="2164"/>
      <c r="C496" s="2164"/>
      <c r="D496" s="2164"/>
      <c r="E496" s="2164"/>
      <c r="F496" s="2164"/>
      <c r="G496" s="2164"/>
      <c r="H496" s="2164"/>
    </row>
    <row r="497" spans="1:8" ht="18.75" customHeight="1">
      <c r="A497" s="33"/>
    </row>
    <row r="498" spans="1:8" ht="18.75" customHeight="1">
      <c r="A498" s="2596" t="s">
        <v>49</v>
      </c>
      <c r="B498" s="2596"/>
      <c r="C498" s="2596"/>
      <c r="D498" s="2596"/>
      <c r="E498" s="2596"/>
      <c r="F498" s="2596"/>
      <c r="G498" s="2596"/>
      <c r="H498" s="2596"/>
    </row>
    <row r="499" spans="1:8" ht="38.25" customHeight="1">
      <c r="A499" s="2780" t="s">
        <v>1416</v>
      </c>
      <c r="B499" s="2781"/>
      <c r="C499" s="2781"/>
      <c r="D499" s="2781"/>
      <c r="E499" s="2781"/>
      <c r="F499" s="2781"/>
      <c r="G499" s="2781"/>
      <c r="H499" s="2781"/>
    </row>
    <row r="500" spans="1:8" ht="18.75" customHeight="1" thickBot="1">
      <c r="A500" s="2567" t="s">
        <v>29</v>
      </c>
      <c r="B500" s="2568"/>
      <c r="C500" s="2568"/>
      <c r="D500" s="2568"/>
      <c r="E500" s="2568"/>
      <c r="F500" s="2569"/>
      <c r="G500" s="2570" t="s">
        <v>640</v>
      </c>
      <c r="H500" s="2572" t="s">
        <v>639</v>
      </c>
    </row>
    <row r="501" spans="1:8" ht="66" customHeight="1" thickBot="1">
      <c r="A501" s="411" t="s">
        <v>39</v>
      </c>
      <c r="B501" s="412" t="s">
        <v>40</v>
      </c>
      <c r="C501" s="412" t="s">
        <v>41</v>
      </c>
      <c r="D501" s="412" t="s">
        <v>45</v>
      </c>
      <c r="E501" s="413" t="s">
        <v>42</v>
      </c>
      <c r="F501" s="407" t="s">
        <v>43</v>
      </c>
      <c r="G501" s="2571"/>
      <c r="H501" s="2595"/>
    </row>
    <row r="502" spans="1:8" ht="18.75" customHeight="1">
      <c r="A502" s="34" t="s">
        <v>381</v>
      </c>
      <c r="B502" s="23" t="s">
        <v>69</v>
      </c>
      <c r="C502" s="23" t="s">
        <v>59</v>
      </c>
      <c r="D502" s="23" t="s">
        <v>62</v>
      </c>
      <c r="E502" s="23" t="s">
        <v>65</v>
      </c>
      <c r="F502" s="423" t="s">
        <v>209</v>
      </c>
      <c r="G502" s="415" t="s">
        <v>724</v>
      </c>
      <c r="H502" s="24">
        <v>7000</v>
      </c>
    </row>
    <row r="503" spans="1:8" ht="18.75" customHeight="1">
      <c r="A503" s="34" t="s">
        <v>381</v>
      </c>
      <c r="B503" s="23" t="s">
        <v>69</v>
      </c>
      <c r="C503" s="23" t="s">
        <v>59</v>
      </c>
      <c r="D503" s="23" t="s">
        <v>62</v>
      </c>
      <c r="E503" s="23" t="s">
        <v>65</v>
      </c>
      <c r="F503" s="424" t="s">
        <v>498</v>
      </c>
      <c r="G503" s="416" t="s">
        <v>725</v>
      </c>
      <c r="H503" s="24">
        <v>800</v>
      </c>
    </row>
    <row r="504" spans="1:8" ht="18.75" customHeight="1">
      <c r="A504" s="34" t="s">
        <v>381</v>
      </c>
      <c r="B504" s="23" t="s">
        <v>69</v>
      </c>
      <c r="C504" s="23" t="s">
        <v>59</v>
      </c>
      <c r="D504" s="23" t="s">
        <v>62</v>
      </c>
      <c r="E504" s="23" t="s">
        <v>65</v>
      </c>
      <c r="F504" s="424" t="s">
        <v>726</v>
      </c>
      <c r="G504" s="416" t="s">
        <v>727</v>
      </c>
      <c r="H504" s="24">
        <v>9800</v>
      </c>
    </row>
    <row r="505" spans="1:8" ht="18.75" customHeight="1">
      <c r="A505" s="34" t="s">
        <v>381</v>
      </c>
      <c r="B505" s="23" t="s">
        <v>69</v>
      </c>
      <c r="C505" s="23" t="s">
        <v>59</v>
      </c>
      <c r="D505" s="23" t="s">
        <v>62</v>
      </c>
      <c r="E505" s="23" t="s">
        <v>65</v>
      </c>
      <c r="F505" s="425">
        <v>54112</v>
      </c>
      <c r="G505" s="416" t="s">
        <v>728</v>
      </c>
      <c r="H505" s="25">
        <v>900</v>
      </c>
    </row>
    <row r="506" spans="1:8" ht="18.75" customHeight="1">
      <c r="A506" s="34" t="s">
        <v>381</v>
      </c>
      <c r="B506" s="23" t="s">
        <v>69</v>
      </c>
      <c r="C506" s="23" t="s">
        <v>59</v>
      </c>
      <c r="D506" s="23" t="s">
        <v>62</v>
      </c>
      <c r="E506" s="23" t="s">
        <v>65</v>
      </c>
      <c r="F506" s="425">
        <v>54118</v>
      </c>
      <c r="G506" s="416" t="s">
        <v>729</v>
      </c>
      <c r="H506" s="25">
        <v>300</v>
      </c>
    </row>
    <row r="507" spans="1:8" ht="18.75" customHeight="1">
      <c r="A507" s="34" t="s">
        <v>381</v>
      </c>
      <c r="B507" s="23" t="s">
        <v>69</v>
      </c>
      <c r="C507" s="23" t="s">
        <v>59</v>
      </c>
      <c r="D507" s="23" t="s">
        <v>62</v>
      </c>
      <c r="E507" s="23" t="s">
        <v>65</v>
      </c>
      <c r="F507" s="425">
        <v>54199</v>
      </c>
      <c r="G507" s="419" t="s">
        <v>730</v>
      </c>
      <c r="H507" s="25">
        <v>200</v>
      </c>
    </row>
    <row r="508" spans="1:8" ht="18.75" customHeight="1">
      <c r="A508" s="34" t="s">
        <v>381</v>
      </c>
      <c r="B508" s="23" t="s">
        <v>69</v>
      </c>
      <c r="C508" s="23" t="s">
        <v>59</v>
      </c>
      <c r="D508" s="23" t="s">
        <v>62</v>
      </c>
      <c r="E508" s="23" t="s">
        <v>65</v>
      </c>
      <c r="F508" s="487">
        <v>61608</v>
      </c>
      <c r="G508" s="419" t="s">
        <v>731</v>
      </c>
      <c r="H508" s="25">
        <v>1000</v>
      </c>
    </row>
    <row r="509" spans="1:8" ht="18.75" customHeight="1" thickBot="1">
      <c r="A509" s="1064"/>
      <c r="B509" s="1065"/>
      <c r="C509" s="1065"/>
      <c r="D509" s="1065"/>
      <c r="E509" s="1066"/>
      <c r="F509" s="1067"/>
      <c r="G509" s="1068"/>
      <c r="H509" s="1071">
        <f>SUM(H502:H508)</f>
        <v>20000</v>
      </c>
    </row>
    <row r="510" spans="1:8" ht="18.75" customHeight="1" thickBot="1">
      <c r="B510" s="9"/>
      <c r="C510" s="10"/>
      <c r="D510" s="3"/>
      <c r="E510" s="3"/>
      <c r="F510" s="3"/>
    </row>
    <row r="511" spans="1:8" ht="18.75" customHeight="1">
      <c r="A511" s="2573" t="s">
        <v>732</v>
      </c>
      <c r="B511" s="2574"/>
      <c r="C511" s="2574"/>
      <c r="D511" s="2574"/>
      <c r="E511" s="2574"/>
      <c r="F511" s="2574"/>
      <c r="G511" s="2575" t="s">
        <v>1323</v>
      </c>
      <c r="H511" s="2576"/>
    </row>
    <row r="512" spans="1:8" ht="18.75" customHeight="1">
      <c r="A512" s="2577" t="s">
        <v>1416</v>
      </c>
      <c r="B512" s="2578"/>
      <c r="C512" s="2578"/>
      <c r="D512" s="2578"/>
      <c r="E512" s="2578"/>
      <c r="F512" s="2579"/>
      <c r="G512" s="483"/>
      <c r="H512" s="484"/>
    </row>
    <row r="513" spans="1:8" ht="18.75" customHeight="1">
      <c r="A513" s="2580"/>
      <c r="B513" s="2581"/>
      <c r="C513" s="2581"/>
      <c r="D513" s="2581"/>
      <c r="E513" s="2581"/>
      <c r="F513" s="2582"/>
      <c r="G513" s="2580" t="s">
        <v>1096</v>
      </c>
      <c r="H513" s="2552"/>
    </row>
    <row r="514" spans="1:8" ht="18.75" customHeight="1">
      <c r="A514" s="2597" t="s">
        <v>955</v>
      </c>
      <c r="B514" s="2584"/>
      <c r="C514" s="2584"/>
      <c r="D514" s="2584"/>
      <c r="E514" s="2584"/>
      <c r="F514" s="2585"/>
      <c r="G514" s="483"/>
      <c r="H514" s="484"/>
    </row>
    <row r="515" spans="1:8" ht="18.75" customHeight="1">
      <c r="A515" s="2586"/>
      <c r="B515" s="2587"/>
      <c r="C515" s="2587"/>
      <c r="D515" s="2587"/>
      <c r="E515" s="2587"/>
      <c r="F515" s="2588"/>
      <c r="G515" s="2589" t="s">
        <v>695</v>
      </c>
      <c r="H515" s="2552"/>
    </row>
    <row r="516" spans="1:8" ht="18.75" customHeight="1">
      <c r="A516" s="482"/>
      <c r="B516" s="551"/>
      <c r="C516" s="551"/>
      <c r="D516" s="551"/>
      <c r="E516" s="551"/>
      <c r="F516" s="551"/>
      <c r="G516" s="485"/>
      <c r="H516" s="484"/>
    </row>
    <row r="517" spans="1:8" ht="18.75" customHeight="1">
      <c r="A517" s="2782" t="s">
        <v>692</v>
      </c>
      <c r="B517" s="2769"/>
      <c r="C517" s="2769"/>
      <c r="D517" s="2769"/>
      <c r="E517" s="2769"/>
      <c r="F517" s="2783"/>
      <c r="G517" s="2784" t="s">
        <v>696</v>
      </c>
      <c r="H517" s="2783"/>
    </row>
    <row r="518" spans="1:8" ht="45" customHeight="1">
      <c r="A518" s="2601" t="s">
        <v>821</v>
      </c>
      <c r="B518" s="2601"/>
      <c r="C518" s="2601"/>
      <c r="D518" s="2601"/>
      <c r="E518" s="2601"/>
      <c r="F518" s="2601"/>
      <c r="G518" s="2601"/>
      <c r="H518" s="2601"/>
    </row>
    <row r="519" spans="1:8" ht="18.75" customHeight="1">
      <c r="A519" s="613"/>
      <c r="B519" s="613"/>
      <c r="C519" s="613"/>
      <c r="D519" s="613"/>
      <c r="E519" s="613"/>
      <c r="F519" s="613"/>
      <c r="G519" s="613"/>
      <c r="H519" s="613"/>
    </row>
    <row r="520" spans="1:8" ht="18.75" customHeight="1">
      <c r="A520" s="2162" t="s">
        <v>111</v>
      </c>
      <c r="B520" s="2162"/>
      <c r="C520" s="2162"/>
      <c r="D520" s="2162"/>
      <c r="E520" s="2162"/>
      <c r="F520" s="2162"/>
      <c r="G520" s="2162"/>
      <c r="H520" s="2162"/>
    </row>
    <row r="521" spans="1:8" ht="18.75" customHeight="1">
      <c r="A521" s="2162" t="s">
        <v>110</v>
      </c>
      <c r="B521" s="2162"/>
      <c r="C521" s="2162"/>
      <c r="D521" s="2162"/>
      <c r="E521" s="2162"/>
      <c r="F521" s="2162"/>
      <c r="G521" s="2162"/>
      <c r="H521" s="2162"/>
    </row>
    <row r="522" spans="1:8" ht="18.75" customHeight="1">
      <c r="A522" s="2163" t="s">
        <v>211</v>
      </c>
      <c r="B522" s="2164"/>
      <c r="C522" s="2164"/>
      <c r="D522" s="2164"/>
      <c r="E522" s="2164"/>
      <c r="F522" s="2164"/>
      <c r="G522" s="2164"/>
      <c r="H522" s="2164"/>
    </row>
    <row r="523" spans="1:8" ht="18.75" customHeight="1">
      <c r="A523" s="2163" t="s">
        <v>1212</v>
      </c>
      <c r="B523" s="2164"/>
      <c r="C523" s="2164"/>
      <c r="D523" s="2164"/>
      <c r="E523" s="2164"/>
      <c r="F523" s="2164"/>
      <c r="G523" s="2164"/>
      <c r="H523" s="2164"/>
    </row>
    <row r="524" spans="1:8" ht="18.75" customHeight="1">
      <c r="A524" s="2163" t="s">
        <v>32</v>
      </c>
      <c r="B524" s="2164"/>
      <c r="C524" s="2164"/>
      <c r="D524" s="2164"/>
      <c r="E524" s="2164"/>
      <c r="F524" s="2164"/>
      <c r="G524" s="2164"/>
      <c r="H524" s="2164"/>
    </row>
    <row r="525" spans="1:8" ht="18.75" customHeight="1">
      <c r="A525" s="33"/>
    </row>
    <row r="526" spans="1:8" ht="18.75" customHeight="1">
      <c r="A526" s="2596" t="s">
        <v>49</v>
      </c>
      <c r="B526" s="2596"/>
      <c r="C526" s="2596"/>
      <c r="D526" s="2596"/>
      <c r="E526" s="2596"/>
      <c r="F526" s="2596"/>
      <c r="G526" s="2596"/>
      <c r="H526" s="2596"/>
    </row>
    <row r="527" spans="1:8" ht="44.25" customHeight="1">
      <c r="A527" s="2832" t="s">
        <v>1417</v>
      </c>
      <c r="B527" s="2833"/>
      <c r="C527" s="2833"/>
      <c r="D527" s="2833"/>
      <c r="E527" s="2833"/>
      <c r="F527" s="2833"/>
      <c r="G527" s="2833"/>
      <c r="H527" s="2833"/>
    </row>
    <row r="528" spans="1:8" ht="18.75" customHeight="1" thickBot="1">
      <c r="A528" s="2567" t="s">
        <v>29</v>
      </c>
      <c r="B528" s="2568"/>
      <c r="C528" s="2568"/>
      <c r="D528" s="2568"/>
      <c r="E528" s="2568"/>
      <c r="F528" s="2569"/>
      <c r="G528" s="2570" t="s">
        <v>640</v>
      </c>
      <c r="H528" s="2572" t="s">
        <v>639</v>
      </c>
    </row>
    <row r="529" spans="1:8" ht="75" customHeight="1" thickBot="1">
      <c r="A529" s="411" t="s">
        <v>39</v>
      </c>
      <c r="B529" s="412" t="s">
        <v>40</v>
      </c>
      <c r="C529" s="412" t="s">
        <v>41</v>
      </c>
      <c r="D529" s="412" t="s">
        <v>45</v>
      </c>
      <c r="E529" s="413" t="s">
        <v>42</v>
      </c>
      <c r="F529" s="407" t="s">
        <v>43</v>
      </c>
      <c r="G529" s="2571"/>
      <c r="H529" s="2572"/>
    </row>
    <row r="530" spans="1:8" ht="18.75" customHeight="1">
      <c r="A530" s="34" t="s">
        <v>381</v>
      </c>
      <c r="B530" s="23" t="s">
        <v>69</v>
      </c>
      <c r="C530" s="23" t="s">
        <v>59</v>
      </c>
      <c r="D530" s="23" t="s">
        <v>62</v>
      </c>
      <c r="E530" s="23" t="s">
        <v>65</v>
      </c>
      <c r="F530" s="423" t="s">
        <v>785</v>
      </c>
      <c r="G530" s="561" t="s">
        <v>1061</v>
      </c>
      <c r="H530" s="541">
        <v>32138.47</v>
      </c>
    </row>
    <row r="531" spans="1:8" ht="18.75" customHeight="1">
      <c r="A531" s="34" t="s">
        <v>381</v>
      </c>
      <c r="B531" s="23" t="s">
        <v>69</v>
      </c>
      <c r="C531" s="23" t="s">
        <v>59</v>
      </c>
      <c r="D531" s="23" t="s">
        <v>62</v>
      </c>
      <c r="E531" s="23" t="s">
        <v>65</v>
      </c>
      <c r="F531" s="424" t="s">
        <v>735</v>
      </c>
      <c r="G531" s="540" t="s">
        <v>736</v>
      </c>
      <c r="H531" s="563">
        <v>1693.07</v>
      </c>
    </row>
    <row r="532" spans="1:8" ht="18.75" customHeight="1" thickBot="1">
      <c r="A532" s="1064"/>
      <c r="B532" s="1065"/>
      <c r="C532" s="1065"/>
      <c r="D532" s="1065"/>
      <c r="E532" s="1066"/>
      <c r="F532" s="1067"/>
      <c r="G532" s="1068"/>
      <c r="H532" s="1071">
        <f>SUM(H530:H531)</f>
        <v>33831.54</v>
      </c>
    </row>
    <row r="533" spans="1:8" ht="18.75" customHeight="1" thickBot="1">
      <c r="B533" s="9"/>
      <c r="C533" s="10"/>
      <c r="D533" s="3"/>
      <c r="E533" s="3"/>
      <c r="F533" s="3"/>
    </row>
    <row r="534" spans="1:8" ht="18.75" customHeight="1">
      <c r="A534" s="2573" t="s">
        <v>1097</v>
      </c>
      <c r="B534" s="2574"/>
      <c r="C534" s="2574"/>
      <c r="D534" s="2574"/>
      <c r="E534" s="2574"/>
      <c r="F534" s="2574"/>
      <c r="G534" s="2575" t="s">
        <v>1323</v>
      </c>
      <c r="H534" s="2576"/>
    </row>
    <row r="535" spans="1:8" ht="18.75" customHeight="1">
      <c r="A535" s="2577" t="s">
        <v>1417</v>
      </c>
      <c r="B535" s="2578"/>
      <c r="C535" s="2578"/>
      <c r="D535" s="2578"/>
      <c r="E535" s="2578"/>
      <c r="F535" s="2579"/>
      <c r="G535" s="483"/>
      <c r="H535" s="484"/>
    </row>
    <row r="536" spans="1:8" ht="18.75" customHeight="1">
      <c r="A536" s="2580"/>
      <c r="B536" s="2581"/>
      <c r="C536" s="2581"/>
      <c r="D536" s="2581"/>
      <c r="E536" s="2581"/>
      <c r="F536" s="2582"/>
      <c r="G536" s="2580" t="s">
        <v>1067</v>
      </c>
      <c r="H536" s="2552"/>
    </row>
    <row r="537" spans="1:8" ht="18.75" customHeight="1">
      <c r="A537" s="2597" t="s">
        <v>1329</v>
      </c>
      <c r="B537" s="2584"/>
      <c r="C537" s="2584"/>
      <c r="D537" s="2584"/>
      <c r="E537" s="2584"/>
      <c r="F537" s="2585"/>
      <c r="G537" s="483"/>
      <c r="H537" s="484"/>
    </row>
    <row r="538" spans="1:8" ht="18.75" customHeight="1">
      <c r="A538" s="2586"/>
      <c r="B538" s="2587"/>
      <c r="C538" s="2587"/>
      <c r="D538" s="2587"/>
      <c r="E538" s="2587"/>
      <c r="F538" s="2588"/>
      <c r="G538" s="2589" t="s">
        <v>737</v>
      </c>
      <c r="H538" s="2552"/>
    </row>
    <row r="539" spans="1:8" ht="18.75" customHeight="1">
      <c r="A539" s="482"/>
      <c r="B539" s="551"/>
      <c r="C539" s="551"/>
      <c r="D539" s="551"/>
      <c r="E539" s="551"/>
      <c r="F539" s="551"/>
      <c r="G539" s="485"/>
      <c r="H539" s="484"/>
    </row>
    <row r="540" spans="1:8" ht="18.75" customHeight="1">
      <c r="A540" s="2782" t="s">
        <v>692</v>
      </c>
      <c r="B540" s="2769"/>
      <c r="C540" s="2769"/>
      <c r="D540" s="2769"/>
      <c r="E540" s="2769"/>
      <c r="F540" s="2783"/>
      <c r="G540" s="2784" t="s">
        <v>696</v>
      </c>
      <c r="H540" s="2783"/>
    </row>
    <row r="541" spans="1:8" ht="41.25" customHeight="1">
      <c r="A541" s="2601" t="s">
        <v>821</v>
      </c>
      <c r="B541" s="2601"/>
      <c r="C541" s="2601"/>
      <c r="D541" s="2601"/>
      <c r="E541" s="2601"/>
      <c r="F541" s="2601"/>
      <c r="G541" s="2601"/>
      <c r="H541" s="2601"/>
    </row>
    <row r="542" spans="1:8" ht="17.25" customHeight="1">
      <c r="A542" s="1646"/>
      <c r="B542" s="1646"/>
      <c r="C542" s="1646"/>
      <c r="D542" s="1646"/>
      <c r="E542" s="1646"/>
      <c r="F542" s="1646"/>
      <c r="G542" s="1646"/>
      <c r="H542" s="1646"/>
    </row>
    <row r="543" spans="1:8" ht="18.75" customHeight="1">
      <c r="A543" s="613"/>
      <c r="B543" s="613"/>
      <c r="C543" s="613"/>
      <c r="D543" s="613"/>
      <c r="E543" s="613"/>
      <c r="F543" s="613"/>
      <c r="G543" s="613"/>
      <c r="H543" s="613"/>
    </row>
    <row r="544" spans="1:8" ht="18.75" customHeight="1">
      <c r="A544" s="2162" t="s">
        <v>111</v>
      </c>
      <c r="B544" s="2162"/>
      <c r="C544" s="2162"/>
      <c r="D544" s="2162"/>
      <c r="E544" s="2162"/>
      <c r="F544" s="2162"/>
      <c r="G544" s="2162"/>
      <c r="H544" s="2162"/>
    </row>
    <row r="545" spans="1:8" ht="18.75" customHeight="1">
      <c r="A545" s="2162" t="s">
        <v>110</v>
      </c>
      <c r="B545" s="2162"/>
      <c r="C545" s="2162"/>
      <c r="D545" s="2162"/>
      <c r="E545" s="2162"/>
      <c r="F545" s="2162"/>
      <c r="G545" s="2162"/>
      <c r="H545" s="2162"/>
    </row>
    <row r="546" spans="1:8" ht="18.75" customHeight="1">
      <c r="A546" s="2163" t="s">
        <v>211</v>
      </c>
      <c r="B546" s="2164"/>
      <c r="C546" s="2164"/>
      <c r="D546" s="2164"/>
      <c r="E546" s="2164"/>
      <c r="F546" s="2164"/>
      <c r="G546" s="2164"/>
      <c r="H546" s="2164"/>
    </row>
    <row r="547" spans="1:8" ht="18.75" customHeight="1">
      <c r="A547" s="2163" t="s">
        <v>1212</v>
      </c>
      <c r="B547" s="2164"/>
      <c r="C547" s="2164"/>
      <c r="D547" s="2164"/>
      <c r="E547" s="2164"/>
      <c r="F547" s="2164"/>
      <c r="G547" s="2164"/>
      <c r="H547" s="2164"/>
    </row>
    <row r="548" spans="1:8" ht="18.75" customHeight="1">
      <c r="A548" s="2163" t="s">
        <v>32</v>
      </c>
      <c r="B548" s="2164"/>
      <c r="C548" s="2164"/>
      <c r="D548" s="2164"/>
      <c r="E548" s="2164"/>
      <c r="F548" s="2164"/>
      <c r="G548" s="2164"/>
      <c r="H548" s="2164"/>
    </row>
    <row r="549" spans="1:8" ht="18.75" customHeight="1">
      <c r="A549" s="33"/>
    </row>
    <row r="550" spans="1:8" ht="18.75" customHeight="1">
      <c r="A550" s="2596" t="s">
        <v>49</v>
      </c>
      <c r="B550" s="2596"/>
      <c r="C550" s="2596"/>
      <c r="D550" s="2596"/>
      <c r="E550" s="2596"/>
      <c r="F550" s="2596"/>
      <c r="G550" s="2596"/>
      <c r="H550" s="2596"/>
    </row>
    <row r="551" spans="1:8" ht="48" customHeight="1">
      <c r="A551" s="2855" t="s">
        <v>1418</v>
      </c>
      <c r="B551" s="2856"/>
      <c r="C551" s="2856"/>
      <c r="D551" s="2856"/>
      <c r="E551" s="2856"/>
      <c r="F551" s="2856"/>
      <c r="G551" s="2856"/>
      <c r="H551" s="2856"/>
    </row>
    <row r="552" spans="1:8" ht="18.75" customHeight="1" thickBot="1">
      <c r="A552" s="2567" t="s">
        <v>29</v>
      </c>
      <c r="B552" s="2568"/>
      <c r="C552" s="2568"/>
      <c r="D552" s="2568"/>
      <c r="E552" s="2568"/>
      <c r="F552" s="2569"/>
      <c r="G552" s="2570" t="s">
        <v>640</v>
      </c>
      <c r="H552" s="2572" t="s">
        <v>639</v>
      </c>
    </row>
    <row r="553" spans="1:8" ht="62.25" customHeight="1" thickBot="1">
      <c r="A553" s="411" t="s">
        <v>39</v>
      </c>
      <c r="B553" s="412" t="s">
        <v>40</v>
      </c>
      <c r="C553" s="412" t="s">
        <v>41</v>
      </c>
      <c r="D553" s="412" t="s">
        <v>45</v>
      </c>
      <c r="E553" s="413" t="s">
        <v>42</v>
      </c>
      <c r="F553" s="407" t="s">
        <v>43</v>
      </c>
      <c r="G553" s="2571"/>
      <c r="H553" s="2572"/>
    </row>
    <row r="554" spans="1:8" ht="18.75" customHeight="1">
      <c r="A554" s="34" t="s">
        <v>381</v>
      </c>
      <c r="B554" s="23" t="s">
        <v>69</v>
      </c>
      <c r="C554" s="23" t="s">
        <v>59</v>
      </c>
      <c r="D554" s="23" t="s">
        <v>62</v>
      </c>
      <c r="E554" s="23" t="s">
        <v>65</v>
      </c>
      <c r="F554" s="423" t="s">
        <v>785</v>
      </c>
      <c r="G554" s="561" t="s">
        <v>1061</v>
      </c>
      <c r="H554" s="541">
        <v>47500</v>
      </c>
    </row>
    <row r="555" spans="1:8" ht="18.75" customHeight="1">
      <c r="A555" s="34" t="s">
        <v>381</v>
      </c>
      <c r="B555" s="23" t="s">
        <v>69</v>
      </c>
      <c r="C555" s="23" t="s">
        <v>59</v>
      </c>
      <c r="D555" s="23" t="s">
        <v>62</v>
      </c>
      <c r="E555" s="23" t="s">
        <v>65</v>
      </c>
      <c r="F555" s="424" t="s">
        <v>735</v>
      </c>
      <c r="G555" s="540" t="s">
        <v>736</v>
      </c>
      <c r="H555" s="563">
        <v>2500</v>
      </c>
    </row>
    <row r="556" spans="1:8" ht="18.75" customHeight="1" thickBot="1">
      <c r="A556" s="1064"/>
      <c r="B556" s="1065"/>
      <c r="C556" s="1065"/>
      <c r="D556" s="1065"/>
      <c r="E556" s="1066"/>
      <c r="F556" s="1067"/>
      <c r="G556" s="1068"/>
      <c r="H556" s="1071">
        <f>SUM(H554:H555)</f>
        <v>50000</v>
      </c>
    </row>
    <row r="557" spans="1:8" ht="8.25" customHeight="1" thickBot="1">
      <c r="B557" s="9"/>
      <c r="C557" s="10"/>
      <c r="D557" s="3"/>
      <c r="E557" s="3"/>
      <c r="F557" s="3"/>
    </row>
    <row r="558" spans="1:8" ht="18.75" customHeight="1">
      <c r="A558" s="2573" t="s">
        <v>1097</v>
      </c>
      <c r="B558" s="2574"/>
      <c r="C558" s="2574"/>
      <c r="D558" s="2574"/>
      <c r="E558" s="2574"/>
      <c r="F558" s="2574"/>
      <c r="G558" s="2575" t="s">
        <v>1323</v>
      </c>
      <c r="H558" s="2576"/>
    </row>
    <row r="559" spans="1:8" ht="18.75" customHeight="1">
      <c r="A559" s="2577" t="s">
        <v>1418</v>
      </c>
      <c r="B559" s="2578"/>
      <c r="C559" s="2578"/>
      <c r="D559" s="2578"/>
      <c r="E559" s="2578"/>
      <c r="F559" s="2579"/>
      <c r="G559" s="483"/>
      <c r="H559" s="484"/>
    </row>
    <row r="560" spans="1:8" ht="18.75" customHeight="1">
      <c r="A560" s="2580"/>
      <c r="B560" s="2581"/>
      <c r="C560" s="2581"/>
      <c r="D560" s="2581"/>
      <c r="E560" s="2581"/>
      <c r="F560" s="2582"/>
      <c r="G560" s="2580" t="s">
        <v>1067</v>
      </c>
      <c r="H560" s="2552"/>
    </row>
    <row r="561" spans="1:8" ht="18.75" customHeight="1">
      <c r="A561" s="2597" t="s">
        <v>1329</v>
      </c>
      <c r="B561" s="2584"/>
      <c r="C561" s="2584"/>
      <c r="D561" s="2584"/>
      <c r="E561" s="2584"/>
      <c r="F561" s="2585"/>
      <c r="G561" s="483"/>
      <c r="H561" s="484"/>
    </row>
    <row r="562" spans="1:8" ht="18.75" customHeight="1">
      <c r="A562" s="2586"/>
      <c r="B562" s="2587"/>
      <c r="C562" s="2587"/>
      <c r="D562" s="2587"/>
      <c r="E562" s="2587"/>
      <c r="F562" s="2588"/>
      <c r="G562" s="2589" t="s">
        <v>737</v>
      </c>
      <c r="H562" s="2552"/>
    </row>
    <row r="563" spans="1:8" ht="18.75" customHeight="1">
      <c r="A563" s="482"/>
      <c r="B563" s="551"/>
      <c r="C563" s="551"/>
      <c r="D563" s="551"/>
      <c r="E563" s="551"/>
      <c r="F563" s="551"/>
      <c r="G563" s="485"/>
      <c r="H563" s="484"/>
    </row>
    <row r="564" spans="1:8" ht="18.75" customHeight="1">
      <c r="A564" s="2782" t="s">
        <v>692</v>
      </c>
      <c r="B564" s="2769"/>
      <c r="C564" s="2769"/>
      <c r="D564" s="2769"/>
      <c r="E564" s="2769"/>
      <c r="F564" s="2783"/>
      <c r="G564" s="2784" t="s">
        <v>696</v>
      </c>
      <c r="H564" s="2783"/>
    </row>
    <row r="565" spans="1:8" ht="46.5" customHeight="1">
      <c r="A565" s="2601" t="s">
        <v>821</v>
      </c>
      <c r="B565" s="2601"/>
      <c r="C565" s="2601"/>
      <c r="D565" s="2601"/>
      <c r="E565" s="2601"/>
      <c r="F565" s="2601"/>
      <c r="G565" s="2601"/>
      <c r="H565" s="2601"/>
    </row>
    <row r="566" spans="1:8" ht="18.75" customHeight="1">
      <c r="A566" s="613"/>
      <c r="B566" s="613"/>
      <c r="C566" s="613"/>
      <c r="D566" s="613"/>
      <c r="E566" s="613"/>
      <c r="F566" s="613"/>
      <c r="G566" s="613"/>
      <c r="H566" s="613"/>
    </row>
    <row r="567" spans="1:8" ht="18.75" customHeight="1">
      <c r="A567" s="2162" t="s">
        <v>111</v>
      </c>
      <c r="B567" s="2162"/>
      <c r="C567" s="2162"/>
      <c r="D567" s="2162"/>
      <c r="E567" s="2162"/>
      <c r="F567" s="2162"/>
      <c r="G567" s="2162"/>
      <c r="H567" s="2162"/>
    </row>
    <row r="568" spans="1:8" ht="18.75" customHeight="1">
      <c r="A568" s="2162" t="s">
        <v>110</v>
      </c>
      <c r="B568" s="2162"/>
      <c r="C568" s="2162"/>
      <c r="D568" s="2162"/>
      <c r="E568" s="2162"/>
      <c r="F568" s="2162"/>
      <c r="G568" s="2162"/>
      <c r="H568" s="2162"/>
    </row>
    <row r="569" spans="1:8" ht="18.75" customHeight="1">
      <c r="A569" s="2163" t="s">
        <v>211</v>
      </c>
      <c r="B569" s="2164"/>
      <c r="C569" s="2164"/>
      <c r="D569" s="2164"/>
      <c r="E569" s="2164"/>
      <c r="F569" s="2164"/>
      <c r="G569" s="2164"/>
      <c r="H569" s="2164"/>
    </row>
    <row r="570" spans="1:8" ht="18.75" customHeight="1">
      <c r="A570" s="2163" t="s">
        <v>1212</v>
      </c>
      <c r="B570" s="2164"/>
      <c r="C570" s="2164"/>
      <c r="D570" s="2164"/>
      <c r="E570" s="2164"/>
      <c r="F570" s="2164"/>
      <c r="G570" s="2164"/>
      <c r="H570" s="2164"/>
    </row>
    <row r="571" spans="1:8" ht="18.75" customHeight="1">
      <c r="A571" s="2163" t="s">
        <v>32</v>
      </c>
      <c r="B571" s="2164"/>
      <c r="C571" s="2164"/>
      <c r="D571" s="2164"/>
      <c r="E571" s="2164"/>
      <c r="F571" s="2164"/>
      <c r="G571" s="2164"/>
      <c r="H571" s="2164"/>
    </row>
    <row r="572" spans="1:8" ht="18.75" customHeight="1">
      <c r="A572" s="33"/>
    </row>
    <row r="573" spans="1:8" ht="18.75" customHeight="1">
      <c r="A573" s="2596" t="s">
        <v>49</v>
      </c>
      <c r="B573" s="2596"/>
      <c r="C573" s="2596"/>
      <c r="D573" s="2596"/>
      <c r="E573" s="2596"/>
      <c r="F573" s="2596"/>
      <c r="G573" s="2596"/>
      <c r="H573" s="2596"/>
    </row>
    <row r="574" spans="1:8" ht="48.75" customHeight="1">
      <c r="A574" s="2796" t="s">
        <v>1419</v>
      </c>
      <c r="B574" s="2797"/>
      <c r="C574" s="2797"/>
      <c r="D574" s="2797"/>
      <c r="E574" s="2797"/>
      <c r="F574" s="2797"/>
      <c r="G574" s="2797"/>
      <c r="H574" s="2797"/>
    </row>
    <row r="575" spans="1:8" ht="18.75" customHeight="1" thickBot="1">
      <c r="A575" s="2567" t="s">
        <v>29</v>
      </c>
      <c r="B575" s="2568"/>
      <c r="C575" s="2568"/>
      <c r="D575" s="2568"/>
      <c r="E575" s="2568"/>
      <c r="F575" s="2569"/>
      <c r="G575" s="2570" t="s">
        <v>640</v>
      </c>
      <c r="H575" s="2572" t="s">
        <v>639</v>
      </c>
    </row>
    <row r="576" spans="1:8" ht="66" customHeight="1" thickBot="1">
      <c r="A576" s="411" t="s">
        <v>39</v>
      </c>
      <c r="B576" s="412" t="s">
        <v>40</v>
      </c>
      <c r="C576" s="412" t="s">
        <v>41</v>
      </c>
      <c r="D576" s="412" t="s">
        <v>45</v>
      </c>
      <c r="E576" s="413" t="s">
        <v>42</v>
      </c>
      <c r="F576" s="407" t="s">
        <v>43</v>
      </c>
      <c r="G576" s="2571"/>
      <c r="H576" s="2572"/>
    </row>
    <row r="577" spans="1:8" ht="18.75" customHeight="1">
      <c r="A577" s="34" t="s">
        <v>381</v>
      </c>
      <c r="B577" s="23" t="s">
        <v>69</v>
      </c>
      <c r="C577" s="23" t="s">
        <v>59</v>
      </c>
      <c r="D577" s="23" t="s">
        <v>62</v>
      </c>
      <c r="E577" s="23" t="s">
        <v>65</v>
      </c>
      <c r="F577" s="423" t="s">
        <v>785</v>
      </c>
      <c r="G577" s="561" t="s">
        <v>1061</v>
      </c>
      <c r="H577" s="541">
        <v>23750</v>
      </c>
    </row>
    <row r="578" spans="1:8" ht="18.75" customHeight="1">
      <c r="A578" s="34" t="s">
        <v>381</v>
      </c>
      <c r="B578" s="23" t="s">
        <v>69</v>
      </c>
      <c r="C578" s="23" t="s">
        <v>59</v>
      </c>
      <c r="D578" s="23" t="s">
        <v>62</v>
      </c>
      <c r="E578" s="23" t="s">
        <v>65</v>
      </c>
      <c r="F578" s="424" t="s">
        <v>735</v>
      </c>
      <c r="G578" s="540" t="s">
        <v>736</v>
      </c>
      <c r="H578" s="563">
        <v>1250</v>
      </c>
    </row>
    <row r="579" spans="1:8" ht="18.75" customHeight="1" thickBot="1">
      <c r="A579" s="1064"/>
      <c r="B579" s="1065"/>
      <c r="C579" s="1065"/>
      <c r="D579" s="1065"/>
      <c r="E579" s="1066"/>
      <c r="F579" s="1067"/>
      <c r="G579" s="1068"/>
      <c r="H579" s="1071">
        <f>SUM(H577:H578)</f>
        <v>25000</v>
      </c>
    </row>
    <row r="580" spans="1:8" ht="18.75" customHeight="1" thickBot="1">
      <c r="B580" s="9"/>
      <c r="C580" s="10"/>
      <c r="D580" s="3"/>
      <c r="E580" s="3"/>
      <c r="F580" s="3"/>
    </row>
    <row r="581" spans="1:8" ht="18.75" customHeight="1">
      <c r="A581" s="2573" t="s">
        <v>1097</v>
      </c>
      <c r="B581" s="2574"/>
      <c r="C581" s="2574"/>
      <c r="D581" s="2574"/>
      <c r="E581" s="2574"/>
      <c r="F581" s="2574"/>
      <c r="G581" s="2575" t="s">
        <v>1323</v>
      </c>
      <c r="H581" s="2576"/>
    </row>
    <row r="582" spans="1:8" ht="18.75" customHeight="1">
      <c r="A582" s="2577" t="s">
        <v>1419</v>
      </c>
      <c r="B582" s="2578"/>
      <c r="C582" s="2578"/>
      <c r="D582" s="2578"/>
      <c r="E582" s="2578"/>
      <c r="F582" s="2579"/>
      <c r="G582" s="483"/>
      <c r="H582" s="484"/>
    </row>
    <row r="583" spans="1:8" ht="18.75" customHeight="1">
      <c r="A583" s="2580"/>
      <c r="B583" s="2581"/>
      <c r="C583" s="2581"/>
      <c r="D583" s="2581"/>
      <c r="E583" s="2581"/>
      <c r="F583" s="2582"/>
      <c r="G583" s="2580" t="s">
        <v>1067</v>
      </c>
      <c r="H583" s="2552"/>
    </row>
    <row r="584" spans="1:8" ht="18.75" customHeight="1">
      <c r="A584" s="2597" t="s">
        <v>1329</v>
      </c>
      <c r="B584" s="2584"/>
      <c r="C584" s="2584"/>
      <c r="D584" s="2584"/>
      <c r="E584" s="2584"/>
      <c r="F584" s="2585"/>
      <c r="G584" s="483"/>
      <c r="H584" s="484"/>
    </row>
    <row r="585" spans="1:8" ht="18.75" customHeight="1">
      <c r="A585" s="2586"/>
      <c r="B585" s="2587"/>
      <c r="C585" s="2587"/>
      <c r="D585" s="2587"/>
      <c r="E585" s="2587"/>
      <c r="F585" s="2588"/>
      <c r="G585" s="2589" t="s">
        <v>737</v>
      </c>
      <c r="H585" s="2552"/>
    </row>
    <row r="586" spans="1:8" ht="18.75" customHeight="1">
      <c r="A586" s="482"/>
      <c r="B586" s="551"/>
      <c r="C586" s="551"/>
      <c r="D586" s="551"/>
      <c r="E586" s="551"/>
      <c r="F586" s="551"/>
      <c r="G586" s="485"/>
      <c r="H586" s="484"/>
    </row>
    <row r="587" spans="1:8" ht="18.75" customHeight="1">
      <c r="A587" s="2782" t="s">
        <v>692</v>
      </c>
      <c r="B587" s="2769"/>
      <c r="C587" s="2769"/>
      <c r="D587" s="2769"/>
      <c r="E587" s="2769"/>
      <c r="F587" s="2783"/>
      <c r="G587" s="2784" t="s">
        <v>696</v>
      </c>
      <c r="H587" s="2783"/>
    </row>
    <row r="588" spans="1:8" ht="43.5" customHeight="1">
      <c r="A588" s="2601" t="s">
        <v>821</v>
      </c>
      <c r="B588" s="2601"/>
      <c r="C588" s="2601"/>
      <c r="D588" s="2601"/>
      <c r="E588" s="2601"/>
      <c r="F588" s="2601"/>
      <c r="G588" s="2601"/>
      <c r="H588" s="2601"/>
    </row>
    <row r="589" spans="1:8" ht="18.75" customHeight="1">
      <c r="A589" s="613"/>
      <c r="B589" s="613"/>
      <c r="C589" s="613"/>
      <c r="D589" s="613"/>
      <c r="E589" s="613"/>
      <c r="F589" s="613"/>
      <c r="G589" s="613"/>
      <c r="H589" s="613"/>
    </row>
    <row r="590" spans="1:8" ht="18.75" customHeight="1">
      <c r="A590" s="613"/>
      <c r="B590" s="613"/>
      <c r="C590" s="613"/>
      <c r="D590" s="613"/>
      <c r="E590" s="613"/>
      <c r="F590" s="613"/>
      <c r="G590" s="613"/>
      <c r="H590" s="613"/>
    </row>
    <row r="591" spans="1:8" ht="18.75" customHeight="1">
      <c r="A591" s="2162" t="s">
        <v>111</v>
      </c>
      <c r="B591" s="2162"/>
      <c r="C591" s="2162"/>
      <c r="D591" s="2162"/>
      <c r="E591" s="2162"/>
      <c r="F591" s="2162"/>
      <c r="G591" s="2162"/>
      <c r="H591" s="2162"/>
    </row>
    <row r="592" spans="1:8" ht="18.75" customHeight="1">
      <c r="A592" s="2162" t="s">
        <v>110</v>
      </c>
      <c r="B592" s="2162"/>
      <c r="C592" s="2162"/>
      <c r="D592" s="2162"/>
      <c r="E592" s="2162"/>
      <c r="F592" s="2162"/>
      <c r="G592" s="2162"/>
      <c r="H592" s="2162"/>
    </row>
    <row r="593" spans="1:8" ht="18.75" customHeight="1">
      <c r="A593" s="2163" t="s">
        <v>211</v>
      </c>
      <c r="B593" s="2164"/>
      <c r="C593" s="2164"/>
      <c r="D593" s="2164"/>
      <c r="E593" s="2164"/>
      <c r="F593" s="2164"/>
      <c r="G593" s="2164"/>
      <c r="H593" s="2164"/>
    </row>
    <row r="594" spans="1:8" ht="18.75" customHeight="1">
      <c r="A594" s="2163" t="s">
        <v>1212</v>
      </c>
      <c r="B594" s="2164"/>
      <c r="C594" s="2164"/>
      <c r="D594" s="2164"/>
      <c r="E594" s="2164"/>
      <c r="F594" s="2164"/>
      <c r="G594" s="2164"/>
      <c r="H594" s="2164"/>
    </row>
    <row r="595" spans="1:8" ht="18.75" customHeight="1">
      <c r="A595" s="2163" t="s">
        <v>32</v>
      </c>
      <c r="B595" s="2164"/>
      <c r="C595" s="2164"/>
      <c r="D595" s="2164"/>
      <c r="E595" s="2164"/>
      <c r="F595" s="2164"/>
      <c r="G595" s="2164"/>
      <c r="H595" s="2164"/>
    </row>
    <row r="596" spans="1:8" ht="18.75" customHeight="1">
      <c r="A596" s="33"/>
    </row>
    <row r="597" spans="1:8" ht="18.75" customHeight="1">
      <c r="A597" s="2596" t="s">
        <v>49</v>
      </c>
      <c r="B597" s="2596"/>
      <c r="C597" s="2596"/>
      <c r="D597" s="2596"/>
      <c r="E597" s="2596"/>
      <c r="F597" s="2596"/>
      <c r="G597" s="2596"/>
      <c r="H597" s="2596"/>
    </row>
    <row r="598" spans="1:8" ht="55.5" customHeight="1">
      <c r="A598" s="2796" t="s">
        <v>1420</v>
      </c>
      <c r="B598" s="2797"/>
      <c r="C598" s="2797"/>
      <c r="D598" s="2797"/>
      <c r="E598" s="2797"/>
      <c r="F598" s="2797"/>
      <c r="G598" s="2797"/>
      <c r="H598" s="2797"/>
    </row>
    <row r="599" spans="1:8" ht="18.75" customHeight="1" thickBot="1">
      <c r="A599" s="2567" t="s">
        <v>29</v>
      </c>
      <c r="B599" s="2568"/>
      <c r="C599" s="2568"/>
      <c r="D599" s="2568"/>
      <c r="E599" s="2568"/>
      <c r="F599" s="2569"/>
      <c r="G599" s="2570" t="s">
        <v>640</v>
      </c>
      <c r="H599" s="2572" t="s">
        <v>639</v>
      </c>
    </row>
    <row r="600" spans="1:8" ht="66.75" customHeight="1" thickBot="1">
      <c r="A600" s="411" t="s">
        <v>39</v>
      </c>
      <c r="B600" s="412" t="s">
        <v>40</v>
      </c>
      <c r="C600" s="412" t="s">
        <v>41</v>
      </c>
      <c r="D600" s="412" t="s">
        <v>45</v>
      </c>
      <c r="E600" s="413" t="s">
        <v>42</v>
      </c>
      <c r="F600" s="407" t="s">
        <v>43</v>
      </c>
      <c r="G600" s="2571"/>
      <c r="H600" s="2572"/>
    </row>
    <row r="601" spans="1:8" ht="18.75" customHeight="1">
      <c r="A601" s="34" t="s">
        <v>381</v>
      </c>
      <c r="B601" s="23" t="s">
        <v>69</v>
      </c>
      <c r="C601" s="23" t="s">
        <v>59</v>
      </c>
      <c r="D601" s="23" t="s">
        <v>62</v>
      </c>
      <c r="E601" s="23" t="s">
        <v>65</v>
      </c>
      <c r="F601" s="423" t="s">
        <v>785</v>
      </c>
      <c r="G601" s="561" t="s">
        <v>1061</v>
      </c>
      <c r="H601" s="541">
        <v>26026.91</v>
      </c>
    </row>
    <row r="602" spans="1:8" ht="18.75" customHeight="1">
      <c r="A602" s="34" t="s">
        <v>381</v>
      </c>
      <c r="B602" s="23" t="s">
        <v>69</v>
      </c>
      <c r="C602" s="23" t="s">
        <v>59</v>
      </c>
      <c r="D602" s="23" t="s">
        <v>62</v>
      </c>
      <c r="E602" s="23" t="s">
        <v>65</v>
      </c>
      <c r="F602" s="424" t="s">
        <v>735</v>
      </c>
      <c r="G602" s="540" t="s">
        <v>736</v>
      </c>
      <c r="H602" s="563">
        <v>1369.83</v>
      </c>
    </row>
    <row r="603" spans="1:8" ht="18.75" customHeight="1" thickBot="1">
      <c r="A603" s="1064"/>
      <c r="B603" s="1065"/>
      <c r="C603" s="1065"/>
      <c r="D603" s="1065"/>
      <c r="E603" s="1066"/>
      <c r="F603" s="1067"/>
      <c r="G603" s="1068"/>
      <c r="H603" s="1071">
        <f>SUM(H601:H602)</f>
        <v>27396.739999999998</v>
      </c>
    </row>
    <row r="604" spans="1:8" ht="18.75" customHeight="1" thickBot="1">
      <c r="B604" s="9"/>
      <c r="C604" s="10"/>
      <c r="D604" s="3"/>
      <c r="E604" s="3"/>
      <c r="F604" s="3"/>
    </row>
    <row r="605" spans="1:8" ht="18.75" customHeight="1">
      <c r="A605" s="2573" t="s">
        <v>1097</v>
      </c>
      <c r="B605" s="2574"/>
      <c r="C605" s="2574"/>
      <c r="D605" s="2574"/>
      <c r="E605" s="2574"/>
      <c r="F605" s="2574"/>
      <c r="G605" s="2575" t="s">
        <v>1323</v>
      </c>
      <c r="H605" s="2576"/>
    </row>
    <row r="606" spans="1:8" ht="18.75" customHeight="1">
      <c r="A606" s="2577" t="s">
        <v>1420</v>
      </c>
      <c r="B606" s="2578"/>
      <c r="C606" s="2578"/>
      <c r="D606" s="2578"/>
      <c r="E606" s="2578"/>
      <c r="F606" s="2579"/>
      <c r="G606" s="483"/>
      <c r="H606" s="484"/>
    </row>
    <row r="607" spans="1:8" ht="18.75" customHeight="1">
      <c r="A607" s="2580"/>
      <c r="B607" s="2581"/>
      <c r="C607" s="2581"/>
      <c r="D607" s="2581"/>
      <c r="E607" s="2581"/>
      <c r="F607" s="2582"/>
      <c r="G607" s="2580" t="s">
        <v>1067</v>
      </c>
      <c r="H607" s="2552"/>
    </row>
    <row r="608" spans="1:8" ht="18.75" customHeight="1">
      <c r="A608" s="2597" t="s">
        <v>1329</v>
      </c>
      <c r="B608" s="2584"/>
      <c r="C608" s="2584"/>
      <c r="D608" s="2584"/>
      <c r="E608" s="2584"/>
      <c r="F608" s="2585"/>
      <c r="G608" s="483"/>
      <c r="H608" s="484"/>
    </row>
    <row r="609" spans="1:8" ht="18.75" customHeight="1">
      <c r="A609" s="2586"/>
      <c r="B609" s="2587"/>
      <c r="C609" s="2587"/>
      <c r="D609" s="2587"/>
      <c r="E609" s="2587"/>
      <c r="F609" s="2588"/>
      <c r="G609" s="2589" t="s">
        <v>737</v>
      </c>
      <c r="H609" s="2552"/>
    </row>
    <row r="610" spans="1:8" ht="18.75" customHeight="1">
      <c r="A610" s="482"/>
      <c r="B610" s="551"/>
      <c r="C610" s="551"/>
      <c r="D610" s="551"/>
      <c r="E610" s="551"/>
      <c r="F610" s="551"/>
      <c r="G610" s="485"/>
      <c r="H610" s="484"/>
    </row>
    <row r="611" spans="1:8" ht="18.75" customHeight="1">
      <c r="A611" s="2782" t="s">
        <v>692</v>
      </c>
      <c r="B611" s="2769"/>
      <c r="C611" s="2769"/>
      <c r="D611" s="2769"/>
      <c r="E611" s="2769"/>
      <c r="F611" s="2783"/>
      <c r="G611" s="2784" t="s">
        <v>696</v>
      </c>
      <c r="H611" s="2783"/>
    </row>
    <row r="612" spans="1:8" ht="45.75" customHeight="1">
      <c r="A612" s="2601" t="s">
        <v>821</v>
      </c>
      <c r="B612" s="2601"/>
      <c r="C612" s="2601"/>
      <c r="D612" s="2601"/>
      <c r="E612" s="2601"/>
      <c r="F612" s="2601"/>
      <c r="G612" s="2601"/>
      <c r="H612" s="2601"/>
    </row>
    <row r="613" spans="1:8" ht="18.75" customHeight="1">
      <c r="A613" s="1097"/>
      <c r="B613" s="1097"/>
      <c r="C613" s="1097"/>
      <c r="D613" s="1097"/>
      <c r="E613" s="1097"/>
      <c r="F613" s="1097"/>
      <c r="G613" s="1097"/>
      <c r="H613" s="1097"/>
    </row>
    <row r="614" spans="1:8" ht="18.75" customHeight="1">
      <c r="A614" s="1097"/>
      <c r="B614" s="1097"/>
      <c r="C614" s="1097"/>
      <c r="D614" s="1097"/>
      <c r="E614" s="1097"/>
      <c r="F614" s="1097"/>
      <c r="G614" s="1097"/>
      <c r="H614" s="1097"/>
    </row>
    <row r="615" spans="1:8" ht="18.75" customHeight="1">
      <c r="A615" s="2162" t="s">
        <v>111</v>
      </c>
      <c r="B615" s="2162"/>
      <c r="C615" s="2162"/>
      <c r="D615" s="2162"/>
      <c r="E615" s="2162"/>
      <c r="F615" s="2162"/>
      <c r="G615" s="2162"/>
      <c r="H615" s="2162"/>
    </row>
    <row r="616" spans="1:8" ht="18.75" customHeight="1">
      <c r="A616" s="2162" t="s">
        <v>110</v>
      </c>
      <c r="B616" s="2162"/>
      <c r="C616" s="2162"/>
      <c r="D616" s="2162"/>
      <c r="E616" s="2162"/>
      <c r="F616" s="2162"/>
      <c r="G616" s="2162"/>
      <c r="H616" s="2162"/>
    </row>
    <row r="617" spans="1:8" ht="18.75" customHeight="1">
      <c r="A617" s="2163" t="s">
        <v>211</v>
      </c>
      <c r="B617" s="2164"/>
      <c r="C617" s="2164"/>
      <c r="D617" s="2164"/>
      <c r="E617" s="2164"/>
      <c r="F617" s="2164"/>
      <c r="G617" s="2164"/>
      <c r="H617" s="2164"/>
    </row>
    <row r="618" spans="1:8" ht="18.75" customHeight="1">
      <c r="A618" s="2163" t="s">
        <v>1212</v>
      </c>
      <c r="B618" s="2164"/>
      <c r="C618" s="2164"/>
      <c r="D618" s="2164"/>
      <c r="E618" s="2164"/>
      <c r="F618" s="2164"/>
      <c r="G618" s="2164"/>
      <c r="H618" s="2164"/>
    </row>
    <row r="619" spans="1:8" ht="18.75" customHeight="1">
      <c r="A619" s="2163" t="s">
        <v>32</v>
      </c>
      <c r="B619" s="2164"/>
      <c r="C619" s="2164"/>
      <c r="D619" s="2164"/>
      <c r="E619" s="2164"/>
      <c r="F619" s="2164"/>
      <c r="G619" s="2164"/>
      <c r="H619" s="2164"/>
    </row>
    <row r="620" spans="1:8" ht="18.75" customHeight="1">
      <c r="A620" s="33"/>
    </row>
    <row r="621" spans="1:8" ht="18.75" customHeight="1">
      <c r="A621" s="2596" t="s">
        <v>49</v>
      </c>
      <c r="B621" s="2596"/>
      <c r="C621" s="2596"/>
      <c r="D621" s="2596"/>
      <c r="E621" s="2596"/>
      <c r="F621" s="2596"/>
      <c r="G621" s="2596"/>
      <c r="H621" s="2596"/>
    </row>
    <row r="622" spans="1:8" ht="46.5" customHeight="1">
      <c r="A622" s="2832" t="s">
        <v>1421</v>
      </c>
      <c r="B622" s="2833"/>
      <c r="C622" s="2833"/>
      <c r="D622" s="2833"/>
      <c r="E622" s="2833"/>
      <c r="F622" s="2833"/>
      <c r="G622" s="2833"/>
      <c r="H622" s="2833"/>
    </row>
    <row r="623" spans="1:8" ht="18.75" customHeight="1" thickBot="1">
      <c r="A623" s="2567" t="s">
        <v>29</v>
      </c>
      <c r="B623" s="2568"/>
      <c r="C623" s="2568"/>
      <c r="D623" s="2568"/>
      <c r="E623" s="2568"/>
      <c r="F623" s="2569"/>
      <c r="G623" s="2570" t="s">
        <v>640</v>
      </c>
      <c r="H623" s="2572" t="s">
        <v>639</v>
      </c>
    </row>
    <row r="624" spans="1:8" ht="66" customHeight="1" thickBot="1">
      <c r="A624" s="411" t="s">
        <v>39</v>
      </c>
      <c r="B624" s="412" t="s">
        <v>40</v>
      </c>
      <c r="C624" s="412" t="s">
        <v>41</v>
      </c>
      <c r="D624" s="412" t="s">
        <v>45</v>
      </c>
      <c r="E624" s="413" t="s">
        <v>42</v>
      </c>
      <c r="F624" s="407" t="s">
        <v>43</v>
      </c>
      <c r="G624" s="2571"/>
      <c r="H624" s="2572"/>
    </row>
    <row r="625" spans="1:8" ht="18.75" customHeight="1">
      <c r="A625" s="34" t="s">
        <v>381</v>
      </c>
      <c r="B625" s="23" t="s">
        <v>69</v>
      </c>
      <c r="C625" s="23" t="s">
        <v>59</v>
      </c>
      <c r="D625" s="23" t="s">
        <v>62</v>
      </c>
      <c r="E625" s="23" t="s">
        <v>65</v>
      </c>
      <c r="F625" s="423" t="s">
        <v>785</v>
      </c>
      <c r="G625" s="561" t="s">
        <v>1061</v>
      </c>
      <c r="H625" s="541">
        <v>61750</v>
      </c>
    </row>
    <row r="626" spans="1:8" ht="18.75" customHeight="1">
      <c r="A626" s="34" t="s">
        <v>381</v>
      </c>
      <c r="B626" s="23" t="s">
        <v>69</v>
      </c>
      <c r="C626" s="23" t="s">
        <v>59</v>
      </c>
      <c r="D626" s="23" t="s">
        <v>62</v>
      </c>
      <c r="E626" s="23" t="s">
        <v>65</v>
      </c>
      <c r="F626" s="424" t="s">
        <v>735</v>
      </c>
      <c r="G626" s="540" t="s">
        <v>736</v>
      </c>
      <c r="H626" s="563">
        <v>3250</v>
      </c>
    </row>
    <row r="627" spans="1:8" ht="18.75" customHeight="1" thickBot="1">
      <c r="A627" s="1064"/>
      <c r="B627" s="1065"/>
      <c r="C627" s="1065"/>
      <c r="D627" s="1065"/>
      <c r="E627" s="1066"/>
      <c r="F627" s="1067"/>
      <c r="G627" s="1068"/>
      <c r="H627" s="1071">
        <f>SUM(H625:H626)</f>
        <v>65000</v>
      </c>
    </row>
    <row r="628" spans="1:8" ht="18.75" customHeight="1" thickBot="1">
      <c r="B628" s="9"/>
      <c r="C628" s="10"/>
      <c r="D628" s="3"/>
      <c r="E628" s="3"/>
      <c r="F628" s="3"/>
    </row>
    <row r="629" spans="1:8" ht="18.75" customHeight="1">
      <c r="A629" s="2573" t="s">
        <v>1097</v>
      </c>
      <c r="B629" s="2574"/>
      <c r="C629" s="2574"/>
      <c r="D629" s="2574"/>
      <c r="E629" s="2574"/>
      <c r="F629" s="2574"/>
      <c r="G629" s="2575" t="s">
        <v>1323</v>
      </c>
      <c r="H629" s="2576"/>
    </row>
    <row r="630" spans="1:8" ht="18.75" customHeight="1">
      <c r="A630" s="2577" t="s">
        <v>1421</v>
      </c>
      <c r="B630" s="2578"/>
      <c r="C630" s="2578"/>
      <c r="D630" s="2578"/>
      <c r="E630" s="2578"/>
      <c r="F630" s="2579"/>
      <c r="G630" s="483"/>
      <c r="H630" s="484"/>
    </row>
    <row r="631" spans="1:8" ht="18.75" customHeight="1">
      <c r="A631" s="2580"/>
      <c r="B631" s="2581"/>
      <c r="C631" s="2581"/>
      <c r="D631" s="2581"/>
      <c r="E631" s="2581"/>
      <c r="F631" s="2582"/>
      <c r="G631" s="2580" t="s">
        <v>1067</v>
      </c>
      <c r="H631" s="2552"/>
    </row>
    <row r="632" spans="1:8" ht="18.75" customHeight="1">
      <c r="A632" s="2597" t="s">
        <v>1329</v>
      </c>
      <c r="B632" s="2584"/>
      <c r="C632" s="2584"/>
      <c r="D632" s="2584"/>
      <c r="E632" s="2584"/>
      <c r="F632" s="2585"/>
      <c r="G632" s="483"/>
      <c r="H632" s="484"/>
    </row>
    <row r="633" spans="1:8" ht="18.75" customHeight="1">
      <c r="A633" s="2586"/>
      <c r="B633" s="2587"/>
      <c r="C633" s="2587"/>
      <c r="D633" s="2587"/>
      <c r="E633" s="2587"/>
      <c r="F633" s="2588"/>
      <c r="G633" s="2589" t="s">
        <v>737</v>
      </c>
      <c r="H633" s="2552"/>
    </row>
    <row r="634" spans="1:8" ht="18.75" customHeight="1">
      <c r="A634" s="482"/>
      <c r="B634" s="551"/>
      <c r="C634" s="551"/>
      <c r="D634" s="551"/>
      <c r="E634" s="551"/>
      <c r="F634" s="551"/>
      <c r="G634" s="485"/>
      <c r="H634" s="484"/>
    </row>
    <row r="635" spans="1:8" ht="18.75" customHeight="1">
      <c r="A635" s="2782" t="s">
        <v>692</v>
      </c>
      <c r="B635" s="2769"/>
      <c r="C635" s="2769"/>
      <c r="D635" s="2769"/>
      <c r="E635" s="2769"/>
      <c r="F635" s="2783"/>
      <c r="G635" s="2784" t="s">
        <v>696</v>
      </c>
      <c r="H635" s="2783"/>
    </row>
    <row r="636" spans="1:8" ht="41.25" customHeight="1">
      <c r="A636" s="2601" t="s">
        <v>821</v>
      </c>
      <c r="B636" s="2601"/>
      <c r="C636" s="2601"/>
      <c r="D636" s="2601"/>
      <c r="E636" s="2601"/>
      <c r="F636" s="2601"/>
      <c r="G636" s="2601"/>
      <c r="H636" s="2601"/>
    </row>
    <row r="637" spans="1:8" ht="20.25" customHeight="1">
      <c r="A637" s="1097"/>
      <c r="B637" s="1097"/>
      <c r="C637" s="1097"/>
      <c r="D637" s="1097"/>
      <c r="E637" s="1097"/>
      <c r="F637" s="1097"/>
      <c r="G637" s="1097"/>
      <c r="H637" s="1097"/>
    </row>
    <row r="638" spans="1:8" ht="20.25" customHeight="1">
      <c r="A638" s="1097"/>
      <c r="B638" s="1097"/>
      <c r="C638" s="1097"/>
      <c r="D638" s="1097"/>
      <c r="E638" s="1097"/>
      <c r="F638" s="1097"/>
      <c r="G638" s="1097"/>
      <c r="H638" s="1097"/>
    </row>
    <row r="639" spans="1:8" ht="20.25" customHeight="1">
      <c r="A639" s="2162" t="s">
        <v>111</v>
      </c>
      <c r="B639" s="2162"/>
      <c r="C639" s="2162"/>
      <c r="D639" s="2162"/>
      <c r="E639" s="2162"/>
      <c r="F639" s="2162"/>
      <c r="G639" s="2162"/>
      <c r="H639" s="2162"/>
    </row>
    <row r="640" spans="1:8" ht="20.25" customHeight="1">
      <c r="A640" s="2162" t="s">
        <v>110</v>
      </c>
      <c r="B640" s="2162"/>
      <c r="C640" s="2162"/>
      <c r="D640" s="2162"/>
      <c r="E640" s="2162"/>
      <c r="F640" s="2162"/>
      <c r="G640" s="2162"/>
      <c r="H640" s="2162"/>
    </row>
    <row r="641" spans="1:8" ht="20.25" customHeight="1">
      <c r="A641" s="2163" t="s">
        <v>211</v>
      </c>
      <c r="B641" s="2164"/>
      <c r="C641" s="2164"/>
      <c r="D641" s="2164"/>
      <c r="E641" s="2164"/>
      <c r="F641" s="2164"/>
      <c r="G641" s="2164"/>
      <c r="H641" s="2164"/>
    </row>
    <row r="642" spans="1:8" ht="20.25" customHeight="1">
      <c r="A642" s="2163" t="s">
        <v>1212</v>
      </c>
      <c r="B642" s="2164"/>
      <c r="C642" s="2164"/>
      <c r="D642" s="2164"/>
      <c r="E642" s="2164"/>
      <c r="F642" s="2164"/>
      <c r="G642" s="2164"/>
      <c r="H642" s="2164"/>
    </row>
    <row r="643" spans="1:8" ht="20.25" customHeight="1">
      <c r="A643" s="2163" t="s">
        <v>32</v>
      </c>
      <c r="B643" s="2164"/>
      <c r="C643" s="2164"/>
      <c r="D643" s="2164"/>
      <c r="E643" s="2164"/>
      <c r="F643" s="2164"/>
      <c r="G643" s="2164"/>
      <c r="H643" s="2164"/>
    </row>
    <row r="644" spans="1:8" ht="20.25" customHeight="1">
      <c r="A644" s="33"/>
    </row>
    <row r="645" spans="1:8" ht="20.25" customHeight="1">
      <c r="A645" s="2596" t="s">
        <v>49</v>
      </c>
      <c r="B645" s="2596"/>
      <c r="C645" s="2596"/>
      <c r="D645" s="2596"/>
      <c r="E645" s="2596"/>
      <c r="F645" s="2596"/>
      <c r="G645" s="2596"/>
      <c r="H645" s="2596"/>
    </row>
    <row r="646" spans="1:8" ht="44.25" customHeight="1" thickBot="1">
      <c r="A646" s="2832" t="s">
        <v>1422</v>
      </c>
      <c r="B646" s="2833"/>
      <c r="C646" s="2833"/>
      <c r="D646" s="2833"/>
      <c r="E646" s="2833"/>
      <c r="F646" s="2833"/>
      <c r="G646" s="2833"/>
      <c r="H646" s="2833"/>
    </row>
    <row r="647" spans="1:8" ht="20.25" customHeight="1" thickBot="1">
      <c r="A647" s="2606" t="s">
        <v>29</v>
      </c>
      <c r="B647" s="2620"/>
      <c r="C647" s="2620"/>
      <c r="D647" s="2620"/>
      <c r="E647" s="2620"/>
      <c r="F647" s="2621"/>
      <c r="G647" s="2609" t="s">
        <v>640</v>
      </c>
      <c r="H647" s="2610" t="s">
        <v>639</v>
      </c>
    </row>
    <row r="648" spans="1:8" ht="64.5" customHeight="1" thickBot="1">
      <c r="A648" s="411" t="s">
        <v>39</v>
      </c>
      <c r="B648" s="412" t="s">
        <v>40</v>
      </c>
      <c r="C648" s="412" t="s">
        <v>41</v>
      </c>
      <c r="D648" s="412" t="s">
        <v>45</v>
      </c>
      <c r="E648" s="413" t="s">
        <v>42</v>
      </c>
      <c r="F648" s="407" t="s">
        <v>43</v>
      </c>
      <c r="G648" s="2622"/>
      <c r="H648" s="2595"/>
    </row>
    <row r="649" spans="1:8" ht="20.25" customHeight="1">
      <c r="A649" s="852" t="s">
        <v>381</v>
      </c>
      <c r="B649" s="853" t="s">
        <v>69</v>
      </c>
      <c r="C649" s="853" t="s">
        <v>59</v>
      </c>
      <c r="D649" s="853" t="s">
        <v>62</v>
      </c>
      <c r="E649" s="853" t="s">
        <v>65</v>
      </c>
      <c r="F649" s="427">
        <v>61606</v>
      </c>
      <c r="G649" s="428" t="s">
        <v>1148</v>
      </c>
      <c r="H649" s="557">
        <v>11400</v>
      </c>
    </row>
    <row r="650" spans="1:8" ht="20.25" customHeight="1">
      <c r="A650" s="852" t="s">
        <v>381</v>
      </c>
      <c r="B650" s="853" t="s">
        <v>69</v>
      </c>
      <c r="C650" s="853" t="s">
        <v>59</v>
      </c>
      <c r="D650" s="853" t="s">
        <v>62</v>
      </c>
      <c r="E650" s="853" t="s">
        <v>65</v>
      </c>
      <c r="F650" s="427">
        <v>61608</v>
      </c>
      <c r="G650" s="540" t="s">
        <v>736</v>
      </c>
      <c r="H650" s="557">
        <v>600</v>
      </c>
    </row>
    <row r="651" spans="1:8" ht="20.25" customHeight="1" thickBot="1">
      <c r="A651" s="1058"/>
      <c r="B651" s="1059"/>
      <c r="C651" s="1059"/>
      <c r="D651" s="1059"/>
      <c r="E651" s="1060"/>
      <c r="F651" s="1061"/>
      <c r="G651" s="1062"/>
      <c r="H651" s="1063">
        <f>SUM(H649:H650)</f>
        <v>12000</v>
      </c>
    </row>
    <row r="652" spans="1:8" ht="20.25" customHeight="1" thickBot="1">
      <c r="A652" s="200"/>
      <c r="B652" s="200"/>
      <c r="C652" s="201"/>
      <c r="D652" s="202"/>
      <c r="E652" s="202"/>
      <c r="F652" s="202"/>
      <c r="G652" s="21"/>
      <c r="H652" s="203"/>
    </row>
    <row r="653" spans="1:8" ht="20.25" customHeight="1">
      <c r="A653" s="2541" t="s">
        <v>693</v>
      </c>
      <c r="B653" s="2542"/>
      <c r="C653" s="2542"/>
      <c r="D653" s="2542"/>
      <c r="E653" s="2542"/>
      <c r="F653" s="2542"/>
      <c r="G653" s="2543" t="s">
        <v>1323</v>
      </c>
      <c r="H653" s="2544"/>
    </row>
    <row r="654" spans="1:8" ht="20.25" customHeight="1">
      <c r="A654" s="2623" t="s">
        <v>1422</v>
      </c>
      <c r="B654" s="2624"/>
      <c r="C654" s="2624"/>
      <c r="D654" s="2624"/>
      <c r="E654" s="2624"/>
      <c r="F654" s="2625"/>
      <c r="G654" s="858"/>
      <c r="H654" s="859"/>
    </row>
    <row r="655" spans="1:8" ht="20.25" customHeight="1">
      <c r="A655" s="2551"/>
      <c r="B655" s="2626"/>
      <c r="C655" s="2626"/>
      <c r="D655" s="2626"/>
      <c r="E655" s="2626"/>
      <c r="F655" s="2627"/>
      <c r="G655" s="2551" t="s">
        <v>1095</v>
      </c>
      <c r="H655" s="2552"/>
    </row>
    <row r="656" spans="1:8" ht="20.25" customHeight="1">
      <c r="A656" s="2553" t="s">
        <v>1149</v>
      </c>
      <c r="B656" s="2554"/>
      <c r="C656" s="2554"/>
      <c r="D656" s="2554"/>
      <c r="E656" s="2554"/>
      <c r="F656" s="2555"/>
      <c r="G656" s="858"/>
      <c r="H656" s="859"/>
    </row>
    <row r="657" spans="1:8" ht="30.75" customHeight="1">
      <c r="A657" s="2556"/>
      <c r="B657" s="2557"/>
      <c r="C657" s="2557"/>
      <c r="D657" s="2557"/>
      <c r="E657" s="2557"/>
      <c r="F657" s="2558"/>
      <c r="G657" s="2559" t="s">
        <v>737</v>
      </c>
      <c r="H657" s="2552"/>
    </row>
    <row r="658" spans="1:8" ht="20.25" customHeight="1">
      <c r="A658" s="857"/>
      <c r="B658" s="47"/>
      <c r="C658" s="47"/>
      <c r="D658" s="47"/>
      <c r="E658" s="47"/>
      <c r="F658" s="47"/>
      <c r="G658" s="860"/>
      <c r="H658" s="859"/>
    </row>
    <row r="659" spans="1:8" ht="20.25" customHeight="1" thickBot="1">
      <c r="A659" s="2560" t="s">
        <v>692</v>
      </c>
      <c r="B659" s="2561"/>
      <c r="C659" s="2561"/>
      <c r="D659" s="2561"/>
      <c r="E659" s="2561"/>
      <c r="F659" s="2562"/>
      <c r="G659" s="2563" t="s">
        <v>696</v>
      </c>
      <c r="H659" s="2562"/>
    </row>
    <row r="660" spans="1:8" ht="41.25" customHeight="1">
      <c r="A660" s="2601" t="s">
        <v>821</v>
      </c>
      <c r="B660" s="2601"/>
      <c r="C660" s="2601"/>
      <c r="D660" s="2601"/>
      <c r="E660" s="2601"/>
      <c r="F660" s="2601"/>
      <c r="G660" s="2601"/>
      <c r="H660" s="2601"/>
    </row>
    <row r="661" spans="1:8" ht="18" customHeight="1">
      <c r="A661" s="613"/>
      <c r="B661" s="613"/>
      <c r="C661" s="613"/>
      <c r="D661" s="613"/>
      <c r="E661" s="613"/>
      <c r="F661" s="613"/>
      <c r="G661" s="613"/>
      <c r="H661" s="613"/>
    </row>
    <row r="662" spans="1:8" ht="18" customHeight="1">
      <c r="A662" s="2162" t="s">
        <v>111</v>
      </c>
      <c r="B662" s="2162"/>
      <c r="C662" s="2162"/>
      <c r="D662" s="2162"/>
      <c r="E662" s="2162"/>
      <c r="F662" s="2162"/>
      <c r="G662" s="2162"/>
      <c r="H662" s="2162"/>
    </row>
    <row r="663" spans="1:8" ht="18" customHeight="1">
      <c r="A663" s="2162" t="s">
        <v>110</v>
      </c>
      <c r="B663" s="2162"/>
      <c r="C663" s="2162"/>
      <c r="D663" s="2162"/>
      <c r="E663" s="2162"/>
      <c r="F663" s="2162"/>
      <c r="G663" s="2162"/>
      <c r="H663" s="2162"/>
    </row>
    <row r="664" spans="1:8" ht="18" customHeight="1">
      <c r="A664" s="2163" t="s">
        <v>211</v>
      </c>
      <c r="B664" s="2164"/>
      <c r="C664" s="2164"/>
      <c r="D664" s="2164"/>
      <c r="E664" s="2164"/>
      <c r="F664" s="2164"/>
      <c r="G664" s="2164"/>
      <c r="H664" s="2164"/>
    </row>
    <row r="665" spans="1:8" ht="18" customHeight="1">
      <c r="A665" s="2163" t="s">
        <v>1212</v>
      </c>
      <c r="B665" s="2164"/>
      <c r="C665" s="2164"/>
      <c r="D665" s="2164"/>
      <c r="E665" s="2164"/>
      <c r="F665" s="2164"/>
      <c r="G665" s="2164"/>
      <c r="H665" s="2164"/>
    </row>
    <row r="666" spans="1:8" ht="18" customHeight="1">
      <c r="A666" s="2163" t="s">
        <v>32</v>
      </c>
      <c r="B666" s="2164"/>
      <c r="C666" s="2164"/>
      <c r="D666" s="2164"/>
      <c r="E666" s="2164"/>
      <c r="F666" s="2164"/>
      <c r="G666" s="2164"/>
      <c r="H666" s="2164"/>
    </row>
    <row r="667" spans="1:8" ht="18" customHeight="1">
      <c r="A667" s="33"/>
    </row>
    <row r="668" spans="1:8" ht="18" customHeight="1">
      <c r="A668" s="2596" t="s">
        <v>49</v>
      </c>
      <c r="B668" s="2596"/>
      <c r="C668" s="2596"/>
      <c r="D668" s="2596"/>
      <c r="E668" s="2596"/>
      <c r="F668" s="2596"/>
      <c r="G668" s="2596"/>
      <c r="H668" s="2596"/>
    </row>
    <row r="669" spans="1:8" ht="36.75" customHeight="1" thickBot="1">
      <c r="A669" s="2832" t="s">
        <v>1423</v>
      </c>
      <c r="B669" s="2833"/>
      <c r="C669" s="2833"/>
      <c r="D669" s="2833"/>
      <c r="E669" s="2833"/>
      <c r="F669" s="2833"/>
      <c r="G669" s="2833"/>
      <c r="H669" s="2833"/>
    </row>
    <row r="670" spans="1:8" ht="18" customHeight="1" thickBot="1">
      <c r="A670" s="2606" t="s">
        <v>29</v>
      </c>
      <c r="B670" s="2620"/>
      <c r="C670" s="2620"/>
      <c r="D670" s="2620"/>
      <c r="E670" s="2620"/>
      <c r="F670" s="2621"/>
      <c r="G670" s="2609" t="s">
        <v>640</v>
      </c>
      <c r="H670" s="2610" t="s">
        <v>639</v>
      </c>
    </row>
    <row r="671" spans="1:8" ht="75" customHeight="1" thickBot="1">
      <c r="A671" s="411" t="s">
        <v>39</v>
      </c>
      <c r="B671" s="412" t="s">
        <v>40</v>
      </c>
      <c r="C671" s="412" t="s">
        <v>41</v>
      </c>
      <c r="D671" s="412" t="s">
        <v>45</v>
      </c>
      <c r="E671" s="413" t="s">
        <v>42</v>
      </c>
      <c r="F671" s="407" t="s">
        <v>43</v>
      </c>
      <c r="G671" s="2622"/>
      <c r="H671" s="2595"/>
    </row>
    <row r="672" spans="1:8" ht="18" customHeight="1">
      <c r="A672" s="852" t="s">
        <v>381</v>
      </c>
      <c r="B672" s="853" t="s">
        <v>69</v>
      </c>
      <c r="C672" s="853" t="s">
        <v>59</v>
      </c>
      <c r="D672" s="853" t="s">
        <v>62</v>
      </c>
      <c r="E672" s="853" t="s">
        <v>65</v>
      </c>
      <c r="F672" s="427">
        <v>61606</v>
      </c>
      <c r="G672" s="428" t="s">
        <v>1148</v>
      </c>
      <c r="H672" s="557">
        <v>19000</v>
      </c>
    </row>
    <row r="673" spans="1:8" ht="18" customHeight="1">
      <c r="A673" s="852" t="s">
        <v>381</v>
      </c>
      <c r="B673" s="853" t="s">
        <v>69</v>
      </c>
      <c r="C673" s="853" t="s">
        <v>59</v>
      </c>
      <c r="D673" s="853" t="s">
        <v>62</v>
      </c>
      <c r="E673" s="853" t="s">
        <v>65</v>
      </c>
      <c r="F673" s="427">
        <v>61608</v>
      </c>
      <c r="G673" s="540" t="s">
        <v>736</v>
      </c>
      <c r="H673" s="557">
        <v>1000</v>
      </c>
    </row>
    <row r="674" spans="1:8" ht="18" customHeight="1" thickBot="1">
      <c r="A674" s="1058"/>
      <c r="B674" s="1059"/>
      <c r="C674" s="1059"/>
      <c r="D674" s="1059"/>
      <c r="E674" s="1060"/>
      <c r="F674" s="1061"/>
      <c r="G674" s="1062"/>
      <c r="H674" s="1063">
        <f>SUM(H672:H673)</f>
        <v>20000</v>
      </c>
    </row>
    <row r="675" spans="1:8" ht="18" customHeight="1" thickBot="1">
      <c r="A675" s="200"/>
      <c r="B675" s="200"/>
      <c r="C675" s="201"/>
      <c r="D675" s="202"/>
      <c r="E675" s="202"/>
      <c r="F675" s="202"/>
      <c r="G675" s="21"/>
      <c r="H675" s="203"/>
    </row>
    <row r="676" spans="1:8" ht="18" customHeight="1">
      <c r="A676" s="2541" t="s">
        <v>693</v>
      </c>
      <c r="B676" s="2542"/>
      <c r="C676" s="2542"/>
      <c r="D676" s="2542"/>
      <c r="E676" s="2542"/>
      <c r="F676" s="2542"/>
      <c r="G676" s="2543" t="s">
        <v>1323</v>
      </c>
      <c r="H676" s="2544"/>
    </row>
    <row r="677" spans="1:8" ht="18" customHeight="1">
      <c r="A677" s="2623" t="s">
        <v>1423</v>
      </c>
      <c r="B677" s="2624"/>
      <c r="C677" s="2624"/>
      <c r="D677" s="2624"/>
      <c r="E677" s="2624"/>
      <c r="F677" s="2625"/>
      <c r="G677" s="858"/>
      <c r="H677" s="859"/>
    </row>
    <row r="678" spans="1:8" ht="18" customHeight="1">
      <c r="A678" s="2551"/>
      <c r="B678" s="2626"/>
      <c r="C678" s="2626"/>
      <c r="D678" s="2626"/>
      <c r="E678" s="2626"/>
      <c r="F678" s="2627"/>
      <c r="G678" s="2551" t="s">
        <v>1095</v>
      </c>
      <c r="H678" s="2552"/>
    </row>
    <row r="679" spans="1:8" ht="18" customHeight="1">
      <c r="A679" s="2553" t="s">
        <v>1424</v>
      </c>
      <c r="B679" s="2554"/>
      <c r="C679" s="2554"/>
      <c r="D679" s="2554"/>
      <c r="E679" s="2554"/>
      <c r="F679" s="2555"/>
      <c r="G679" s="858"/>
      <c r="H679" s="859"/>
    </row>
    <row r="680" spans="1:8" ht="39.75" customHeight="1">
      <c r="A680" s="2556"/>
      <c r="B680" s="2557"/>
      <c r="C680" s="2557"/>
      <c r="D680" s="2557"/>
      <c r="E680" s="2557"/>
      <c r="F680" s="2558"/>
      <c r="G680" s="2559" t="s">
        <v>737</v>
      </c>
      <c r="H680" s="2552"/>
    </row>
    <row r="681" spans="1:8" ht="18" customHeight="1">
      <c r="A681" s="857"/>
      <c r="B681" s="47"/>
      <c r="C681" s="47"/>
      <c r="D681" s="47"/>
      <c r="E681" s="47"/>
      <c r="F681" s="47"/>
      <c r="G681" s="860"/>
      <c r="H681" s="859"/>
    </row>
    <row r="682" spans="1:8" ht="18" customHeight="1" thickBot="1">
      <c r="A682" s="2560" t="s">
        <v>692</v>
      </c>
      <c r="B682" s="2561"/>
      <c r="C682" s="2561"/>
      <c r="D682" s="2561"/>
      <c r="E682" s="2561"/>
      <c r="F682" s="2562"/>
      <c r="G682" s="2563" t="s">
        <v>696</v>
      </c>
      <c r="H682" s="2562"/>
    </row>
    <row r="683" spans="1:8" ht="42.75" customHeight="1">
      <c r="A683" s="2601" t="s">
        <v>821</v>
      </c>
      <c r="B683" s="2601"/>
      <c r="C683" s="2601"/>
      <c r="D683" s="2601"/>
      <c r="E683" s="2601"/>
      <c r="F683" s="2601"/>
      <c r="G683" s="2601"/>
      <c r="H683" s="2601"/>
    </row>
    <row r="684" spans="1:8" ht="18" customHeight="1">
      <c r="A684" s="613"/>
      <c r="B684" s="613"/>
      <c r="C684" s="613"/>
      <c r="D684" s="613"/>
      <c r="E684" s="613"/>
      <c r="F684" s="613"/>
      <c r="G684" s="613"/>
      <c r="H684" s="613"/>
    </row>
    <row r="685" spans="1:8" ht="18" customHeight="1">
      <c r="A685" s="613"/>
      <c r="B685" s="613"/>
      <c r="C685" s="613"/>
      <c r="D685" s="613"/>
      <c r="E685" s="613"/>
      <c r="F685" s="613"/>
      <c r="G685" s="613"/>
      <c r="H685" s="613"/>
    </row>
    <row r="686" spans="1:8" ht="18" customHeight="1">
      <c r="A686" s="2162" t="s">
        <v>111</v>
      </c>
      <c r="B686" s="2162"/>
      <c r="C686" s="2162"/>
      <c r="D686" s="2162"/>
      <c r="E686" s="2162"/>
      <c r="F686" s="2162"/>
      <c r="G686" s="2162"/>
      <c r="H686" s="2162"/>
    </row>
    <row r="687" spans="1:8" ht="18" customHeight="1">
      <c r="A687" s="2162" t="s">
        <v>110</v>
      </c>
      <c r="B687" s="2162"/>
      <c r="C687" s="2162"/>
      <c r="D687" s="2162"/>
      <c r="E687" s="2162"/>
      <c r="F687" s="2162"/>
      <c r="G687" s="2162"/>
      <c r="H687" s="2162"/>
    </row>
    <row r="688" spans="1:8" ht="18" customHeight="1">
      <c r="A688" s="2163" t="s">
        <v>211</v>
      </c>
      <c r="B688" s="2164"/>
      <c r="C688" s="2164"/>
      <c r="D688" s="2164"/>
      <c r="E688" s="2164"/>
      <c r="F688" s="2164"/>
      <c r="G688" s="2164"/>
      <c r="H688" s="2164"/>
    </row>
    <row r="689" spans="1:8" ht="18" customHeight="1">
      <c r="A689" s="2163" t="s">
        <v>1212</v>
      </c>
      <c r="B689" s="2164"/>
      <c r="C689" s="2164"/>
      <c r="D689" s="2164"/>
      <c r="E689" s="2164"/>
      <c r="F689" s="2164"/>
      <c r="G689" s="2164"/>
      <c r="H689" s="2164"/>
    </row>
    <row r="690" spans="1:8" ht="18" customHeight="1">
      <c r="A690" s="2163" t="s">
        <v>32</v>
      </c>
      <c r="B690" s="2164"/>
      <c r="C690" s="2164"/>
      <c r="D690" s="2164"/>
      <c r="E690" s="2164"/>
      <c r="F690" s="2164"/>
      <c r="G690" s="2164"/>
      <c r="H690" s="2164"/>
    </row>
    <row r="691" spans="1:8" ht="18" customHeight="1">
      <c r="A691" s="33"/>
    </row>
    <row r="692" spans="1:8" ht="18" customHeight="1">
      <c r="A692" s="2596" t="s">
        <v>49</v>
      </c>
      <c r="B692" s="2596"/>
      <c r="C692" s="2596"/>
      <c r="D692" s="2596"/>
      <c r="E692" s="2596"/>
      <c r="F692" s="2596"/>
      <c r="G692" s="2596"/>
      <c r="H692" s="2596"/>
    </row>
    <row r="693" spans="1:8" ht="40.5" customHeight="1" thickBot="1">
      <c r="A693" s="2832" t="s">
        <v>1425</v>
      </c>
      <c r="B693" s="2833"/>
      <c r="C693" s="2833"/>
      <c r="D693" s="2833"/>
      <c r="E693" s="2833"/>
      <c r="F693" s="2833"/>
      <c r="G693" s="2833"/>
      <c r="H693" s="2833"/>
    </row>
    <row r="694" spans="1:8" ht="18" customHeight="1" thickBot="1">
      <c r="A694" s="2606" t="s">
        <v>29</v>
      </c>
      <c r="B694" s="2620"/>
      <c r="C694" s="2620"/>
      <c r="D694" s="2620"/>
      <c r="E694" s="2620"/>
      <c r="F694" s="2621"/>
      <c r="G694" s="2609" t="s">
        <v>640</v>
      </c>
      <c r="H694" s="2610" t="s">
        <v>639</v>
      </c>
    </row>
    <row r="695" spans="1:8" ht="84" customHeight="1" thickBot="1">
      <c r="A695" s="411" t="s">
        <v>39</v>
      </c>
      <c r="B695" s="412" t="s">
        <v>40</v>
      </c>
      <c r="C695" s="412" t="s">
        <v>41</v>
      </c>
      <c r="D695" s="412" t="s">
        <v>45</v>
      </c>
      <c r="E695" s="413" t="s">
        <v>42</v>
      </c>
      <c r="F695" s="407" t="s">
        <v>43</v>
      </c>
      <c r="G695" s="2622"/>
      <c r="H695" s="2595"/>
    </row>
    <row r="696" spans="1:8" ht="18" customHeight="1">
      <c r="A696" s="852" t="s">
        <v>381</v>
      </c>
      <c r="B696" s="853" t="s">
        <v>69</v>
      </c>
      <c r="C696" s="853" t="s">
        <v>59</v>
      </c>
      <c r="D696" s="853" t="s">
        <v>62</v>
      </c>
      <c r="E696" s="853" t="s">
        <v>65</v>
      </c>
      <c r="F696" s="427">
        <v>61606</v>
      </c>
      <c r="G696" s="428" t="s">
        <v>1148</v>
      </c>
      <c r="H696" s="557">
        <v>19000</v>
      </c>
    </row>
    <row r="697" spans="1:8" ht="18" customHeight="1">
      <c r="A697" s="852" t="s">
        <v>381</v>
      </c>
      <c r="B697" s="853" t="s">
        <v>69</v>
      </c>
      <c r="C697" s="853" t="s">
        <v>59</v>
      </c>
      <c r="D697" s="853" t="s">
        <v>62</v>
      </c>
      <c r="E697" s="853" t="s">
        <v>65</v>
      </c>
      <c r="F697" s="427">
        <v>61608</v>
      </c>
      <c r="G697" s="540" t="s">
        <v>736</v>
      </c>
      <c r="H697" s="557">
        <v>1000</v>
      </c>
    </row>
    <row r="698" spans="1:8" ht="18" customHeight="1" thickBot="1">
      <c r="A698" s="1058"/>
      <c r="B698" s="1059"/>
      <c r="C698" s="1059"/>
      <c r="D698" s="1059"/>
      <c r="E698" s="1060"/>
      <c r="F698" s="1061"/>
      <c r="G698" s="1062"/>
      <c r="H698" s="1063">
        <f>SUM(H696:H697)</f>
        <v>20000</v>
      </c>
    </row>
    <row r="699" spans="1:8" ht="18" customHeight="1" thickBot="1">
      <c r="A699" s="200"/>
      <c r="B699" s="200"/>
      <c r="C699" s="201"/>
      <c r="D699" s="202"/>
      <c r="E699" s="202"/>
      <c r="F699" s="202"/>
      <c r="G699" s="21"/>
      <c r="H699" s="203"/>
    </row>
    <row r="700" spans="1:8" ht="18" customHeight="1">
      <c r="A700" s="2541" t="s">
        <v>693</v>
      </c>
      <c r="B700" s="2542"/>
      <c r="C700" s="2542"/>
      <c r="D700" s="2542"/>
      <c r="E700" s="2542"/>
      <c r="F700" s="2542"/>
      <c r="G700" s="2543" t="s">
        <v>1323</v>
      </c>
      <c r="H700" s="2544"/>
    </row>
    <row r="701" spans="1:8" ht="18" customHeight="1">
      <c r="A701" s="2623" t="s">
        <v>1425</v>
      </c>
      <c r="B701" s="2624"/>
      <c r="C701" s="2624"/>
      <c r="D701" s="2624"/>
      <c r="E701" s="2624"/>
      <c r="F701" s="2625"/>
      <c r="G701" s="858"/>
      <c r="H701" s="859"/>
    </row>
    <row r="702" spans="1:8" ht="18" customHeight="1">
      <c r="A702" s="2551"/>
      <c r="B702" s="2626"/>
      <c r="C702" s="2626"/>
      <c r="D702" s="2626"/>
      <c r="E702" s="2626"/>
      <c r="F702" s="2627"/>
      <c r="G702" s="2551" t="s">
        <v>1095</v>
      </c>
      <c r="H702" s="2552"/>
    </row>
    <row r="703" spans="1:8" ht="18" customHeight="1">
      <c r="A703" s="2553" t="s">
        <v>1424</v>
      </c>
      <c r="B703" s="2554"/>
      <c r="C703" s="2554"/>
      <c r="D703" s="2554"/>
      <c r="E703" s="2554"/>
      <c r="F703" s="2555"/>
      <c r="G703" s="858"/>
      <c r="H703" s="859"/>
    </row>
    <row r="704" spans="1:8" ht="18" customHeight="1">
      <c r="A704" s="2556"/>
      <c r="B704" s="2557"/>
      <c r="C704" s="2557"/>
      <c r="D704" s="2557"/>
      <c r="E704" s="2557"/>
      <c r="F704" s="2558"/>
      <c r="G704" s="2559" t="s">
        <v>737</v>
      </c>
      <c r="H704" s="2552"/>
    </row>
    <row r="705" spans="1:8" ht="18" customHeight="1">
      <c r="A705" s="857"/>
      <c r="B705" s="47"/>
      <c r="C705" s="47"/>
      <c r="D705" s="47"/>
      <c r="E705" s="47"/>
      <c r="F705" s="47"/>
      <c r="G705" s="860"/>
      <c r="H705" s="859"/>
    </row>
    <row r="706" spans="1:8" ht="18" customHeight="1" thickBot="1">
      <c r="A706" s="2560" t="s">
        <v>692</v>
      </c>
      <c r="B706" s="2561"/>
      <c r="C706" s="2561"/>
      <c r="D706" s="2561"/>
      <c r="E706" s="2561"/>
      <c r="F706" s="2562"/>
      <c r="G706" s="2563" t="s">
        <v>696</v>
      </c>
      <c r="H706" s="2562"/>
    </row>
    <row r="707" spans="1:8" ht="43.5" customHeight="1">
      <c r="A707" s="2601" t="s">
        <v>821</v>
      </c>
      <c r="B707" s="2601"/>
      <c r="C707" s="2601"/>
      <c r="D707" s="2601"/>
      <c r="E707" s="2601"/>
      <c r="F707" s="2601"/>
      <c r="G707" s="2601"/>
      <c r="H707" s="2601"/>
    </row>
    <row r="708" spans="1:8" ht="18" customHeight="1">
      <c r="A708" s="613"/>
      <c r="B708" s="613"/>
      <c r="C708" s="613"/>
      <c r="D708" s="613"/>
      <c r="E708" s="613"/>
      <c r="F708" s="613"/>
      <c r="G708" s="613"/>
      <c r="H708" s="613"/>
    </row>
    <row r="709" spans="1:8" ht="18" customHeight="1">
      <c r="A709" s="613"/>
      <c r="B709" s="613"/>
      <c r="C709" s="613"/>
      <c r="D709" s="613"/>
      <c r="E709" s="613"/>
      <c r="F709" s="613"/>
      <c r="G709" s="613"/>
      <c r="H709" s="613"/>
    </row>
    <row r="710" spans="1:8" ht="18" customHeight="1">
      <c r="A710" s="2162" t="s">
        <v>111</v>
      </c>
      <c r="B710" s="2164"/>
      <c r="C710" s="2164"/>
      <c r="D710" s="2164"/>
      <c r="E710" s="2164"/>
      <c r="F710" s="2164"/>
      <c r="G710" s="2164"/>
      <c r="H710" s="2164"/>
    </row>
    <row r="711" spans="1:8" ht="18" customHeight="1">
      <c r="A711" s="2162" t="s">
        <v>757</v>
      </c>
      <c r="B711" s="2164"/>
      <c r="C711" s="2164"/>
      <c r="D711" s="2164"/>
      <c r="E711" s="2164"/>
      <c r="F711" s="2164"/>
      <c r="G711" s="2164"/>
      <c r="H711" s="2164"/>
    </row>
    <row r="712" spans="1:8" ht="18" customHeight="1">
      <c r="A712" s="2163" t="s">
        <v>211</v>
      </c>
      <c r="B712" s="2164"/>
      <c r="C712" s="2164"/>
      <c r="D712" s="2164"/>
      <c r="E712" s="2164"/>
      <c r="F712" s="2164"/>
      <c r="G712" s="2164"/>
      <c r="H712" s="2164"/>
    </row>
    <row r="713" spans="1:8" ht="18" customHeight="1">
      <c r="A713" s="2163" t="s">
        <v>1212</v>
      </c>
      <c r="B713" s="2164"/>
      <c r="C713" s="2164"/>
      <c r="D713" s="2164"/>
      <c r="E713" s="2164"/>
      <c r="F713" s="2164"/>
      <c r="G713" s="2164"/>
      <c r="H713" s="2164"/>
    </row>
    <row r="714" spans="1:8" ht="18" customHeight="1">
      <c r="A714" s="2163" t="s">
        <v>32</v>
      </c>
      <c r="B714" s="2164"/>
      <c r="C714" s="2164"/>
      <c r="D714" s="2164"/>
      <c r="E714" s="2164"/>
      <c r="F714" s="2164"/>
      <c r="G714" s="2164"/>
      <c r="H714" s="2164"/>
    </row>
    <row r="715" spans="1:8" ht="18" customHeight="1">
      <c r="A715" s="33"/>
    </row>
    <row r="716" spans="1:8" ht="18" customHeight="1">
      <c r="A716" s="2596" t="s">
        <v>49</v>
      </c>
      <c r="B716" s="2596"/>
      <c r="C716" s="2596"/>
      <c r="D716" s="2596"/>
      <c r="E716" s="2596"/>
      <c r="F716" s="2596"/>
      <c r="G716" s="2596"/>
      <c r="H716" s="2596"/>
    </row>
    <row r="717" spans="1:8" ht="46.5" customHeight="1">
      <c r="A717" s="2780" t="s">
        <v>1426</v>
      </c>
      <c r="B717" s="2781"/>
      <c r="C717" s="2781"/>
      <c r="D717" s="2781"/>
      <c r="E717" s="2781"/>
      <c r="F717" s="2781"/>
      <c r="G717" s="2781"/>
      <c r="H717" s="2781"/>
    </row>
    <row r="718" spans="1:8" ht="18.75" customHeight="1" thickBot="1">
      <c r="A718" s="2567" t="s">
        <v>29</v>
      </c>
      <c r="B718" s="2568"/>
      <c r="C718" s="2568"/>
      <c r="D718" s="2568"/>
      <c r="E718" s="2568"/>
      <c r="F718" s="2569"/>
      <c r="G718" s="2570" t="s">
        <v>640</v>
      </c>
      <c r="H718" s="2572" t="s">
        <v>639</v>
      </c>
    </row>
    <row r="719" spans="1:8" ht="84" customHeight="1" thickBot="1">
      <c r="A719" s="411" t="s">
        <v>39</v>
      </c>
      <c r="B719" s="412" t="s">
        <v>40</v>
      </c>
      <c r="C719" s="412" t="s">
        <v>41</v>
      </c>
      <c r="D719" s="412" t="s">
        <v>45</v>
      </c>
      <c r="E719" s="413" t="s">
        <v>42</v>
      </c>
      <c r="F719" s="407" t="s">
        <v>43</v>
      </c>
      <c r="G719" s="2571"/>
      <c r="H719" s="2595"/>
    </row>
    <row r="720" spans="1:8" ht="18.75" customHeight="1">
      <c r="A720" s="34" t="s">
        <v>381</v>
      </c>
      <c r="B720" s="23" t="s">
        <v>69</v>
      </c>
      <c r="C720" s="23" t="s">
        <v>59</v>
      </c>
      <c r="D720" s="23" t="s">
        <v>62</v>
      </c>
      <c r="E720" s="23" t="s">
        <v>65</v>
      </c>
      <c r="F720" s="423" t="s">
        <v>209</v>
      </c>
      <c r="G720" s="415" t="s">
        <v>724</v>
      </c>
      <c r="H720" s="24">
        <v>7000</v>
      </c>
    </row>
    <row r="721" spans="1:8" ht="18.75" customHeight="1">
      <c r="A721" s="34" t="s">
        <v>381</v>
      </c>
      <c r="B721" s="23" t="s">
        <v>69</v>
      </c>
      <c r="C721" s="23" t="s">
        <v>59</v>
      </c>
      <c r="D721" s="23" t="s">
        <v>62</v>
      </c>
      <c r="E721" s="23" t="s">
        <v>65</v>
      </c>
      <c r="F721" s="424" t="s">
        <v>498</v>
      </c>
      <c r="G721" s="416" t="s">
        <v>725</v>
      </c>
      <c r="H721" s="24">
        <v>800</v>
      </c>
    </row>
    <row r="722" spans="1:8" ht="18.75" customHeight="1">
      <c r="A722" s="34" t="s">
        <v>381</v>
      </c>
      <c r="B722" s="23" t="s">
        <v>69</v>
      </c>
      <c r="C722" s="23" t="s">
        <v>59</v>
      </c>
      <c r="D722" s="23" t="s">
        <v>62</v>
      </c>
      <c r="E722" s="23" t="s">
        <v>65</v>
      </c>
      <c r="F722" s="424" t="s">
        <v>726</v>
      </c>
      <c r="G722" s="416" t="s">
        <v>727</v>
      </c>
      <c r="H722" s="24">
        <v>9800</v>
      </c>
    </row>
    <row r="723" spans="1:8" ht="18.75" customHeight="1">
      <c r="A723" s="34" t="s">
        <v>381</v>
      </c>
      <c r="B723" s="23" t="s">
        <v>69</v>
      </c>
      <c r="C723" s="23" t="s">
        <v>59</v>
      </c>
      <c r="D723" s="23" t="s">
        <v>62</v>
      </c>
      <c r="E723" s="23" t="s">
        <v>65</v>
      </c>
      <c r="F723" s="425">
        <v>54112</v>
      </c>
      <c r="G723" s="416" t="s">
        <v>728</v>
      </c>
      <c r="H723" s="25">
        <v>900</v>
      </c>
    </row>
    <row r="724" spans="1:8" ht="18.75" customHeight="1">
      <c r="A724" s="34" t="s">
        <v>381</v>
      </c>
      <c r="B724" s="23" t="s">
        <v>69</v>
      </c>
      <c r="C724" s="23" t="s">
        <v>59</v>
      </c>
      <c r="D724" s="23" t="s">
        <v>62</v>
      </c>
      <c r="E724" s="23" t="s">
        <v>65</v>
      </c>
      <c r="F724" s="425">
        <v>54118</v>
      </c>
      <c r="G724" s="416" t="s">
        <v>729</v>
      </c>
      <c r="H724" s="25">
        <v>300</v>
      </c>
    </row>
    <row r="725" spans="1:8" ht="18.75" customHeight="1">
      <c r="A725" s="34" t="s">
        <v>381</v>
      </c>
      <c r="B725" s="23" t="s">
        <v>69</v>
      </c>
      <c r="C725" s="23" t="s">
        <v>59</v>
      </c>
      <c r="D725" s="23" t="s">
        <v>62</v>
      </c>
      <c r="E725" s="23" t="s">
        <v>65</v>
      </c>
      <c r="F725" s="425">
        <v>54199</v>
      </c>
      <c r="G725" s="419" t="s">
        <v>730</v>
      </c>
      <c r="H725" s="25">
        <v>200</v>
      </c>
    </row>
    <row r="726" spans="1:8" ht="18.75" customHeight="1">
      <c r="A726" s="34" t="s">
        <v>381</v>
      </c>
      <c r="B726" s="23" t="s">
        <v>69</v>
      </c>
      <c r="C726" s="23" t="s">
        <v>59</v>
      </c>
      <c r="D726" s="23" t="s">
        <v>62</v>
      </c>
      <c r="E726" s="23" t="s">
        <v>65</v>
      </c>
      <c r="F726" s="487">
        <v>61608</v>
      </c>
      <c r="G726" s="419" t="s">
        <v>731</v>
      </c>
      <c r="H726" s="25">
        <v>1000</v>
      </c>
    </row>
    <row r="727" spans="1:8" ht="18.75" customHeight="1" thickBot="1">
      <c r="A727" s="1064"/>
      <c r="B727" s="1065"/>
      <c r="C727" s="1065"/>
      <c r="D727" s="1065"/>
      <c r="E727" s="1066"/>
      <c r="F727" s="1067"/>
      <c r="G727" s="1068"/>
      <c r="H727" s="1071">
        <f>SUM(H720:H726)</f>
        <v>20000</v>
      </c>
    </row>
    <row r="728" spans="1:8" ht="18.75" customHeight="1" thickBot="1">
      <c r="B728" s="9"/>
      <c r="C728" s="10"/>
      <c r="D728" s="3"/>
      <c r="E728" s="3"/>
      <c r="F728" s="3"/>
    </row>
    <row r="729" spans="1:8" ht="18.75" customHeight="1">
      <c r="A729" s="2573" t="s">
        <v>732</v>
      </c>
      <c r="B729" s="2574"/>
      <c r="C729" s="2574"/>
      <c r="D729" s="2574"/>
      <c r="E729" s="2574"/>
      <c r="F729" s="2574"/>
      <c r="G729" s="2575" t="s">
        <v>1323</v>
      </c>
      <c r="H729" s="2576"/>
    </row>
    <row r="730" spans="1:8" ht="18.75" customHeight="1">
      <c r="A730" s="2577" t="s">
        <v>1426</v>
      </c>
      <c r="B730" s="2578"/>
      <c r="C730" s="2578"/>
      <c r="D730" s="2578"/>
      <c r="E730" s="2578"/>
      <c r="F730" s="2579"/>
      <c r="G730" s="483"/>
      <c r="H730" s="484"/>
    </row>
    <row r="731" spans="1:8" ht="18.75" customHeight="1">
      <c r="A731" s="2580"/>
      <c r="B731" s="2581"/>
      <c r="C731" s="2581"/>
      <c r="D731" s="2581"/>
      <c r="E731" s="2581"/>
      <c r="F731" s="2582"/>
      <c r="G731" s="2580" t="s">
        <v>1096</v>
      </c>
      <c r="H731" s="2552"/>
    </row>
    <row r="732" spans="1:8" ht="18.75" customHeight="1">
      <c r="A732" s="2597" t="s">
        <v>955</v>
      </c>
      <c r="B732" s="2584"/>
      <c r="C732" s="2584"/>
      <c r="D732" s="2584"/>
      <c r="E732" s="2584"/>
      <c r="F732" s="2585"/>
      <c r="G732" s="483"/>
      <c r="H732" s="484"/>
    </row>
    <row r="733" spans="1:8" ht="18.75" customHeight="1">
      <c r="A733" s="2586"/>
      <c r="B733" s="2587"/>
      <c r="C733" s="2587"/>
      <c r="D733" s="2587"/>
      <c r="E733" s="2587"/>
      <c r="F733" s="2588"/>
      <c r="G733" s="2589" t="s">
        <v>695</v>
      </c>
      <c r="H733" s="2552"/>
    </row>
    <row r="734" spans="1:8" ht="18.75" customHeight="1">
      <c r="A734" s="482"/>
      <c r="B734" s="551"/>
      <c r="C734" s="551"/>
      <c r="D734" s="551"/>
      <c r="E734" s="551"/>
      <c r="F734" s="551"/>
      <c r="G734" s="485"/>
      <c r="H734" s="484"/>
    </row>
    <row r="735" spans="1:8" ht="18.75" customHeight="1">
      <c r="A735" s="2782" t="s">
        <v>692</v>
      </c>
      <c r="B735" s="2769"/>
      <c r="C735" s="2769"/>
      <c r="D735" s="2769"/>
      <c r="E735" s="2769"/>
      <c r="F735" s="2783"/>
      <c r="G735" s="2784" t="s">
        <v>696</v>
      </c>
      <c r="H735" s="2783"/>
    </row>
    <row r="736" spans="1:8" ht="39.75" customHeight="1">
      <c r="A736" s="2601" t="s">
        <v>821</v>
      </c>
      <c r="B736" s="2601"/>
      <c r="C736" s="2601"/>
      <c r="D736" s="2601"/>
      <c r="E736" s="2601"/>
      <c r="F736" s="2601"/>
      <c r="G736" s="2601"/>
      <c r="H736" s="2601"/>
    </row>
    <row r="737" spans="1:8" ht="18.75" customHeight="1">
      <c r="A737" s="613"/>
      <c r="B737" s="613"/>
      <c r="C737" s="613"/>
      <c r="D737" s="613"/>
      <c r="E737" s="613"/>
      <c r="F737" s="613"/>
      <c r="G737" s="613"/>
      <c r="H737" s="613"/>
    </row>
    <row r="738" spans="1:8" ht="18.75" customHeight="1">
      <c r="A738" s="613"/>
      <c r="B738" s="613"/>
      <c r="C738" s="613"/>
      <c r="D738" s="613"/>
      <c r="E738" s="613"/>
      <c r="F738" s="613"/>
      <c r="G738" s="613"/>
      <c r="H738" s="613"/>
    </row>
    <row r="739" spans="1:8" ht="18.75" customHeight="1">
      <c r="A739" s="2162" t="s">
        <v>111</v>
      </c>
      <c r="B739" s="2162"/>
      <c r="C739" s="2162"/>
      <c r="D739" s="2162"/>
      <c r="E739" s="2162"/>
      <c r="F739" s="2162"/>
      <c r="G739" s="2162"/>
      <c r="H739" s="2162"/>
    </row>
    <row r="740" spans="1:8" ht="18.75" customHeight="1">
      <c r="A740" s="2162" t="s">
        <v>110</v>
      </c>
      <c r="B740" s="2162"/>
      <c r="C740" s="2162"/>
      <c r="D740" s="2162"/>
      <c r="E740" s="2162"/>
      <c r="F740" s="2162"/>
      <c r="G740" s="2162"/>
      <c r="H740" s="2162"/>
    </row>
    <row r="741" spans="1:8" ht="18.75" customHeight="1">
      <c r="A741" s="2163" t="s">
        <v>211</v>
      </c>
      <c r="B741" s="2164"/>
      <c r="C741" s="2164"/>
      <c r="D741" s="2164"/>
      <c r="E741" s="2164"/>
      <c r="F741" s="2164"/>
      <c r="G741" s="2164"/>
      <c r="H741" s="2164"/>
    </row>
    <row r="742" spans="1:8" ht="18.75" customHeight="1">
      <c r="A742" s="2163" t="s">
        <v>1212</v>
      </c>
      <c r="B742" s="2164"/>
      <c r="C742" s="2164"/>
      <c r="D742" s="2164"/>
      <c r="E742" s="2164"/>
      <c r="F742" s="2164"/>
      <c r="G742" s="2164"/>
      <c r="H742" s="2164"/>
    </row>
    <row r="743" spans="1:8" ht="18.75" customHeight="1">
      <c r="A743" s="2163" t="s">
        <v>32</v>
      </c>
      <c r="B743" s="2164"/>
      <c r="C743" s="2164"/>
      <c r="D743" s="2164"/>
      <c r="E743" s="2164"/>
      <c r="F743" s="2164"/>
      <c r="G743" s="2164"/>
      <c r="H743" s="2164"/>
    </row>
    <row r="744" spans="1:8" ht="18.75" customHeight="1">
      <c r="A744" s="33"/>
    </row>
    <row r="745" spans="1:8" ht="21.75" customHeight="1">
      <c r="A745" s="2596" t="s">
        <v>49</v>
      </c>
      <c r="B745" s="2596"/>
      <c r="C745" s="2596"/>
      <c r="D745" s="2596"/>
      <c r="E745" s="2596"/>
      <c r="F745" s="2596"/>
      <c r="G745" s="2596"/>
      <c r="H745" s="2596"/>
    </row>
    <row r="746" spans="1:8" ht="40.5" customHeight="1" thickBot="1">
      <c r="A746" s="2832" t="s">
        <v>1427</v>
      </c>
      <c r="B746" s="2833"/>
      <c r="C746" s="2833"/>
      <c r="D746" s="2833"/>
      <c r="E746" s="2833"/>
      <c r="F746" s="2833"/>
      <c r="G746" s="2833"/>
      <c r="H746" s="2833"/>
    </row>
    <row r="747" spans="1:8" ht="21.75" customHeight="1" thickBot="1">
      <c r="A747" s="2606" t="s">
        <v>29</v>
      </c>
      <c r="B747" s="2620"/>
      <c r="C747" s="2620"/>
      <c r="D747" s="2620"/>
      <c r="E747" s="2620"/>
      <c r="F747" s="2621"/>
      <c r="G747" s="2609" t="s">
        <v>640</v>
      </c>
      <c r="H747" s="2610" t="s">
        <v>639</v>
      </c>
    </row>
    <row r="748" spans="1:8" ht="84.75" customHeight="1" thickBot="1">
      <c r="A748" s="411" t="s">
        <v>39</v>
      </c>
      <c r="B748" s="412" t="s">
        <v>40</v>
      </c>
      <c r="C748" s="412" t="s">
        <v>41</v>
      </c>
      <c r="D748" s="412" t="s">
        <v>45</v>
      </c>
      <c r="E748" s="413" t="s">
        <v>42</v>
      </c>
      <c r="F748" s="407" t="s">
        <v>43</v>
      </c>
      <c r="G748" s="2622"/>
      <c r="H748" s="2595"/>
    </row>
    <row r="749" spans="1:8" ht="21.75" customHeight="1">
      <c r="A749" s="852" t="s">
        <v>381</v>
      </c>
      <c r="B749" s="853" t="s">
        <v>69</v>
      </c>
      <c r="C749" s="853" t="s">
        <v>59</v>
      </c>
      <c r="D749" s="853" t="s">
        <v>62</v>
      </c>
      <c r="E749" s="853" t="s">
        <v>65</v>
      </c>
      <c r="F749" s="427">
        <v>61606</v>
      </c>
      <c r="G749" s="428" t="s">
        <v>1148</v>
      </c>
      <c r="H749" s="557">
        <v>23750</v>
      </c>
    </row>
    <row r="750" spans="1:8" ht="21.75" customHeight="1">
      <c r="A750" s="852" t="s">
        <v>381</v>
      </c>
      <c r="B750" s="853" t="s">
        <v>69</v>
      </c>
      <c r="C750" s="853" t="s">
        <v>59</v>
      </c>
      <c r="D750" s="853" t="s">
        <v>62</v>
      </c>
      <c r="E750" s="853" t="s">
        <v>65</v>
      </c>
      <c r="F750" s="427">
        <v>61608</v>
      </c>
      <c r="G750" s="540" t="s">
        <v>736</v>
      </c>
      <c r="H750" s="557">
        <v>1250</v>
      </c>
    </row>
    <row r="751" spans="1:8" ht="16.5" customHeight="1" thickBot="1">
      <c r="A751" s="1058"/>
      <c r="B751" s="1059"/>
      <c r="C751" s="1059"/>
      <c r="D751" s="1059"/>
      <c r="E751" s="1060"/>
      <c r="F751" s="1061"/>
      <c r="G751" s="1062"/>
      <c r="H751" s="1063">
        <f>SUM(H749:H750)</f>
        <v>25000</v>
      </c>
    </row>
    <row r="752" spans="1:8" ht="16.5" customHeight="1" thickBot="1">
      <c r="A752" s="200"/>
      <c r="B752" s="200"/>
      <c r="C752" s="201"/>
      <c r="D752" s="202"/>
      <c r="E752" s="202"/>
      <c r="F752" s="202"/>
      <c r="G752" s="21"/>
      <c r="H752" s="203"/>
    </row>
    <row r="753" spans="1:8" ht="16.5" customHeight="1">
      <c r="A753" s="2541" t="s">
        <v>693</v>
      </c>
      <c r="B753" s="2542"/>
      <c r="C753" s="2542"/>
      <c r="D753" s="2542"/>
      <c r="E753" s="2542"/>
      <c r="F753" s="2542"/>
      <c r="G753" s="2543" t="s">
        <v>1323</v>
      </c>
      <c r="H753" s="2544"/>
    </row>
    <row r="754" spans="1:8" ht="16.5" customHeight="1">
      <c r="A754" s="2623" t="s">
        <v>1429</v>
      </c>
      <c r="B754" s="2624"/>
      <c r="C754" s="2624"/>
      <c r="D754" s="2624"/>
      <c r="E754" s="2624"/>
      <c r="F754" s="2625"/>
      <c r="G754" s="858"/>
      <c r="H754" s="859"/>
    </row>
    <row r="755" spans="1:8" ht="16.5" customHeight="1">
      <c r="A755" s="2551"/>
      <c r="B755" s="2626"/>
      <c r="C755" s="2626"/>
      <c r="D755" s="2626"/>
      <c r="E755" s="2626"/>
      <c r="F755" s="2627"/>
      <c r="G755" s="2551" t="s">
        <v>1095</v>
      </c>
      <c r="H755" s="2552"/>
    </row>
    <row r="756" spans="1:8" ht="16.5" customHeight="1">
      <c r="A756" s="2553" t="s">
        <v>1424</v>
      </c>
      <c r="B756" s="2554"/>
      <c r="C756" s="2554"/>
      <c r="D756" s="2554"/>
      <c r="E756" s="2554"/>
      <c r="F756" s="2555"/>
      <c r="G756" s="858"/>
      <c r="H756" s="859"/>
    </row>
    <row r="757" spans="1:8" ht="32.25" customHeight="1">
      <c r="A757" s="2556"/>
      <c r="B757" s="2557"/>
      <c r="C757" s="2557"/>
      <c r="D757" s="2557"/>
      <c r="E757" s="2557"/>
      <c r="F757" s="2558"/>
      <c r="G757" s="2559" t="s">
        <v>737</v>
      </c>
      <c r="H757" s="2552"/>
    </row>
    <row r="758" spans="1:8" ht="16.5" customHeight="1">
      <c r="A758" s="857"/>
      <c r="B758" s="47"/>
      <c r="C758" s="47"/>
      <c r="D758" s="47"/>
      <c r="E758" s="47"/>
      <c r="F758" s="47"/>
      <c r="G758" s="860"/>
      <c r="H758" s="859"/>
    </row>
    <row r="759" spans="1:8" ht="16.5" customHeight="1" thickBot="1">
      <c r="A759" s="2560" t="s">
        <v>692</v>
      </c>
      <c r="B759" s="2561"/>
      <c r="C759" s="2561"/>
      <c r="D759" s="2561"/>
      <c r="E759" s="2561"/>
      <c r="F759" s="2562"/>
      <c r="G759" s="2563" t="s">
        <v>696</v>
      </c>
      <c r="H759" s="2562"/>
    </row>
    <row r="760" spans="1:8" ht="41.25" customHeight="1">
      <c r="A760" s="2601" t="s">
        <v>821</v>
      </c>
      <c r="B760" s="2601"/>
      <c r="C760" s="2601"/>
      <c r="D760" s="2601"/>
      <c r="E760" s="2601"/>
      <c r="F760" s="2601"/>
      <c r="G760" s="2601"/>
      <c r="H760" s="2601"/>
    </row>
    <row r="761" spans="1:8" ht="16.5" customHeight="1">
      <c r="A761" s="613"/>
      <c r="B761" s="613"/>
      <c r="C761" s="613"/>
      <c r="D761" s="613"/>
      <c r="E761" s="613"/>
      <c r="F761" s="613"/>
      <c r="G761" s="613"/>
      <c r="H761" s="613"/>
    </row>
    <row r="762" spans="1:8" ht="16.5" customHeight="1">
      <c r="A762" s="613"/>
      <c r="B762" s="613"/>
      <c r="C762" s="613"/>
      <c r="D762" s="613"/>
      <c r="E762" s="613"/>
      <c r="F762" s="613"/>
      <c r="G762" s="613"/>
      <c r="H762" s="613"/>
    </row>
    <row r="763" spans="1:8" ht="16.5" customHeight="1">
      <c r="A763" s="613"/>
      <c r="B763" s="613"/>
      <c r="C763" s="613"/>
      <c r="D763" s="613"/>
      <c r="E763" s="613"/>
      <c r="F763" s="613"/>
      <c r="G763" s="613"/>
      <c r="H763" s="613"/>
    </row>
    <row r="764" spans="1:8" ht="16.5" customHeight="1">
      <c r="A764" s="613"/>
      <c r="B764" s="613"/>
      <c r="C764" s="613"/>
      <c r="D764" s="613"/>
      <c r="E764" s="613"/>
      <c r="F764" s="613"/>
      <c r="G764" s="613"/>
      <c r="H764" s="613"/>
    </row>
    <row r="765" spans="1:8" ht="16.5" customHeight="1">
      <c r="A765" s="1097"/>
      <c r="B765" s="1097"/>
      <c r="C765" s="1097"/>
      <c r="D765" s="1097"/>
      <c r="E765" s="1097"/>
      <c r="F765" s="1097"/>
      <c r="G765" s="1097"/>
      <c r="H765" s="1097"/>
    </row>
    <row r="766" spans="1:8" ht="20.25" customHeight="1">
      <c r="A766" s="1097"/>
      <c r="B766" s="1097"/>
      <c r="C766" s="1097"/>
      <c r="D766" s="1097"/>
      <c r="E766" s="1097"/>
      <c r="F766" s="1097"/>
      <c r="G766" s="1097"/>
      <c r="H766" s="1097"/>
    </row>
    <row r="767" spans="1:8" ht="20.25" customHeight="1">
      <c r="A767" s="1097"/>
      <c r="B767" s="1097"/>
      <c r="C767" s="1097"/>
      <c r="D767" s="1097"/>
      <c r="E767" s="1097"/>
      <c r="F767" s="1097"/>
      <c r="G767" s="1097"/>
      <c r="H767" s="1097"/>
    </row>
    <row r="768" spans="1:8" ht="20.25" customHeight="1">
      <c r="A768" s="1097"/>
      <c r="B768" s="1097"/>
      <c r="C768" s="1097"/>
      <c r="D768" s="1097"/>
      <c r="E768" s="1097"/>
      <c r="F768" s="1097"/>
      <c r="G768" s="1097"/>
      <c r="H768" s="1097"/>
    </row>
    <row r="769" spans="1:8" ht="15" customHeight="1">
      <c r="A769" s="553"/>
      <c r="B769" s="554"/>
      <c r="C769" s="554"/>
      <c r="D769" s="554"/>
      <c r="E769" s="554"/>
      <c r="F769" s="554"/>
      <c r="G769" s="555"/>
      <c r="H769" s="554"/>
    </row>
    <row r="770" spans="1:8" ht="14.25" customHeight="1">
      <c r="A770" s="553"/>
      <c r="B770" s="554"/>
      <c r="C770" s="554"/>
      <c r="D770" s="554"/>
      <c r="E770" s="554"/>
      <c r="F770" s="554"/>
      <c r="G770" s="555"/>
      <c r="H770" s="554"/>
    </row>
    <row r="771" spans="1:8">
      <c r="A771" s="553"/>
      <c r="B771" s="554"/>
      <c r="C771" s="554"/>
      <c r="D771" s="554"/>
      <c r="E771" s="554"/>
      <c r="F771" s="554"/>
      <c r="G771" s="555"/>
      <c r="H771" s="554"/>
    </row>
    <row r="772" spans="1:8" ht="14.25" customHeight="1">
      <c r="A772" s="553"/>
      <c r="B772" s="554"/>
      <c r="C772" s="554"/>
      <c r="D772" s="554"/>
      <c r="E772" s="554"/>
      <c r="F772" s="554"/>
      <c r="G772" s="555"/>
      <c r="H772" s="554"/>
    </row>
    <row r="773" spans="1:8" ht="18.75" customHeight="1">
      <c r="A773" s="2162" t="s">
        <v>111</v>
      </c>
      <c r="B773" s="2162"/>
      <c r="C773" s="2162"/>
      <c r="D773" s="2162"/>
      <c r="E773" s="2162"/>
      <c r="F773" s="2162"/>
      <c r="G773" s="2162"/>
      <c r="H773" s="2162"/>
    </row>
    <row r="774" spans="1:8" ht="18.75">
      <c r="A774" s="2162" t="s">
        <v>757</v>
      </c>
      <c r="B774" s="2164"/>
      <c r="C774" s="2164"/>
      <c r="D774" s="2164"/>
      <c r="E774" s="2164"/>
      <c r="F774" s="2164"/>
      <c r="G774" s="2164"/>
      <c r="H774" s="2164"/>
    </row>
    <row r="775" spans="1:8" ht="18.75">
      <c r="A775" s="2163" t="s">
        <v>211</v>
      </c>
      <c r="B775" s="2164"/>
      <c r="C775" s="2164"/>
      <c r="D775" s="2164"/>
      <c r="E775" s="2164"/>
      <c r="F775" s="2164"/>
      <c r="G775" s="2164"/>
      <c r="H775" s="2164"/>
    </row>
    <row r="776" spans="1:8" ht="18.75">
      <c r="A776" s="2163" t="s">
        <v>1212</v>
      </c>
      <c r="B776" s="2164"/>
      <c r="C776" s="2164"/>
      <c r="D776" s="2164"/>
      <c r="E776" s="2164"/>
      <c r="F776" s="2164"/>
      <c r="G776" s="2164"/>
      <c r="H776" s="2164"/>
    </row>
    <row r="777" spans="1:8" ht="18.75">
      <c r="A777" s="2163" t="s">
        <v>32</v>
      </c>
      <c r="B777" s="2164"/>
      <c r="C777" s="2164"/>
      <c r="D777" s="2164"/>
      <c r="E777" s="2164"/>
      <c r="F777" s="2164"/>
      <c r="G777" s="2164"/>
      <c r="H777" s="2164"/>
    </row>
    <row r="778" spans="1:8" ht="4.5" customHeight="1">
      <c r="A778" s="33"/>
    </row>
    <row r="779" spans="1:8" ht="18.75">
      <c r="A779" s="2596" t="s">
        <v>49</v>
      </c>
      <c r="B779" s="2596"/>
      <c r="C779" s="2596"/>
      <c r="D779" s="2596"/>
      <c r="E779" s="2596"/>
      <c r="F779" s="2596"/>
      <c r="G779" s="2596"/>
      <c r="H779" s="2596"/>
    </row>
    <row r="780" spans="1:8" ht="30.75" customHeight="1">
      <c r="A780" s="2796" t="s">
        <v>1412</v>
      </c>
      <c r="B780" s="2797"/>
      <c r="C780" s="2797"/>
      <c r="D780" s="2797"/>
      <c r="E780" s="2797"/>
      <c r="F780" s="2797"/>
      <c r="G780" s="2797"/>
      <c r="H780" s="2797"/>
    </row>
    <row r="781" spans="1:8" ht="15.75" customHeight="1" thickBot="1">
      <c r="A781" s="2567" t="s">
        <v>29</v>
      </c>
      <c r="B781" s="2568"/>
      <c r="C781" s="2568"/>
      <c r="D781" s="2568"/>
      <c r="E781" s="2568"/>
      <c r="F781" s="2569"/>
      <c r="G781" s="2570" t="s">
        <v>640</v>
      </c>
      <c r="H781" s="2572" t="s">
        <v>639</v>
      </c>
    </row>
    <row r="782" spans="1:8" ht="75.75" thickBot="1">
      <c r="A782" s="411" t="s">
        <v>39</v>
      </c>
      <c r="B782" s="412" t="s">
        <v>40</v>
      </c>
      <c r="C782" s="412" t="s">
        <v>41</v>
      </c>
      <c r="D782" s="412" t="s">
        <v>45</v>
      </c>
      <c r="E782" s="413" t="s">
        <v>42</v>
      </c>
      <c r="F782" s="407" t="s">
        <v>43</v>
      </c>
      <c r="G782" s="2571"/>
      <c r="H782" s="2595"/>
    </row>
    <row r="783" spans="1:8">
      <c r="A783" s="34" t="s">
        <v>381</v>
      </c>
      <c r="B783" s="23" t="s">
        <v>69</v>
      </c>
      <c r="C783" s="23" t="s">
        <v>59</v>
      </c>
      <c r="D783" s="23" t="s">
        <v>62</v>
      </c>
      <c r="E783" s="23" t="s">
        <v>65</v>
      </c>
      <c r="F783" s="423" t="s">
        <v>209</v>
      </c>
      <c r="G783" s="415" t="s">
        <v>724</v>
      </c>
      <c r="H783" s="24">
        <v>7000</v>
      </c>
    </row>
    <row r="784" spans="1:8">
      <c r="A784" s="34" t="s">
        <v>381</v>
      </c>
      <c r="B784" s="23" t="s">
        <v>69</v>
      </c>
      <c r="C784" s="23" t="s">
        <v>59</v>
      </c>
      <c r="D784" s="23" t="s">
        <v>62</v>
      </c>
      <c r="E784" s="23" t="s">
        <v>65</v>
      </c>
      <c r="F784" s="424" t="s">
        <v>498</v>
      </c>
      <c r="G784" s="416" t="s">
        <v>725</v>
      </c>
      <c r="H784" s="24">
        <v>800</v>
      </c>
    </row>
    <row r="785" spans="1:17">
      <c r="A785" s="34" t="s">
        <v>381</v>
      </c>
      <c r="B785" s="23" t="s">
        <v>69</v>
      </c>
      <c r="C785" s="23" t="s">
        <v>59</v>
      </c>
      <c r="D785" s="23" t="s">
        <v>62</v>
      </c>
      <c r="E785" s="23" t="s">
        <v>65</v>
      </c>
      <c r="F785" s="424" t="s">
        <v>726</v>
      </c>
      <c r="G785" s="416" t="s">
        <v>727</v>
      </c>
      <c r="H785" s="24">
        <v>9800</v>
      </c>
    </row>
    <row r="786" spans="1:17">
      <c r="A786" s="34" t="s">
        <v>381</v>
      </c>
      <c r="B786" s="23" t="s">
        <v>69</v>
      </c>
      <c r="C786" s="23" t="s">
        <v>59</v>
      </c>
      <c r="D786" s="23" t="s">
        <v>62</v>
      </c>
      <c r="E786" s="23" t="s">
        <v>65</v>
      </c>
      <c r="F786" s="425">
        <v>54112</v>
      </c>
      <c r="G786" s="416" t="s">
        <v>728</v>
      </c>
      <c r="H786" s="25">
        <v>900</v>
      </c>
    </row>
    <row r="787" spans="1:17">
      <c r="A787" s="34" t="s">
        <v>381</v>
      </c>
      <c r="B787" s="23" t="s">
        <v>69</v>
      </c>
      <c r="C787" s="23" t="s">
        <v>59</v>
      </c>
      <c r="D787" s="23" t="s">
        <v>62</v>
      </c>
      <c r="E787" s="23" t="s">
        <v>65</v>
      </c>
      <c r="F787" s="425">
        <v>54118</v>
      </c>
      <c r="G787" s="416" t="s">
        <v>729</v>
      </c>
      <c r="H787" s="25">
        <v>300</v>
      </c>
    </row>
    <row r="788" spans="1:17">
      <c r="A788" s="34" t="s">
        <v>381</v>
      </c>
      <c r="B788" s="23" t="s">
        <v>69</v>
      </c>
      <c r="C788" s="23" t="s">
        <v>59</v>
      </c>
      <c r="D788" s="23" t="s">
        <v>62</v>
      </c>
      <c r="E788" s="23" t="s">
        <v>65</v>
      </c>
      <c r="F788" s="425">
        <v>54199</v>
      </c>
      <c r="G788" s="419" t="s">
        <v>730</v>
      </c>
      <c r="H788" s="25">
        <v>200</v>
      </c>
    </row>
    <row r="789" spans="1:17">
      <c r="A789" s="34" t="s">
        <v>381</v>
      </c>
      <c r="B789" s="23" t="s">
        <v>69</v>
      </c>
      <c r="C789" s="23" t="s">
        <v>59</v>
      </c>
      <c r="D789" s="23" t="s">
        <v>62</v>
      </c>
      <c r="E789" s="23" t="s">
        <v>65</v>
      </c>
      <c r="F789" s="487">
        <v>61608</v>
      </c>
      <c r="G789" s="419" t="s">
        <v>731</v>
      </c>
      <c r="H789" s="25">
        <v>1000</v>
      </c>
    </row>
    <row r="790" spans="1:17" ht="15.75" thickBot="1">
      <c r="A790" s="1064"/>
      <c r="B790" s="1065"/>
      <c r="C790" s="1065"/>
      <c r="D790" s="1065"/>
      <c r="E790" s="1066"/>
      <c r="F790" s="1067"/>
      <c r="G790" s="1068"/>
      <c r="H790" s="1071">
        <f>SUM(H783:H789)</f>
        <v>20000</v>
      </c>
    </row>
    <row r="791" spans="1:17" ht="15.75" thickBot="1">
      <c r="B791" s="9"/>
      <c r="C791" s="10"/>
      <c r="D791" s="3"/>
      <c r="E791" s="3"/>
      <c r="F791" s="3"/>
    </row>
    <row r="792" spans="1:17" ht="15" customHeight="1">
      <c r="A792" s="2573" t="s">
        <v>732</v>
      </c>
      <c r="B792" s="2574"/>
      <c r="C792" s="2574"/>
      <c r="D792" s="2574"/>
      <c r="E792" s="2574"/>
      <c r="F792" s="2574"/>
      <c r="G792" s="2575" t="s">
        <v>1323</v>
      </c>
      <c r="H792" s="2576"/>
    </row>
    <row r="793" spans="1:17">
      <c r="A793" s="482"/>
      <c r="B793" s="551"/>
      <c r="C793" s="19"/>
      <c r="D793" s="19"/>
      <c r="E793" s="19"/>
      <c r="F793" s="19"/>
      <c r="G793" s="483"/>
      <c r="H793" s="484"/>
    </row>
    <row r="794" spans="1:17" ht="14.25" customHeight="1">
      <c r="A794" s="2580" t="s">
        <v>1412</v>
      </c>
      <c r="B794" s="2598"/>
      <c r="C794" s="2598"/>
      <c r="D794" s="2598"/>
      <c r="E794" s="2598"/>
      <c r="F794" s="2552"/>
      <c r="G794" s="2580" t="s">
        <v>1096</v>
      </c>
      <c r="H794" s="2552"/>
    </row>
    <row r="795" spans="1:17" ht="15" customHeight="1">
      <c r="A795" s="2597" t="s">
        <v>955</v>
      </c>
      <c r="B795" s="2584"/>
      <c r="C795" s="2584"/>
      <c r="D795" s="2584"/>
      <c r="E795" s="2584"/>
      <c r="F795" s="2585"/>
      <c r="G795" s="483"/>
      <c r="H795" s="484"/>
    </row>
    <row r="796" spans="1:17" ht="14.25" customHeight="1">
      <c r="A796" s="2586"/>
      <c r="B796" s="2587"/>
      <c r="C796" s="2587"/>
      <c r="D796" s="2587"/>
      <c r="E796" s="2587"/>
      <c r="F796" s="2588"/>
      <c r="G796" s="2589" t="s">
        <v>695</v>
      </c>
      <c r="H796" s="2552"/>
      <c r="Q796" s="869" t="s">
        <v>959</v>
      </c>
    </row>
    <row r="797" spans="1:17">
      <c r="A797" s="482"/>
      <c r="B797" s="551"/>
      <c r="C797" s="551"/>
      <c r="D797" s="551"/>
      <c r="E797" s="551"/>
      <c r="F797" s="551"/>
      <c r="G797" s="485"/>
      <c r="H797" s="484"/>
    </row>
    <row r="798" spans="1:17" ht="15" customHeight="1" thickBot="1">
      <c r="A798" s="2590" t="s">
        <v>692</v>
      </c>
      <c r="B798" s="2561"/>
      <c r="C798" s="2561"/>
      <c r="D798" s="2561"/>
      <c r="E798" s="2561"/>
      <c r="F798" s="2562"/>
      <c r="G798" s="2591" t="s">
        <v>696</v>
      </c>
      <c r="H798" s="2562"/>
    </row>
    <row r="799" spans="1:17" ht="48" customHeight="1">
      <c r="A799" s="2601" t="s">
        <v>821</v>
      </c>
      <c r="B799" s="2601"/>
      <c r="C799" s="2601"/>
      <c r="D799" s="2601"/>
      <c r="E799" s="2601"/>
      <c r="F799" s="2601"/>
      <c r="G799" s="2601"/>
      <c r="H799" s="2601"/>
    </row>
    <row r="800" spans="1:17">
      <c r="A800" s="553"/>
      <c r="B800" s="554"/>
      <c r="C800" s="554"/>
      <c r="D800" s="554"/>
      <c r="E800" s="554"/>
      <c r="F800" s="554"/>
      <c r="G800" s="555"/>
      <c r="H800" s="554"/>
    </row>
    <row r="801" spans="1:8">
      <c r="A801" s="553"/>
      <c r="B801" s="554"/>
      <c r="C801" s="554"/>
      <c r="D801" s="554"/>
      <c r="E801" s="554"/>
      <c r="F801" s="554"/>
      <c r="G801" s="555"/>
      <c r="H801" s="554"/>
    </row>
    <row r="802" spans="1:8">
      <c r="A802" s="553"/>
      <c r="B802" s="554"/>
      <c r="C802" s="554"/>
      <c r="D802" s="554"/>
      <c r="E802" s="554"/>
      <c r="F802" s="554"/>
      <c r="G802" s="555"/>
      <c r="H802" s="554"/>
    </row>
    <row r="803" spans="1:8" ht="18.75">
      <c r="A803" s="2162" t="s">
        <v>111</v>
      </c>
      <c r="B803" s="2164"/>
      <c r="C803" s="2164"/>
      <c r="D803" s="2164"/>
      <c r="E803" s="2164"/>
      <c r="F803" s="2164"/>
      <c r="G803" s="2164"/>
      <c r="H803" s="2164"/>
    </row>
    <row r="804" spans="1:8" ht="18.75">
      <c r="A804" s="2162" t="s">
        <v>757</v>
      </c>
      <c r="B804" s="2164"/>
      <c r="C804" s="2164"/>
      <c r="D804" s="2164"/>
      <c r="E804" s="2164"/>
      <c r="F804" s="2164"/>
      <c r="G804" s="2164"/>
      <c r="H804" s="2164"/>
    </row>
    <row r="805" spans="1:8" ht="18.75">
      <c r="A805" s="2163" t="s">
        <v>211</v>
      </c>
      <c r="B805" s="2164"/>
      <c r="C805" s="2164"/>
      <c r="D805" s="2164"/>
      <c r="E805" s="2164"/>
      <c r="F805" s="2164"/>
      <c r="G805" s="2164"/>
      <c r="H805" s="2164"/>
    </row>
    <row r="806" spans="1:8" ht="18.75">
      <c r="A806" s="2163" t="s">
        <v>1212</v>
      </c>
      <c r="B806" s="2164"/>
      <c r="C806" s="2164"/>
      <c r="D806" s="2164"/>
      <c r="E806" s="2164"/>
      <c r="F806" s="2164"/>
      <c r="G806" s="2164"/>
      <c r="H806" s="2164"/>
    </row>
    <row r="807" spans="1:8" ht="18.75">
      <c r="A807" s="2163" t="s">
        <v>32</v>
      </c>
      <c r="B807" s="2164"/>
      <c r="C807" s="2164"/>
      <c r="D807" s="2164"/>
      <c r="E807" s="2164"/>
      <c r="F807" s="2164"/>
      <c r="G807" s="2164"/>
      <c r="H807" s="2164"/>
    </row>
    <row r="808" spans="1:8">
      <c r="A808" s="33"/>
    </row>
    <row r="809" spans="1:8" ht="18.75">
      <c r="A809" s="2596" t="s">
        <v>49</v>
      </c>
      <c r="B809" s="2596"/>
      <c r="C809" s="2596"/>
      <c r="D809" s="2596"/>
      <c r="E809" s="2596"/>
      <c r="F809" s="2596"/>
      <c r="G809" s="2596"/>
      <c r="H809" s="2596"/>
    </row>
    <row r="810" spans="1:8" ht="33.75" customHeight="1">
      <c r="A810" s="2780" t="s">
        <v>1100</v>
      </c>
      <c r="B810" s="2781"/>
      <c r="C810" s="2781"/>
      <c r="D810" s="2781"/>
      <c r="E810" s="2781"/>
      <c r="F810" s="2781"/>
      <c r="G810" s="2781"/>
      <c r="H810" s="2781"/>
    </row>
    <row r="811" spans="1:8" ht="15.75" thickBot="1">
      <c r="A811" s="2567" t="s">
        <v>29</v>
      </c>
      <c r="B811" s="2568"/>
      <c r="C811" s="2568"/>
      <c r="D811" s="2568"/>
      <c r="E811" s="2568"/>
      <c r="F811" s="2569"/>
      <c r="G811" s="2570" t="s">
        <v>640</v>
      </c>
      <c r="H811" s="2572" t="s">
        <v>639</v>
      </c>
    </row>
    <row r="812" spans="1:8" ht="75.75" thickBot="1">
      <c r="A812" s="411" t="s">
        <v>39</v>
      </c>
      <c r="B812" s="412" t="s">
        <v>40</v>
      </c>
      <c r="C812" s="412" t="s">
        <v>41</v>
      </c>
      <c r="D812" s="412" t="s">
        <v>45</v>
      </c>
      <c r="E812" s="413" t="s">
        <v>42</v>
      </c>
      <c r="F812" s="407" t="s">
        <v>43</v>
      </c>
      <c r="G812" s="2571"/>
      <c r="H812" s="2595"/>
    </row>
    <row r="813" spans="1:8">
      <c r="A813" s="34" t="s">
        <v>381</v>
      </c>
      <c r="B813" s="23" t="s">
        <v>69</v>
      </c>
      <c r="C813" s="23" t="s">
        <v>59</v>
      </c>
      <c r="D813" s="23" t="s">
        <v>62</v>
      </c>
      <c r="E813" s="23" t="s">
        <v>65</v>
      </c>
      <c r="F813" s="427">
        <v>51202</v>
      </c>
      <c r="G813" s="428" t="s">
        <v>759</v>
      </c>
      <c r="H813" s="557">
        <v>7700</v>
      </c>
    </row>
    <row r="814" spans="1:8">
      <c r="A814" s="34" t="s">
        <v>381</v>
      </c>
      <c r="B814" s="23" t="s">
        <v>69</v>
      </c>
      <c r="C814" s="23" t="s">
        <v>59</v>
      </c>
      <c r="D814" s="23" t="s">
        <v>62</v>
      </c>
      <c r="E814" s="23" t="s">
        <v>65</v>
      </c>
      <c r="F814" s="414">
        <v>54111</v>
      </c>
      <c r="G814" s="419" t="s">
        <v>778</v>
      </c>
      <c r="H814" s="557">
        <v>10000</v>
      </c>
    </row>
    <row r="815" spans="1:8">
      <c r="A815" s="34" t="s">
        <v>381</v>
      </c>
      <c r="B815" s="23" t="s">
        <v>69</v>
      </c>
      <c r="C815" s="23" t="s">
        <v>59</v>
      </c>
      <c r="D815" s="23" t="s">
        <v>62</v>
      </c>
      <c r="E815" s="23" t="s">
        <v>65</v>
      </c>
      <c r="F815" s="414">
        <v>54112</v>
      </c>
      <c r="G815" s="419" t="s">
        <v>782</v>
      </c>
      <c r="H815" s="557">
        <v>500</v>
      </c>
    </row>
    <row r="816" spans="1:8">
      <c r="A816" s="34" t="s">
        <v>381</v>
      </c>
      <c r="B816" s="23" t="s">
        <v>69</v>
      </c>
      <c r="C816" s="23" t="s">
        <v>59</v>
      </c>
      <c r="D816" s="23" t="s">
        <v>62</v>
      </c>
      <c r="E816" s="23" t="s">
        <v>65</v>
      </c>
      <c r="F816" s="414">
        <v>54118</v>
      </c>
      <c r="G816" s="419" t="s">
        <v>746</v>
      </c>
      <c r="H816" s="557">
        <v>400</v>
      </c>
    </row>
    <row r="817" spans="1:8">
      <c r="A817" s="34" t="s">
        <v>381</v>
      </c>
      <c r="B817" s="23" t="s">
        <v>69</v>
      </c>
      <c r="C817" s="23" t="s">
        <v>59</v>
      </c>
      <c r="D817" s="23" t="s">
        <v>62</v>
      </c>
      <c r="E817" s="23" t="s">
        <v>65</v>
      </c>
      <c r="F817" s="414">
        <v>54199</v>
      </c>
      <c r="G817" s="419" t="s">
        <v>658</v>
      </c>
      <c r="H817" s="557">
        <v>200</v>
      </c>
    </row>
    <row r="818" spans="1:8">
      <c r="A818" s="34" t="s">
        <v>381</v>
      </c>
      <c r="B818" s="23" t="s">
        <v>69</v>
      </c>
      <c r="C818" s="23" t="s">
        <v>59</v>
      </c>
      <c r="D818" s="23" t="s">
        <v>62</v>
      </c>
      <c r="E818" s="23" t="s">
        <v>65</v>
      </c>
      <c r="F818" s="418" t="s">
        <v>677</v>
      </c>
      <c r="G818" s="419" t="s">
        <v>678</v>
      </c>
      <c r="H818" s="557">
        <v>200</v>
      </c>
    </row>
    <row r="819" spans="1:8">
      <c r="A819" s="34" t="s">
        <v>381</v>
      </c>
      <c r="B819" s="23" t="s">
        <v>69</v>
      </c>
      <c r="C819" s="23" t="s">
        <v>59</v>
      </c>
      <c r="D819" s="23" t="s">
        <v>62</v>
      </c>
      <c r="E819" s="23" t="s">
        <v>65</v>
      </c>
      <c r="F819" s="421">
        <v>61608</v>
      </c>
      <c r="G819" s="422" t="s">
        <v>780</v>
      </c>
      <c r="H819" s="558">
        <v>1000</v>
      </c>
    </row>
    <row r="820" spans="1:8" ht="15.75" thickBot="1">
      <c r="A820" s="1064"/>
      <c r="B820" s="1065"/>
      <c r="C820" s="1065"/>
      <c r="D820" s="1065"/>
      <c r="E820" s="1066"/>
      <c r="F820" s="1067"/>
      <c r="G820" s="1068"/>
      <c r="H820" s="1069">
        <f>SUM(H813:H819)</f>
        <v>20000</v>
      </c>
    </row>
    <row r="821" spans="1:8" ht="15.75" thickBot="1">
      <c r="B821" s="9"/>
      <c r="C821" s="10"/>
      <c r="D821" s="3"/>
      <c r="E821" s="3"/>
      <c r="F821" s="3"/>
    </row>
    <row r="822" spans="1:8">
      <c r="A822" s="2573" t="s">
        <v>732</v>
      </c>
      <c r="B822" s="2574"/>
      <c r="C822" s="2574"/>
      <c r="D822" s="2574"/>
      <c r="E822" s="2574"/>
      <c r="F822" s="2574"/>
      <c r="G822" s="2575" t="s">
        <v>1323</v>
      </c>
      <c r="H822" s="2576"/>
    </row>
    <row r="823" spans="1:8">
      <c r="A823" s="482"/>
      <c r="B823" s="551"/>
      <c r="C823" s="19"/>
      <c r="D823" s="19"/>
      <c r="E823" s="19"/>
      <c r="F823" s="19"/>
      <c r="G823" s="483"/>
      <c r="H823" s="484"/>
    </row>
    <row r="824" spans="1:8" ht="29.25" customHeight="1">
      <c r="A824" s="2580" t="s">
        <v>1100</v>
      </c>
      <c r="B824" s="2598"/>
      <c r="C824" s="2598"/>
      <c r="D824" s="2598"/>
      <c r="E824" s="2598"/>
      <c r="F824" s="2552"/>
      <c r="G824" s="2580" t="s">
        <v>1095</v>
      </c>
      <c r="H824" s="2552"/>
    </row>
    <row r="825" spans="1:8">
      <c r="A825" s="2597" t="s">
        <v>1101</v>
      </c>
      <c r="B825" s="2584"/>
      <c r="C825" s="2584"/>
      <c r="D825" s="2584"/>
      <c r="E825" s="2584"/>
      <c r="F825" s="2585"/>
      <c r="G825" s="483"/>
      <c r="H825" s="484"/>
    </row>
    <row r="826" spans="1:8" ht="14.25">
      <c r="A826" s="2586"/>
      <c r="B826" s="2587"/>
      <c r="C826" s="2587"/>
      <c r="D826" s="2587"/>
      <c r="E826" s="2587"/>
      <c r="F826" s="2588"/>
      <c r="G826" s="2589" t="s">
        <v>695</v>
      </c>
      <c r="H826" s="2552"/>
    </row>
    <row r="827" spans="1:8">
      <c r="A827" s="482"/>
      <c r="B827" s="551"/>
      <c r="C827" s="551"/>
      <c r="D827" s="551"/>
      <c r="E827" s="551"/>
      <c r="F827" s="551"/>
      <c r="G827" s="485"/>
      <c r="H827" s="484"/>
    </row>
    <row r="828" spans="1:8" thickBot="1">
      <c r="A828" s="2590" t="s">
        <v>692</v>
      </c>
      <c r="B828" s="2561"/>
      <c r="C828" s="2561"/>
      <c r="D828" s="2561"/>
      <c r="E828" s="2561"/>
      <c r="F828" s="2562"/>
      <c r="G828" s="2591" t="s">
        <v>696</v>
      </c>
      <c r="H828" s="2562"/>
    </row>
    <row r="829" spans="1:8">
      <c r="A829" s="553"/>
      <c r="B829" s="554"/>
      <c r="C829" s="554"/>
      <c r="D829" s="554"/>
      <c r="E829" s="554"/>
      <c r="F829" s="554"/>
      <c r="G829" s="555"/>
      <c r="H829" s="554"/>
    </row>
    <row r="830" spans="1:8" ht="41.25" customHeight="1">
      <c r="A830" s="2601" t="s">
        <v>821</v>
      </c>
      <c r="B830" s="2601"/>
      <c r="C830" s="2601"/>
      <c r="D830" s="2601"/>
      <c r="E830" s="2601"/>
      <c r="F830" s="2601"/>
      <c r="G830" s="2601"/>
      <c r="H830" s="2601"/>
    </row>
    <row r="831" spans="1:8">
      <c r="A831" s="553"/>
      <c r="B831" s="554"/>
      <c r="C831" s="554"/>
      <c r="D831" s="554"/>
      <c r="E831" s="554"/>
      <c r="F831" s="554"/>
      <c r="G831" s="555"/>
      <c r="H831" s="554"/>
    </row>
    <row r="832" spans="1:8">
      <c r="A832" s="553"/>
      <c r="B832" s="554"/>
      <c r="C832" s="554"/>
      <c r="D832" s="554"/>
      <c r="E832" s="554"/>
      <c r="F832" s="554"/>
      <c r="G832" s="555"/>
      <c r="H832" s="554"/>
    </row>
    <row r="833" spans="1:8" ht="18.75">
      <c r="A833" s="2162" t="s">
        <v>111</v>
      </c>
      <c r="B833" s="2164"/>
      <c r="C833" s="2164"/>
      <c r="D833" s="2164"/>
      <c r="E833" s="2164"/>
      <c r="F833" s="2164"/>
      <c r="G833" s="2164"/>
      <c r="H833" s="2164"/>
    </row>
    <row r="834" spans="1:8" ht="18.75">
      <c r="A834" s="2162" t="s">
        <v>757</v>
      </c>
      <c r="B834" s="2164"/>
      <c r="C834" s="2164"/>
      <c r="D834" s="2164"/>
      <c r="E834" s="2164"/>
      <c r="F834" s="2164"/>
      <c r="G834" s="2164"/>
      <c r="H834" s="2164"/>
    </row>
    <row r="835" spans="1:8" ht="18.75">
      <c r="A835" s="2163" t="s">
        <v>211</v>
      </c>
      <c r="B835" s="2164"/>
      <c r="C835" s="2164"/>
      <c r="D835" s="2164"/>
      <c r="E835" s="2164"/>
      <c r="F835" s="2164"/>
      <c r="G835" s="2164"/>
      <c r="H835" s="2164"/>
    </row>
    <row r="836" spans="1:8" ht="18.75">
      <c r="A836" s="2163" t="s">
        <v>1212</v>
      </c>
      <c r="B836" s="2164"/>
      <c r="C836" s="2164"/>
      <c r="D836" s="2164"/>
      <c r="E836" s="2164"/>
      <c r="F836" s="2164"/>
      <c r="G836" s="2164"/>
      <c r="H836" s="2164"/>
    </row>
    <row r="837" spans="1:8" ht="18.75">
      <c r="A837" s="2163" t="s">
        <v>32</v>
      </c>
      <c r="B837" s="2164"/>
      <c r="C837" s="2164"/>
      <c r="D837" s="2164"/>
      <c r="E837" s="2164"/>
      <c r="F837" s="2164"/>
      <c r="G837" s="2164"/>
      <c r="H837" s="2164"/>
    </row>
    <row r="838" spans="1:8">
      <c r="A838" s="33"/>
    </row>
    <row r="839" spans="1:8" ht="18.75">
      <c r="A839" s="2596" t="s">
        <v>49</v>
      </c>
      <c r="B839" s="2596"/>
      <c r="C839" s="2596"/>
      <c r="D839" s="2596"/>
      <c r="E839" s="2596"/>
      <c r="F839" s="2596"/>
      <c r="G839" s="2596"/>
      <c r="H839" s="2596"/>
    </row>
    <row r="840" spans="1:8" ht="31.5" customHeight="1" thickBot="1">
      <c r="A840" s="2792" t="s">
        <v>1102</v>
      </c>
      <c r="B840" s="2793"/>
      <c r="C840" s="2793"/>
      <c r="D840" s="2793"/>
      <c r="E840" s="2793"/>
      <c r="F840" s="2793"/>
      <c r="G840" s="2793"/>
      <c r="H840" s="2793"/>
    </row>
    <row r="841" spans="1:8" ht="15.75" thickBot="1">
      <c r="A841" s="2606" t="s">
        <v>29</v>
      </c>
      <c r="B841" s="2620"/>
      <c r="C841" s="2620"/>
      <c r="D841" s="2620"/>
      <c r="E841" s="2620"/>
      <c r="F841" s="2621"/>
      <c r="G841" s="2609" t="s">
        <v>640</v>
      </c>
      <c r="H841" s="2610" t="s">
        <v>639</v>
      </c>
    </row>
    <row r="842" spans="1:8" ht="75.75" thickBot="1">
      <c r="A842" s="411" t="s">
        <v>39</v>
      </c>
      <c r="B842" s="412" t="s">
        <v>40</v>
      </c>
      <c r="C842" s="412" t="s">
        <v>41</v>
      </c>
      <c r="D842" s="412" t="s">
        <v>45</v>
      </c>
      <c r="E842" s="413" t="s">
        <v>42</v>
      </c>
      <c r="F842" s="407" t="s">
        <v>43</v>
      </c>
      <c r="G842" s="2622"/>
      <c r="H842" s="2595"/>
    </row>
    <row r="843" spans="1:8">
      <c r="A843" s="34" t="s">
        <v>381</v>
      </c>
      <c r="B843" s="23" t="s">
        <v>69</v>
      </c>
      <c r="C843" s="23" t="s">
        <v>59</v>
      </c>
      <c r="D843" s="23" t="s">
        <v>62</v>
      </c>
      <c r="E843" s="23" t="s">
        <v>65</v>
      </c>
      <c r="F843" s="414">
        <v>51202</v>
      </c>
      <c r="G843" s="419" t="s">
        <v>759</v>
      </c>
      <c r="H843" s="557">
        <v>7500</v>
      </c>
    </row>
    <row r="844" spans="1:8">
      <c r="A844" s="34" t="s">
        <v>381</v>
      </c>
      <c r="B844" s="23" t="s">
        <v>69</v>
      </c>
      <c r="C844" s="23" t="s">
        <v>59</v>
      </c>
      <c r="D844" s="23" t="s">
        <v>62</v>
      </c>
      <c r="E844" s="23" t="s">
        <v>65</v>
      </c>
      <c r="F844" s="414">
        <v>54111</v>
      </c>
      <c r="G844" s="419" t="s">
        <v>778</v>
      </c>
      <c r="H844" s="557">
        <v>9100</v>
      </c>
    </row>
    <row r="845" spans="1:8">
      <c r="A845" s="34" t="s">
        <v>381</v>
      </c>
      <c r="B845" s="23" t="s">
        <v>69</v>
      </c>
      <c r="C845" s="23" t="s">
        <v>59</v>
      </c>
      <c r="D845" s="23" t="s">
        <v>62</v>
      </c>
      <c r="E845" s="23" t="s">
        <v>65</v>
      </c>
      <c r="F845" s="414">
        <v>54112</v>
      </c>
      <c r="G845" s="419" t="s">
        <v>779</v>
      </c>
      <c r="H845" s="557">
        <v>800</v>
      </c>
    </row>
    <row r="846" spans="1:8">
      <c r="A846" s="34" t="s">
        <v>381</v>
      </c>
      <c r="B846" s="23" t="s">
        <v>69</v>
      </c>
      <c r="C846" s="23" t="s">
        <v>59</v>
      </c>
      <c r="D846" s="23" t="s">
        <v>62</v>
      </c>
      <c r="E846" s="23" t="s">
        <v>65</v>
      </c>
      <c r="F846" s="414">
        <v>54118</v>
      </c>
      <c r="G846" s="419" t="s">
        <v>746</v>
      </c>
      <c r="H846" s="557">
        <v>300</v>
      </c>
    </row>
    <row r="847" spans="1:8">
      <c r="A847" s="34" t="s">
        <v>381</v>
      </c>
      <c r="B847" s="23" t="s">
        <v>69</v>
      </c>
      <c r="C847" s="23" t="s">
        <v>59</v>
      </c>
      <c r="D847" s="23" t="s">
        <v>62</v>
      </c>
      <c r="E847" s="23" t="s">
        <v>65</v>
      </c>
      <c r="F847" s="414">
        <v>54199</v>
      </c>
      <c r="G847" s="419" t="s">
        <v>658</v>
      </c>
      <c r="H847" s="557">
        <v>500</v>
      </c>
    </row>
    <row r="848" spans="1:8">
      <c r="A848" s="34" t="s">
        <v>381</v>
      </c>
      <c r="B848" s="23" t="s">
        <v>69</v>
      </c>
      <c r="C848" s="23" t="s">
        <v>59</v>
      </c>
      <c r="D848" s="23" t="s">
        <v>62</v>
      </c>
      <c r="E848" s="23" t="s">
        <v>65</v>
      </c>
      <c r="F848" s="418" t="s">
        <v>677</v>
      </c>
      <c r="G848" s="419" t="s">
        <v>678</v>
      </c>
      <c r="H848" s="557">
        <v>800</v>
      </c>
    </row>
    <row r="849" spans="1:8">
      <c r="A849" s="34" t="s">
        <v>381</v>
      </c>
      <c r="B849" s="23" t="s">
        <v>69</v>
      </c>
      <c r="C849" s="23" t="s">
        <v>59</v>
      </c>
      <c r="D849" s="23" t="s">
        <v>62</v>
      </c>
      <c r="E849" s="23" t="s">
        <v>65</v>
      </c>
      <c r="F849" s="421">
        <v>61608</v>
      </c>
      <c r="G849" s="422" t="s">
        <v>780</v>
      </c>
      <c r="H849" s="558">
        <v>1000</v>
      </c>
    </row>
    <row r="850" spans="1:8" ht="15.75" thickBot="1">
      <c r="A850" s="1064"/>
      <c r="B850" s="1065"/>
      <c r="C850" s="1065"/>
      <c r="D850" s="1065"/>
      <c r="E850" s="1066"/>
      <c r="F850" s="1067"/>
      <c r="G850" s="1068"/>
      <c r="H850" s="1071">
        <f>SUM(H843:H849)</f>
        <v>20000</v>
      </c>
    </row>
    <row r="851" spans="1:8" ht="15.75" thickBot="1">
      <c r="B851" s="9"/>
      <c r="C851" s="10"/>
      <c r="D851" s="3"/>
      <c r="E851" s="3"/>
      <c r="F851" s="3"/>
    </row>
    <row r="852" spans="1:8">
      <c r="A852" s="2573" t="s">
        <v>732</v>
      </c>
      <c r="B852" s="2574"/>
      <c r="C852" s="2574"/>
      <c r="D852" s="2574"/>
      <c r="E852" s="2574"/>
      <c r="F852" s="2574"/>
      <c r="G852" s="2575" t="s">
        <v>1323</v>
      </c>
      <c r="H852" s="2576"/>
    </row>
    <row r="853" spans="1:8">
      <c r="A853" s="2577" t="s">
        <v>1102</v>
      </c>
      <c r="B853" s="2578"/>
      <c r="C853" s="2578"/>
      <c r="D853" s="2578"/>
      <c r="E853" s="2578"/>
      <c r="F853" s="2579"/>
      <c r="G853" s="483"/>
      <c r="H853" s="484"/>
    </row>
    <row r="854" spans="1:8" ht="14.25" customHeight="1">
      <c r="A854" s="2580"/>
      <c r="B854" s="2581"/>
      <c r="C854" s="2581"/>
      <c r="D854" s="2581"/>
      <c r="E854" s="2581"/>
      <c r="F854" s="2582"/>
      <c r="G854" s="2580" t="s">
        <v>1096</v>
      </c>
      <c r="H854" s="2552"/>
    </row>
    <row r="855" spans="1:8">
      <c r="A855" s="2597" t="s">
        <v>733</v>
      </c>
      <c r="B855" s="2584"/>
      <c r="C855" s="2584"/>
      <c r="D855" s="2584"/>
      <c r="E855" s="2584"/>
      <c r="F855" s="2585"/>
      <c r="G855" s="483"/>
      <c r="H855" s="484"/>
    </row>
    <row r="856" spans="1:8" ht="14.25">
      <c r="A856" s="2586"/>
      <c r="B856" s="2587"/>
      <c r="C856" s="2587"/>
      <c r="D856" s="2587"/>
      <c r="E856" s="2587"/>
      <c r="F856" s="2588"/>
      <c r="G856" s="2589" t="s">
        <v>695</v>
      </c>
      <c r="H856" s="2552"/>
    </row>
    <row r="857" spans="1:8">
      <c r="A857" s="482"/>
      <c r="B857" s="551"/>
      <c r="C857" s="551"/>
      <c r="D857" s="551"/>
      <c r="E857" s="551"/>
      <c r="F857" s="551"/>
      <c r="G857" s="485"/>
      <c r="H857" s="484"/>
    </row>
    <row r="858" spans="1:8" thickBot="1">
      <c r="A858" s="2590" t="s">
        <v>692</v>
      </c>
      <c r="B858" s="2561"/>
      <c r="C858" s="2561"/>
      <c r="D858" s="2561"/>
      <c r="E858" s="2561"/>
      <c r="F858" s="2562"/>
      <c r="G858" s="2591" t="s">
        <v>696</v>
      </c>
      <c r="H858" s="2562"/>
    </row>
    <row r="859" spans="1:8" ht="45.75" customHeight="1">
      <c r="A859" s="2601" t="s">
        <v>821</v>
      </c>
      <c r="B859" s="2601"/>
      <c r="C859" s="2601"/>
      <c r="D859" s="2601"/>
      <c r="E859" s="2601"/>
      <c r="F859" s="2601"/>
      <c r="G859" s="2601"/>
      <c r="H859" s="2601"/>
    </row>
    <row r="860" spans="1:8">
      <c r="A860" s="553"/>
      <c r="B860" s="554"/>
      <c r="C860" s="554"/>
      <c r="D860" s="554"/>
      <c r="E860" s="554"/>
      <c r="F860" s="554"/>
      <c r="G860" s="555"/>
      <c r="H860" s="554"/>
    </row>
    <row r="861" spans="1:8">
      <c r="A861" s="553"/>
      <c r="B861" s="554"/>
      <c r="C861" s="554"/>
      <c r="D861" s="554"/>
      <c r="E861" s="554"/>
      <c r="F861" s="554"/>
      <c r="G861" s="555"/>
      <c r="H861" s="554"/>
    </row>
    <row r="862" spans="1:8">
      <c r="A862" s="553"/>
      <c r="B862" s="554"/>
      <c r="C862" s="554"/>
      <c r="D862" s="554"/>
      <c r="E862" s="554"/>
      <c r="F862" s="554"/>
      <c r="G862" s="555"/>
      <c r="H862" s="554"/>
    </row>
    <row r="863" spans="1:8" ht="18.75">
      <c r="A863" s="613"/>
      <c r="B863" s="613"/>
      <c r="C863" s="613"/>
      <c r="D863" s="613"/>
      <c r="E863" s="613"/>
      <c r="F863" s="613"/>
      <c r="G863" s="613"/>
      <c r="H863" s="613"/>
    </row>
    <row r="864" spans="1:8" ht="18.75">
      <c r="A864" s="613"/>
      <c r="B864" s="613"/>
      <c r="C864" s="613"/>
      <c r="D864" s="613"/>
      <c r="E864" s="613"/>
      <c r="F864" s="613"/>
      <c r="G864" s="613"/>
      <c r="H864" s="613"/>
    </row>
    <row r="865" spans="1:9" ht="18.75">
      <c r="A865" s="2162" t="s">
        <v>111</v>
      </c>
      <c r="B865" s="2164"/>
      <c r="C865" s="2164"/>
      <c r="D865" s="2164"/>
      <c r="E865" s="2164"/>
      <c r="F865" s="2164"/>
      <c r="G865" s="2164"/>
      <c r="H865" s="2164"/>
    </row>
    <row r="866" spans="1:9" ht="18.75">
      <c r="A866" s="2162" t="s">
        <v>757</v>
      </c>
      <c r="B866" s="2164"/>
      <c r="C866" s="2164"/>
      <c r="D866" s="2164"/>
      <c r="E866" s="2164"/>
      <c r="F866" s="2164"/>
      <c r="G866" s="2164"/>
      <c r="H866" s="2164"/>
    </row>
    <row r="867" spans="1:9" ht="18.75">
      <c r="A867" s="2163" t="s">
        <v>211</v>
      </c>
      <c r="B867" s="2164"/>
      <c r="C867" s="2164"/>
      <c r="D867" s="2164"/>
      <c r="E867" s="2164"/>
      <c r="F867" s="2164"/>
      <c r="G867" s="2164"/>
      <c r="H867" s="2164"/>
    </row>
    <row r="868" spans="1:9" ht="18.75">
      <c r="A868" s="2163" t="s">
        <v>1212</v>
      </c>
      <c r="B868" s="2164"/>
      <c r="C868" s="2164"/>
      <c r="D868" s="2164"/>
      <c r="E868" s="2164"/>
      <c r="F868" s="2164"/>
      <c r="G868" s="2164"/>
      <c r="H868" s="2164"/>
    </row>
    <row r="869" spans="1:9" ht="18.75">
      <c r="A869" s="2163" t="s">
        <v>32</v>
      </c>
      <c r="B869" s="2164"/>
      <c r="C869" s="2164"/>
      <c r="D869" s="2164"/>
      <c r="E869" s="2164"/>
      <c r="F869" s="2164"/>
      <c r="G869" s="2164"/>
      <c r="H869" s="2164"/>
    </row>
    <row r="870" spans="1:9">
      <c r="A870" s="33"/>
    </row>
    <row r="871" spans="1:9" ht="18.75">
      <c r="A871" s="2596" t="s">
        <v>49</v>
      </c>
      <c r="B871" s="2596"/>
      <c r="C871" s="2596"/>
      <c r="D871" s="2596"/>
      <c r="E871" s="2596"/>
      <c r="F871" s="2596"/>
      <c r="G871" s="2596"/>
      <c r="H871" s="2596"/>
    </row>
    <row r="872" spans="1:9" ht="31.5" customHeight="1">
      <c r="A872" s="2796" t="s">
        <v>1103</v>
      </c>
      <c r="B872" s="2797"/>
      <c r="C872" s="2797"/>
      <c r="D872" s="2797"/>
      <c r="E872" s="2797"/>
      <c r="F872" s="2797"/>
      <c r="G872" s="2797"/>
      <c r="H872" s="2797"/>
      <c r="I872" s="1146"/>
    </row>
    <row r="873" spans="1:9" ht="15.75" thickBot="1">
      <c r="A873" s="2567" t="s">
        <v>29</v>
      </c>
      <c r="B873" s="2568"/>
      <c r="C873" s="2568"/>
      <c r="D873" s="2568"/>
      <c r="E873" s="2568"/>
      <c r="F873" s="2569"/>
      <c r="G873" s="2570" t="s">
        <v>640</v>
      </c>
      <c r="H873" s="2572" t="s">
        <v>639</v>
      </c>
    </row>
    <row r="874" spans="1:9" ht="75.75" thickBot="1">
      <c r="A874" s="411" t="s">
        <v>39</v>
      </c>
      <c r="B874" s="412" t="s">
        <v>40</v>
      </c>
      <c r="C874" s="412" t="s">
        <v>41</v>
      </c>
      <c r="D874" s="412" t="s">
        <v>45</v>
      </c>
      <c r="E874" s="413" t="s">
        <v>42</v>
      </c>
      <c r="F874" s="407" t="s">
        <v>43</v>
      </c>
      <c r="G874" s="2571"/>
      <c r="H874" s="2595"/>
    </row>
    <row r="875" spans="1:9">
      <c r="A875" s="34" t="s">
        <v>381</v>
      </c>
      <c r="B875" s="23" t="s">
        <v>69</v>
      </c>
      <c r="C875" s="23" t="s">
        <v>59</v>
      </c>
      <c r="D875" s="23" t="s">
        <v>62</v>
      </c>
      <c r="E875" s="23" t="s">
        <v>65</v>
      </c>
      <c r="F875" s="414">
        <v>51202</v>
      </c>
      <c r="G875" s="419" t="s">
        <v>759</v>
      </c>
      <c r="H875" s="557">
        <v>7500</v>
      </c>
    </row>
    <row r="876" spans="1:9">
      <c r="A876" s="34" t="s">
        <v>381</v>
      </c>
      <c r="B876" s="23" t="s">
        <v>69</v>
      </c>
      <c r="C876" s="23" t="s">
        <v>59</v>
      </c>
      <c r="D876" s="23" t="s">
        <v>62</v>
      </c>
      <c r="E876" s="23" t="s">
        <v>65</v>
      </c>
      <c r="F876" s="414">
        <v>54111</v>
      </c>
      <c r="G876" s="419" t="s">
        <v>778</v>
      </c>
      <c r="H876" s="557">
        <v>9100</v>
      </c>
    </row>
    <row r="877" spans="1:9">
      <c r="A877" s="34" t="s">
        <v>381</v>
      </c>
      <c r="B877" s="23" t="s">
        <v>69</v>
      </c>
      <c r="C877" s="23" t="s">
        <v>59</v>
      </c>
      <c r="D877" s="23" t="s">
        <v>62</v>
      </c>
      <c r="E877" s="23" t="s">
        <v>65</v>
      </c>
      <c r="F877" s="414">
        <v>54112</v>
      </c>
      <c r="G877" s="419" t="s">
        <v>779</v>
      </c>
      <c r="H877" s="557">
        <v>800</v>
      </c>
    </row>
    <row r="878" spans="1:9">
      <c r="A878" s="34" t="s">
        <v>381</v>
      </c>
      <c r="B878" s="23" t="s">
        <v>69</v>
      </c>
      <c r="C878" s="23" t="s">
        <v>59</v>
      </c>
      <c r="D878" s="23" t="s">
        <v>62</v>
      </c>
      <c r="E878" s="23" t="s">
        <v>65</v>
      </c>
      <c r="F878" s="414">
        <v>54118</v>
      </c>
      <c r="G878" s="419" t="s">
        <v>746</v>
      </c>
      <c r="H878" s="557">
        <v>300</v>
      </c>
    </row>
    <row r="879" spans="1:9">
      <c r="A879" s="34" t="s">
        <v>381</v>
      </c>
      <c r="B879" s="23" t="s">
        <v>69</v>
      </c>
      <c r="C879" s="23" t="s">
        <v>59</v>
      </c>
      <c r="D879" s="23" t="s">
        <v>62</v>
      </c>
      <c r="E879" s="23" t="s">
        <v>65</v>
      </c>
      <c r="F879" s="414">
        <v>54199</v>
      </c>
      <c r="G879" s="419" t="s">
        <v>658</v>
      </c>
      <c r="H879" s="557">
        <v>500</v>
      </c>
    </row>
    <row r="880" spans="1:9">
      <c r="A880" s="34" t="s">
        <v>381</v>
      </c>
      <c r="B880" s="23" t="s">
        <v>69</v>
      </c>
      <c r="C880" s="23" t="s">
        <v>59</v>
      </c>
      <c r="D880" s="23" t="s">
        <v>62</v>
      </c>
      <c r="E880" s="23" t="s">
        <v>65</v>
      </c>
      <c r="F880" s="418" t="s">
        <v>677</v>
      </c>
      <c r="G880" s="419" t="s">
        <v>678</v>
      </c>
      <c r="H880" s="557">
        <v>800</v>
      </c>
    </row>
    <row r="881" spans="1:8">
      <c r="A881" s="34" t="s">
        <v>381</v>
      </c>
      <c r="B881" s="23" t="s">
        <v>69</v>
      </c>
      <c r="C881" s="23" t="s">
        <v>59</v>
      </c>
      <c r="D881" s="23" t="s">
        <v>62</v>
      </c>
      <c r="E881" s="23" t="s">
        <v>65</v>
      </c>
      <c r="F881" s="421">
        <v>61608</v>
      </c>
      <c r="G881" s="422" t="s">
        <v>780</v>
      </c>
      <c r="H881" s="558">
        <v>1000</v>
      </c>
    </row>
    <row r="882" spans="1:8" ht="15.75" thickBot="1">
      <c r="A882" s="1064"/>
      <c r="B882" s="1065"/>
      <c r="C882" s="1065"/>
      <c r="D882" s="1065"/>
      <c r="E882" s="1066"/>
      <c r="F882" s="1067"/>
      <c r="G882" s="1068"/>
      <c r="H882" s="1071">
        <f>SUM(H875:H881)</f>
        <v>20000</v>
      </c>
    </row>
    <row r="883" spans="1:8" ht="15.75" thickBot="1">
      <c r="B883" s="9"/>
      <c r="C883" s="10"/>
      <c r="D883" s="3"/>
      <c r="E883" s="3"/>
      <c r="F883" s="3"/>
    </row>
    <row r="884" spans="1:8">
      <c r="A884" s="2573" t="s">
        <v>732</v>
      </c>
      <c r="B884" s="2574"/>
      <c r="C884" s="2574"/>
      <c r="D884" s="2574"/>
      <c r="E884" s="2574"/>
      <c r="F884" s="2574"/>
      <c r="G884" s="2575" t="s">
        <v>1323</v>
      </c>
      <c r="H884" s="2576"/>
    </row>
    <row r="885" spans="1:8">
      <c r="A885" s="482"/>
      <c r="B885" s="551"/>
      <c r="C885" s="19"/>
      <c r="D885" s="19"/>
      <c r="E885" s="19"/>
      <c r="F885" s="19"/>
      <c r="G885" s="483"/>
      <c r="H885" s="484"/>
    </row>
    <row r="886" spans="1:8" ht="14.25" customHeight="1">
      <c r="A886" s="482"/>
      <c r="B886" s="551"/>
      <c r="C886" s="19"/>
      <c r="D886" s="19"/>
      <c r="E886" s="19"/>
      <c r="F886" s="19"/>
      <c r="G886" s="2580" t="s">
        <v>1095</v>
      </c>
      <c r="H886" s="2552"/>
    </row>
    <row r="887" spans="1:8" ht="31.5" customHeight="1">
      <c r="A887" s="2580" t="s">
        <v>1103</v>
      </c>
      <c r="B887" s="2598"/>
      <c r="C887" s="2598"/>
      <c r="D887" s="2598"/>
      <c r="E887" s="2598"/>
      <c r="F887" s="2552"/>
      <c r="G887" s="483"/>
      <c r="H887" s="484"/>
    </row>
    <row r="888" spans="1:8" ht="14.25" customHeight="1">
      <c r="A888" s="2597" t="s">
        <v>1104</v>
      </c>
      <c r="B888" s="2584"/>
      <c r="C888" s="2584"/>
      <c r="D888" s="2584"/>
      <c r="E888" s="2584"/>
      <c r="F888" s="2585"/>
      <c r="G888" s="2589" t="s">
        <v>695</v>
      </c>
      <c r="H888" s="2552"/>
    </row>
    <row r="889" spans="1:8" ht="39" customHeight="1">
      <c r="A889" s="2586"/>
      <c r="B889" s="2587"/>
      <c r="C889" s="2587"/>
      <c r="D889" s="2587"/>
      <c r="E889" s="2587"/>
      <c r="F889" s="2588"/>
      <c r="G889" s="485"/>
      <c r="H889" s="484"/>
    </row>
    <row r="890" spans="1:8" thickBot="1">
      <c r="A890" s="2590" t="s">
        <v>692</v>
      </c>
      <c r="B890" s="2561"/>
      <c r="C890" s="2561"/>
      <c r="D890" s="2561"/>
      <c r="E890" s="2561"/>
      <c r="F890" s="2562"/>
      <c r="G890" s="2591" t="s">
        <v>696</v>
      </c>
      <c r="H890" s="2562"/>
    </row>
    <row r="893" spans="1:8">
      <c r="A893" s="553"/>
      <c r="B893" s="554"/>
      <c r="C893" s="554"/>
      <c r="D893" s="554"/>
      <c r="E893" s="554"/>
      <c r="F893" s="554"/>
      <c r="G893" s="555"/>
      <c r="H893" s="554"/>
    </row>
    <row r="894" spans="1:8">
      <c r="A894" s="553"/>
      <c r="B894" s="554"/>
      <c r="C894" s="554"/>
      <c r="D894" s="554"/>
      <c r="E894" s="554"/>
      <c r="F894" s="554"/>
      <c r="G894" s="555"/>
      <c r="H894" s="554"/>
    </row>
    <row r="895" spans="1:8">
      <c r="A895" s="553"/>
      <c r="B895" s="554"/>
      <c r="C895" s="554"/>
      <c r="D895" s="554"/>
      <c r="E895" s="554"/>
      <c r="F895" s="554"/>
      <c r="G895" s="555"/>
      <c r="H895" s="554"/>
    </row>
    <row r="896" spans="1:8" ht="18.75">
      <c r="A896" s="2162" t="s">
        <v>111</v>
      </c>
      <c r="B896" s="2164"/>
      <c r="C896" s="2164"/>
      <c r="D896" s="2164"/>
      <c r="E896" s="2164"/>
      <c r="F896" s="2164"/>
      <c r="G896" s="2164"/>
      <c r="H896" s="2164"/>
    </row>
    <row r="897" spans="1:8" ht="18.75">
      <c r="A897" s="2162" t="s">
        <v>757</v>
      </c>
      <c r="B897" s="2164"/>
      <c r="C897" s="2164"/>
      <c r="D897" s="2164"/>
      <c r="E897" s="2164"/>
      <c r="F897" s="2164"/>
      <c r="G897" s="2164"/>
      <c r="H897" s="2164"/>
    </row>
    <row r="898" spans="1:8" ht="18.75">
      <c r="A898" s="2163" t="s">
        <v>211</v>
      </c>
      <c r="B898" s="2164"/>
      <c r="C898" s="2164"/>
      <c r="D898" s="2164"/>
      <c r="E898" s="2164"/>
      <c r="F898" s="2164"/>
      <c r="G898" s="2164"/>
      <c r="H898" s="2164"/>
    </row>
    <row r="899" spans="1:8" ht="18.75">
      <c r="A899" s="2163" t="s">
        <v>1212</v>
      </c>
      <c r="B899" s="2164"/>
      <c r="C899" s="2164"/>
      <c r="D899" s="2164"/>
      <c r="E899" s="2164"/>
      <c r="F899" s="2164"/>
      <c r="G899" s="2164"/>
      <c r="H899" s="2164"/>
    </row>
    <row r="900" spans="1:8" ht="18.75">
      <c r="A900" s="2163" t="s">
        <v>32</v>
      </c>
      <c r="B900" s="2164"/>
      <c r="C900" s="2164"/>
      <c r="D900" s="2164"/>
      <c r="E900" s="2164"/>
      <c r="F900" s="2164"/>
      <c r="G900" s="2164"/>
      <c r="H900" s="2164"/>
    </row>
    <row r="901" spans="1:8">
      <c r="A901" s="33"/>
    </row>
    <row r="902" spans="1:8" ht="18.75">
      <c r="A902" s="2596" t="s">
        <v>49</v>
      </c>
      <c r="B902" s="2596"/>
      <c r="C902" s="2596"/>
      <c r="D902" s="2596"/>
      <c r="E902" s="2596"/>
      <c r="F902" s="2596"/>
      <c r="G902" s="2596"/>
      <c r="H902" s="2596"/>
    </row>
    <row r="903" spans="1:8" ht="28.5" customHeight="1" thickBot="1">
      <c r="A903" s="2792" t="s">
        <v>1105</v>
      </c>
      <c r="B903" s="2793"/>
      <c r="C903" s="2793"/>
      <c r="D903" s="2793"/>
      <c r="E903" s="2793"/>
      <c r="F903" s="2793"/>
      <c r="G903" s="2793"/>
      <c r="H903" s="2793"/>
    </row>
    <row r="904" spans="1:8" ht="15.75" thickBot="1">
      <c r="A904" s="2606" t="s">
        <v>29</v>
      </c>
      <c r="B904" s="2620"/>
      <c r="C904" s="2620"/>
      <c r="D904" s="2620"/>
      <c r="E904" s="2620"/>
      <c r="F904" s="2621"/>
      <c r="G904" s="2609" t="s">
        <v>640</v>
      </c>
      <c r="H904" s="2610" t="s">
        <v>639</v>
      </c>
    </row>
    <row r="905" spans="1:8" ht="75.75" thickBot="1">
      <c r="A905" s="411" t="s">
        <v>39</v>
      </c>
      <c r="B905" s="412" t="s">
        <v>40</v>
      </c>
      <c r="C905" s="412" t="s">
        <v>41</v>
      </c>
      <c r="D905" s="412" t="s">
        <v>45</v>
      </c>
      <c r="E905" s="413" t="s">
        <v>42</v>
      </c>
      <c r="F905" s="407" t="s">
        <v>43</v>
      </c>
      <c r="G905" s="2622"/>
      <c r="H905" s="2595"/>
    </row>
    <row r="906" spans="1:8">
      <c r="A906" s="34" t="s">
        <v>381</v>
      </c>
      <c r="B906" s="23" t="s">
        <v>69</v>
      </c>
      <c r="C906" s="23" t="s">
        <v>59</v>
      </c>
      <c r="D906" s="23" t="s">
        <v>62</v>
      </c>
      <c r="E906" s="23" t="s">
        <v>65</v>
      </c>
      <c r="F906" s="423" t="s">
        <v>209</v>
      </c>
      <c r="G906" s="415" t="s">
        <v>724</v>
      </c>
      <c r="H906" s="24">
        <v>3000</v>
      </c>
    </row>
    <row r="907" spans="1:8">
      <c r="A907" s="34" t="s">
        <v>381</v>
      </c>
      <c r="B907" s="23" t="s">
        <v>69</v>
      </c>
      <c r="C907" s="23" t="s">
        <v>59</v>
      </c>
      <c r="D907" s="23" t="s">
        <v>62</v>
      </c>
      <c r="E907" s="23" t="s">
        <v>65</v>
      </c>
      <c r="F907" s="424" t="s">
        <v>498</v>
      </c>
      <c r="G907" s="416" t="s">
        <v>725</v>
      </c>
      <c r="H907" s="24">
        <v>500</v>
      </c>
    </row>
    <row r="908" spans="1:8">
      <c r="A908" s="34" t="s">
        <v>381</v>
      </c>
      <c r="B908" s="23" t="s">
        <v>69</v>
      </c>
      <c r="C908" s="23" t="s">
        <v>59</v>
      </c>
      <c r="D908" s="23" t="s">
        <v>62</v>
      </c>
      <c r="E908" s="23" t="s">
        <v>65</v>
      </c>
      <c r="F908" s="424" t="s">
        <v>726</v>
      </c>
      <c r="G908" s="416" t="s">
        <v>727</v>
      </c>
      <c r="H908" s="24">
        <v>4000</v>
      </c>
    </row>
    <row r="909" spans="1:8">
      <c r="A909" s="34" t="s">
        <v>381</v>
      </c>
      <c r="B909" s="23" t="s">
        <v>69</v>
      </c>
      <c r="C909" s="23" t="s">
        <v>59</v>
      </c>
      <c r="D909" s="23" t="s">
        <v>62</v>
      </c>
      <c r="E909" s="23" t="s">
        <v>65</v>
      </c>
      <c r="F909" s="425">
        <v>54112</v>
      </c>
      <c r="G909" s="416" t="s">
        <v>728</v>
      </c>
      <c r="H909" s="25">
        <v>500</v>
      </c>
    </row>
    <row r="910" spans="1:8">
      <c r="A910" s="34" t="s">
        <v>381</v>
      </c>
      <c r="B910" s="23" t="s">
        <v>69</v>
      </c>
      <c r="C910" s="23" t="s">
        <v>59</v>
      </c>
      <c r="D910" s="23" t="s">
        <v>62</v>
      </c>
      <c r="E910" s="23" t="s">
        <v>65</v>
      </c>
      <c r="F910" s="425">
        <v>54118</v>
      </c>
      <c r="G910" s="416" t="s">
        <v>729</v>
      </c>
      <c r="H910" s="25">
        <v>250</v>
      </c>
    </row>
    <row r="911" spans="1:8">
      <c r="A911" s="34" t="s">
        <v>381</v>
      </c>
      <c r="B911" s="23" t="s">
        <v>69</v>
      </c>
      <c r="C911" s="23" t="s">
        <v>59</v>
      </c>
      <c r="D911" s="23" t="s">
        <v>62</v>
      </c>
      <c r="E911" s="23" t="s">
        <v>65</v>
      </c>
      <c r="F911" s="425">
        <v>54199</v>
      </c>
      <c r="G911" s="419" t="s">
        <v>730</v>
      </c>
      <c r="H911" s="25">
        <v>350</v>
      </c>
    </row>
    <row r="912" spans="1:8">
      <c r="A912" s="34" t="s">
        <v>381</v>
      </c>
      <c r="B912" s="23" t="s">
        <v>69</v>
      </c>
      <c r="C912" s="23" t="s">
        <v>59</v>
      </c>
      <c r="D912" s="23" t="s">
        <v>62</v>
      </c>
      <c r="E912" s="23" t="s">
        <v>65</v>
      </c>
      <c r="F912" s="487">
        <v>34304</v>
      </c>
      <c r="G912" s="419" t="s">
        <v>983</v>
      </c>
      <c r="H912" s="25">
        <v>900</v>
      </c>
    </row>
    <row r="913" spans="1:8">
      <c r="A913" s="34" t="s">
        <v>381</v>
      </c>
      <c r="B913" s="23" t="s">
        <v>69</v>
      </c>
      <c r="C913" s="23" t="s">
        <v>59</v>
      </c>
      <c r="D913" s="23" t="s">
        <v>62</v>
      </c>
      <c r="E913" s="23" t="s">
        <v>65</v>
      </c>
      <c r="F913" s="487">
        <v>61608</v>
      </c>
      <c r="G913" s="419" t="s">
        <v>731</v>
      </c>
      <c r="H913" s="25">
        <v>500</v>
      </c>
    </row>
    <row r="914" spans="1:8" ht="20.25" customHeight="1" thickBot="1">
      <c r="A914" s="1064"/>
      <c r="B914" s="1065"/>
      <c r="C914" s="1065"/>
      <c r="D914" s="1065"/>
      <c r="E914" s="1066"/>
      <c r="F914" s="1067"/>
      <c r="G914" s="1068"/>
      <c r="H914" s="1071">
        <f>SUM(H906:H913)</f>
        <v>10000</v>
      </c>
    </row>
    <row r="915" spans="1:8" ht="15.75" thickBot="1">
      <c r="B915" s="9"/>
      <c r="C915" s="10"/>
      <c r="D915" s="3"/>
      <c r="E915" s="3"/>
      <c r="F915" s="3"/>
    </row>
    <row r="916" spans="1:8">
      <c r="A916" s="2573" t="s">
        <v>732</v>
      </c>
      <c r="B916" s="2574"/>
      <c r="C916" s="2574"/>
      <c r="D916" s="2574"/>
      <c r="E916" s="2574"/>
      <c r="F916" s="2574"/>
      <c r="G916" s="2575" t="s">
        <v>1323</v>
      </c>
      <c r="H916" s="2576"/>
    </row>
    <row r="917" spans="1:8">
      <c r="A917" s="2577" t="s">
        <v>1105</v>
      </c>
      <c r="B917" s="2578"/>
      <c r="C917" s="2578"/>
      <c r="D917" s="2578"/>
      <c r="E917" s="2578"/>
      <c r="F917" s="2579"/>
      <c r="G917" s="483"/>
      <c r="H917" s="484"/>
    </row>
    <row r="918" spans="1:8" ht="14.25" customHeight="1">
      <c r="A918" s="2580"/>
      <c r="B918" s="2581"/>
      <c r="C918" s="2581"/>
      <c r="D918" s="2581"/>
      <c r="E918" s="2581"/>
      <c r="F918" s="2582"/>
      <c r="G918" s="2580" t="s">
        <v>1096</v>
      </c>
      <c r="H918" s="2552"/>
    </row>
    <row r="919" spans="1:8">
      <c r="A919" s="2597" t="s">
        <v>985</v>
      </c>
      <c r="B919" s="2584"/>
      <c r="C919" s="2584"/>
      <c r="D919" s="2584"/>
      <c r="E919" s="2584"/>
      <c r="F919" s="2585"/>
      <c r="G919" s="483"/>
      <c r="H919" s="484"/>
    </row>
    <row r="920" spans="1:8" ht="14.25">
      <c r="A920" s="2586"/>
      <c r="B920" s="2587"/>
      <c r="C920" s="2587"/>
      <c r="D920" s="2587"/>
      <c r="E920" s="2587"/>
      <c r="F920" s="2588"/>
      <c r="G920" s="2589" t="s">
        <v>695</v>
      </c>
      <c r="H920" s="2552"/>
    </row>
    <row r="921" spans="1:8">
      <c r="A921" s="482"/>
      <c r="B921" s="551"/>
      <c r="C921" s="551"/>
      <c r="D921" s="551"/>
      <c r="E921" s="551"/>
      <c r="F921" s="551"/>
      <c r="G921" s="485"/>
      <c r="H921" s="484"/>
    </row>
    <row r="922" spans="1:8" thickBot="1">
      <c r="A922" s="2590" t="s">
        <v>692</v>
      </c>
      <c r="B922" s="2561"/>
      <c r="C922" s="2561"/>
      <c r="D922" s="2561"/>
      <c r="E922" s="2561"/>
      <c r="F922" s="2562"/>
      <c r="G922" s="2591" t="s">
        <v>696</v>
      </c>
      <c r="H922" s="2562"/>
    </row>
    <row r="923" spans="1:8" ht="38.25" customHeight="1">
      <c r="A923" s="2601" t="s">
        <v>821</v>
      </c>
      <c r="B923" s="2601"/>
      <c r="C923" s="2601"/>
      <c r="D923" s="2601"/>
      <c r="E923" s="2601"/>
      <c r="F923" s="2601"/>
      <c r="G923" s="2601"/>
      <c r="H923" s="2601"/>
    </row>
    <row r="924" spans="1:8" ht="38.25" customHeight="1">
      <c r="A924" s="613"/>
      <c r="B924" s="613"/>
      <c r="C924" s="613"/>
      <c r="D924" s="613"/>
      <c r="E924" s="613"/>
      <c r="F924" s="613"/>
      <c r="G924" s="613"/>
      <c r="H924" s="613"/>
    </row>
    <row r="925" spans="1:8" ht="38.25" customHeight="1">
      <c r="A925" s="613"/>
      <c r="B925" s="613"/>
      <c r="C925" s="613"/>
      <c r="D925" s="613"/>
      <c r="E925" s="613"/>
      <c r="F925" s="613"/>
      <c r="G925" s="613"/>
      <c r="H925" s="613"/>
    </row>
    <row r="926" spans="1:8" ht="18.75">
      <c r="A926" s="2703" t="s">
        <v>111</v>
      </c>
      <c r="B926" s="2705"/>
      <c r="C926" s="2705"/>
      <c r="D926" s="2705"/>
      <c r="E926" s="2705"/>
      <c r="F926" s="2705"/>
      <c r="G926" s="2705"/>
      <c r="H926" s="2705"/>
    </row>
    <row r="927" spans="1:8" ht="18.75">
      <c r="A927" s="2703" t="s">
        <v>757</v>
      </c>
      <c r="B927" s="2705"/>
      <c r="C927" s="2705"/>
      <c r="D927" s="2705"/>
      <c r="E927" s="2705"/>
      <c r="F927" s="2705"/>
      <c r="G927" s="2705"/>
      <c r="H927" s="2705"/>
    </row>
    <row r="928" spans="1:8" ht="18.75">
      <c r="A928" s="2704" t="s">
        <v>211</v>
      </c>
      <c r="B928" s="2705"/>
      <c r="C928" s="2705"/>
      <c r="D928" s="2705"/>
      <c r="E928" s="2705"/>
      <c r="F928" s="2705"/>
      <c r="G928" s="2705"/>
      <c r="H928" s="2705"/>
    </row>
    <row r="929" spans="1:8" ht="18.75">
      <c r="A929" s="2704" t="s">
        <v>1006</v>
      </c>
      <c r="B929" s="2705"/>
      <c r="C929" s="2705"/>
      <c r="D929" s="2705"/>
      <c r="E929" s="2705"/>
      <c r="F929" s="2705"/>
      <c r="G929" s="2705"/>
      <c r="H929" s="2705"/>
    </row>
    <row r="930" spans="1:8" ht="18.75">
      <c r="A930" s="2704" t="s">
        <v>32</v>
      </c>
      <c r="B930" s="2705"/>
      <c r="C930" s="2705"/>
      <c r="D930" s="2705"/>
      <c r="E930" s="2705"/>
      <c r="F930" s="2705"/>
      <c r="G930" s="2705"/>
      <c r="H930" s="2705"/>
    </row>
    <row r="931" spans="1:8">
      <c r="A931" s="814"/>
      <c r="B931" s="815"/>
      <c r="C931" s="816"/>
      <c r="D931" s="817"/>
      <c r="E931" s="817"/>
      <c r="F931" s="817"/>
      <c r="G931" s="818"/>
      <c r="H931" s="819"/>
    </row>
    <row r="932" spans="1:8" ht="18.75">
      <c r="A932" s="2706" t="s">
        <v>49</v>
      </c>
      <c r="B932" s="2706"/>
      <c r="C932" s="2706"/>
      <c r="D932" s="2706"/>
      <c r="E932" s="2706"/>
      <c r="F932" s="2706"/>
      <c r="G932" s="2706"/>
      <c r="H932" s="2706"/>
    </row>
    <row r="933" spans="1:8" ht="47.25" customHeight="1">
      <c r="A933" s="2794" t="s">
        <v>1169</v>
      </c>
      <c r="B933" s="2795"/>
      <c r="C933" s="2795"/>
      <c r="D933" s="2795"/>
      <c r="E933" s="2795"/>
      <c r="F933" s="2795"/>
      <c r="G933" s="2795"/>
      <c r="H933" s="2795"/>
    </row>
    <row r="934" spans="1:8" ht="15.75" customHeight="1" thickBot="1">
      <c r="A934" s="2719" t="s">
        <v>29</v>
      </c>
      <c r="B934" s="2720"/>
      <c r="C934" s="2720"/>
      <c r="D934" s="2720"/>
      <c r="E934" s="2720"/>
      <c r="F934" s="2721"/>
      <c r="G934" s="2722" t="s">
        <v>640</v>
      </c>
      <c r="H934" s="2715" t="s">
        <v>639</v>
      </c>
    </row>
    <row r="935" spans="1:8" ht="75.75" thickBot="1">
      <c r="A935" s="1106" t="s">
        <v>39</v>
      </c>
      <c r="B935" s="1107" t="s">
        <v>40</v>
      </c>
      <c r="C935" s="1107" t="s">
        <v>41</v>
      </c>
      <c r="D935" s="1107" t="s">
        <v>45</v>
      </c>
      <c r="E935" s="1108" t="s">
        <v>42</v>
      </c>
      <c r="F935" s="823" t="s">
        <v>43</v>
      </c>
      <c r="G935" s="2713"/>
      <c r="H935" s="2723"/>
    </row>
    <row r="936" spans="1:8">
      <c r="A936" s="824" t="s">
        <v>381</v>
      </c>
      <c r="B936" s="825" t="s">
        <v>69</v>
      </c>
      <c r="C936" s="825" t="s">
        <v>59</v>
      </c>
      <c r="D936" s="825" t="s">
        <v>62</v>
      </c>
      <c r="E936" s="825" t="s">
        <v>65</v>
      </c>
      <c r="F936" s="826">
        <v>51202</v>
      </c>
      <c r="G936" s="827" t="s">
        <v>759</v>
      </c>
      <c r="H936" s="1118">
        <f>4000+200</f>
        <v>4200</v>
      </c>
    </row>
    <row r="937" spans="1:8">
      <c r="A937" s="824" t="s">
        <v>381</v>
      </c>
      <c r="B937" s="825" t="s">
        <v>69</v>
      </c>
      <c r="C937" s="825" t="s">
        <v>59</v>
      </c>
      <c r="D937" s="825" t="s">
        <v>62</v>
      </c>
      <c r="E937" s="825" t="s">
        <v>65</v>
      </c>
      <c r="F937" s="826">
        <v>54111</v>
      </c>
      <c r="G937" s="827" t="s">
        <v>778</v>
      </c>
      <c r="H937" s="1118">
        <v>3900</v>
      </c>
    </row>
    <row r="938" spans="1:8">
      <c r="A938" s="824" t="s">
        <v>381</v>
      </c>
      <c r="B938" s="825" t="s">
        <v>69</v>
      </c>
      <c r="C938" s="825" t="s">
        <v>59</v>
      </c>
      <c r="D938" s="825" t="s">
        <v>62</v>
      </c>
      <c r="E938" s="825" t="s">
        <v>65</v>
      </c>
      <c r="F938" s="826">
        <v>54112</v>
      </c>
      <c r="G938" s="827" t="s">
        <v>779</v>
      </c>
      <c r="H938" s="1118">
        <v>1600</v>
      </c>
    </row>
    <row r="939" spans="1:8">
      <c r="A939" s="824" t="s">
        <v>381</v>
      </c>
      <c r="B939" s="825" t="s">
        <v>69</v>
      </c>
      <c r="C939" s="825" t="s">
        <v>59</v>
      </c>
      <c r="D939" s="825" t="s">
        <v>62</v>
      </c>
      <c r="E939" s="825" t="s">
        <v>65</v>
      </c>
      <c r="F939" s="826">
        <v>54118</v>
      </c>
      <c r="G939" s="827" t="s">
        <v>746</v>
      </c>
      <c r="H939" s="1118">
        <v>500</v>
      </c>
    </row>
    <row r="940" spans="1:8" ht="15" customHeight="1">
      <c r="A940" s="824" t="s">
        <v>381</v>
      </c>
      <c r="B940" s="825" t="s">
        <v>69</v>
      </c>
      <c r="C940" s="825" t="s">
        <v>59</v>
      </c>
      <c r="D940" s="825" t="s">
        <v>62</v>
      </c>
      <c r="E940" s="825" t="s">
        <v>65</v>
      </c>
      <c r="F940" s="826">
        <v>54199</v>
      </c>
      <c r="G940" s="827" t="s">
        <v>658</v>
      </c>
      <c r="H940" s="1118">
        <v>500</v>
      </c>
    </row>
    <row r="941" spans="1:8">
      <c r="A941" s="824" t="s">
        <v>381</v>
      </c>
      <c r="B941" s="825" t="s">
        <v>69</v>
      </c>
      <c r="C941" s="825" t="s">
        <v>59</v>
      </c>
      <c r="D941" s="825" t="s">
        <v>62</v>
      </c>
      <c r="E941" s="825" t="s">
        <v>65</v>
      </c>
      <c r="F941" s="829" t="s">
        <v>677</v>
      </c>
      <c r="G941" s="827" t="s">
        <v>678</v>
      </c>
      <c r="H941" s="1118">
        <v>700</v>
      </c>
    </row>
    <row r="942" spans="1:8" ht="14.25" customHeight="1">
      <c r="A942" s="824" t="s">
        <v>381</v>
      </c>
      <c r="B942" s="825" t="s">
        <v>69</v>
      </c>
      <c r="C942" s="825" t="s">
        <v>59</v>
      </c>
      <c r="D942" s="825" t="s">
        <v>62</v>
      </c>
      <c r="E942" s="825" t="s">
        <v>65</v>
      </c>
      <c r="F942" s="831">
        <v>61608</v>
      </c>
      <c r="G942" s="832" t="s">
        <v>780</v>
      </c>
      <c r="H942" s="1129">
        <v>600</v>
      </c>
    </row>
    <row r="943" spans="1:8" ht="15" customHeight="1" thickBot="1">
      <c r="A943" s="1110"/>
      <c r="B943" s="1111"/>
      <c r="C943" s="1111"/>
      <c r="D943" s="1111"/>
      <c r="E943" s="1112"/>
      <c r="F943" s="1113"/>
      <c r="G943" s="1114"/>
      <c r="H943" s="1120">
        <f>SUM(H936:H942)</f>
        <v>12000</v>
      </c>
    </row>
    <row r="944" spans="1:8" ht="14.25" customHeight="1" thickBot="1">
      <c r="A944" s="839"/>
      <c r="B944" s="839"/>
      <c r="C944" s="840"/>
      <c r="D944" s="841"/>
      <c r="E944" s="841"/>
      <c r="F944" s="841"/>
      <c r="G944" s="818"/>
      <c r="H944" s="819"/>
    </row>
    <row r="945" spans="1:8">
      <c r="A945" s="2685" t="s">
        <v>732</v>
      </c>
      <c r="B945" s="2686"/>
      <c r="C945" s="2686"/>
      <c r="D945" s="2686"/>
      <c r="E945" s="2686"/>
      <c r="F945" s="2686"/>
      <c r="G945" s="2687" t="s">
        <v>1021</v>
      </c>
      <c r="H945" s="2688"/>
    </row>
    <row r="946" spans="1:8" ht="15" customHeight="1">
      <c r="A946" s="842"/>
      <c r="B946" s="843"/>
      <c r="C946" s="844"/>
      <c r="D946" s="844"/>
      <c r="E946" s="844"/>
      <c r="F946" s="844"/>
      <c r="G946" s="845"/>
      <c r="H946" s="846"/>
    </row>
    <row r="947" spans="1:8" ht="31.5" customHeight="1">
      <c r="A947" s="2689" t="s">
        <v>1169</v>
      </c>
      <c r="B947" s="2690"/>
      <c r="C947" s="2690"/>
      <c r="D947" s="2690"/>
      <c r="E947" s="2690"/>
      <c r="F947" s="2691"/>
      <c r="G947" s="2689" t="s">
        <v>1095</v>
      </c>
      <c r="H947" s="2691"/>
    </row>
    <row r="948" spans="1:8">
      <c r="A948" s="2692" t="s">
        <v>1106</v>
      </c>
      <c r="B948" s="2693"/>
      <c r="C948" s="2693"/>
      <c r="D948" s="2693"/>
      <c r="E948" s="2693"/>
      <c r="F948" s="2694"/>
      <c r="G948" s="845"/>
      <c r="H948" s="846"/>
    </row>
    <row r="949" spans="1:8" ht="30" customHeight="1">
      <c r="A949" s="2695"/>
      <c r="B949" s="2696"/>
      <c r="C949" s="2696"/>
      <c r="D949" s="2696"/>
      <c r="E949" s="2696"/>
      <c r="F949" s="2697"/>
      <c r="G949" s="2698" t="s">
        <v>695</v>
      </c>
      <c r="H949" s="2691"/>
    </row>
    <row r="950" spans="1:8">
      <c r="A950" s="842"/>
      <c r="B950" s="843"/>
      <c r="C950" s="843"/>
      <c r="D950" s="843"/>
      <c r="E950" s="843"/>
      <c r="F950" s="843"/>
      <c r="G950" s="847"/>
      <c r="H950" s="846"/>
    </row>
    <row r="951" spans="1:8" thickBot="1">
      <c r="A951" s="2699" t="s">
        <v>692</v>
      </c>
      <c r="B951" s="2700"/>
      <c r="C951" s="2700"/>
      <c r="D951" s="2700"/>
      <c r="E951" s="2700"/>
      <c r="F951" s="2701"/>
      <c r="G951" s="2702" t="s">
        <v>696</v>
      </c>
      <c r="H951" s="2701"/>
    </row>
    <row r="952" spans="1:8">
      <c r="A952" s="1121"/>
      <c r="B952" s="1122"/>
      <c r="C952" s="1122"/>
      <c r="D952" s="1122"/>
      <c r="E952" s="1122"/>
      <c r="F952" s="1122"/>
      <c r="G952" s="1123"/>
      <c r="H952" s="1122"/>
    </row>
    <row r="953" spans="1:8" ht="42" customHeight="1">
      <c r="A953" s="2716" t="s">
        <v>821</v>
      </c>
      <c r="B953" s="2716"/>
      <c r="C953" s="2716"/>
      <c r="D953" s="2716"/>
      <c r="E953" s="2716"/>
      <c r="F953" s="2716"/>
      <c r="G953" s="2716"/>
      <c r="H953" s="2716"/>
    </row>
    <row r="954" spans="1:8" ht="24" customHeight="1">
      <c r="A954" s="1097"/>
      <c r="B954" s="1097"/>
      <c r="C954" s="1097"/>
      <c r="D954" s="1097"/>
      <c r="E954" s="1097"/>
      <c r="F954" s="1097"/>
      <c r="G954" s="1097"/>
      <c r="H954" s="1097"/>
    </row>
    <row r="955" spans="1:8" ht="24" customHeight="1">
      <c r="A955" s="1097"/>
      <c r="B955" s="1097"/>
      <c r="C955" s="1097"/>
      <c r="D955" s="1097"/>
      <c r="E955" s="1097"/>
      <c r="F955" s="1097"/>
      <c r="G955" s="1097"/>
      <c r="H955" s="1097"/>
    </row>
    <row r="956" spans="1:8" ht="24" customHeight="1">
      <c r="A956" s="2217" t="s">
        <v>111</v>
      </c>
      <c r="B956" s="2217"/>
      <c r="C956" s="2217"/>
      <c r="D956" s="2217"/>
      <c r="E956" s="2217"/>
      <c r="F956" s="2217"/>
      <c r="G956" s="2217"/>
      <c r="H956" s="2217"/>
    </row>
    <row r="957" spans="1:8" ht="24" customHeight="1">
      <c r="A957" s="2217" t="s">
        <v>757</v>
      </c>
      <c r="B957" s="2217"/>
      <c r="C957" s="2217"/>
      <c r="D957" s="2217"/>
      <c r="E957" s="2217"/>
      <c r="F957" s="2217"/>
      <c r="G957" s="2217"/>
      <c r="H957" s="2217"/>
    </row>
    <row r="958" spans="1:8" ht="24" customHeight="1">
      <c r="A958" s="2185" t="s">
        <v>211</v>
      </c>
      <c r="B958" s="2185"/>
      <c r="C958" s="2185"/>
      <c r="D958" s="2185"/>
      <c r="E958" s="2185"/>
      <c r="F958" s="2185"/>
      <c r="G958" s="2185"/>
      <c r="H958" s="2185"/>
    </row>
    <row r="959" spans="1:8" ht="22.5" customHeight="1">
      <c r="A959" s="2185" t="s">
        <v>1212</v>
      </c>
      <c r="B959" s="2185"/>
      <c r="C959" s="2185"/>
      <c r="D959" s="2185"/>
      <c r="E959" s="2185"/>
      <c r="F959" s="2185"/>
      <c r="G959" s="2185"/>
      <c r="H959" s="2185"/>
    </row>
    <row r="960" spans="1:8" ht="22.5" customHeight="1">
      <c r="A960" s="2185" t="s">
        <v>32</v>
      </c>
      <c r="B960" s="2185"/>
      <c r="C960" s="2185"/>
      <c r="D960" s="2185"/>
      <c r="E960" s="2185"/>
      <c r="F960" s="2185"/>
      <c r="G960" s="2185"/>
      <c r="H960" s="2185"/>
    </row>
    <row r="961" spans="1:9" ht="22.5" customHeight="1">
      <c r="A961" s="2613" t="s">
        <v>49</v>
      </c>
      <c r="B961" s="2613"/>
      <c r="C961" s="2613"/>
      <c r="D961" s="2613"/>
      <c r="E961" s="2613"/>
      <c r="F961" s="2613"/>
      <c r="G961" s="2613"/>
      <c r="H961" s="2613"/>
    </row>
    <row r="962" spans="1:9" ht="46.5" customHeight="1" thickBot="1">
      <c r="A962" s="2780" t="s">
        <v>1188</v>
      </c>
      <c r="B962" s="2781"/>
      <c r="C962" s="2781"/>
      <c r="D962" s="2781"/>
      <c r="E962" s="2781"/>
      <c r="F962" s="2781"/>
      <c r="G962" s="2781"/>
      <c r="H962" s="2781"/>
      <c r="I962" s="1148"/>
    </row>
    <row r="963" spans="1:9" ht="22.5" customHeight="1" thickBot="1">
      <c r="A963" s="2606" t="s">
        <v>29</v>
      </c>
      <c r="B963" s="2620"/>
      <c r="C963" s="2620"/>
      <c r="D963" s="2620"/>
      <c r="E963" s="2620"/>
      <c r="F963" s="2621"/>
      <c r="G963" s="2609" t="s">
        <v>640</v>
      </c>
      <c r="H963" s="2610" t="s">
        <v>639</v>
      </c>
    </row>
    <row r="964" spans="1:9" ht="78.75" customHeight="1" thickBot="1">
      <c r="A964" s="411" t="s">
        <v>39</v>
      </c>
      <c r="B964" s="412" t="s">
        <v>40</v>
      </c>
      <c r="C964" s="412" t="s">
        <v>41</v>
      </c>
      <c r="D964" s="412" t="s">
        <v>45</v>
      </c>
      <c r="E964" s="413" t="s">
        <v>42</v>
      </c>
      <c r="F964" s="407" t="s">
        <v>43</v>
      </c>
      <c r="G964" s="2622"/>
      <c r="H964" s="2595"/>
    </row>
    <row r="965" spans="1:9" ht="18.75" customHeight="1">
      <c r="A965" s="852" t="s">
        <v>381</v>
      </c>
      <c r="B965" s="853" t="s">
        <v>69</v>
      </c>
      <c r="C965" s="853" t="s">
        <v>59</v>
      </c>
      <c r="D965" s="853" t="s">
        <v>62</v>
      </c>
      <c r="E965" s="853" t="s">
        <v>65</v>
      </c>
      <c r="F965" s="414">
        <v>51202</v>
      </c>
      <c r="G965" s="419" t="s">
        <v>759</v>
      </c>
      <c r="H965" s="557">
        <v>7000</v>
      </c>
    </row>
    <row r="966" spans="1:9" ht="18.75" customHeight="1">
      <c r="A966" s="852" t="s">
        <v>381</v>
      </c>
      <c r="B966" s="853" t="s">
        <v>69</v>
      </c>
      <c r="C966" s="853" t="s">
        <v>59</v>
      </c>
      <c r="D966" s="853" t="s">
        <v>62</v>
      </c>
      <c r="E966" s="853" t="s">
        <v>65</v>
      </c>
      <c r="F966" s="414">
        <v>54107</v>
      </c>
      <c r="G966" s="419" t="s">
        <v>743</v>
      </c>
      <c r="H966" s="557">
        <v>1300</v>
      </c>
    </row>
    <row r="967" spans="1:9" ht="18.75" customHeight="1">
      <c r="A967" s="852" t="s">
        <v>381</v>
      </c>
      <c r="B967" s="853" t="s">
        <v>69</v>
      </c>
      <c r="C967" s="853" t="s">
        <v>59</v>
      </c>
      <c r="D967" s="853" t="s">
        <v>62</v>
      </c>
      <c r="E967" s="853" t="s">
        <v>65</v>
      </c>
      <c r="F967" s="414">
        <v>54111</v>
      </c>
      <c r="G967" s="419" t="s">
        <v>778</v>
      </c>
      <c r="H967" s="557">
        <v>7000</v>
      </c>
    </row>
    <row r="968" spans="1:9" ht="18.75" customHeight="1">
      <c r="A968" s="852" t="s">
        <v>381</v>
      </c>
      <c r="B968" s="853" t="s">
        <v>69</v>
      </c>
      <c r="C968" s="853" t="s">
        <v>59</v>
      </c>
      <c r="D968" s="853" t="s">
        <v>62</v>
      </c>
      <c r="E968" s="853" t="s">
        <v>65</v>
      </c>
      <c r="F968" s="414">
        <v>54112</v>
      </c>
      <c r="G968" s="419" t="s">
        <v>779</v>
      </c>
      <c r="H968" s="557">
        <v>1200</v>
      </c>
    </row>
    <row r="969" spans="1:9" ht="18.75" customHeight="1">
      <c r="A969" s="852" t="s">
        <v>381</v>
      </c>
      <c r="B969" s="853" t="s">
        <v>69</v>
      </c>
      <c r="C969" s="853" t="s">
        <v>59</v>
      </c>
      <c r="D969" s="853" t="s">
        <v>62</v>
      </c>
      <c r="E969" s="853" t="s">
        <v>65</v>
      </c>
      <c r="F969" s="414">
        <v>54118</v>
      </c>
      <c r="G969" s="419" t="s">
        <v>746</v>
      </c>
      <c r="H969" s="557">
        <v>700</v>
      </c>
    </row>
    <row r="970" spans="1:9" ht="18.75" customHeight="1">
      <c r="A970" s="852" t="s">
        <v>381</v>
      </c>
      <c r="B970" s="853" t="s">
        <v>69</v>
      </c>
      <c r="C970" s="853" t="s">
        <v>59</v>
      </c>
      <c r="D970" s="853" t="s">
        <v>62</v>
      </c>
      <c r="E970" s="853" t="s">
        <v>65</v>
      </c>
      <c r="F970" s="414">
        <v>54199</v>
      </c>
      <c r="G970" s="419" t="s">
        <v>658</v>
      </c>
      <c r="H970" s="557">
        <v>600</v>
      </c>
    </row>
    <row r="971" spans="1:9" ht="18.75" customHeight="1">
      <c r="A971" s="852" t="s">
        <v>381</v>
      </c>
      <c r="B971" s="853" t="s">
        <v>69</v>
      </c>
      <c r="C971" s="853" t="s">
        <v>59</v>
      </c>
      <c r="D971" s="853" t="s">
        <v>62</v>
      </c>
      <c r="E971" s="853" t="s">
        <v>65</v>
      </c>
      <c r="F971" s="418" t="s">
        <v>677</v>
      </c>
      <c r="G971" s="419" t="s">
        <v>678</v>
      </c>
      <c r="H971" s="557">
        <v>700</v>
      </c>
    </row>
    <row r="972" spans="1:9" ht="18.75" customHeight="1">
      <c r="A972" s="852" t="s">
        <v>381</v>
      </c>
      <c r="B972" s="853" t="s">
        <v>69</v>
      </c>
      <c r="C972" s="853" t="s">
        <v>59</v>
      </c>
      <c r="D972" s="853" t="s">
        <v>62</v>
      </c>
      <c r="E972" s="853" t="s">
        <v>65</v>
      </c>
      <c r="F972" s="421">
        <v>61608</v>
      </c>
      <c r="G972" s="422" t="s">
        <v>780</v>
      </c>
      <c r="H972" s="558">
        <v>1500</v>
      </c>
    </row>
    <row r="973" spans="1:9" ht="22.5" customHeight="1" thickBot="1">
      <c r="A973" s="1058"/>
      <c r="B973" s="1059"/>
      <c r="C973" s="1059"/>
      <c r="D973" s="1059"/>
      <c r="E973" s="1060"/>
      <c r="F973" s="1061"/>
      <c r="G973" s="1062"/>
      <c r="H973" s="1072">
        <f>SUM(H965:H972)</f>
        <v>20000</v>
      </c>
    </row>
    <row r="974" spans="1:9" ht="22.5" customHeight="1" thickBot="1">
      <c r="A974" s="200"/>
      <c r="B974" s="200"/>
      <c r="C974" s="201"/>
      <c r="D974" s="202"/>
      <c r="E974" s="202"/>
      <c r="F974" s="202"/>
      <c r="G974" s="21"/>
      <c r="H974" s="203"/>
    </row>
    <row r="975" spans="1:9" ht="22.5" customHeight="1">
      <c r="A975" s="2541" t="s">
        <v>732</v>
      </c>
      <c r="B975" s="2542"/>
      <c r="C975" s="2542"/>
      <c r="D975" s="2542"/>
      <c r="E975" s="2542"/>
      <c r="F975" s="2542"/>
      <c r="G975" s="2543" t="s">
        <v>1323</v>
      </c>
      <c r="H975" s="2544"/>
    </row>
    <row r="976" spans="1:9" ht="8.25" customHeight="1">
      <c r="A976" s="857"/>
      <c r="B976" s="47"/>
      <c r="C976" s="160"/>
      <c r="D976" s="160"/>
      <c r="E976" s="160"/>
      <c r="F976" s="160"/>
      <c r="G976" s="858"/>
      <c r="H976" s="859"/>
    </row>
    <row r="977" spans="1:9" ht="28.5" customHeight="1">
      <c r="A977" s="2551" t="s">
        <v>1188</v>
      </c>
      <c r="B977" s="2598"/>
      <c r="C977" s="2598"/>
      <c r="D977" s="2598"/>
      <c r="E977" s="2598"/>
      <c r="F977" s="2552"/>
      <c r="G977" s="2551" t="s">
        <v>1108</v>
      </c>
      <c r="H977" s="2552"/>
    </row>
    <row r="978" spans="1:9" ht="12" customHeight="1">
      <c r="A978" s="2553" t="s">
        <v>1189</v>
      </c>
      <c r="B978" s="2554"/>
      <c r="C978" s="2554"/>
      <c r="D978" s="2554"/>
      <c r="E978" s="2554"/>
      <c r="F978" s="2555"/>
      <c r="G978" s="858"/>
      <c r="H978" s="859"/>
    </row>
    <row r="979" spans="1:9" ht="21" customHeight="1">
      <c r="A979" s="2556"/>
      <c r="B979" s="2557"/>
      <c r="C979" s="2557"/>
      <c r="D979" s="2557"/>
      <c r="E979" s="2557"/>
      <c r="F979" s="2558"/>
      <c r="G979" s="2559" t="s">
        <v>695</v>
      </c>
      <c r="H979" s="2552"/>
    </row>
    <row r="980" spans="1:9" ht="14.25" customHeight="1">
      <c r="A980" s="857"/>
      <c r="B980" s="47"/>
      <c r="C980" s="47"/>
      <c r="D980" s="47"/>
      <c r="E980" s="47"/>
      <c r="F980" s="47"/>
      <c r="G980" s="860"/>
      <c r="H980" s="859"/>
    </row>
    <row r="981" spans="1:9" ht="16.5" customHeight="1" thickBot="1">
      <c r="A981" s="2560" t="s">
        <v>692</v>
      </c>
      <c r="B981" s="2561"/>
      <c r="C981" s="2561"/>
      <c r="D981" s="2561"/>
      <c r="E981" s="2561"/>
      <c r="F981" s="2562"/>
      <c r="G981" s="2563" t="s">
        <v>696</v>
      </c>
      <c r="H981" s="2562"/>
    </row>
    <row r="982" spans="1:9" ht="42" customHeight="1">
      <c r="A982" s="2641" t="s">
        <v>821</v>
      </c>
      <c r="B982" s="2641"/>
      <c r="C982" s="2641"/>
      <c r="D982" s="2641"/>
      <c r="E982" s="2641"/>
      <c r="F982" s="2641"/>
      <c r="G982" s="2641"/>
      <c r="H982" s="2641"/>
    </row>
    <row r="983" spans="1:9" ht="42" customHeight="1">
      <c r="A983" s="1097"/>
      <c r="B983" s="1097"/>
      <c r="C983" s="1097"/>
      <c r="D983" s="1097"/>
      <c r="E983" s="1097"/>
      <c r="F983" s="1097"/>
      <c r="G983" s="1097"/>
      <c r="H983" s="1097"/>
    </row>
    <row r="984" spans="1:9" ht="24.75" customHeight="1">
      <c r="A984" s="1097"/>
      <c r="B984" s="1097"/>
      <c r="C984" s="1097"/>
      <c r="D984" s="1097"/>
      <c r="E984" s="1097"/>
      <c r="F984" s="1097"/>
      <c r="G984" s="1097"/>
      <c r="H984" s="1097"/>
    </row>
    <row r="985" spans="1:9" ht="22.5" customHeight="1">
      <c r="A985" s="2703" t="s">
        <v>111</v>
      </c>
      <c r="B985" s="2703"/>
      <c r="C985" s="2703"/>
      <c r="D985" s="2703"/>
      <c r="E985" s="2703"/>
      <c r="F985" s="2703"/>
      <c r="G985" s="2703"/>
      <c r="H985" s="2703"/>
    </row>
    <row r="986" spans="1:9" ht="21" customHeight="1">
      <c r="A986" s="2703" t="s">
        <v>757</v>
      </c>
      <c r="B986" s="2703"/>
      <c r="C986" s="2703"/>
      <c r="D986" s="2703"/>
      <c r="E986" s="2703"/>
      <c r="F986" s="2703"/>
      <c r="G986" s="2703"/>
      <c r="H986" s="2703"/>
    </row>
    <row r="987" spans="1:9" ht="15" customHeight="1">
      <c r="A987" s="2704" t="s">
        <v>211</v>
      </c>
      <c r="B987" s="2704"/>
      <c r="C987" s="2704"/>
      <c r="D987" s="2704"/>
      <c r="E987" s="2704"/>
      <c r="F987" s="2704"/>
      <c r="G987" s="2704"/>
      <c r="H987" s="2704"/>
    </row>
    <row r="988" spans="1:9" ht="15" customHeight="1">
      <c r="A988" s="2704" t="s">
        <v>1006</v>
      </c>
      <c r="B988" s="2704"/>
      <c r="C988" s="2704"/>
      <c r="D988" s="2704"/>
      <c r="E988" s="2704"/>
      <c r="F988" s="2704"/>
      <c r="G988" s="2704"/>
      <c r="H988" s="2704"/>
    </row>
    <row r="989" spans="1:9" ht="15" customHeight="1">
      <c r="A989" s="2704" t="s">
        <v>32</v>
      </c>
      <c r="B989" s="2704"/>
      <c r="C989" s="2704"/>
      <c r="D989" s="2704"/>
      <c r="E989" s="2704"/>
      <c r="F989" s="2704"/>
      <c r="G989" s="2704"/>
      <c r="H989" s="2704"/>
    </row>
    <row r="990" spans="1:9" ht="15" customHeight="1">
      <c r="A990" s="2706" t="s">
        <v>49</v>
      </c>
      <c r="B990" s="2706"/>
      <c r="C990" s="2706"/>
      <c r="D990" s="2706"/>
      <c r="E990" s="2706"/>
      <c r="F990" s="2706"/>
      <c r="G990" s="2706"/>
      <c r="H990" s="2706"/>
    </row>
    <row r="991" spans="1:9" ht="43.5" customHeight="1" thickBot="1">
      <c r="A991" s="2717" t="s">
        <v>1190</v>
      </c>
      <c r="B991" s="2718"/>
      <c r="C991" s="2718"/>
      <c r="D991" s="2718"/>
      <c r="E991" s="2718"/>
      <c r="F991" s="2718"/>
      <c r="G991" s="2718"/>
      <c r="H991" s="2718"/>
      <c r="I991" s="1148"/>
    </row>
    <row r="992" spans="1:9" ht="15" customHeight="1" thickBot="1">
      <c r="A992" s="2709" t="s">
        <v>29</v>
      </c>
      <c r="B992" s="2789"/>
      <c r="C992" s="2789"/>
      <c r="D992" s="2789"/>
      <c r="E992" s="2789"/>
      <c r="F992" s="2790"/>
      <c r="G992" s="2712" t="s">
        <v>640</v>
      </c>
      <c r="H992" s="2714" t="s">
        <v>639</v>
      </c>
    </row>
    <row r="993" spans="1:8" ht="62.25" customHeight="1" thickBot="1">
      <c r="A993" s="1106" t="s">
        <v>39</v>
      </c>
      <c r="B993" s="1107" t="s">
        <v>40</v>
      </c>
      <c r="C993" s="1107" t="s">
        <v>41</v>
      </c>
      <c r="D993" s="1107" t="s">
        <v>45</v>
      </c>
      <c r="E993" s="1108" t="s">
        <v>42</v>
      </c>
      <c r="F993" s="823" t="s">
        <v>43</v>
      </c>
      <c r="G993" s="2791"/>
      <c r="H993" s="2723"/>
    </row>
    <row r="994" spans="1:8" ht="15" customHeight="1">
      <c r="A994" s="824" t="s">
        <v>381</v>
      </c>
      <c r="B994" s="825" t="s">
        <v>69</v>
      </c>
      <c r="C994" s="825" t="s">
        <v>59</v>
      </c>
      <c r="D994" s="825" t="s">
        <v>62</v>
      </c>
      <c r="E994" s="825" t="s">
        <v>65</v>
      </c>
      <c r="F994" s="826">
        <v>51202</v>
      </c>
      <c r="G994" s="827" t="s">
        <v>759</v>
      </c>
      <c r="H994" s="1118">
        <v>2500</v>
      </c>
    </row>
    <row r="995" spans="1:8" ht="15" customHeight="1">
      <c r="A995" s="824" t="s">
        <v>381</v>
      </c>
      <c r="B995" s="825" t="s">
        <v>69</v>
      </c>
      <c r="C995" s="825" t="s">
        <v>59</v>
      </c>
      <c r="D995" s="825" t="s">
        <v>62</v>
      </c>
      <c r="E995" s="825" t="s">
        <v>65</v>
      </c>
      <c r="F995" s="826">
        <v>54107</v>
      </c>
      <c r="G995" s="827" t="s">
        <v>743</v>
      </c>
      <c r="H995" s="1118">
        <v>300</v>
      </c>
    </row>
    <row r="996" spans="1:8" ht="15" customHeight="1">
      <c r="A996" s="824" t="s">
        <v>381</v>
      </c>
      <c r="B996" s="825" t="s">
        <v>69</v>
      </c>
      <c r="C996" s="825" t="s">
        <v>59</v>
      </c>
      <c r="D996" s="825" t="s">
        <v>62</v>
      </c>
      <c r="E996" s="825" t="s">
        <v>65</v>
      </c>
      <c r="F996" s="826">
        <v>54111</v>
      </c>
      <c r="G996" s="827" t="s">
        <v>778</v>
      </c>
      <c r="H996" s="1118">
        <v>3000</v>
      </c>
    </row>
    <row r="997" spans="1:8" ht="15" customHeight="1">
      <c r="A997" s="824" t="s">
        <v>381</v>
      </c>
      <c r="B997" s="825" t="s">
        <v>69</v>
      </c>
      <c r="C997" s="825" t="s">
        <v>59</v>
      </c>
      <c r="D997" s="825" t="s">
        <v>62</v>
      </c>
      <c r="E997" s="825" t="s">
        <v>65</v>
      </c>
      <c r="F997" s="826">
        <v>54112</v>
      </c>
      <c r="G997" s="827" t="s">
        <v>779</v>
      </c>
      <c r="H997" s="1118">
        <v>250</v>
      </c>
    </row>
    <row r="998" spans="1:8" ht="15" customHeight="1">
      <c r="A998" s="824" t="s">
        <v>381</v>
      </c>
      <c r="B998" s="825" t="s">
        <v>69</v>
      </c>
      <c r="C998" s="825" t="s">
        <v>59</v>
      </c>
      <c r="D998" s="825" t="s">
        <v>62</v>
      </c>
      <c r="E998" s="825" t="s">
        <v>65</v>
      </c>
      <c r="F998" s="826">
        <v>54118</v>
      </c>
      <c r="G998" s="827" t="s">
        <v>746</v>
      </c>
      <c r="H998" s="1118">
        <v>300</v>
      </c>
    </row>
    <row r="999" spans="1:8" ht="15" customHeight="1">
      <c r="A999" s="824" t="s">
        <v>381</v>
      </c>
      <c r="B999" s="825" t="s">
        <v>69</v>
      </c>
      <c r="C999" s="825" t="s">
        <v>59</v>
      </c>
      <c r="D999" s="825" t="s">
        <v>62</v>
      </c>
      <c r="E999" s="825" t="s">
        <v>65</v>
      </c>
      <c r="F999" s="826">
        <v>54199</v>
      </c>
      <c r="G999" s="827" t="s">
        <v>658</v>
      </c>
      <c r="H999" s="1118">
        <v>300</v>
      </c>
    </row>
    <row r="1000" spans="1:8" ht="15" hidden="1" customHeight="1">
      <c r="A1000" s="824" t="s">
        <v>381</v>
      </c>
      <c r="B1000" s="825" t="s">
        <v>69</v>
      </c>
      <c r="C1000" s="825" t="s">
        <v>59</v>
      </c>
      <c r="D1000" s="825" t="s">
        <v>62</v>
      </c>
      <c r="E1000" s="825" t="s">
        <v>65</v>
      </c>
      <c r="F1000" s="829" t="s">
        <v>677</v>
      </c>
      <c r="G1000" s="827" t="s">
        <v>678</v>
      </c>
      <c r="H1000" s="1118"/>
    </row>
    <row r="1001" spans="1:8" ht="15" customHeight="1">
      <c r="A1001" s="824" t="s">
        <v>381</v>
      </c>
      <c r="B1001" s="825" t="s">
        <v>69</v>
      </c>
      <c r="C1001" s="825" t="s">
        <v>59</v>
      </c>
      <c r="D1001" s="825" t="s">
        <v>62</v>
      </c>
      <c r="E1001" s="825" t="s">
        <v>65</v>
      </c>
      <c r="F1001" s="831">
        <v>61608</v>
      </c>
      <c r="G1001" s="832" t="s">
        <v>780</v>
      </c>
      <c r="H1001" s="1129">
        <v>350</v>
      </c>
    </row>
    <row r="1002" spans="1:8" ht="15" customHeight="1" thickBot="1">
      <c r="A1002" s="1110"/>
      <c r="B1002" s="1111"/>
      <c r="C1002" s="1111"/>
      <c r="D1002" s="1111"/>
      <c r="E1002" s="1112"/>
      <c r="F1002" s="1113"/>
      <c r="G1002" s="1114"/>
      <c r="H1002" s="1115">
        <f>SUM(H994:H1001)</f>
        <v>7000</v>
      </c>
    </row>
    <row r="1003" spans="1:8" ht="15" customHeight="1" thickBot="1">
      <c r="A1003" s="839"/>
      <c r="B1003" s="839"/>
      <c r="C1003" s="840"/>
      <c r="D1003" s="841"/>
      <c r="E1003" s="841"/>
      <c r="F1003" s="841"/>
      <c r="G1003" s="818"/>
      <c r="H1003" s="819"/>
    </row>
    <row r="1004" spans="1:8" ht="15" customHeight="1">
      <c r="A1004" s="2685" t="s">
        <v>732</v>
      </c>
      <c r="B1004" s="2686"/>
      <c r="C1004" s="2686"/>
      <c r="D1004" s="2686"/>
      <c r="E1004" s="2686"/>
      <c r="F1004" s="2686"/>
      <c r="G1004" s="2687" t="s">
        <v>1021</v>
      </c>
      <c r="H1004" s="2688"/>
    </row>
    <row r="1005" spans="1:8" ht="15" customHeight="1">
      <c r="A1005" s="842"/>
      <c r="B1005" s="843"/>
      <c r="C1005" s="844"/>
      <c r="D1005" s="844"/>
      <c r="E1005" s="844"/>
      <c r="F1005" s="844"/>
      <c r="G1005" s="845"/>
      <c r="H1005" s="846"/>
    </row>
    <row r="1006" spans="1:8" ht="28.5" customHeight="1">
      <c r="A1006" s="2689" t="s">
        <v>1190</v>
      </c>
      <c r="B1006" s="2690"/>
      <c r="C1006" s="2690"/>
      <c r="D1006" s="2690"/>
      <c r="E1006" s="2690"/>
      <c r="F1006" s="2691"/>
      <c r="G1006" s="2689" t="s">
        <v>1108</v>
      </c>
      <c r="H1006" s="2691"/>
    </row>
    <row r="1007" spans="1:8" ht="15" customHeight="1">
      <c r="A1007" s="2692" t="s">
        <v>1189</v>
      </c>
      <c r="B1007" s="2693"/>
      <c r="C1007" s="2693"/>
      <c r="D1007" s="2693"/>
      <c r="E1007" s="2693"/>
      <c r="F1007" s="2694"/>
      <c r="G1007" s="845"/>
      <c r="H1007" s="846"/>
    </row>
    <row r="1008" spans="1:8" ht="15" customHeight="1">
      <c r="A1008" s="2695"/>
      <c r="B1008" s="2696"/>
      <c r="C1008" s="2696"/>
      <c r="D1008" s="2696"/>
      <c r="E1008" s="2696"/>
      <c r="F1008" s="2697"/>
      <c r="G1008" s="2698" t="s">
        <v>695</v>
      </c>
      <c r="H1008" s="2691"/>
    </row>
    <row r="1009" spans="1:9" ht="14.25" customHeight="1">
      <c r="A1009" s="842"/>
      <c r="B1009" s="843"/>
      <c r="C1009" s="843"/>
      <c r="D1009" s="843"/>
      <c r="E1009" s="843"/>
      <c r="F1009" s="843"/>
      <c r="G1009" s="847"/>
      <c r="H1009" s="846"/>
    </row>
    <row r="1010" spans="1:9" ht="14.25" customHeight="1" thickBot="1">
      <c r="A1010" s="2699" t="s">
        <v>692</v>
      </c>
      <c r="B1010" s="2700"/>
      <c r="C1010" s="2700"/>
      <c r="D1010" s="2700"/>
      <c r="E1010" s="2700"/>
      <c r="F1010" s="2701"/>
      <c r="G1010" s="2702" t="s">
        <v>696</v>
      </c>
      <c r="H1010" s="2701"/>
    </row>
    <row r="1011" spans="1:9" ht="39" customHeight="1">
      <c r="A1011" s="2716" t="s">
        <v>821</v>
      </c>
      <c r="B1011" s="2716"/>
      <c r="C1011" s="2716"/>
      <c r="D1011" s="2716"/>
      <c r="E1011" s="2716"/>
      <c r="F1011" s="2716"/>
      <c r="G1011" s="2716"/>
      <c r="H1011" s="2716"/>
    </row>
    <row r="1012" spans="1:9" ht="15.75" customHeight="1">
      <c r="A1012" s="1097"/>
      <c r="B1012" s="1097"/>
      <c r="C1012" s="1097"/>
      <c r="D1012" s="1097"/>
      <c r="E1012" s="1097"/>
      <c r="F1012" s="1097"/>
      <c r="G1012" s="1097"/>
      <c r="H1012" s="1097"/>
    </row>
    <row r="1013" spans="1:9" ht="15.75" customHeight="1">
      <c r="A1013" s="1097"/>
      <c r="B1013" s="1097"/>
      <c r="C1013" s="1097"/>
      <c r="D1013" s="1097"/>
      <c r="E1013" s="1097"/>
      <c r="F1013" s="1097"/>
      <c r="G1013" s="1097"/>
      <c r="H1013" s="1097"/>
    </row>
    <row r="1014" spans="1:9" ht="15.75" customHeight="1">
      <c r="A1014" s="2703" t="s">
        <v>111</v>
      </c>
      <c r="B1014" s="2703"/>
      <c r="C1014" s="2703"/>
      <c r="D1014" s="2703"/>
      <c r="E1014" s="2703"/>
      <c r="F1014" s="2703"/>
      <c r="G1014" s="2703"/>
      <c r="H1014" s="2703"/>
    </row>
    <row r="1015" spans="1:9" ht="15.75" customHeight="1">
      <c r="A1015" s="2703" t="s">
        <v>757</v>
      </c>
      <c r="B1015" s="2703"/>
      <c r="C1015" s="2703"/>
      <c r="D1015" s="2703"/>
      <c r="E1015" s="2703"/>
      <c r="F1015" s="2703"/>
      <c r="G1015" s="2703"/>
      <c r="H1015" s="2703"/>
    </row>
    <row r="1016" spans="1:9" ht="15.75" customHeight="1">
      <c r="A1016" s="2704" t="s">
        <v>211</v>
      </c>
      <c r="B1016" s="2704"/>
      <c r="C1016" s="2704"/>
      <c r="D1016" s="2704"/>
      <c r="E1016" s="2704"/>
      <c r="F1016" s="2704"/>
      <c r="G1016" s="2704"/>
      <c r="H1016" s="2704"/>
    </row>
    <row r="1017" spans="1:9" ht="15.75" customHeight="1">
      <c r="A1017" s="2704" t="s">
        <v>1006</v>
      </c>
      <c r="B1017" s="2704"/>
      <c r="C1017" s="2704"/>
      <c r="D1017" s="2704"/>
      <c r="E1017" s="2704"/>
      <c r="F1017" s="2704"/>
      <c r="G1017" s="2704"/>
      <c r="H1017" s="2704"/>
    </row>
    <row r="1018" spans="1:9" ht="15.75" customHeight="1">
      <c r="A1018" s="2704" t="s">
        <v>32</v>
      </c>
      <c r="B1018" s="2704"/>
      <c r="C1018" s="2704"/>
      <c r="D1018" s="2704"/>
      <c r="E1018" s="2704"/>
      <c r="F1018" s="2704"/>
      <c r="G1018" s="2704"/>
      <c r="H1018" s="2704"/>
    </row>
    <row r="1019" spans="1:9" ht="15.75" customHeight="1">
      <c r="A1019" s="2706" t="s">
        <v>49</v>
      </c>
      <c r="B1019" s="2706"/>
      <c r="C1019" s="2706"/>
      <c r="D1019" s="2706"/>
      <c r="E1019" s="2706"/>
      <c r="F1019" s="2706"/>
      <c r="G1019" s="2706"/>
      <c r="H1019" s="2706"/>
    </row>
    <row r="1020" spans="1:9" ht="48" customHeight="1" thickBot="1">
      <c r="A1020" s="2717" t="s">
        <v>1192</v>
      </c>
      <c r="B1020" s="2718"/>
      <c r="C1020" s="2718"/>
      <c r="D1020" s="2718"/>
      <c r="E1020" s="2718"/>
      <c r="F1020" s="2718"/>
      <c r="G1020" s="2718"/>
      <c r="H1020" s="2718"/>
      <c r="I1020" s="1148"/>
    </row>
    <row r="1021" spans="1:9" ht="15.75" customHeight="1" thickBot="1">
      <c r="A1021" s="2709" t="s">
        <v>29</v>
      </c>
      <c r="B1021" s="2789"/>
      <c r="C1021" s="2789"/>
      <c r="D1021" s="2789"/>
      <c r="E1021" s="2789"/>
      <c r="F1021" s="2790"/>
      <c r="G1021" s="2712" t="s">
        <v>640</v>
      </c>
      <c r="H1021" s="2714" t="s">
        <v>639</v>
      </c>
    </row>
    <row r="1022" spans="1:9" ht="61.5" customHeight="1" thickBot="1">
      <c r="A1022" s="1106" t="s">
        <v>39</v>
      </c>
      <c r="B1022" s="1107" t="s">
        <v>40</v>
      </c>
      <c r="C1022" s="1107" t="s">
        <v>41</v>
      </c>
      <c r="D1022" s="1107" t="s">
        <v>45</v>
      </c>
      <c r="E1022" s="1108" t="s">
        <v>42</v>
      </c>
      <c r="F1022" s="823" t="s">
        <v>43</v>
      </c>
      <c r="G1022" s="2791"/>
      <c r="H1022" s="2723"/>
    </row>
    <row r="1023" spans="1:9" ht="15.75" customHeight="1">
      <c r="A1023" s="824" t="s">
        <v>381</v>
      </c>
      <c r="B1023" s="825" t="s">
        <v>69</v>
      </c>
      <c r="C1023" s="825" t="s">
        <v>59</v>
      </c>
      <c r="D1023" s="825" t="s">
        <v>62</v>
      </c>
      <c r="E1023" s="825" t="s">
        <v>65</v>
      </c>
      <c r="F1023" s="826">
        <v>51202</v>
      </c>
      <c r="G1023" s="827" t="s">
        <v>759</v>
      </c>
      <c r="H1023" s="1118">
        <v>2500</v>
      </c>
    </row>
    <row r="1024" spans="1:9" ht="15.75" customHeight="1">
      <c r="A1024" s="824" t="s">
        <v>381</v>
      </c>
      <c r="B1024" s="825" t="s">
        <v>69</v>
      </c>
      <c r="C1024" s="825" t="s">
        <v>59</v>
      </c>
      <c r="D1024" s="825" t="s">
        <v>62</v>
      </c>
      <c r="E1024" s="825" t="s">
        <v>65</v>
      </c>
      <c r="F1024" s="826">
        <v>54107</v>
      </c>
      <c r="G1024" s="827" t="s">
        <v>743</v>
      </c>
      <c r="H1024" s="1118">
        <v>200</v>
      </c>
    </row>
    <row r="1025" spans="1:8" ht="15.75" customHeight="1">
      <c r="A1025" s="824" t="s">
        <v>381</v>
      </c>
      <c r="B1025" s="825" t="s">
        <v>69</v>
      </c>
      <c r="C1025" s="825" t="s">
        <v>59</v>
      </c>
      <c r="D1025" s="825" t="s">
        <v>62</v>
      </c>
      <c r="E1025" s="825" t="s">
        <v>65</v>
      </c>
      <c r="F1025" s="826">
        <v>54111</v>
      </c>
      <c r="G1025" s="827" t="s">
        <v>778</v>
      </c>
      <c r="H1025" s="1118">
        <v>5000</v>
      </c>
    </row>
    <row r="1026" spans="1:8" ht="15.75" customHeight="1">
      <c r="A1026" s="824" t="s">
        <v>381</v>
      </c>
      <c r="B1026" s="825" t="s">
        <v>69</v>
      </c>
      <c r="C1026" s="825" t="s">
        <v>59</v>
      </c>
      <c r="D1026" s="825" t="s">
        <v>62</v>
      </c>
      <c r="E1026" s="825" t="s">
        <v>65</v>
      </c>
      <c r="F1026" s="826">
        <v>54112</v>
      </c>
      <c r="G1026" s="827" t="s">
        <v>779</v>
      </c>
      <c r="H1026" s="1118">
        <v>800</v>
      </c>
    </row>
    <row r="1027" spans="1:8" ht="15.75" customHeight="1">
      <c r="A1027" s="824" t="s">
        <v>381</v>
      </c>
      <c r="B1027" s="825" t="s">
        <v>69</v>
      </c>
      <c r="C1027" s="825" t="s">
        <v>59</v>
      </c>
      <c r="D1027" s="825" t="s">
        <v>62</v>
      </c>
      <c r="E1027" s="825" t="s">
        <v>65</v>
      </c>
      <c r="F1027" s="826">
        <v>54118</v>
      </c>
      <c r="G1027" s="827" t="s">
        <v>746</v>
      </c>
      <c r="H1027" s="1118">
        <v>300</v>
      </c>
    </row>
    <row r="1028" spans="1:8" ht="15.75" customHeight="1">
      <c r="A1028" s="824" t="s">
        <v>381</v>
      </c>
      <c r="B1028" s="825" t="s">
        <v>69</v>
      </c>
      <c r="C1028" s="825" t="s">
        <v>59</v>
      </c>
      <c r="D1028" s="825" t="s">
        <v>62</v>
      </c>
      <c r="E1028" s="825" t="s">
        <v>65</v>
      </c>
      <c r="F1028" s="826">
        <v>54199</v>
      </c>
      <c r="G1028" s="827" t="s">
        <v>658</v>
      </c>
      <c r="H1028" s="1118">
        <v>300</v>
      </c>
    </row>
    <row r="1029" spans="1:8" ht="15.75" customHeight="1">
      <c r="A1029" s="824" t="s">
        <v>381</v>
      </c>
      <c r="B1029" s="825" t="s">
        <v>69</v>
      </c>
      <c r="C1029" s="825" t="s">
        <v>59</v>
      </c>
      <c r="D1029" s="825" t="s">
        <v>62</v>
      </c>
      <c r="E1029" s="825" t="s">
        <v>65</v>
      </c>
      <c r="F1029" s="829" t="s">
        <v>677</v>
      </c>
      <c r="G1029" s="827" t="s">
        <v>678</v>
      </c>
      <c r="H1029" s="1118">
        <v>400</v>
      </c>
    </row>
    <row r="1030" spans="1:8" ht="15.75" customHeight="1">
      <c r="A1030" s="824" t="s">
        <v>381</v>
      </c>
      <c r="B1030" s="825" t="s">
        <v>69</v>
      </c>
      <c r="C1030" s="825" t="s">
        <v>59</v>
      </c>
      <c r="D1030" s="825" t="s">
        <v>62</v>
      </c>
      <c r="E1030" s="825" t="s">
        <v>65</v>
      </c>
      <c r="F1030" s="831">
        <v>61608</v>
      </c>
      <c r="G1030" s="832" t="s">
        <v>780</v>
      </c>
      <c r="H1030" s="1129">
        <v>500</v>
      </c>
    </row>
    <row r="1031" spans="1:8" ht="15.75" customHeight="1" thickBot="1">
      <c r="A1031" s="1110"/>
      <c r="B1031" s="1111"/>
      <c r="C1031" s="1111"/>
      <c r="D1031" s="1111"/>
      <c r="E1031" s="1112"/>
      <c r="F1031" s="1113"/>
      <c r="G1031" s="1114"/>
      <c r="H1031" s="1115">
        <f>SUM(H1023:H1030)</f>
        <v>10000</v>
      </c>
    </row>
    <row r="1032" spans="1:8" ht="15.75" customHeight="1" thickBot="1">
      <c r="A1032" s="839"/>
      <c r="B1032" s="839"/>
      <c r="C1032" s="840"/>
      <c r="D1032" s="841"/>
      <c r="E1032" s="841"/>
      <c r="F1032" s="841"/>
      <c r="G1032" s="818"/>
      <c r="H1032" s="819"/>
    </row>
    <row r="1033" spans="1:8" ht="15.75" customHeight="1">
      <c r="A1033" s="2685" t="s">
        <v>732</v>
      </c>
      <c r="B1033" s="2686"/>
      <c r="C1033" s="2686"/>
      <c r="D1033" s="2686"/>
      <c r="E1033" s="2686"/>
      <c r="F1033" s="2686"/>
      <c r="G1033" s="2687" t="s">
        <v>1021</v>
      </c>
      <c r="H1033" s="2688"/>
    </row>
    <row r="1034" spans="1:8" ht="15.75" customHeight="1">
      <c r="A1034" s="842"/>
      <c r="B1034" s="843"/>
      <c r="C1034" s="844"/>
      <c r="D1034" s="844"/>
      <c r="E1034" s="844"/>
      <c r="F1034" s="844"/>
      <c r="G1034" s="845"/>
      <c r="H1034" s="846"/>
    </row>
    <row r="1035" spans="1:8" ht="35.25" customHeight="1">
      <c r="A1035" s="2689" t="s">
        <v>1192</v>
      </c>
      <c r="B1035" s="2690"/>
      <c r="C1035" s="2690"/>
      <c r="D1035" s="2690"/>
      <c r="E1035" s="2690"/>
      <c r="F1035" s="2691"/>
      <c r="G1035" s="2689" t="s">
        <v>1108</v>
      </c>
      <c r="H1035" s="2691"/>
    </row>
    <row r="1036" spans="1:8" ht="20.25" customHeight="1">
      <c r="A1036" s="2692" t="s">
        <v>1106</v>
      </c>
      <c r="B1036" s="2693"/>
      <c r="C1036" s="2693"/>
      <c r="D1036" s="2693"/>
      <c r="E1036" s="2693"/>
      <c r="F1036" s="2694"/>
      <c r="G1036" s="845"/>
      <c r="H1036" s="846"/>
    </row>
    <row r="1037" spans="1:8" ht="15.75" customHeight="1">
      <c r="A1037" s="2695"/>
      <c r="B1037" s="2696"/>
      <c r="C1037" s="2696"/>
      <c r="D1037" s="2696"/>
      <c r="E1037" s="2696"/>
      <c r="F1037" s="2697"/>
      <c r="G1037" s="2698" t="s">
        <v>695</v>
      </c>
      <c r="H1037" s="2691"/>
    </row>
    <row r="1038" spans="1:8" ht="15.75" customHeight="1">
      <c r="A1038" s="842"/>
      <c r="B1038" s="843"/>
      <c r="C1038" s="843"/>
      <c r="D1038" s="843"/>
      <c r="E1038" s="843"/>
      <c r="F1038" s="843"/>
      <c r="G1038" s="847"/>
      <c r="H1038" s="846"/>
    </row>
    <row r="1039" spans="1:8" ht="15.75" customHeight="1" thickBot="1">
      <c r="A1039" s="2699" t="s">
        <v>692</v>
      </c>
      <c r="B1039" s="2700"/>
      <c r="C1039" s="2700"/>
      <c r="D1039" s="2700"/>
      <c r="E1039" s="2700"/>
      <c r="F1039" s="2701"/>
      <c r="G1039" s="2702" t="s">
        <v>696</v>
      </c>
      <c r="H1039" s="2701"/>
    </row>
    <row r="1040" spans="1:8" ht="42.75" customHeight="1">
      <c r="A1040" s="2716" t="s">
        <v>821</v>
      </c>
      <c r="B1040" s="2716"/>
      <c r="C1040" s="2716"/>
      <c r="D1040" s="2716"/>
      <c r="E1040" s="2716"/>
      <c r="F1040" s="2716"/>
      <c r="G1040" s="2716"/>
      <c r="H1040" s="2716"/>
    </row>
    <row r="1041" spans="1:9" ht="18.75" customHeight="1">
      <c r="A1041" s="1097"/>
      <c r="B1041" s="1097"/>
      <c r="C1041" s="1097"/>
      <c r="D1041" s="1097"/>
      <c r="E1041" s="1097"/>
      <c r="F1041" s="1097"/>
      <c r="G1041" s="1097"/>
      <c r="H1041" s="1097"/>
    </row>
    <row r="1042" spans="1:9" ht="18.75" customHeight="1">
      <c r="A1042" s="2217" t="s">
        <v>111</v>
      </c>
      <c r="B1042" s="2217"/>
      <c r="C1042" s="2217"/>
      <c r="D1042" s="2217"/>
      <c r="E1042" s="2217"/>
      <c r="F1042" s="2217"/>
      <c r="G1042" s="2217"/>
      <c r="H1042" s="2217"/>
    </row>
    <row r="1043" spans="1:9" ht="18.75" customHeight="1">
      <c r="A1043" s="2217" t="s">
        <v>757</v>
      </c>
      <c r="B1043" s="2217"/>
      <c r="C1043" s="2217"/>
      <c r="D1043" s="2217"/>
      <c r="E1043" s="2217"/>
      <c r="F1043" s="2217"/>
      <c r="G1043" s="2217"/>
      <c r="H1043" s="2217"/>
    </row>
    <row r="1044" spans="1:9" ht="18.75" customHeight="1">
      <c r="A1044" s="2185" t="s">
        <v>211</v>
      </c>
      <c r="B1044" s="2185"/>
      <c r="C1044" s="2185"/>
      <c r="D1044" s="2185"/>
      <c r="E1044" s="2185"/>
      <c r="F1044" s="2185"/>
      <c r="G1044" s="2185"/>
      <c r="H1044" s="2185"/>
    </row>
    <row r="1045" spans="1:9" ht="18.75" customHeight="1">
      <c r="A1045" s="2185" t="s">
        <v>1212</v>
      </c>
      <c r="B1045" s="2185"/>
      <c r="C1045" s="2185"/>
      <c r="D1045" s="2185"/>
      <c r="E1045" s="2185"/>
      <c r="F1045" s="2185"/>
      <c r="G1045" s="2185"/>
      <c r="H1045" s="2185"/>
    </row>
    <row r="1046" spans="1:9" ht="18.75" customHeight="1">
      <c r="A1046" s="2185" t="s">
        <v>32</v>
      </c>
      <c r="B1046" s="2185"/>
      <c r="C1046" s="2185"/>
      <c r="D1046" s="2185"/>
      <c r="E1046" s="2185"/>
      <c r="F1046" s="2185"/>
      <c r="G1046" s="2185"/>
      <c r="H1046" s="2185"/>
    </row>
    <row r="1047" spans="1:9" ht="18.75" customHeight="1">
      <c r="A1047" s="2613" t="s">
        <v>49</v>
      </c>
      <c r="B1047" s="2613"/>
      <c r="C1047" s="2613"/>
      <c r="D1047" s="2613"/>
      <c r="E1047" s="2613"/>
      <c r="F1047" s="2613"/>
      <c r="G1047" s="2613"/>
      <c r="H1047" s="2613"/>
    </row>
    <row r="1048" spans="1:9" ht="50.25" customHeight="1" thickBot="1">
      <c r="A1048" s="2780" t="s">
        <v>1193</v>
      </c>
      <c r="B1048" s="2781"/>
      <c r="C1048" s="2781"/>
      <c r="D1048" s="2781"/>
      <c r="E1048" s="2781"/>
      <c r="F1048" s="2781"/>
      <c r="G1048" s="2781"/>
      <c r="H1048" s="2781"/>
    </row>
    <row r="1049" spans="1:9" ht="18.75" customHeight="1" thickBot="1">
      <c r="A1049" s="2606" t="s">
        <v>29</v>
      </c>
      <c r="B1049" s="2620"/>
      <c r="C1049" s="2620"/>
      <c r="D1049" s="2620"/>
      <c r="E1049" s="2620"/>
      <c r="F1049" s="2621"/>
      <c r="G1049" s="2609" t="s">
        <v>640</v>
      </c>
      <c r="H1049" s="2610" t="s">
        <v>639</v>
      </c>
    </row>
    <row r="1050" spans="1:9" ht="76.5" customHeight="1" thickBot="1">
      <c r="A1050" s="411" t="s">
        <v>39</v>
      </c>
      <c r="B1050" s="412" t="s">
        <v>40</v>
      </c>
      <c r="C1050" s="412" t="s">
        <v>41</v>
      </c>
      <c r="D1050" s="412" t="s">
        <v>45</v>
      </c>
      <c r="E1050" s="413" t="s">
        <v>42</v>
      </c>
      <c r="F1050" s="407" t="s">
        <v>43</v>
      </c>
      <c r="G1050" s="2622"/>
      <c r="H1050" s="2595"/>
      <c r="I1050" s="1148"/>
    </row>
    <row r="1051" spans="1:9" ht="18.75" customHeight="1">
      <c r="A1051" s="852" t="s">
        <v>381</v>
      </c>
      <c r="B1051" s="853" t="s">
        <v>69</v>
      </c>
      <c r="C1051" s="853" t="s">
        <v>59</v>
      </c>
      <c r="D1051" s="853" t="s">
        <v>62</v>
      </c>
      <c r="E1051" s="853" t="s">
        <v>65</v>
      </c>
      <c r="F1051" s="414">
        <v>51202</v>
      </c>
      <c r="G1051" s="419" t="s">
        <v>759</v>
      </c>
      <c r="H1051" s="557">
        <f>1100-193.91-156.09</f>
        <v>750</v>
      </c>
    </row>
    <row r="1052" spans="1:9" ht="18.75" customHeight="1">
      <c r="A1052" s="852" t="s">
        <v>381</v>
      </c>
      <c r="B1052" s="853" t="s">
        <v>69</v>
      </c>
      <c r="C1052" s="853" t="s">
        <v>59</v>
      </c>
      <c r="D1052" s="853" t="s">
        <v>62</v>
      </c>
      <c r="E1052" s="853" t="s">
        <v>65</v>
      </c>
      <c r="F1052" s="414">
        <v>54107</v>
      </c>
      <c r="G1052" s="419" t="s">
        <v>743</v>
      </c>
      <c r="H1052" s="557">
        <v>200</v>
      </c>
    </row>
    <row r="1053" spans="1:9" ht="18.75" customHeight="1">
      <c r="A1053" s="852" t="s">
        <v>381</v>
      </c>
      <c r="B1053" s="853" t="s">
        <v>69</v>
      </c>
      <c r="C1053" s="853" t="s">
        <v>59</v>
      </c>
      <c r="D1053" s="853" t="s">
        <v>62</v>
      </c>
      <c r="E1053" s="853" t="s">
        <v>65</v>
      </c>
      <c r="F1053" s="414">
        <v>54111</v>
      </c>
      <c r="G1053" s="419" t="s">
        <v>778</v>
      </c>
      <c r="H1053" s="557">
        <v>1500</v>
      </c>
    </row>
    <row r="1054" spans="1:9" ht="18.75" customHeight="1">
      <c r="A1054" s="852" t="s">
        <v>381</v>
      </c>
      <c r="B1054" s="853" t="s">
        <v>69</v>
      </c>
      <c r="C1054" s="853" t="s">
        <v>59</v>
      </c>
      <c r="D1054" s="853" t="s">
        <v>62</v>
      </c>
      <c r="E1054" s="853" t="s">
        <v>65</v>
      </c>
      <c r="F1054" s="414">
        <v>54112</v>
      </c>
      <c r="G1054" s="419" t="s">
        <v>779</v>
      </c>
      <c r="H1054" s="557">
        <v>200</v>
      </c>
    </row>
    <row r="1055" spans="1:9" ht="18.75" customHeight="1">
      <c r="A1055" s="852" t="s">
        <v>381</v>
      </c>
      <c r="B1055" s="853" t="s">
        <v>69</v>
      </c>
      <c r="C1055" s="853" t="s">
        <v>59</v>
      </c>
      <c r="D1055" s="853" t="s">
        <v>62</v>
      </c>
      <c r="E1055" s="853" t="s">
        <v>65</v>
      </c>
      <c r="F1055" s="414">
        <v>54118</v>
      </c>
      <c r="G1055" s="419" t="s">
        <v>746</v>
      </c>
      <c r="H1055" s="557">
        <v>200</v>
      </c>
    </row>
    <row r="1056" spans="1:9" ht="18.75" hidden="1" customHeight="1">
      <c r="A1056" s="852" t="s">
        <v>381</v>
      </c>
      <c r="B1056" s="853" t="s">
        <v>69</v>
      </c>
      <c r="C1056" s="853" t="s">
        <v>59</v>
      </c>
      <c r="D1056" s="853" t="s">
        <v>62</v>
      </c>
      <c r="E1056" s="853" t="s">
        <v>65</v>
      </c>
      <c r="F1056" s="414">
        <v>54199</v>
      </c>
      <c r="G1056" s="419" t="s">
        <v>658</v>
      </c>
      <c r="H1056" s="557"/>
    </row>
    <row r="1057" spans="1:8" ht="18.75" hidden="1" customHeight="1">
      <c r="A1057" s="852" t="s">
        <v>381</v>
      </c>
      <c r="B1057" s="853" t="s">
        <v>69</v>
      </c>
      <c r="C1057" s="853" t="s">
        <v>59</v>
      </c>
      <c r="D1057" s="853" t="s">
        <v>62</v>
      </c>
      <c r="E1057" s="853" t="s">
        <v>65</v>
      </c>
      <c r="F1057" s="418" t="s">
        <v>677</v>
      </c>
      <c r="G1057" s="419" t="s">
        <v>678</v>
      </c>
      <c r="H1057" s="557"/>
    </row>
    <row r="1058" spans="1:8" ht="18.75" customHeight="1">
      <c r="A1058" s="852" t="s">
        <v>381</v>
      </c>
      <c r="B1058" s="853" t="s">
        <v>69</v>
      </c>
      <c r="C1058" s="853" t="s">
        <v>59</v>
      </c>
      <c r="D1058" s="853" t="s">
        <v>62</v>
      </c>
      <c r="E1058" s="853" t="s">
        <v>65</v>
      </c>
      <c r="F1058" s="421">
        <v>61608</v>
      </c>
      <c r="G1058" s="422" t="s">
        <v>780</v>
      </c>
      <c r="H1058" s="558">
        <v>150</v>
      </c>
    </row>
    <row r="1059" spans="1:8" ht="18.75" customHeight="1" thickBot="1">
      <c r="A1059" s="1058"/>
      <c r="B1059" s="1059"/>
      <c r="C1059" s="1059"/>
      <c r="D1059" s="1059"/>
      <c r="E1059" s="1060"/>
      <c r="F1059" s="1061"/>
      <c r="G1059" s="1062"/>
      <c r="H1059" s="1072">
        <f>SUM(H1051:H1058)</f>
        <v>3000</v>
      </c>
    </row>
    <row r="1060" spans="1:8" ht="18.75" customHeight="1" thickBot="1">
      <c r="A1060" s="200"/>
      <c r="B1060" s="200"/>
      <c r="C1060" s="201"/>
      <c r="D1060" s="202"/>
      <c r="E1060" s="202"/>
      <c r="F1060" s="202"/>
      <c r="G1060" s="21"/>
      <c r="H1060" s="203"/>
    </row>
    <row r="1061" spans="1:8" ht="18.75" customHeight="1">
      <c r="A1061" s="2541" t="s">
        <v>732</v>
      </c>
      <c r="B1061" s="2542"/>
      <c r="C1061" s="2542"/>
      <c r="D1061" s="2542"/>
      <c r="E1061" s="2542"/>
      <c r="F1061" s="2542"/>
      <c r="G1061" s="2543" t="s">
        <v>1430</v>
      </c>
      <c r="H1061" s="2544"/>
    </row>
    <row r="1062" spans="1:8" ht="18.75" customHeight="1">
      <c r="A1062" s="857"/>
      <c r="B1062" s="47"/>
      <c r="C1062" s="160"/>
      <c r="D1062" s="160"/>
      <c r="E1062" s="160"/>
      <c r="F1062" s="160"/>
      <c r="G1062" s="858"/>
      <c r="H1062" s="859"/>
    </row>
    <row r="1063" spans="1:8" ht="39.75" customHeight="1">
      <c r="A1063" s="2551" t="s">
        <v>1193</v>
      </c>
      <c r="B1063" s="2598"/>
      <c r="C1063" s="2598"/>
      <c r="D1063" s="2598"/>
      <c r="E1063" s="2598"/>
      <c r="F1063" s="2552"/>
      <c r="G1063" s="2551" t="s">
        <v>1108</v>
      </c>
      <c r="H1063" s="2552"/>
    </row>
    <row r="1064" spans="1:8" ht="18.75" customHeight="1">
      <c r="A1064" s="2553" t="s">
        <v>1189</v>
      </c>
      <c r="B1064" s="2554"/>
      <c r="C1064" s="2554"/>
      <c r="D1064" s="2554"/>
      <c r="E1064" s="2554"/>
      <c r="F1064" s="2555"/>
      <c r="G1064" s="858"/>
      <c r="H1064" s="859"/>
    </row>
    <row r="1065" spans="1:8" ht="18.75" customHeight="1">
      <c r="A1065" s="2556"/>
      <c r="B1065" s="2557"/>
      <c r="C1065" s="2557"/>
      <c r="D1065" s="2557"/>
      <c r="E1065" s="2557"/>
      <c r="F1065" s="2558"/>
      <c r="G1065" s="2559" t="s">
        <v>695</v>
      </c>
      <c r="H1065" s="2552"/>
    </row>
    <row r="1066" spans="1:8" ht="15.75" customHeight="1">
      <c r="A1066" s="857"/>
      <c r="B1066" s="47"/>
      <c r="C1066" s="47"/>
      <c r="D1066" s="47"/>
      <c r="E1066" s="47"/>
      <c r="F1066" s="47"/>
      <c r="G1066" s="860"/>
      <c r="H1066" s="859"/>
    </row>
    <row r="1067" spans="1:8" ht="14.25" customHeight="1" thickBot="1">
      <c r="A1067" s="2560" t="s">
        <v>692</v>
      </c>
      <c r="B1067" s="2561"/>
      <c r="C1067" s="2561"/>
      <c r="D1067" s="2561"/>
      <c r="E1067" s="2561"/>
      <c r="F1067" s="2562"/>
      <c r="G1067" s="2563" t="s">
        <v>696</v>
      </c>
      <c r="H1067" s="2562"/>
    </row>
    <row r="1068" spans="1:8" ht="42" customHeight="1">
      <c r="A1068" s="2641" t="s">
        <v>821</v>
      </c>
      <c r="B1068" s="2641"/>
      <c r="C1068" s="2641"/>
      <c r="D1068" s="2641"/>
      <c r="E1068" s="2641"/>
      <c r="F1068" s="2641"/>
      <c r="G1068" s="2641"/>
      <c r="H1068" s="2641"/>
    </row>
    <row r="1069" spans="1:8" ht="14.25" customHeight="1">
      <c r="A1069" s="1097"/>
      <c r="B1069" s="1097"/>
      <c r="C1069" s="1097"/>
      <c r="D1069" s="1097"/>
      <c r="E1069" s="1097"/>
      <c r="F1069" s="1097"/>
      <c r="G1069" s="1097"/>
      <c r="H1069" s="1097"/>
    </row>
    <row r="1070" spans="1:8" ht="14.25" customHeight="1">
      <c r="A1070" s="1097"/>
      <c r="B1070" s="1097"/>
      <c r="C1070" s="1097"/>
      <c r="D1070" s="1097"/>
      <c r="E1070" s="1097"/>
      <c r="F1070" s="1097"/>
      <c r="G1070" s="1097"/>
      <c r="H1070" s="1097"/>
    </row>
    <row r="1071" spans="1:8" ht="14.25" customHeight="1">
      <c r="A1071" s="1097"/>
      <c r="B1071" s="1097"/>
      <c r="C1071" s="1097"/>
      <c r="D1071" s="1097"/>
      <c r="E1071" s="1097"/>
      <c r="F1071" s="1097"/>
      <c r="G1071" s="1097"/>
      <c r="H1071" s="1097"/>
    </row>
    <row r="1072" spans="1:8" ht="14.25" customHeight="1">
      <c r="A1072" s="1097"/>
      <c r="B1072" s="1097"/>
      <c r="C1072" s="1097"/>
      <c r="D1072" s="1097"/>
      <c r="E1072" s="1097"/>
      <c r="F1072" s="1097"/>
      <c r="G1072" s="1097"/>
      <c r="H1072" s="1097"/>
    </row>
    <row r="1073" spans="1:13" ht="14.25" customHeight="1">
      <c r="A1073" s="1097"/>
      <c r="B1073" s="1097"/>
      <c r="C1073" s="1097"/>
      <c r="D1073" s="1097"/>
      <c r="E1073" s="1097"/>
      <c r="F1073" s="1097"/>
      <c r="G1073" s="1097"/>
      <c r="H1073" s="1097"/>
    </row>
    <row r="1074" spans="1:13" ht="24.75" customHeight="1">
      <c r="A1074" s="2703" t="s">
        <v>111</v>
      </c>
      <c r="B1074" s="2703"/>
      <c r="C1074" s="2703"/>
      <c r="D1074" s="2703"/>
      <c r="E1074" s="2703"/>
      <c r="F1074" s="2703"/>
      <c r="G1074" s="2703"/>
      <c r="H1074" s="2703"/>
    </row>
    <row r="1075" spans="1:13" ht="24.75" customHeight="1">
      <c r="A1075" s="2703" t="s">
        <v>757</v>
      </c>
      <c r="B1075" s="2703"/>
      <c r="C1075" s="2703"/>
      <c r="D1075" s="2703"/>
      <c r="E1075" s="2703"/>
      <c r="F1075" s="2703"/>
      <c r="G1075" s="2703"/>
      <c r="H1075" s="2703"/>
    </row>
    <row r="1076" spans="1:13" ht="18.75" customHeight="1">
      <c r="A1076" s="2704" t="s">
        <v>211</v>
      </c>
      <c r="B1076" s="2704"/>
      <c r="C1076" s="2704"/>
      <c r="D1076" s="2704"/>
      <c r="E1076" s="2704"/>
      <c r="F1076" s="2704"/>
      <c r="G1076" s="2704"/>
      <c r="H1076" s="2704"/>
    </row>
    <row r="1077" spans="1:13" ht="18.75" customHeight="1">
      <c r="A1077" s="2704" t="s">
        <v>1006</v>
      </c>
      <c r="B1077" s="2704"/>
      <c r="C1077" s="2704"/>
      <c r="D1077" s="2704"/>
      <c r="E1077" s="2704"/>
      <c r="F1077" s="2704"/>
      <c r="G1077" s="2704"/>
      <c r="H1077" s="2704"/>
    </row>
    <row r="1078" spans="1:13" ht="18.75">
      <c r="A1078" s="2704" t="s">
        <v>32</v>
      </c>
      <c r="B1078" s="2704"/>
      <c r="C1078" s="2704"/>
      <c r="D1078" s="2704"/>
      <c r="E1078" s="2704"/>
      <c r="F1078" s="2704"/>
      <c r="G1078" s="2704"/>
      <c r="H1078" s="2704"/>
    </row>
    <row r="1079" spans="1:13">
      <c r="A1079" s="814"/>
      <c r="B1079" s="815"/>
      <c r="C1079" s="816"/>
      <c r="D1079" s="817"/>
      <c r="E1079" s="817"/>
      <c r="F1079" s="817"/>
      <c r="G1079" s="818"/>
      <c r="H1079" s="819"/>
    </row>
    <row r="1080" spans="1:13" ht="18.75">
      <c r="A1080" s="2706" t="s">
        <v>49</v>
      </c>
      <c r="B1080" s="2706"/>
      <c r="C1080" s="2706"/>
      <c r="D1080" s="2706"/>
      <c r="E1080" s="2706"/>
      <c r="F1080" s="2706"/>
      <c r="G1080" s="2706"/>
      <c r="H1080" s="2706"/>
    </row>
    <row r="1081" spans="1:13" ht="42.75" customHeight="1" thickBot="1">
      <c r="A1081" s="2794" t="s">
        <v>1107</v>
      </c>
      <c r="B1081" s="2795"/>
      <c r="C1081" s="2795"/>
      <c r="D1081" s="2795"/>
      <c r="E1081" s="2795"/>
      <c r="F1081" s="2795"/>
      <c r="G1081" s="2795"/>
      <c r="H1081" s="2795"/>
    </row>
    <row r="1082" spans="1:13" ht="15.75" thickBot="1">
      <c r="A1082" s="2709" t="s">
        <v>29</v>
      </c>
      <c r="B1082" s="2789"/>
      <c r="C1082" s="2789"/>
      <c r="D1082" s="2789"/>
      <c r="E1082" s="2789"/>
      <c r="F1082" s="2790"/>
      <c r="G1082" s="2712" t="s">
        <v>640</v>
      </c>
      <c r="H1082" s="2714" t="s">
        <v>639</v>
      </c>
      <c r="M1082" s="892"/>
    </row>
    <row r="1083" spans="1:13" ht="75.75" thickBot="1">
      <c r="A1083" s="1106" t="s">
        <v>39</v>
      </c>
      <c r="B1083" s="1107" t="s">
        <v>40</v>
      </c>
      <c r="C1083" s="1107" t="s">
        <v>41</v>
      </c>
      <c r="D1083" s="1107" t="s">
        <v>45</v>
      </c>
      <c r="E1083" s="1108" t="s">
        <v>42</v>
      </c>
      <c r="F1083" s="823" t="s">
        <v>43</v>
      </c>
      <c r="G1083" s="2791"/>
      <c r="H1083" s="2723"/>
    </row>
    <row r="1084" spans="1:13">
      <c r="A1084" s="824" t="s">
        <v>381</v>
      </c>
      <c r="B1084" s="825" t="s">
        <v>69</v>
      </c>
      <c r="C1084" s="825" t="s">
        <v>59</v>
      </c>
      <c r="D1084" s="825" t="s">
        <v>62</v>
      </c>
      <c r="E1084" s="825" t="s">
        <v>65</v>
      </c>
      <c r="F1084" s="826">
        <v>51202</v>
      </c>
      <c r="G1084" s="827" t="s">
        <v>759</v>
      </c>
      <c r="H1084" s="1118">
        <v>3550</v>
      </c>
    </row>
    <row r="1085" spans="1:13">
      <c r="A1085" s="824" t="s">
        <v>381</v>
      </c>
      <c r="B1085" s="825" t="s">
        <v>69</v>
      </c>
      <c r="C1085" s="825" t="s">
        <v>59</v>
      </c>
      <c r="D1085" s="825" t="s">
        <v>62</v>
      </c>
      <c r="E1085" s="825" t="s">
        <v>65</v>
      </c>
      <c r="F1085" s="826">
        <v>54111</v>
      </c>
      <c r="G1085" s="827" t="s">
        <v>778</v>
      </c>
      <c r="H1085" s="1118">
        <v>2650</v>
      </c>
    </row>
    <row r="1086" spans="1:13">
      <c r="A1086" s="824" t="s">
        <v>381</v>
      </c>
      <c r="B1086" s="825" t="s">
        <v>69</v>
      </c>
      <c r="C1086" s="825" t="s">
        <v>59</v>
      </c>
      <c r="D1086" s="825" t="s">
        <v>62</v>
      </c>
      <c r="E1086" s="825" t="s">
        <v>65</v>
      </c>
      <c r="F1086" s="826">
        <v>54112</v>
      </c>
      <c r="G1086" s="827" t="s">
        <v>779</v>
      </c>
      <c r="H1086" s="1118">
        <v>1500</v>
      </c>
    </row>
    <row r="1087" spans="1:13" ht="15" customHeight="1">
      <c r="A1087" s="824" t="s">
        <v>381</v>
      </c>
      <c r="B1087" s="825" t="s">
        <v>69</v>
      </c>
      <c r="C1087" s="825" t="s">
        <v>59</v>
      </c>
      <c r="D1087" s="825" t="s">
        <v>62</v>
      </c>
      <c r="E1087" s="825" t="s">
        <v>65</v>
      </c>
      <c r="F1087" s="826">
        <v>54118</v>
      </c>
      <c r="G1087" s="827" t="s">
        <v>746</v>
      </c>
      <c r="H1087" s="1118">
        <v>300</v>
      </c>
    </row>
    <row r="1088" spans="1:13" ht="15" customHeight="1">
      <c r="A1088" s="824" t="s">
        <v>381</v>
      </c>
      <c r="B1088" s="825" t="s">
        <v>69</v>
      </c>
      <c r="C1088" s="825" t="s">
        <v>59</v>
      </c>
      <c r="D1088" s="825" t="s">
        <v>62</v>
      </c>
      <c r="E1088" s="825" t="s">
        <v>65</v>
      </c>
      <c r="F1088" s="826">
        <v>54199</v>
      </c>
      <c r="G1088" s="827" t="s">
        <v>658</v>
      </c>
      <c r="H1088" s="1118">
        <v>300</v>
      </c>
    </row>
    <row r="1089" spans="1:9" ht="14.25" customHeight="1">
      <c r="A1089" s="824" t="s">
        <v>381</v>
      </c>
      <c r="B1089" s="825" t="s">
        <v>69</v>
      </c>
      <c r="C1089" s="825" t="s">
        <v>59</v>
      </c>
      <c r="D1089" s="825" t="s">
        <v>62</v>
      </c>
      <c r="E1089" s="825" t="s">
        <v>65</v>
      </c>
      <c r="F1089" s="829" t="s">
        <v>677</v>
      </c>
      <c r="G1089" s="827" t="s">
        <v>678</v>
      </c>
      <c r="H1089" s="1118">
        <v>700</v>
      </c>
    </row>
    <row r="1090" spans="1:9" ht="14.25" customHeight="1">
      <c r="A1090" s="824" t="s">
        <v>381</v>
      </c>
      <c r="B1090" s="825" t="s">
        <v>69</v>
      </c>
      <c r="C1090" s="825" t="s">
        <v>59</v>
      </c>
      <c r="D1090" s="825" t="s">
        <v>62</v>
      </c>
      <c r="E1090" s="825" t="s">
        <v>65</v>
      </c>
      <c r="F1090" s="831">
        <v>61608</v>
      </c>
      <c r="G1090" s="832" t="s">
        <v>780</v>
      </c>
      <c r="H1090" s="1129">
        <v>1000</v>
      </c>
    </row>
    <row r="1091" spans="1:9" ht="15" customHeight="1" thickBot="1">
      <c r="A1091" s="1110"/>
      <c r="B1091" s="1111"/>
      <c r="C1091" s="1111"/>
      <c r="D1091" s="1111"/>
      <c r="E1091" s="1112"/>
      <c r="F1091" s="1113"/>
      <c r="G1091" s="1114"/>
      <c r="H1091" s="1115">
        <f>SUM(H1084:H1090)</f>
        <v>10000</v>
      </c>
    </row>
    <row r="1092" spans="1:9" ht="14.25" customHeight="1" thickBot="1">
      <c r="A1092" s="839"/>
      <c r="B1092" s="839"/>
      <c r="C1092" s="840"/>
      <c r="D1092" s="841"/>
      <c r="E1092" s="841"/>
      <c r="F1092" s="841"/>
      <c r="G1092" s="818"/>
      <c r="H1092" s="819"/>
    </row>
    <row r="1093" spans="1:9" ht="15" customHeight="1">
      <c r="A1093" s="2685" t="s">
        <v>732</v>
      </c>
      <c r="B1093" s="2686"/>
      <c r="C1093" s="2686"/>
      <c r="D1093" s="2686"/>
      <c r="E1093" s="2686"/>
      <c r="F1093" s="2686"/>
      <c r="G1093" s="2687" t="s">
        <v>1021</v>
      </c>
      <c r="H1093" s="2688"/>
    </row>
    <row r="1094" spans="1:9" ht="15" customHeight="1">
      <c r="A1094" s="842"/>
      <c r="B1094" s="843"/>
      <c r="C1094" s="844"/>
      <c r="D1094" s="844"/>
      <c r="E1094" s="844"/>
      <c r="F1094" s="844"/>
      <c r="G1094" s="845"/>
      <c r="H1094" s="846"/>
    </row>
    <row r="1095" spans="1:9" ht="34.5" customHeight="1">
      <c r="A1095" s="2689" t="s">
        <v>1107</v>
      </c>
      <c r="B1095" s="2690"/>
      <c r="C1095" s="2690"/>
      <c r="D1095" s="2690"/>
      <c r="E1095" s="2690"/>
      <c r="F1095" s="2691"/>
      <c r="G1095" s="2689" t="s">
        <v>1108</v>
      </c>
      <c r="H1095" s="2691"/>
      <c r="I1095" s="1148"/>
    </row>
    <row r="1096" spans="1:9" ht="18.75" customHeight="1">
      <c r="A1096" s="2692" t="s">
        <v>1106</v>
      </c>
      <c r="B1096" s="2693"/>
      <c r="C1096" s="2693"/>
      <c r="D1096" s="2693"/>
      <c r="E1096" s="2693"/>
      <c r="F1096" s="2694"/>
      <c r="G1096" s="845"/>
      <c r="H1096" s="846"/>
      <c r="I1096" s="1148"/>
    </row>
    <row r="1097" spans="1:9" ht="14.25" customHeight="1">
      <c r="A1097" s="2695"/>
      <c r="B1097" s="2696"/>
      <c r="C1097" s="2696"/>
      <c r="D1097" s="2696"/>
      <c r="E1097" s="2696"/>
      <c r="F1097" s="2697"/>
      <c r="G1097" s="2698" t="s">
        <v>695</v>
      </c>
      <c r="H1097" s="2691"/>
      <c r="I1097" s="1148"/>
    </row>
    <row r="1098" spans="1:9">
      <c r="A1098" s="842"/>
      <c r="B1098" s="843"/>
      <c r="C1098" s="843"/>
      <c r="D1098" s="843"/>
      <c r="E1098" s="843"/>
      <c r="F1098" s="843"/>
      <c r="G1098" s="847"/>
      <c r="H1098" s="846"/>
      <c r="I1098" s="1148"/>
    </row>
    <row r="1099" spans="1:9" thickBot="1">
      <c r="A1099" s="2699" t="s">
        <v>692</v>
      </c>
      <c r="B1099" s="2700"/>
      <c r="C1099" s="2700"/>
      <c r="D1099" s="2700"/>
      <c r="E1099" s="2700"/>
      <c r="F1099" s="2701"/>
      <c r="G1099" s="2702" t="s">
        <v>696</v>
      </c>
      <c r="H1099" s="2701"/>
      <c r="I1099" s="1148"/>
    </row>
    <row r="1100" spans="1:9" ht="42" customHeight="1">
      <c r="A1100" s="2716" t="s">
        <v>821</v>
      </c>
      <c r="B1100" s="2716"/>
      <c r="C1100" s="2716"/>
      <c r="D1100" s="2716"/>
      <c r="E1100" s="2716"/>
      <c r="F1100" s="2716"/>
      <c r="G1100" s="2716"/>
      <c r="H1100" s="2716"/>
      <c r="I1100" s="1148"/>
    </row>
    <row r="1101" spans="1:9">
      <c r="A1101" s="553"/>
      <c r="B1101" s="554"/>
      <c r="C1101" s="554"/>
      <c r="D1101" s="554"/>
      <c r="E1101" s="554"/>
      <c r="F1101" s="554"/>
      <c r="G1101" s="555"/>
      <c r="H1101" s="554"/>
      <c r="I1101" s="1148"/>
    </row>
    <row r="1102" spans="1:9">
      <c r="A1102" s="553"/>
      <c r="B1102" s="554"/>
      <c r="C1102" s="554"/>
      <c r="D1102" s="554"/>
      <c r="E1102" s="554"/>
      <c r="F1102" s="554"/>
      <c r="G1102" s="555"/>
      <c r="H1102" s="554"/>
      <c r="I1102" s="1148"/>
    </row>
    <row r="1103" spans="1:9">
      <c r="A1103" s="553"/>
      <c r="B1103" s="554"/>
      <c r="C1103" s="554"/>
      <c r="D1103" s="554"/>
      <c r="E1103" s="554"/>
      <c r="F1103" s="554"/>
      <c r="G1103" s="555"/>
      <c r="H1103" s="554"/>
      <c r="I1103" s="1148"/>
    </row>
    <row r="1104" spans="1:9" ht="18.75">
      <c r="A1104" s="2703" t="s">
        <v>111</v>
      </c>
      <c r="B1104" s="2705"/>
      <c r="C1104" s="2705"/>
      <c r="D1104" s="2705"/>
      <c r="E1104" s="2705"/>
      <c r="F1104" s="2705"/>
      <c r="G1104" s="2705"/>
      <c r="H1104" s="2705"/>
      <c r="I1104" s="1148"/>
    </row>
    <row r="1105" spans="1:9" ht="18.75">
      <c r="A1105" s="2703" t="s">
        <v>757</v>
      </c>
      <c r="B1105" s="2705"/>
      <c r="C1105" s="2705"/>
      <c r="D1105" s="2705"/>
      <c r="E1105" s="2705"/>
      <c r="F1105" s="2705"/>
      <c r="G1105" s="2705"/>
      <c r="H1105" s="2705"/>
      <c r="I1105" s="1148"/>
    </row>
    <row r="1106" spans="1:9" ht="18.75">
      <c r="A1106" s="2704" t="s">
        <v>211</v>
      </c>
      <c r="B1106" s="2705"/>
      <c r="C1106" s="2705"/>
      <c r="D1106" s="2705"/>
      <c r="E1106" s="2705"/>
      <c r="F1106" s="2705"/>
      <c r="G1106" s="2705"/>
      <c r="H1106" s="2705"/>
      <c r="I1106" s="1148"/>
    </row>
    <row r="1107" spans="1:9" ht="18.75">
      <c r="A1107" s="2704" t="s">
        <v>1006</v>
      </c>
      <c r="B1107" s="2705"/>
      <c r="C1107" s="2705"/>
      <c r="D1107" s="2705"/>
      <c r="E1107" s="2705"/>
      <c r="F1107" s="2705"/>
      <c r="G1107" s="2705"/>
      <c r="H1107" s="2705"/>
      <c r="I1107" s="1148"/>
    </row>
    <row r="1108" spans="1:9" ht="18.75">
      <c r="A1108" s="2704" t="s">
        <v>32</v>
      </c>
      <c r="B1108" s="2705"/>
      <c r="C1108" s="2705"/>
      <c r="D1108" s="2705"/>
      <c r="E1108" s="2705"/>
      <c r="F1108" s="2705"/>
      <c r="G1108" s="2705"/>
      <c r="H1108" s="2705"/>
      <c r="I1108" s="1148"/>
    </row>
    <row r="1109" spans="1:9">
      <c r="A1109" s="814"/>
      <c r="B1109" s="815"/>
      <c r="C1109" s="816"/>
      <c r="D1109" s="817"/>
      <c r="E1109" s="817"/>
      <c r="F1109" s="817"/>
      <c r="G1109" s="818"/>
      <c r="H1109" s="819"/>
      <c r="I1109" s="1148"/>
    </row>
    <row r="1110" spans="1:9" ht="18.75">
      <c r="A1110" s="2706" t="s">
        <v>49</v>
      </c>
      <c r="B1110" s="2706"/>
      <c r="C1110" s="2706"/>
      <c r="D1110" s="2706"/>
      <c r="E1110" s="2706"/>
      <c r="F1110" s="2706"/>
      <c r="G1110" s="2706"/>
      <c r="H1110" s="2706"/>
      <c r="I1110" s="1148"/>
    </row>
    <row r="1111" spans="1:9" ht="50.25" customHeight="1" thickBot="1">
      <c r="A1111" s="2602" t="s">
        <v>1109</v>
      </c>
      <c r="B1111" s="2603"/>
      <c r="C1111" s="2603"/>
      <c r="D1111" s="2603"/>
      <c r="E1111" s="2603"/>
      <c r="F1111" s="2603"/>
      <c r="G1111" s="2603"/>
      <c r="H1111" s="2603"/>
      <c r="I1111" s="1148"/>
    </row>
    <row r="1112" spans="1:9" ht="15.75" thickBot="1">
      <c r="A1112" s="2709" t="s">
        <v>29</v>
      </c>
      <c r="B1112" s="2789"/>
      <c r="C1112" s="2789"/>
      <c r="D1112" s="2789"/>
      <c r="E1112" s="2789"/>
      <c r="F1112" s="2790"/>
      <c r="G1112" s="2712" t="s">
        <v>640</v>
      </c>
      <c r="H1112" s="2714" t="s">
        <v>639</v>
      </c>
    </row>
    <row r="1113" spans="1:9" ht="75.75" thickBot="1">
      <c r="A1113" s="1106" t="s">
        <v>39</v>
      </c>
      <c r="B1113" s="1107" t="s">
        <v>40</v>
      </c>
      <c r="C1113" s="1107" t="s">
        <v>41</v>
      </c>
      <c r="D1113" s="1107" t="s">
        <v>45</v>
      </c>
      <c r="E1113" s="1108" t="s">
        <v>42</v>
      </c>
      <c r="F1113" s="823" t="s">
        <v>43</v>
      </c>
      <c r="G1113" s="2791"/>
      <c r="H1113" s="2723"/>
    </row>
    <row r="1114" spans="1:9">
      <c r="A1114" s="824" t="s">
        <v>381</v>
      </c>
      <c r="B1114" s="825" t="s">
        <v>69</v>
      </c>
      <c r="C1114" s="825" t="s">
        <v>59</v>
      </c>
      <c r="D1114" s="825" t="s">
        <v>62</v>
      </c>
      <c r="E1114" s="825" t="s">
        <v>65</v>
      </c>
      <c r="F1114" s="826">
        <v>51202</v>
      </c>
      <c r="G1114" s="827" t="s">
        <v>759</v>
      </c>
      <c r="H1114" s="1118">
        <v>3550</v>
      </c>
    </row>
    <row r="1115" spans="1:9">
      <c r="A1115" s="824" t="s">
        <v>381</v>
      </c>
      <c r="B1115" s="825" t="s">
        <v>69</v>
      </c>
      <c r="C1115" s="825" t="s">
        <v>59</v>
      </c>
      <c r="D1115" s="825" t="s">
        <v>62</v>
      </c>
      <c r="E1115" s="825" t="s">
        <v>65</v>
      </c>
      <c r="F1115" s="826">
        <v>54111</v>
      </c>
      <c r="G1115" s="827" t="s">
        <v>778</v>
      </c>
      <c r="H1115" s="1118">
        <v>2650</v>
      </c>
    </row>
    <row r="1116" spans="1:9">
      <c r="A1116" s="824" t="s">
        <v>381</v>
      </c>
      <c r="B1116" s="825" t="s">
        <v>69</v>
      </c>
      <c r="C1116" s="825" t="s">
        <v>59</v>
      </c>
      <c r="D1116" s="825" t="s">
        <v>62</v>
      </c>
      <c r="E1116" s="825" t="s">
        <v>65</v>
      </c>
      <c r="F1116" s="826">
        <v>54112</v>
      </c>
      <c r="G1116" s="827" t="s">
        <v>779</v>
      </c>
      <c r="H1116" s="1118">
        <v>1500</v>
      </c>
    </row>
    <row r="1117" spans="1:9">
      <c r="A1117" s="824" t="s">
        <v>381</v>
      </c>
      <c r="B1117" s="825" t="s">
        <v>69</v>
      </c>
      <c r="C1117" s="825" t="s">
        <v>59</v>
      </c>
      <c r="D1117" s="825" t="s">
        <v>62</v>
      </c>
      <c r="E1117" s="825" t="s">
        <v>65</v>
      </c>
      <c r="F1117" s="826">
        <v>54118</v>
      </c>
      <c r="G1117" s="827" t="s">
        <v>746</v>
      </c>
      <c r="H1117" s="1118">
        <v>300</v>
      </c>
    </row>
    <row r="1118" spans="1:9">
      <c r="A1118" s="824" t="s">
        <v>381</v>
      </c>
      <c r="B1118" s="825" t="s">
        <v>69</v>
      </c>
      <c r="C1118" s="825" t="s">
        <v>59</v>
      </c>
      <c r="D1118" s="825" t="s">
        <v>62</v>
      </c>
      <c r="E1118" s="825" t="s">
        <v>65</v>
      </c>
      <c r="F1118" s="826">
        <v>54199</v>
      </c>
      <c r="G1118" s="827" t="s">
        <v>658</v>
      </c>
      <c r="H1118" s="1118">
        <v>300</v>
      </c>
    </row>
    <row r="1119" spans="1:9">
      <c r="A1119" s="824" t="s">
        <v>381</v>
      </c>
      <c r="B1119" s="825" t="s">
        <v>69</v>
      </c>
      <c r="C1119" s="825" t="s">
        <v>59</v>
      </c>
      <c r="D1119" s="825" t="s">
        <v>62</v>
      </c>
      <c r="E1119" s="825" t="s">
        <v>65</v>
      </c>
      <c r="F1119" s="829" t="s">
        <v>677</v>
      </c>
      <c r="G1119" s="827" t="s">
        <v>678</v>
      </c>
      <c r="H1119" s="1118">
        <v>700</v>
      </c>
    </row>
    <row r="1120" spans="1:9">
      <c r="A1120" s="824" t="s">
        <v>381</v>
      </c>
      <c r="B1120" s="825" t="s">
        <v>69</v>
      </c>
      <c r="C1120" s="825" t="s">
        <v>59</v>
      </c>
      <c r="D1120" s="825" t="s">
        <v>62</v>
      </c>
      <c r="E1120" s="825" t="s">
        <v>65</v>
      </c>
      <c r="F1120" s="831">
        <v>61608</v>
      </c>
      <c r="G1120" s="832" t="s">
        <v>780</v>
      </c>
      <c r="H1120" s="1129">
        <v>1000</v>
      </c>
    </row>
    <row r="1121" spans="1:8" ht="15.75" thickBot="1">
      <c r="A1121" s="1110"/>
      <c r="B1121" s="1111"/>
      <c r="C1121" s="1111"/>
      <c r="D1121" s="1111"/>
      <c r="E1121" s="1112"/>
      <c r="F1121" s="1113"/>
      <c r="G1121" s="1114"/>
      <c r="H1121" s="1120">
        <f>SUM(H1114:H1120)</f>
        <v>10000</v>
      </c>
    </row>
    <row r="1122" spans="1:8" ht="15.75" thickBot="1">
      <c r="A1122" s="839"/>
      <c r="B1122" s="839"/>
      <c r="C1122" s="840"/>
      <c r="D1122" s="841"/>
      <c r="E1122" s="841"/>
      <c r="F1122" s="841"/>
      <c r="G1122" s="818"/>
      <c r="H1122" s="819"/>
    </row>
    <row r="1123" spans="1:8">
      <c r="A1123" s="2685" t="s">
        <v>1097</v>
      </c>
      <c r="B1123" s="2686"/>
      <c r="C1123" s="2686"/>
      <c r="D1123" s="2686"/>
      <c r="E1123" s="2686"/>
      <c r="F1123" s="2686"/>
      <c r="G1123" s="2687" t="s">
        <v>1021</v>
      </c>
      <c r="H1123" s="2688"/>
    </row>
    <row r="1124" spans="1:8">
      <c r="A1124" s="842"/>
      <c r="B1124" s="843"/>
      <c r="C1124" s="844"/>
      <c r="D1124" s="844"/>
      <c r="E1124" s="844"/>
      <c r="F1124" s="844"/>
      <c r="G1124" s="845"/>
      <c r="H1124" s="846"/>
    </row>
    <row r="1125" spans="1:8" ht="33" customHeight="1">
      <c r="A1125" s="2689" t="s">
        <v>1109</v>
      </c>
      <c r="B1125" s="2690"/>
      <c r="C1125" s="2690"/>
      <c r="D1125" s="2690"/>
      <c r="E1125" s="2690"/>
      <c r="F1125" s="2691"/>
      <c r="G1125" s="2689" t="s">
        <v>1095</v>
      </c>
      <c r="H1125" s="2691"/>
    </row>
    <row r="1126" spans="1:8" ht="15" customHeight="1">
      <c r="A1126" s="2692" t="s">
        <v>1106</v>
      </c>
      <c r="B1126" s="2693"/>
      <c r="C1126" s="2693"/>
      <c r="D1126" s="2693"/>
      <c r="E1126" s="2693"/>
      <c r="F1126" s="2694"/>
      <c r="G1126" s="845"/>
      <c r="H1126" s="846"/>
    </row>
    <row r="1127" spans="1:8" ht="14.25" customHeight="1">
      <c r="A1127" s="2695"/>
      <c r="B1127" s="2696"/>
      <c r="C1127" s="2696"/>
      <c r="D1127" s="2696"/>
      <c r="E1127" s="2696"/>
      <c r="F1127" s="2697"/>
      <c r="G1127" s="2698" t="s">
        <v>695</v>
      </c>
      <c r="H1127" s="2691"/>
    </row>
    <row r="1128" spans="1:8">
      <c r="A1128" s="842"/>
      <c r="B1128" s="843"/>
      <c r="C1128" s="843"/>
      <c r="D1128" s="843"/>
      <c r="E1128" s="843"/>
      <c r="F1128" s="843"/>
      <c r="G1128" s="847"/>
      <c r="H1128" s="846"/>
    </row>
    <row r="1129" spans="1:8" thickBot="1">
      <c r="A1129" s="2699" t="s">
        <v>692</v>
      </c>
      <c r="B1129" s="2700"/>
      <c r="C1129" s="2700"/>
      <c r="D1129" s="2700"/>
      <c r="E1129" s="2700"/>
      <c r="F1129" s="2701"/>
      <c r="G1129" s="2702" t="s">
        <v>696</v>
      </c>
      <c r="H1129" s="2701"/>
    </row>
    <row r="1130" spans="1:8" ht="46.5" customHeight="1">
      <c r="A1130" s="2716" t="s">
        <v>821</v>
      </c>
      <c r="B1130" s="2716"/>
      <c r="C1130" s="2716"/>
      <c r="D1130" s="2716"/>
      <c r="E1130" s="2716"/>
      <c r="F1130" s="2716"/>
      <c r="G1130" s="2716"/>
      <c r="H1130" s="2716"/>
    </row>
    <row r="1131" spans="1:8">
      <c r="A1131" s="553"/>
      <c r="B1131" s="554"/>
      <c r="C1131" s="554"/>
      <c r="D1131" s="554"/>
      <c r="E1131" s="554"/>
      <c r="F1131" s="554"/>
      <c r="G1131" s="555"/>
      <c r="H1131" s="554"/>
    </row>
    <row r="1132" spans="1:8">
      <c r="A1132" s="553"/>
      <c r="B1132" s="554"/>
      <c r="C1132" s="554"/>
      <c r="D1132" s="554"/>
      <c r="E1132" s="554"/>
      <c r="F1132" s="554"/>
      <c r="G1132" s="555"/>
      <c r="H1132" s="554"/>
    </row>
    <row r="1133" spans="1:8">
      <c r="A1133" s="553"/>
      <c r="B1133" s="554"/>
      <c r="C1133" s="554"/>
      <c r="D1133" s="554"/>
      <c r="E1133" s="554"/>
      <c r="F1133" s="554"/>
      <c r="G1133" s="555"/>
      <c r="H1133" s="554"/>
    </row>
    <row r="1134" spans="1:8" ht="18.75">
      <c r="A1134" s="2703" t="s">
        <v>111</v>
      </c>
      <c r="B1134" s="2705"/>
      <c r="C1134" s="2705"/>
      <c r="D1134" s="2705"/>
      <c r="E1134" s="2705"/>
      <c r="F1134" s="2705"/>
      <c r="G1134" s="2705"/>
      <c r="H1134" s="2705"/>
    </row>
    <row r="1135" spans="1:8" ht="18.75">
      <c r="A1135" s="2703" t="s">
        <v>757</v>
      </c>
      <c r="B1135" s="2705"/>
      <c r="C1135" s="2705"/>
      <c r="D1135" s="2705"/>
      <c r="E1135" s="2705"/>
      <c r="F1135" s="2705"/>
      <c r="G1135" s="2705"/>
      <c r="H1135" s="2705"/>
    </row>
    <row r="1136" spans="1:8" ht="18.75">
      <c r="A1136" s="2704" t="s">
        <v>211</v>
      </c>
      <c r="B1136" s="2705"/>
      <c r="C1136" s="2705"/>
      <c r="D1136" s="2705"/>
      <c r="E1136" s="2705"/>
      <c r="F1136" s="2705"/>
      <c r="G1136" s="2705"/>
      <c r="H1136" s="2705"/>
    </row>
    <row r="1137" spans="1:9" ht="18.75">
      <c r="A1137" s="2704" t="s">
        <v>1006</v>
      </c>
      <c r="B1137" s="2705"/>
      <c r="C1137" s="2705"/>
      <c r="D1137" s="2705"/>
      <c r="E1137" s="2705"/>
      <c r="F1137" s="2705"/>
      <c r="G1137" s="2705"/>
      <c r="H1137" s="2705"/>
    </row>
    <row r="1138" spans="1:9" ht="18.75">
      <c r="A1138" s="2704" t="s">
        <v>32</v>
      </c>
      <c r="B1138" s="2705"/>
      <c r="C1138" s="2705"/>
      <c r="D1138" s="2705"/>
      <c r="E1138" s="2705"/>
      <c r="F1138" s="2705"/>
      <c r="G1138" s="2705"/>
      <c r="H1138" s="2705"/>
    </row>
    <row r="1139" spans="1:9">
      <c r="A1139" s="814"/>
      <c r="B1139" s="815"/>
      <c r="C1139" s="816"/>
      <c r="D1139" s="817"/>
      <c r="E1139" s="817"/>
      <c r="F1139" s="817"/>
      <c r="G1139" s="818"/>
      <c r="H1139" s="819"/>
    </row>
    <row r="1140" spans="1:9" ht="18.75">
      <c r="A1140" s="2706" t="s">
        <v>49</v>
      </c>
      <c r="B1140" s="2706"/>
      <c r="C1140" s="2706"/>
      <c r="D1140" s="2706"/>
      <c r="E1140" s="2706"/>
      <c r="F1140" s="2706"/>
      <c r="G1140" s="2706"/>
      <c r="H1140" s="2706"/>
    </row>
    <row r="1141" spans="1:9" ht="43.5" customHeight="1" thickBot="1">
      <c r="A1141" s="2602" t="s">
        <v>1186</v>
      </c>
      <c r="B1141" s="2603"/>
      <c r="C1141" s="2603"/>
      <c r="D1141" s="2603"/>
      <c r="E1141" s="2603"/>
      <c r="F1141" s="2603"/>
      <c r="G1141" s="2603"/>
      <c r="H1141" s="2603"/>
      <c r="I1141" s="1148"/>
    </row>
    <row r="1142" spans="1:9" ht="15.75" thickBot="1">
      <c r="A1142" s="2709" t="s">
        <v>29</v>
      </c>
      <c r="B1142" s="2789"/>
      <c r="C1142" s="2789"/>
      <c r="D1142" s="2789"/>
      <c r="E1142" s="2789"/>
      <c r="F1142" s="2790"/>
      <c r="G1142" s="2712" t="s">
        <v>640</v>
      </c>
      <c r="H1142" s="2714" t="s">
        <v>639</v>
      </c>
    </row>
    <row r="1143" spans="1:9" ht="75.75" thickBot="1">
      <c r="A1143" s="1106" t="s">
        <v>39</v>
      </c>
      <c r="B1143" s="1107" t="s">
        <v>40</v>
      </c>
      <c r="C1143" s="1107" t="s">
        <v>41</v>
      </c>
      <c r="D1143" s="1107" t="s">
        <v>45</v>
      </c>
      <c r="E1143" s="1108" t="s">
        <v>42</v>
      </c>
      <c r="F1143" s="823" t="s">
        <v>43</v>
      </c>
      <c r="G1143" s="2791"/>
      <c r="H1143" s="2723"/>
    </row>
    <row r="1144" spans="1:9">
      <c r="A1144" s="824" t="s">
        <v>381</v>
      </c>
      <c r="B1144" s="825" t="s">
        <v>69</v>
      </c>
      <c r="C1144" s="825" t="s">
        <v>59</v>
      </c>
      <c r="D1144" s="825" t="s">
        <v>62</v>
      </c>
      <c r="E1144" s="825" t="s">
        <v>65</v>
      </c>
      <c r="F1144" s="826">
        <v>51202</v>
      </c>
      <c r="G1144" s="827" t="s">
        <v>759</v>
      </c>
      <c r="H1144" s="1118">
        <v>3550</v>
      </c>
    </row>
    <row r="1145" spans="1:9">
      <c r="A1145" s="824" t="s">
        <v>381</v>
      </c>
      <c r="B1145" s="825" t="s">
        <v>69</v>
      </c>
      <c r="C1145" s="825" t="s">
        <v>59</v>
      </c>
      <c r="D1145" s="825" t="s">
        <v>62</v>
      </c>
      <c r="E1145" s="825" t="s">
        <v>65</v>
      </c>
      <c r="F1145" s="826">
        <v>54111</v>
      </c>
      <c r="G1145" s="827" t="s">
        <v>778</v>
      </c>
      <c r="H1145" s="1118">
        <v>2650</v>
      </c>
    </row>
    <row r="1146" spans="1:9">
      <c r="A1146" s="824" t="s">
        <v>381</v>
      </c>
      <c r="B1146" s="825" t="s">
        <v>69</v>
      </c>
      <c r="C1146" s="825" t="s">
        <v>59</v>
      </c>
      <c r="D1146" s="825" t="s">
        <v>62</v>
      </c>
      <c r="E1146" s="825" t="s">
        <v>65</v>
      </c>
      <c r="F1146" s="826">
        <v>54112</v>
      </c>
      <c r="G1146" s="827" t="s">
        <v>779</v>
      </c>
      <c r="H1146" s="1118">
        <v>1500</v>
      </c>
    </row>
    <row r="1147" spans="1:9">
      <c r="A1147" s="824" t="s">
        <v>381</v>
      </c>
      <c r="B1147" s="825" t="s">
        <v>69</v>
      </c>
      <c r="C1147" s="825" t="s">
        <v>59</v>
      </c>
      <c r="D1147" s="825" t="s">
        <v>62</v>
      </c>
      <c r="E1147" s="825" t="s">
        <v>65</v>
      </c>
      <c r="F1147" s="826">
        <v>54118</v>
      </c>
      <c r="G1147" s="827" t="s">
        <v>746</v>
      </c>
      <c r="H1147" s="1118">
        <v>300</v>
      </c>
    </row>
    <row r="1148" spans="1:9">
      <c r="A1148" s="824" t="s">
        <v>381</v>
      </c>
      <c r="B1148" s="825" t="s">
        <v>69</v>
      </c>
      <c r="C1148" s="825" t="s">
        <v>59</v>
      </c>
      <c r="D1148" s="825" t="s">
        <v>62</v>
      </c>
      <c r="E1148" s="825" t="s">
        <v>65</v>
      </c>
      <c r="F1148" s="826">
        <v>54199</v>
      </c>
      <c r="G1148" s="827" t="s">
        <v>658</v>
      </c>
      <c r="H1148" s="1118">
        <v>300</v>
      </c>
    </row>
    <row r="1149" spans="1:9">
      <c r="A1149" s="824" t="s">
        <v>381</v>
      </c>
      <c r="B1149" s="825" t="s">
        <v>69</v>
      </c>
      <c r="C1149" s="825" t="s">
        <v>59</v>
      </c>
      <c r="D1149" s="825" t="s">
        <v>62</v>
      </c>
      <c r="E1149" s="825" t="s">
        <v>65</v>
      </c>
      <c r="F1149" s="829" t="s">
        <v>677</v>
      </c>
      <c r="G1149" s="827" t="s">
        <v>678</v>
      </c>
      <c r="H1149" s="1118">
        <v>700</v>
      </c>
    </row>
    <row r="1150" spans="1:9">
      <c r="A1150" s="824" t="s">
        <v>381</v>
      </c>
      <c r="B1150" s="825" t="s">
        <v>69</v>
      </c>
      <c r="C1150" s="825" t="s">
        <v>59</v>
      </c>
      <c r="D1150" s="825" t="s">
        <v>62</v>
      </c>
      <c r="E1150" s="825" t="s">
        <v>65</v>
      </c>
      <c r="F1150" s="831">
        <v>61608</v>
      </c>
      <c r="G1150" s="832" t="s">
        <v>780</v>
      </c>
      <c r="H1150" s="1129">
        <v>1000</v>
      </c>
    </row>
    <row r="1151" spans="1:9" ht="15.75" thickBot="1">
      <c r="A1151" s="1110"/>
      <c r="B1151" s="1111"/>
      <c r="C1151" s="1111"/>
      <c r="D1151" s="1111"/>
      <c r="E1151" s="1112"/>
      <c r="F1151" s="1113"/>
      <c r="G1151" s="1114"/>
      <c r="H1151" s="1120">
        <f>SUM(H1144:H1150)</f>
        <v>10000</v>
      </c>
    </row>
    <row r="1152" spans="1:9" ht="15.75" thickBot="1">
      <c r="A1152" s="839"/>
      <c r="B1152" s="839"/>
      <c r="C1152" s="840"/>
      <c r="D1152" s="841"/>
      <c r="E1152" s="841"/>
      <c r="F1152" s="841"/>
      <c r="G1152" s="818"/>
      <c r="H1152" s="819"/>
    </row>
    <row r="1153" spans="1:8">
      <c r="A1153" s="2685" t="s">
        <v>1097</v>
      </c>
      <c r="B1153" s="2686"/>
      <c r="C1153" s="2686"/>
      <c r="D1153" s="2686"/>
      <c r="E1153" s="2686"/>
      <c r="F1153" s="2686"/>
      <c r="G1153" s="2687" t="s">
        <v>1021</v>
      </c>
      <c r="H1153" s="2688"/>
    </row>
    <row r="1154" spans="1:8">
      <c r="A1154" s="842"/>
      <c r="B1154" s="843"/>
      <c r="C1154" s="844"/>
      <c r="D1154" s="844"/>
      <c r="E1154" s="844"/>
      <c r="F1154" s="844"/>
      <c r="G1154" s="845"/>
      <c r="H1154" s="846"/>
    </row>
    <row r="1155" spans="1:8" ht="33" customHeight="1">
      <c r="A1155" s="2689" t="s">
        <v>1186</v>
      </c>
      <c r="B1155" s="2690"/>
      <c r="C1155" s="2690"/>
      <c r="D1155" s="2690"/>
      <c r="E1155" s="2690"/>
      <c r="F1155" s="2691"/>
      <c r="G1155" s="2689" t="s">
        <v>1095</v>
      </c>
      <c r="H1155" s="2691"/>
    </row>
    <row r="1156" spans="1:8">
      <c r="A1156" s="2692" t="s">
        <v>1106</v>
      </c>
      <c r="B1156" s="2693"/>
      <c r="C1156" s="2693"/>
      <c r="D1156" s="2693"/>
      <c r="E1156" s="2693"/>
      <c r="F1156" s="2694"/>
      <c r="G1156" s="845"/>
      <c r="H1156" s="846"/>
    </row>
    <row r="1157" spans="1:8" ht="14.25">
      <c r="A1157" s="2695"/>
      <c r="B1157" s="2696"/>
      <c r="C1157" s="2696"/>
      <c r="D1157" s="2696"/>
      <c r="E1157" s="2696"/>
      <c r="F1157" s="2697"/>
      <c r="G1157" s="2698" t="s">
        <v>695</v>
      </c>
      <c r="H1157" s="2691"/>
    </row>
    <row r="1158" spans="1:8">
      <c r="A1158" s="842"/>
      <c r="B1158" s="843"/>
      <c r="C1158" s="843"/>
      <c r="D1158" s="843"/>
      <c r="E1158" s="843"/>
      <c r="F1158" s="843"/>
      <c r="G1158" s="847"/>
      <c r="H1158" s="846"/>
    </row>
    <row r="1159" spans="1:8" thickBot="1">
      <c r="A1159" s="2699" t="s">
        <v>692</v>
      </c>
      <c r="B1159" s="2700"/>
      <c r="C1159" s="2700"/>
      <c r="D1159" s="2700"/>
      <c r="E1159" s="2700"/>
      <c r="F1159" s="2701"/>
      <c r="G1159" s="2702" t="s">
        <v>696</v>
      </c>
      <c r="H1159" s="2701"/>
    </row>
    <row r="1160" spans="1:8" ht="43.5" customHeight="1">
      <c r="A1160" s="2716" t="s">
        <v>821</v>
      </c>
      <c r="B1160" s="2716"/>
      <c r="C1160" s="2716"/>
      <c r="D1160" s="2716"/>
      <c r="E1160" s="2716"/>
      <c r="F1160" s="2716"/>
      <c r="G1160" s="2716"/>
      <c r="H1160" s="2716"/>
    </row>
    <row r="1161" spans="1:8">
      <c r="A1161" s="553"/>
      <c r="B1161" s="554"/>
      <c r="C1161" s="554"/>
      <c r="D1161" s="554"/>
      <c r="E1161" s="554"/>
      <c r="F1161" s="554"/>
      <c r="G1161" s="555"/>
      <c r="H1161" s="554"/>
    </row>
    <row r="1162" spans="1:8">
      <c r="A1162" s="553"/>
      <c r="B1162" s="554"/>
      <c r="C1162" s="554"/>
      <c r="D1162" s="554"/>
      <c r="E1162" s="554"/>
      <c r="F1162" s="554"/>
      <c r="G1162" s="555"/>
      <c r="H1162" s="554"/>
    </row>
    <row r="1163" spans="1:8">
      <c r="A1163" s="553"/>
      <c r="B1163" s="554"/>
      <c r="C1163" s="554"/>
      <c r="D1163" s="554"/>
      <c r="E1163" s="554"/>
      <c r="F1163" s="554"/>
      <c r="G1163" s="555"/>
      <c r="H1163" s="554"/>
    </row>
    <row r="1164" spans="1:8">
      <c r="A1164" s="553"/>
      <c r="B1164" s="554"/>
      <c r="C1164" s="554"/>
      <c r="D1164" s="554"/>
      <c r="E1164" s="554"/>
      <c r="F1164" s="554"/>
      <c r="G1164" s="555"/>
      <c r="H1164" s="554"/>
    </row>
    <row r="1165" spans="1:8" ht="18.75">
      <c r="A1165" s="1097"/>
      <c r="B1165" s="1097"/>
      <c r="C1165" s="1097"/>
      <c r="D1165" s="1097"/>
      <c r="E1165" s="1097"/>
      <c r="F1165" s="1097"/>
      <c r="G1165" s="1097"/>
      <c r="H1165" s="1097"/>
    </row>
    <row r="1166" spans="1:8" ht="18.75">
      <c r="A1166" s="1097"/>
      <c r="B1166" s="1097"/>
      <c r="C1166" s="1097"/>
      <c r="D1166" s="1097"/>
      <c r="E1166" s="1097"/>
      <c r="F1166" s="1097"/>
      <c r="G1166" s="1097"/>
      <c r="H1166" s="1097"/>
    </row>
    <row r="1167" spans="1:8" ht="18.75">
      <c r="A1167" s="2703" t="s">
        <v>111</v>
      </c>
      <c r="B1167" s="2705"/>
      <c r="C1167" s="2705"/>
      <c r="D1167" s="2705"/>
      <c r="E1167" s="2705"/>
      <c r="F1167" s="2705"/>
      <c r="G1167" s="2705"/>
      <c r="H1167" s="2705"/>
    </row>
    <row r="1168" spans="1:8" ht="18.75">
      <c r="A1168" s="2703" t="s">
        <v>757</v>
      </c>
      <c r="B1168" s="2705"/>
      <c r="C1168" s="2705"/>
      <c r="D1168" s="2705"/>
      <c r="E1168" s="2705"/>
      <c r="F1168" s="2705"/>
      <c r="G1168" s="2705"/>
      <c r="H1168" s="2705"/>
    </row>
    <row r="1169" spans="1:9" ht="18.75">
      <c r="A1169" s="2704" t="s">
        <v>211</v>
      </c>
      <c r="B1169" s="2705"/>
      <c r="C1169" s="2705"/>
      <c r="D1169" s="2705"/>
      <c r="E1169" s="2705"/>
      <c r="F1169" s="2705"/>
      <c r="G1169" s="2705"/>
      <c r="H1169" s="2705"/>
    </row>
    <row r="1170" spans="1:9" ht="18.75">
      <c r="A1170" s="2704" t="s">
        <v>1006</v>
      </c>
      <c r="B1170" s="2705"/>
      <c r="C1170" s="2705"/>
      <c r="D1170" s="2705"/>
      <c r="E1170" s="2705"/>
      <c r="F1170" s="2705"/>
      <c r="G1170" s="2705"/>
      <c r="H1170" s="2705"/>
    </row>
    <row r="1171" spans="1:9" ht="18.75">
      <c r="A1171" s="2704" t="s">
        <v>32</v>
      </c>
      <c r="B1171" s="2705"/>
      <c r="C1171" s="2705"/>
      <c r="D1171" s="2705"/>
      <c r="E1171" s="2705"/>
      <c r="F1171" s="2705"/>
      <c r="G1171" s="2705"/>
      <c r="H1171" s="2705"/>
    </row>
    <row r="1172" spans="1:9">
      <c r="A1172" s="814"/>
      <c r="B1172" s="815"/>
      <c r="C1172" s="816"/>
      <c r="D1172" s="817"/>
      <c r="E1172" s="817"/>
      <c r="F1172" s="817"/>
      <c r="G1172" s="818"/>
      <c r="H1172" s="819"/>
    </row>
    <row r="1173" spans="1:9" ht="18.75">
      <c r="A1173" s="2706" t="s">
        <v>49</v>
      </c>
      <c r="B1173" s="2706"/>
      <c r="C1173" s="2706"/>
      <c r="D1173" s="2706"/>
      <c r="E1173" s="2706"/>
      <c r="F1173" s="2706"/>
      <c r="G1173" s="2706"/>
      <c r="H1173" s="2706"/>
    </row>
    <row r="1174" spans="1:9" ht="42.75" customHeight="1" thickBot="1">
      <c r="A1174" s="2853" t="s">
        <v>1183</v>
      </c>
      <c r="B1174" s="2854"/>
      <c r="C1174" s="2854"/>
      <c r="D1174" s="2854"/>
      <c r="E1174" s="2854"/>
      <c r="F1174" s="2854"/>
      <c r="G1174" s="2854"/>
      <c r="H1174" s="2854"/>
    </row>
    <row r="1175" spans="1:9" ht="15.75" thickBot="1">
      <c r="A1175" s="2709" t="s">
        <v>29</v>
      </c>
      <c r="B1175" s="2789"/>
      <c r="C1175" s="2789"/>
      <c r="D1175" s="2789"/>
      <c r="E1175" s="2789"/>
      <c r="F1175" s="2790"/>
      <c r="G1175" s="2712" t="s">
        <v>640</v>
      </c>
      <c r="H1175" s="2714" t="s">
        <v>639</v>
      </c>
    </row>
    <row r="1176" spans="1:9" ht="75.75" thickBot="1">
      <c r="A1176" s="1106" t="s">
        <v>39</v>
      </c>
      <c r="B1176" s="1107" t="s">
        <v>40</v>
      </c>
      <c r="C1176" s="1107" t="s">
        <v>41</v>
      </c>
      <c r="D1176" s="1107" t="s">
        <v>45</v>
      </c>
      <c r="E1176" s="1108" t="s">
        <v>42</v>
      </c>
      <c r="F1176" s="823" t="s">
        <v>43</v>
      </c>
      <c r="G1176" s="2791"/>
      <c r="H1176" s="2723"/>
      <c r="I1176" s="1148"/>
    </row>
    <row r="1177" spans="1:9">
      <c r="A1177" s="824" t="s">
        <v>381</v>
      </c>
      <c r="B1177" s="825" t="s">
        <v>69</v>
      </c>
      <c r="C1177" s="825" t="s">
        <v>59</v>
      </c>
      <c r="D1177" s="825" t="s">
        <v>62</v>
      </c>
      <c r="E1177" s="825" t="s">
        <v>65</v>
      </c>
      <c r="F1177" s="826">
        <v>51202</v>
      </c>
      <c r="G1177" s="827" t="s">
        <v>759</v>
      </c>
      <c r="H1177" s="1118">
        <v>3550</v>
      </c>
    </row>
    <row r="1178" spans="1:9">
      <c r="A1178" s="824" t="s">
        <v>381</v>
      </c>
      <c r="B1178" s="825" t="s">
        <v>69</v>
      </c>
      <c r="C1178" s="825" t="s">
        <v>59</v>
      </c>
      <c r="D1178" s="825" t="s">
        <v>62</v>
      </c>
      <c r="E1178" s="825" t="s">
        <v>65</v>
      </c>
      <c r="F1178" s="826">
        <v>54111</v>
      </c>
      <c r="G1178" s="827" t="s">
        <v>778</v>
      </c>
      <c r="H1178" s="1118">
        <v>2650</v>
      </c>
    </row>
    <row r="1179" spans="1:9">
      <c r="A1179" s="824" t="s">
        <v>381</v>
      </c>
      <c r="B1179" s="825" t="s">
        <v>69</v>
      </c>
      <c r="C1179" s="825" t="s">
        <v>59</v>
      </c>
      <c r="D1179" s="825" t="s">
        <v>62</v>
      </c>
      <c r="E1179" s="825" t="s">
        <v>65</v>
      </c>
      <c r="F1179" s="826">
        <v>54112</v>
      </c>
      <c r="G1179" s="827" t="s">
        <v>779</v>
      </c>
      <c r="H1179" s="1118">
        <v>1500</v>
      </c>
    </row>
    <row r="1180" spans="1:9">
      <c r="A1180" s="824" t="s">
        <v>381</v>
      </c>
      <c r="B1180" s="825" t="s">
        <v>69</v>
      </c>
      <c r="C1180" s="825" t="s">
        <v>59</v>
      </c>
      <c r="D1180" s="825" t="s">
        <v>62</v>
      </c>
      <c r="E1180" s="825" t="s">
        <v>65</v>
      </c>
      <c r="F1180" s="826">
        <v>54118</v>
      </c>
      <c r="G1180" s="827" t="s">
        <v>746</v>
      </c>
      <c r="H1180" s="1118">
        <v>300</v>
      </c>
    </row>
    <row r="1181" spans="1:9">
      <c r="A1181" s="824" t="s">
        <v>381</v>
      </c>
      <c r="B1181" s="825" t="s">
        <v>69</v>
      </c>
      <c r="C1181" s="825" t="s">
        <v>59</v>
      </c>
      <c r="D1181" s="825" t="s">
        <v>62</v>
      </c>
      <c r="E1181" s="825" t="s">
        <v>65</v>
      </c>
      <c r="F1181" s="826">
        <v>54199</v>
      </c>
      <c r="G1181" s="827" t="s">
        <v>658</v>
      </c>
      <c r="H1181" s="1118">
        <v>300</v>
      </c>
    </row>
    <row r="1182" spans="1:9">
      <c r="A1182" s="824" t="s">
        <v>381</v>
      </c>
      <c r="B1182" s="825" t="s">
        <v>69</v>
      </c>
      <c r="C1182" s="825" t="s">
        <v>59</v>
      </c>
      <c r="D1182" s="825" t="s">
        <v>62</v>
      </c>
      <c r="E1182" s="825" t="s">
        <v>65</v>
      </c>
      <c r="F1182" s="829" t="s">
        <v>677</v>
      </c>
      <c r="G1182" s="827" t="s">
        <v>678</v>
      </c>
      <c r="H1182" s="1118">
        <v>700</v>
      </c>
    </row>
    <row r="1183" spans="1:9">
      <c r="A1183" s="824" t="s">
        <v>381</v>
      </c>
      <c r="B1183" s="825" t="s">
        <v>69</v>
      </c>
      <c r="C1183" s="825" t="s">
        <v>59</v>
      </c>
      <c r="D1183" s="825" t="s">
        <v>62</v>
      </c>
      <c r="E1183" s="825" t="s">
        <v>65</v>
      </c>
      <c r="F1183" s="831">
        <v>61608</v>
      </c>
      <c r="G1183" s="832" t="s">
        <v>780</v>
      </c>
      <c r="H1183" s="1129">
        <v>1000</v>
      </c>
    </row>
    <row r="1184" spans="1:9" ht="15.75" thickBot="1">
      <c r="A1184" s="1110"/>
      <c r="B1184" s="1111"/>
      <c r="C1184" s="1111"/>
      <c r="D1184" s="1111"/>
      <c r="E1184" s="1112"/>
      <c r="F1184" s="1113"/>
      <c r="G1184" s="1114"/>
      <c r="H1184" s="1120">
        <f>SUM(H1177:H1183)</f>
        <v>10000</v>
      </c>
    </row>
    <row r="1185" spans="1:8" ht="15.75" thickBot="1">
      <c r="A1185" s="839"/>
      <c r="B1185" s="839"/>
      <c r="C1185" s="840"/>
      <c r="D1185" s="841"/>
      <c r="E1185" s="841"/>
      <c r="F1185" s="841"/>
      <c r="G1185" s="818"/>
      <c r="H1185" s="819"/>
    </row>
    <row r="1186" spans="1:8">
      <c r="A1186" s="2685" t="s">
        <v>1097</v>
      </c>
      <c r="B1186" s="2686"/>
      <c r="C1186" s="2686"/>
      <c r="D1186" s="2686"/>
      <c r="E1186" s="2686"/>
      <c r="F1186" s="2686"/>
      <c r="G1186" s="2687" t="s">
        <v>1021</v>
      </c>
      <c r="H1186" s="2688"/>
    </row>
    <row r="1187" spans="1:8">
      <c r="A1187" s="842"/>
      <c r="B1187" s="843"/>
      <c r="C1187" s="844"/>
      <c r="D1187" s="844"/>
      <c r="E1187" s="844"/>
      <c r="F1187" s="844"/>
      <c r="G1187" s="845"/>
      <c r="H1187" s="846"/>
    </row>
    <row r="1188" spans="1:8" ht="36.75" customHeight="1">
      <c r="A1188" s="2689" t="s">
        <v>1183</v>
      </c>
      <c r="B1188" s="2690"/>
      <c r="C1188" s="2690"/>
      <c r="D1188" s="2690"/>
      <c r="E1188" s="2690"/>
      <c r="F1188" s="2691"/>
      <c r="G1188" s="2689" t="s">
        <v>1095</v>
      </c>
      <c r="H1188" s="2691"/>
    </row>
    <row r="1189" spans="1:8">
      <c r="A1189" s="2692" t="s">
        <v>1106</v>
      </c>
      <c r="B1189" s="2693"/>
      <c r="C1189" s="2693"/>
      <c r="D1189" s="2693"/>
      <c r="E1189" s="2693"/>
      <c r="F1189" s="2694"/>
      <c r="G1189" s="845"/>
      <c r="H1189" s="846"/>
    </row>
    <row r="1190" spans="1:8" ht="21.75" customHeight="1">
      <c r="A1190" s="2695"/>
      <c r="B1190" s="2696"/>
      <c r="C1190" s="2696"/>
      <c r="D1190" s="2696"/>
      <c r="E1190" s="2696"/>
      <c r="F1190" s="2697"/>
      <c r="G1190" s="2698" t="s">
        <v>695</v>
      </c>
      <c r="H1190" s="2691"/>
    </row>
    <row r="1191" spans="1:8">
      <c r="A1191" s="842"/>
      <c r="B1191" s="843"/>
      <c r="C1191" s="843"/>
      <c r="D1191" s="843"/>
      <c r="E1191" s="843"/>
      <c r="F1191" s="843"/>
      <c r="G1191" s="847"/>
      <c r="H1191" s="846"/>
    </row>
    <row r="1192" spans="1:8" thickBot="1">
      <c r="A1192" s="2699" t="s">
        <v>692</v>
      </c>
      <c r="B1192" s="2700"/>
      <c r="C1192" s="2700"/>
      <c r="D1192" s="2700"/>
      <c r="E1192" s="2700"/>
      <c r="F1192" s="2701"/>
      <c r="G1192" s="2702" t="s">
        <v>696</v>
      </c>
      <c r="H1192" s="2701"/>
    </row>
    <row r="1193" spans="1:8" ht="46.5" customHeight="1">
      <c r="A1193" s="2716" t="s">
        <v>821</v>
      </c>
      <c r="B1193" s="2716"/>
      <c r="C1193" s="2716"/>
      <c r="D1193" s="2716"/>
      <c r="E1193" s="2716"/>
      <c r="F1193" s="2716"/>
      <c r="G1193" s="2716"/>
      <c r="H1193" s="2716"/>
    </row>
    <row r="1194" spans="1:8">
      <c r="A1194" s="553"/>
      <c r="B1194" s="554"/>
      <c r="C1194" s="554"/>
      <c r="D1194" s="554"/>
      <c r="E1194" s="554"/>
      <c r="F1194" s="554"/>
      <c r="G1194" s="555"/>
      <c r="H1194" s="554"/>
    </row>
    <row r="1195" spans="1:8">
      <c r="A1195" s="553"/>
      <c r="B1195" s="554"/>
      <c r="C1195" s="554"/>
      <c r="D1195" s="554"/>
      <c r="E1195" s="554"/>
      <c r="F1195" s="554"/>
      <c r="G1195" s="555"/>
      <c r="H1195" s="554"/>
    </row>
    <row r="1196" spans="1:8">
      <c r="A1196" s="553"/>
      <c r="B1196" s="554"/>
      <c r="C1196" s="554"/>
      <c r="D1196" s="554"/>
      <c r="E1196" s="554"/>
      <c r="F1196" s="554"/>
      <c r="G1196" s="555"/>
      <c r="H1196" s="554"/>
    </row>
    <row r="1197" spans="1:8">
      <c r="A1197" s="553"/>
      <c r="B1197" s="554"/>
      <c r="C1197" s="554"/>
      <c r="D1197" s="554"/>
      <c r="E1197" s="554"/>
      <c r="F1197" s="554"/>
      <c r="G1197" s="555"/>
      <c r="H1197" s="554"/>
    </row>
    <row r="1198" spans="1:8">
      <c r="A1198" s="553"/>
      <c r="B1198" s="554"/>
      <c r="C1198" s="554"/>
      <c r="D1198" s="554"/>
      <c r="E1198" s="554"/>
      <c r="F1198" s="554"/>
      <c r="G1198" s="555"/>
      <c r="H1198" s="554"/>
    </row>
    <row r="1199" spans="1:8">
      <c r="A1199" s="553"/>
      <c r="B1199" s="554"/>
      <c r="C1199" s="554"/>
      <c r="D1199" s="554"/>
      <c r="E1199" s="554"/>
      <c r="F1199" s="554"/>
      <c r="G1199" s="555"/>
      <c r="H1199" s="554"/>
    </row>
    <row r="1200" spans="1:8">
      <c r="A1200" s="553"/>
      <c r="B1200" s="554"/>
      <c r="C1200" s="554"/>
      <c r="D1200" s="554"/>
      <c r="E1200" s="554"/>
      <c r="F1200" s="554"/>
      <c r="G1200" s="555"/>
      <c r="H1200" s="554"/>
    </row>
    <row r="1201" spans="1:8">
      <c r="A1201" s="553"/>
      <c r="B1201" s="554"/>
      <c r="C1201" s="554"/>
      <c r="D1201" s="554"/>
      <c r="E1201" s="554"/>
      <c r="F1201" s="554"/>
      <c r="G1201" s="555"/>
      <c r="H1201" s="554"/>
    </row>
    <row r="1202" spans="1:8">
      <c r="A1202" s="553"/>
      <c r="B1202" s="554"/>
      <c r="C1202" s="554"/>
      <c r="D1202" s="554"/>
      <c r="E1202" s="554"/>
      <c r="F1202" s="554"/>
      <c r="G1202" s="555"/>
      <c r="H1202" s="554"/>
    </row>
    <row r="1203" spans="1:8">
      <c r="A1203" s="553"/>
      <c r="B1203" s="554"/>
      <c r="C1203" s="554"/>
      <c r="D1203" s="554"/>
      <c r="E1203" s="554"/>
      <c r="F1203" s="554"/>
      <c r="G1203" s="555"/>
      <c r="H1203" s="554"/>
    </row>
    <row r="1204" spans="1:8">
      <c r="A1204" s="553"/>
      <c r="B1204" s="554"/>
      <c r="C1204" s="554"/>
      <c r="D1204" s="554"/>
      <c r="E1204" s="554"/>
      <c r="F1204" s="554"/>
      <c r="G1204" s="555"/>
      <c r="H1204" s="554"/>
    </row>
    <row r="1205" spans="1:8" ht="18.75">
      <c r="A1205" s="2162" t="s">
        <v>111</v>
      </c>
      <c r="B1205" s="2164"/>
      <c r="C1205" s="2164"/>
      <c r="D1205" s="2164"/>
      <c r="E1205" s="2164"/>
      <c r="F1205" s="2164"/>
      <c r="G1205" s="2164"/>
      <c r="H1205" s="2164"/>
    </row>
    <row r="1206" spans="1:8" ht="18.75">
      <c r="A1206" s="2162" t="s">
        <v>757</v>
      </c>
      <c r="B1206" s="2164"/>
      <c r="C1206" s="2164"/>
      <c r="D1206" s="2164"/>
      <c r="E1206" s="2164"/>
      <c r="F1206" s="2164"/>
      <c r="G1206" s="2164"/>
      <c r="H1206" s="2164"/>
    </row>
    <row r="1207" spans="1:8" ht="18.75">
      <c r="A1207" s="2163" t="s">
        <v>211</v>
      </c>
      <c r="B1207" s="2164"/>
      <c r="C1207" s="2164"/>
      <c r="D1207" s="2164"/>
      <c r="E1207" s="2164"/>
      <c r="F1207" s="2164"/>
      <c r="G1207" s="2164"/>
      <c r="H1207" s="2164"/>
    </row>
    <row r="1208" spans="1:8" ht="18.75">
      <c r="A1208" s="2163" t="s">
        <v>1212</v>
      </c>
      <c r="B1208" s="2164"/>
      <c r="C1208" s="2164"/>
      <c r="D1208" s="2164"/>
      <c r="E1208" s="2164"/>
      <c r="F1208" s="2164"/>
      <c r="G1208" s="2164"/>
      <c r="H1208" s="2164"/>
    </row>
    <row r="1209" spans="1:8" ht="18.75">
      <c r="A1209" s="2163" t="s">
        <v>32</v>
      </c>
      <c r="B1209" s="2164"/>
      <c r="C1209" s="2164"/>
      <c r="D1209" s="2164"/>
      <c r="E1209" s="2164"/>
      <c r="F1209" s="2164"/>
      <c r="G1209" s="2164"/>
      <c r="H1209" s="2164"/>
    </row>
    <row r="1210" spans="1:8">
      <c r="A1210" s="33"/>
    </row>
    <row r="1211" spans="1:8" ht="18.75">
      <c r="A1211" s="2596" t="s">
        <v>49</v>
      </c>
      <c r="B1211" s="2596"/>
      <c r="C1211" s="2596"/>
      <c r="D1211" s="2596"/>
      <c r="E1211" s="2596"/>
      <c r="F1211" s="2596"/>
      <c r="G1211" s="2596"/>
      <c r="H1211" s="2596"/>
    </row>
    <row r="1212" spans="1:8" ht="44.25" customHeight="1" thickBot="1">
      <c r="A1212" s="2792" t="s">
        <v>1110</v>
      </c>
      <c r="B1212" s="2793"/>
      <c r="C1212" s="2793"/>
      <c r="D1212" s="2793"/>
      <c r="E1212" s="2793"/>
      <c r="F1212" s="2793"/>
      <c r="G1212" s="2793"/>
      <c r="H1212" s="2793"/>
    </row>
    <row r="1213" spans="1:8" ht="15.75" thickBot="1">
      <c r="A1213" s="2606" t="s">
        <v>29</v>
      </c>
      <c r="B1213" s="2620"/>
      <c r="C1213" s="2620"/>
      <c r="D1213" s="2620"/>
      <c r="E1213" s="2620"/>
      <c r="F1213" s="2621"/>
      <c r="G1213" s="2609" t="s">
        <v>640</v>
      </c>
      <c r="H1213" s="2610" t="s">
        <v>639</v>
      </c>
    </row>
    <row r="1214" spans="1:8" ht="81" customHeight="1" thickBot="1">
      <c r="A1214" s="411" t="s">
        <v>39</v>
      </c>
      <c r="B1214" s="412" t="s">
        <v>40</v>
      </c>
      <c r="C1214" s="412" t="s">
        <v>41</v>
      </c>
      <c r="D1214" s="412" t="s">
        <v>45</v>
      </c>
      <c r="E1214" s="413" t="s">
        <v>42</v>
      </c>
      <c r="F1214" s="407" t="s">
        <v>43</v>
      </c>
      <c r="G1214" s="2622"/>
      <c r="H1214" s="2595"/>
    </row>
    <row r="1215" spans="1:8">
      <c r="A1215" s="34" t="s">
        <v>381</v>
      </c>
      <c r="B1215" s="23" t="s">
        <v>69</v>
      </c>
      <c r="C1215" s="23" t="s">
        <v>59</v>
      </c>
      <c r="D1215" s="23" t="s">
        <v>62</v>
      </c>
      <c r="E1215" s="23" t="s">
        <v>65</v>
      </c>
      <c r="F1215" s="423" t="s">
        <v>209</v>
      </c>
      <c r="G1215" s="415" t="s">
        <v>724</v>
      </c>
      <c r="H1215" s="24">
        <v>3000</v>
      </c>
    </row>
    <row r="1216" spans="1:8">
      <c r="A1216" s="34" t="s">
        <v>381</v>
      </c>
      <c r="B1216" s="23" t="s">
        <v>69</v>
      </c>
      <c r="C1216" s="23" t="s">
        <v>59</v>
      </c>
      <c r="D1216" s="23" t="s">
        <v>62</v>
      </c>
      <c r="E1216" s="23" t="s">
        <v>65</v>
      </c>
      <c r="F1216" s="424" t="s">
        <v>498</v>
      </c>
      <c r="G1216" s="416" t="s">
        <v>725</v>
      </c>
      <c r="H1216" s="24">
        <v>200</v>
      </c>
    </row>
    <row r="1217" spans="1:8">
      <c r="A1217" s="34" t="s">
        <v>381</v>
      </c>
      <c r="B1217" s="23" t="s">
        <v>69</v>
      </c>
      <c r="C1217" s="23" t="s">
        <v>59</v>
      </c>
      <c r="D1217" s="23" t="s">
        <v>62</v>
      </c>
      <c r="E1217" s="23" t="s">
        <v>65</v>
      </c>
      <c r="F1217" s="424" t="s">
        <v>726</v>
      </c>
      <c r="G1217" s="416" t="s">
        <v>727</v>
      </c>
      <c r="H1217" s="24">
        <v>4300</v>
      </c>
    </row>
    <row r="1218" spans="1:8">
      <c r="A1218" s="34" t="s">
        <v>381</v>
      </c>
      <c r="B1218" s="23" t="s">
        <v>69</v>
      </c>
      <c r="C1218" s="23" t="s">
        <v>59</v>
      </c>
      <c r="D1218" s="23" t="s">
        <v>62</v>
      </c>
      <c r="E1218" s="23" t="s">
        <v>65</v>
      </c>
      <c r="F1218" s="425">
        <v>54112</v>
      </c>
      <c r="G1218" s="416" t="s">
        <v>728</v>
      </c>
      <c r="H1218" s="25">
        <v>500</v>
      </c>
    </row>
    <row r="1219" spans="1:8">
      <c r="A1219" s="34" t="s">
        <v>381</v>
      </c>
      <c r="B1219" s="23" t="s">
        <v>69</v>
      </c>
      <c r="C1219" s="23" t="s">
        <v>59</v>
      </c>
      <c r="D1219" s="23" t="s">
        <v>62</v>
      </c>
      <c r="E1219" s="23" t="s">
        <v>65</v>
      </c>
      <c r="F1219" s="425">
        <v>54118</v>
      </c>
      <c r="G1219" s="416" t="s">
        <v>729</v>
      </c>
      <c r="H1219" s="25">
        <v>250</v>
      </c>
    </row>
    <row r="1220" spans="1:8">
      <c r="A1220" s="34" t="s">
        <v>381</v>
      </c>
      <c r="B1220" s="23" t="s">
        <v>69</v>
      </c>
      <c r="C1220" s="23" t="s">
        <v>59</v>
      </c>
      <c r="D1220" s="23" t="s">
        <v>62</v>
      </c>
      <c r="E1220" s="23" t="s">
        <v>65</v>
      </c>
      <c r="F1220" s="425">
        <v>54199</v>
      </c>
      <c r="G1220" s="419" t="s">
        <v>730</v>
      </c>
      <c r="H1220" s="25">
        <v>350</v>
      </c>
    </row>
    <row r="1221" spans="1:8">
      <c r="A1221" s="34" t="s">
        <v>381</v>
      </c>
      <c r="B1221" s="23" t="s">
        <v>69</v>
      </c>
      <c r="C1221" s="23" t="s">
        <v>59</v>
      </c>
      <c r="D1221" s="23" t="s">
        <v>62</v>
      </c>
      <c r="E1221" s="23" t="s">
        <v>65</v>
      </c>
      <c r="F1221" s="487">
        <v>34304</v>
      </c>
      <c r="G1221" s="419" t="s">
        <v>983</v>
      </c>
      <c r="H1221" s="25">
        <v>900</v>
      </c>
    </row>
    <row r="1222" spans="1:8">
      <c r="A1222" s="34" t="s">
        <v>381</v>
      </c>
      <c r="B1222" s="23" t="s">
        <v>69</v>
      </c>
      <c r="C1222" s="23" t="s">
        <v>59</v>
      </c>
      <c r="D1222" s="23" t="s">
        <v>62</v>
      </c>
      <c r="E1222" s="23" t="s">
        <v>65</v>
      </c>
      <c r="F1222" s="487">
        <v>61608</v>
      </c>
      <c r="G1222" s="419" t="s">
        <v>731</v>
      </c>
      <c r="H1222" s="25">
        <v>500</v>
      </c>
    </row>
    <row r="1223" spans="1:8" ht="15.75" thickBot="1">
      <c r="A1223" s="1064"/>
      <c r="B1223" s="1065"/>
      <c r="C1223" s="1065"/>
      <c r="D1223" s="1065"/>
      <c r="E1223" s="1066"/>
      <c r="F1223" s="1067"/>
      <c r="G1223" s="1068"/>
      <c r="H1223" s="1071">
        <f>SUM(H1215:H1222)</f>
        <v>10000</v>
      </c>
    </row>
    <row r="1224" spans="1:8" ht="15.75" thickBot="1">
      <c r="B1224" s="9"/>
      <c r="C1224" s="10"/>
      <c r="D1224" s="3"/>
      <c r="E1224" s="3"/>
      <c r="F1224" s="3"/>
    </row>
    <row r="1225" spans="1:8">
      <c r="A1225" s="2573" t="s">
        <v>732</v>
      </c>
      <c r="B1225" s="2574"/>
      <c r="C1225" s="2574"/>
      <c r="D1225" s="2574"/>
      <c r="E1225" s="2574"/>
      <c r="F1225" s="2574"/>
      <c r="G1225" s="2575" t="s">
        <v>1323</v>
      </c>
      <c r="H1225" s="2576"/>
    </row>
    <row r="1226" spans="1:8">
      <c r="A1226" s="2577" t="s">
        <v>1110</v>
      </c>
      <c r="B1226" s="2578"/>
      <c r="C1226" s="2578"/>
      <c r="D1226" s="2578"/>
      <c r="E1226" s="2578"/>
      <c r="F1226" s="2579"/>
      <c r="G1226" s="483"/>
      <c r="H1226" s="484"/>
    </row>
    <row r="1227" spans="1:8" ht="14.25">
      <c r="A1227" s="2580"/>
      <c r="B1227" s="2581"/>
      <c r="C1227" s="2581"/>
      <c r="D1227" s="2581"/>
      <c r="E1227" s="2581"/>
      <c r="F1227" s="2582"/>
      <c r="G1227" s="2580" t="s">
        <v>1096</v>
      </c>
      <c r="H1227" s="2552"/>
    </row>
    <row r="1228" spans="1:8">
      <c r="A1228" s="2597" t="s">
        <v>1111</v>
      </c>
      <c r="B1228" s="2584"/>
      <c r="C1228" s="2584"/>
      <c r="D1228" s="2584"/>
      <c r="E1228" s="2584"/>
      <c r="F1228" s="2585"/>
      <c r="G1228" s="483"/>
      <c r="H1228" s="484"/>
    </row>
    <row r="1229" spans="1:8" ht="24" customHeight="1">
      <c r="A1229" s="2586"/>
      <c r="B1229" s="2587"/>
      <c r="C1229" s="2587"/>
      <c r="D1229" s="2587"/>
      <c r="E1229" s="2587"/>
      <c r="F1229" s="2588"/>
      <c r="G1229" s="2589" t="s">
        <v>695</v>
      </c>
      <c r="H1229" s="2552"/>
    </row>
    <row r="1230" spans="1:8">
      <c r="A1230" s="482"/>
      <c r="B1230" s="551"/>
      <c r="C1230" s="551"/>
      <c r="D1230" s="551"/>
      <c r="E1230" s="551"/>
      <c r="F1230" s="551"/>
      <c r="G1230" s="485"/>
      <c r="H1230" s="484"/>
    </row>
    <row r="1231" spans="1:8" thickBot="1">
      <c r="A1231" s="2590" t="s">
        <v>692</v>
      </c>
      <c r="B1231" s="2561"/>
      <c r="C1231" s="2561"/>
      <c r="D1231" s="2561"/>
      <c r="E1231" s="2561"/>
      <c r="F1231" s="2562"/>
      <c r="G1231" s="2591" t="s">
        <v>696</v>
      </c>
      <c r="H1231" s="2562"/>
    </row>
    <row r="1232" spans="1:8" ht="43.5" customHeight="1">
      <c r="A1232" s="2601" t="s">
        <v>821</v>
      </c>
      <c r="B1232" s="2601"/>
      <c r="C1232" s="2601"/>
      <c r="D1232" s="2601"/>
      <c r="E1232" s="2601"/>
      <c r="F1232" s="2601"/>
      <c r="G1232" s="2601"/>
      <c r="H1232" s="2601"/>
    </row>
    <row r="1233" spans="1:8" ht="18.75">
      <c r="A1233" s="613"/>
      <c r="B1233" s="613"/>
      <c r="C1233" s="613"/>
      <c r="D1233" s="613"/>
      <c r="E1233" s="613"/>
      <c r="F1233" s="613"/>
      <c r="G1233" s="613"/>
      <c r="H1233" s="613"/>
    </row>
    <row r="1234" spans="1:8">
      <c r="A1234" s="553"/>
      <c r="B1234" s="554"/>
      <c r="C1234" s="554"/>
      <c r="D1234" s="554"/>
      <c r="E1234" s="554"/>
      <c r="F1234" s="554"/>
      <c r="G1234" s="555"/>
      <c r="H1234" s="554"/>
    </row>
    <row r="1235" spans="1:8">
      <c r="A1235" s="553"/>
      <c r="B1235" s="554"/>
      <c r="C1235" s="554"/>
      <c r="D1235" s="554"/>
      <c r="E1235" s="554"/>
      <c r="F1235" s="554"/>
      <c r="G1235" s="555"/>
      <c r="H1235" s="554"/>
    </row>
    <row r="1236" spans="1:8">
      <c r="A1236" s="553"/>
      <c r="B1236" s="554"/>
      <c r="C1236" s="554"/>
      <c r="D1236" s="554"/>
      <c r="E1236" s="554"/>
      <c r="F1236" s="554"/>
      <c r="G1236" s="555"/>
      <c r="H1236" s="554"/>
    </row>
    <row r="1237" spans="1:8" ht="18.75">
      <c r="A1237" s="2162" t="s">
        <v>111</v>
      </c>
      <c r="B1237" s="2164"/>
      <c r="C1237" s="2164"/>
      <c r="D1237" s="2164"/>
      <c r="E1237" s="2164"/>
      <c r="F1237" s="2164"/>
      <c r="G1237" s="2164"/>
      <c r="H1237" s="2164"/>
    </row>
    <row r="1238" spans="1:8" ht="18.75">
      <c r="A1238" s="2162" t="s">
        <v>757</v>
      </c>
      <c r="B1238" s="2164"/>
      <c r="C1238" s="2164"/>
      <c r="D1238" s="2164"/>
      <c r="E1238" s="2164"/>
      <c r="F1238" s="2164"/>
      <c r="G1238" s="2164"/>
      <c r="H1238" s="2164"/>
    </row>
    <row r="1239" spans="1:8" ht="18.75">
      <c r="A1239" s="2163" t="s">
        <v>211</v>
      </c>
      <c r="B1239" s="2164"/>
      <c r="C1239" s="2164"/>
      <c r="D1239" s="2164"/>
      <c r="E1239" s="2164"/>
      <c r="F1239" s="2164"/>
      <c r="G1239" s="2164"/>
      <c r="H1239" s="2164"/>
    </row>
    <row r="1240" spans="1:8" ht="18.75">
      <c r="A1240" s="2163" t="s">
        <v>1212</v>
      </c>
      <c r="B1240" s="2164"/>
      <c r="C1240" s="2164"/>
      <c r="D1240" s="2164"/>
      <c r="E1240" s="2164"/>
      <c r="F1240" s="2164"/>
      <c r="G1240" s="2164"/>
      <c r="H1240" s="2164"/>
    </row>
    <row r="1241" spans="1:8" ht="18.75">
      <c r="A1241" s="2163" t="s">
        <v>32</v>
      </c>
      <c r="B1241" s="2164"/>
      <c r="C1241" s="2164"/>
      <c r="D1241" s="2164"/>
      <c r="E1241" s="2164"/>
      <c r="F1241" s="2164"/>
      <c r="G1241" s="2164"/>
      <c r="H1241" s="2164"/>
    </row>
    <row r="1242" spans="1:8">
      <c r="A1242" s="33"/>
    </row>
    <row r="1243" spans="1:8" ht="18.75">
      <c r="A1243" s="2596" t="s">
        <v>49</v>
      </c>
      <c r="B1243" s="2596"/>
      <c r="C1243" s="2596"/>
      <c r="D1243" s="2596"/>
      <c r="E1243" s="2596"/>
      <c r="F1243" s="2596"/>
      <c r="G1243" s="2596"/>
      <c r="H1243" s="2596"/>
    </row>
    <row r="1244" spans="1:8" ht="31.5" customHeight="1" thickBot="1">
      <c r="A1244" s="2785" t="s">
        <v>1162</v>
      </c>
      <c r="B1244" s="2786"/>
      <c r="C1244" s="2786"/>
      <c r="D1244" s="2786"/>
      <c r="E1244" s="2786"/>
      <c r="F1244" s="2786"/>
      <c r="G1244" s="2786"/>
      <c r="H1244" s="2786"/>
    </row>
    <row r="1245" spans="1:8" ht="15.75" thickBot="1">
      <c r="A1245" s="2606" t="s">
        <v>29</v>
      </c>
      <c r="B1245" s="2620"/>
      <c r="C1245" s="2620"/>
      <c r="D1245" s="2620"/>
      <c r="E1245" s="2620"/>
      <c r="F1245" s="2621"/>
      <c r="G1245" s="2609" t="s">
        <v>640</v>
      </c>
      <c r="H1245" s="2610" t="s">
        <v>639</v>
      </c>
    </row>
    <row r="1246" spans="1:8" ht="75.75" thickBot="1">
      <c r="A1246" s="411" t="s">
        <v>39</v>
      </c>
      <c r="B1246" s="412" t="s">
        <v>40</v>
      </c>
      <c r="C1246" s="412" t="s">
        <v>41</v>
      </c>
      <c r="D1246" s="412" t="s">
        <v>45</v>
      </c>
      <c r="E1246" s="413" t="s">
        <v>42</v>
      </c>
      <c r="F1246" s="407" t="s">
        <v>43</v>
      </c>
      <c r="G1246" s="2622"/>
      <c r="H1246" s="2595"/>
    </row>
    <row r="1247" spans="1:8">
      <c r="A1247" s="34" t="s">
        <v>381</v>
      </c>
      <c r="B1247" s="23" t="s">
        <v>69</v>
      </c>
      <c r="C1247" s="23" t="s">
        <v>59</v>
      </c>
      <c r="D1247" s="23" t="s">
        <v>62</v>
      </c>
      <c r="E1247" s="23" t="s">
        <v>65</v>
      </c>
      <c r="F1247" s="423" t="s">
        <v>209</v>
      </c>
      <c r="G1247" s="415" t="s">
        <v>724</v>
      </c>
      <c r="H1247" s="24">
        <f>5000-150</f>
        <v>4850</v>
      </c>
    </row>
    <row r="1248" spans="1:8">
      <c r="A1248" s="34" t="s">
        <v>381</v>
      </c>
      <c r="B1248" s="23" t="s">
        <v>69</v>
      </c>
      <c r="C1248" s="23" t="s">
        <v>59</v>
      </c>
      <c r="D1248" s="23" t="s">
        <v>62</v>
      </c>
      <c r="E1248" s="23" t="s">
        <v>65</v>
      </c>
      <c r="F1248" s="424" t="s">
        <v>498</v>
      </c>
      <c r="G1248" s="416" t="s">
        <v>725</v>
      </c>
      <c r="H1248" s="24">
        <v>300</v>
      </c>
    </row>
    <row r="1249" spans="1:8">
      <c r="A1249" s="34" t="s">
        <v>381</v>
      </c>
      <c r="B1249" s="23" t="s">
        <v>69</v>
      </c>
      <c r="C1249" s="23" t="s">
        <v>59</v>
      </c>
      <c r="D1249" s="23" t="s">
        <v>62</v>
      </c>
      <c r="E1249" s="23" t="s">
        <v>65</v>
      </c>
      <c r="F1249" s="424" t="s">
        <v>726</v>
      </c>
      <c r="G1249" s="416" t="s">
        <v>727</v>
      </c>
      <c r="H1249" s="24">
        <v>7000</v>
      </c>
    </row>
    <row r="1250" spans="1:8">
      <c r="A1250" s="34" t="s">
        <v>381</v>
      </c>
      <c r="B1250" s="23" t="s">
        <v>69</v>
      </c>
      <c r="C1250" s="23" t="s">
        <v>59</v>
      </c>
      <c r="D1250" s="23" t="s">
        <v>62</v>
      </c>
      <c r="E1250" s="23" t="s">
        <v>65</v>
      </c>
      <c r="F1250" s="425">
        <v>54112</v>
      </c>
      <c r="G1250" s="416" t="s">
        <v>728</v>
      </c>
      <c r="H1250" s="25">
        <v>500</v>
      </c>
    </row>
    <row r="1251" spans="1:8">
      <c r="A1251" s="34" t="s">
        <v>381</v>
      </c>
      <c r="B1251" s="23" t="s">
        <v>69</v>
      </c>
      <c r="C1251" s="23" t="s">
        <v>59</v>
      </c>
      <c r="D1251" s="23" t="s">
        <v>62</v>
      </c>
      <c r="E1251" s="23" t="s">
        <v>65</v>
      </c>
      <c r="F1251" s="425">
        <v>54118</v>
      </c>
      <c r="G1251" s="416" t="s">
        <v>729</v>
      </c>
      <c r="H1251" s="25">
        <v>250</v>
      </c>
    </row>
    <row r="1252" spans="1:8">
      <c r="A1252" s="34" t="s">
        <v>381</v>
      </c>
      <c r="B1252" s="23" t="s">
        <v>69</v>
      </c>
      <c r="C1252" s="23" t="s">
        <v>59</v>
      </c>
      <c r="D1252" s="23" t="s">
        <v>62</v>
      </c>
      <c r="E1252" s="23" t="s">
        <v>65</v>
      </c>
      <c r="F1252" s="425">
        <v>54199</v>
      </c>
      <c r="G1252" s="419" t="s">
        <v>730</v>
      </c>
      <c r="H1252" s="25">
        <v>350</v>
      </c>
    </row>
    <row r="1253" spans="1:8">
      <c r="A1253" s="34" t="s">
        <v>381</v>
      </c>
      <c r="B1253" s="23" t="s">
        <v>69</v>
      </c>
      <c r="C1253" s="23" t="s">
        <v>59</v>
      </c>
      <c r="D1253" s="23" t="s">
        <v>62</v>
      </c>
      <c r="E1253" s="23" t="s">
        <v>65</v>
      </c>
      <c r="F1253" s="487">
        <v>34304</v>
      </c>
      <c r="G1253" s="419" t="s">
        <v>983</v>
      </c>
      <c r="H1253" s="25">
        <v>1000</v>
      </c>
    </row>
    <row r="1254" spans="1:8">
      <c r="A1254" s="34" t="s">
        <v>381</v>
      </c>
      <c r="B1254" s="23" t="s">
        <v>69</v>
      </c>
      <c r="C1254" s="23" t="s">
        <v>59</v>
      </c>
      <c r="D1254" s="23" t="s">
        <v>62</v>
      </c>
      <c r="E1254" s="23" t="s">
        <v>65</v>
      </c>
      <c r="F1254" s="487">
        <v>61608</v>
      </c>
      <c r="G1254" s="419" t="s">
        <v>731</v>
      </c>
      <c r="H1254" s="25">
        <v>750</v>
      </c>
    </row>
    <row r="1255" spans="1:8" ht="15.75" thickBot="1">
      <c r="A1255" s="1064"/>
      <c r="B1255" s="1065"/>
      <c r="C1255" s="1065"/>
      <c r="D1255" s="1065"/>
      <c r="E1255" s="1066"/>
      <c r="F1255" s="1067"/>
      <c r="G1255" s="1068"/>
      <c r="H1255" s="1071">
        <f>SUM(H1247:H1254)</f>
        <v>15000</v>
      </c>
    </row>
    <row r="1256" spans="1:8" ht="15.75" thickBot="1">
      <c r="B1256" s="9"/>
      <c r="C1256" s="10"/>
      <c r="D1256" s="3"/>
      <c r="E1256" s="3"/>
      <c r="F1256" s="3"/>
    </row>
    <row r="1257" spans="1:8">
      <c r="A1257" s="2573" t="s">
        <v>732</v>
      </c>
      <c r="B1257" s="2574"/>
      <c r="C1257" s="2574"/>
      <c r="D1257" s="2574"/>
      <c r="E1257" s="2574"/>
      <c r="F1257" s="2574"/>
      <c r="G1257" s="2575" t="s">
        <v>1323</v>
      </c>
      <c r="H1257" s="2576"/>
    </row>
    <row r="1258" spans="1:8">
      <c r="A1258" s="2577" t="s">
        <v>1110</v>
      </c>
      <c r="B1258" s="2578"/>
      <c r="C1258" s="2578"/>
      <c r="D1258" s="2578"/>
      <c r="E1258" s="2578"/>
      <c r="F1258" s="2579"/>
      <c r="G1258" s="483"/>
      <c r="H1258" s="484"/>
    </row>
    <row r="1259" spans="1:8" ht="14.25">
      <c r="A1259" s="2580"/>
      <c r="B1259" s="2581"/>
      <c r="C1259" s="2581"/>
      <c r="D1259" s="2581"/>
      <c r="E1259" s="2581"/>
      <c r="F1259" s="2582"/>
      <c r="G1259" s="2580" t="s">
        <v>1096</v>
      </c>
      <c r="H1259" s="2552"/>
    </row>
    <row r="1260" spans="1:8">
      <c r="A1260" s="2597" t="s">
        <v>1111</v>
      </c>
      <c r="B1260" s="2584"/>
      <c r="C1260" s="2584"/>
      <c r="D1260" s="2584"/>
      <c r="E1260" s="2584"/>
      <c r="F1260" s="2585"/>
      <c r="G1260" s="483"/>
      <c r="H1260" s="484"/>
    </row>
    <row r="1261" spans="1:8" ht="14.25">
      <c r="A1261" s="2586"/>
      <c r="B1261" s="2587"/>
      <c r="C1261" s="2587"/>
      <c r="D1261" s="2587"/>
      <c r="E1261" s="2587"/>
      <c r="F1261" s="2588"/>
      <c r="G1261" s="2589" t="s">
        <v>695</v>
      </c>
      <c r="H1261" s="2552"/>
    </row>
    <row r="1262" spans="1:8">
      <c r="A1262" s="482"/>
      <c r="B1262" s="551"/>
      <c r="C1262" s="551"/>
      <c r="D1262" s="551"/>
      <c r="E1262" s="551"/>
      <c r="F1262" s="551"/>
      <c r="G1262" s="485"/>
      <c r="H1262" s="484"/>
    </row>
    <row r="1263" spans="1:8" thickBot="1">
      <c r="A1263" s="2590" t="s">
        <v>692</v>
      </c>
      <c r="B1263" s="2561"/>
      <c r="C1263" s="2561"/>
      <c r="D1263" s="2561"/>
      <c r="E1263" s="2561"/>
      <c r="F1263" s="2562"/>
      <c r="G1263" s="2591" t="s">
        <v>696</v>
      </c>
      <c r="H1263" s="2562"/>
    </row>
    <row r="1264" spans="1:8" ht="44.25" customHeight="1">
      <c r="A1264" s="2601" t="s">
        <v>821</v>
      </c>
      <c r="B1264" s="2601"/>
      <c r="C1264" s="2601"/>
      <c r="D1264" s="2601"/>
      <c r="E1264" s="2601"/>
      <c r="F1264" s="2601"/>
      <c r="G1264" s="2601"/>
      <c r="H1264" s="2601"/>
    </row>
    <row r="1265" spans="1:8" ht="44.25" customHeight="1">
      <c r="A1265" s="613"/>
      <c r="B1265" s="613"/>
      <c r="C1265" s="613"/>
      <c r="D1265" s="613"/>
      <c r="E1265" s="613"/>
      <c r="F1265" s="613"/>
      <c r="G1265" s="613"/>
      <c r="H1265" s="613"/>
    </row>
    <row r="1266" spans="1:8" ht="44.25" customHeight="1">
      <c r="A1266" s="613"/>
      <c r="B1266" s="613"/>
      <c r="C1266" s="613"/>
      <c r="D1266" s="613"/>
      <c r="E1266" s="613"/>
      <c r="F1266" s="613"/>
      <c r="G1266" s="613"/>
      <c r="H1266" s="613"/>
    </row>
    <row r="1267" spans="1:8">
      <c r="A1267" s="553"/>
      <c r="B1267" s="554"/>
      <c r="C1267" s="554"/>
      <c r="D1267" s="554"/>
      <c r="E1267" s="554"/>
      <c r="F1267" s="554"/>
      <c r="G1267" s="555"/>
      <c r="H1267" s="554"/>
    </row>
    <row r="1268" spans="1:8" ht="18.75">
      <c r="A1268" s="2703" t="s">
        <v>111</v>
      </c>
      <c r="B1268" s="2705"/>
      <c r="C1268" s="2705"/>
      <c r="D1268" s="2705"/>
      <c r="E1268" s="2705"/>
      <c r="F1268" s="2705"/>
      <c r="G1268" s="2705"/>
      <c r="H1268" s="2705"/>
    </row>
    <row r="1269" spans="1:8" ht="18.75">
      <c r="A1269" s="2703" t="s">
        <v>757</v>
      </c>
      <c r="B1269" s="2705"/>
      <c r="C1269" s="2705"/>
      <c r="D1269" s="2705"/>
      <c r="E1269" s="2705"/>
      <c r="F1269" s="2705"/>
      <c r="G1269" s="2705"/>
      <c r="H1269" s="2705"/>
    </row>
    <row r="1270" spans="1:8" ht="18.75">
      <c r="A1270" s="2704" t="s">
        <v>211</v>
      </c>
      <c r="B1270" s="2705"/>
      <c r="C1270" s="2705"/>
      <c r="D1270" s="2705"/>
      <c r="E1270" s="2705"/>
      <c r="F1270" s="2705"/>
      <c r="G1270" s="2705"/>
      <c r="H1270" s="2705"/>
    </row>
    <row r="1271" spans="1:8" ht="18.75">
      <c r="A1271" s="2704" t="s">
        <v>1212</v>
      </c>
      <c r="B1271" s="2705"/>
      <c r="C1271" s="2705"/>
      <c r="D1271" s="2705"/>
      <c r="E1271" s="2705"/>
      <c r="F1271" s="2705"/>
      <c r="G1271" s="2705"/>
      <c r="H1271" s="2705"/>
    </row>
    <row r="1272" spans="1:8" ht="18.75">
      <c r="A1272" s="2704" t="s">
        <v>32</v>
      </c>
      <c r="B1272" s="2705"/>
      <c r="C1272" s="2705"/>
      <c r="D1272" s="2705"/>
      <c r="E1272" s="2705"/>
      <c r="F1272" s="2705"/>
      <c r="G1272" s="2705"/>
      <c r="H1272" s="2705"/>
    </row>
    <row r="1273" spans="1:8">
      <c r="A1273" s="814"/>
      <c r="B1273" s="815"/>
      <c r="C1273" s="816"/>
      <c r="D1273" s="817"/>
      <c r="E1273" s="817"/>
      <c r="F1273" s="817"/>
      <c r="G1273" s="818"/>
      <c r="H1273" s="819"/>
    </row>
    <row r="1274" spans="1:8" ht="18.75">
      <c r="A1274" s="2706" t="s">
        <v>49</v>
      </c>
      <c r="B1274" s="2706"/>
      <c r="C1274" s="2706"/>
      <c r="D1274" s="2706"/>
      <c r="E1274" s="2706"/>
      <c r="F1274" s="2706"/>
      <c r="G1274" s="2706"/>
      <c r="H1274" s="2706"/>
    </row>
    <row r="1275" spans="1:8" ht="31.5" customHeight="1" thickBot="1">
      <c r="A1275" s="2787" t="s">
        <v>1112</v>
      </c>
      <c r="B1275" s="2788"/>
      <c r="C1275" s="2788"/>
      <c r="D1275" s="2788"/>
      <c r="E1275" s="2788"/>
      <c r="F1275" s="2788"/>
      <c r="G1275" s="2788"/>
      <c r="H1275" s="2788"/>
    </row>
    <row r="1276" spans="1:8" ht="15.75" thickBot="1">
      <c r="A1276" s="2709" t="s">
        <v>29</v>
      </c>
      <c r="B1276" s="2789"/>
      <c r="C1276" s="2789"/>
      <c r="D1276" s="2789"/>
      <c r="E1276" s="2789"/>
      <c r="F1276" s="2790"/>
      <c r="G1276" s="2712" t="s">
        <v>640</v>
      </c>
      <c r="H1276" s="2714" t="s">
        <v>639</v>
      </c>
    </row>
    <row r="1277" spans="1:8" ht="64.5" customHeight="1" thickBot="1">
      <c r="A1277" s="1106" t="s">
        <v>39</v>
      </c>
      <c r="B1277" s="1107" t="s">
        <v>40</v>
      </c>
      <c r="C1277" s="1107" t="s">
        <v>41</v>
      </c>
      <c r="D1277" s="1107" t="s">
        <v>45</v>
      </c>
      <c r="E1277" s="1108" t="s">
        <v>42</v>
      </c>
      <c r="F1277" s="823" t="s">
        <v>43</v>
      </c>
      <c r="G1277" s="2791"/>
      <c r="H1277" s="2723"/>
    </row>
    <row r="1278" spans="1:8" ht="15.75" customHeight="1">
      <c r="A1278" s="824" t="s">
        <v>381</v>
      </c>
      <c r="B1278" s="825" t="s">
        <v>69</v>
      </c>
      <c r="C1278" s="825" t="s">
        <v>59</v>
      </c>
      <c r="D1278" s="825" t="s">
        <v>62</v>
      </c>
      <c r="E1278" s="825" t="s">
        <v>65</v>
      </c>
      <c r="F1278" s="1173" t="s">
        <v>209</v>
      </c>
      <c r="G1278" s="1174" t="s">
        <v>724</v>
      </c>
      <c r="H1278" s="828">
        <v>3000</v>
      </c>
    </row>
    <row r="1279" spans="1:8">
      <c r="A1279" s="824" t="s">
        <v>381</v>
      </c>
      <c r="B1279" s="825" t="s">
        <v>69</v>
      </c>
      <c r="C1279" s="825" t="s">
        <v>59</v>
      </c>
      <c r="D1279" s="825" t="s">
        <v>62</v>
      </c>
      <c r="E1279" s="825" t="s">
        <v>65</v>
      </c>
      <c r="F1279" s="1175" t="s">
        <v>498</v>
      </c>
      <c r="G1279" s="1176" t="s">
        <v>725</v>
      </c>
      <c r="H1279" s="828">
        <v>200</v>
      </c>
    </row>
    <row r="1280" spans="1:8">
      <c r="A1280" s="824" t="s">
        <v>381</v>
      </c>
      <c r="B1280" s="825" t="s">
        <v>69</v>
      </c>
      <c r="C1280" s="825" t="s">
        <v>59</v>
      </c>
      <c r="D1280" s="825" t="s">
        <v>62</v>
      </c>
      <c r="E1280" s="825" t="s">
        <v>65</v>
      </c>
      <c r="F1280" s="1175" t="s">
        <v>726</v>
      </c>
      <c r="G1280" s="1176" t="s">
        <v>727</v>
      </c>
      <c r="H1280" s="828">
        <v>4300</v>
      </c>
    </row>
    <row r="1281" spans="1:8">
      <c r="A1281" s="824" t="s">
        <v>381</v>
      </c>
      <c r="B1281" s="825" t="s">
        <v>69</v>
      </c>
      <c r="C1281" s="825" t="s">
        <v>59</v>
      </c>
      <c r="D1281" s="825" t="s">
        <v>62</v>
      </c>
      <c r="E1281" s="825" t="s">
        <v>65</v>
      </c>
      <c r="F1281" s="1177">
        <v>54112</v>
      </c>
      <c r="G1281" s="1176" t="s">
        <v>728</v>
      </c>
      <c r="H1281" s="830">
        <v>500</v>
      </c>
    </row>
    <row r="1282" spans="1:8">
      <c r="A1282" s="824" t="s">
        <v>381</v>
      </c>
      <c r="B1282" s="825" t="s">
        <v>69</v>
      </c>
      <c r="C1282" s="825" t="s">
        <v>59</v>
      </c>
      <c r="D1282" s="825" t="s">
        <v>62</v>
      </c>
      <c r="E1282" s="825" t="s">
        <v>65</v>
      </c>
      <c r="F1282" s="1177">
        <v>54118</v>
      </c>
      <c r="G1282" s="1176" t="s">
        <v>729</v>
      </c>
      <c r="H1282" s="830">
        <v>250</v>
      </c>
    </row>
    <row r="1283" spans="1:8">
      <c r="A1283" s="824" t="s">
        <v>381</v>
      </c>
      <c r="B1283" s="825" t="s">
        <v>69</v>
      </c>
      <c r="C1283" s="825" t="s">
        <v>59</v>
      </c>
      <c r="D1283" s="825" t="s">
        <v>62</v>
      </c>
      <c r="E1283" s="825" t="s">
        <v>65</v>
      </c>
      <c r="F1283" s="1177">
        <v>54199</v>
      </c>
      <c r="G1283" s="827" t="s">
        <v>730</v>
      </c>
      <c r="H1283" s="830">
        <v>350</v>
      </c>
    </row>
    <row r="1284" spans="1:8">
      <c r="A1284" s="824" t="s">
        <v>381</v>
      </c>
      <c r="B1284" s="825" t="s">
        <v>69</v>
      </c>
      <c r="C1284" s="825" t="s">
        <v>59</v>
      </c>
      <c r="D1284" s="825" t="s">
        <v>62</v>
      </c>
      <c r="E1284" s="825" t="s">
        <v>65</v>
      </c>
      <c r="F1284" s="1819">
        <v>34304</v>
      </c>
      <c r="G1284" s="827" t="s">
        <v>983</v>
      </c>
      <c r="H1284" s="830">
        <v>900</v>
      </c>
    </row>
    <row r="1285" spans="1:8">
      <c r="A1285" s="824" t="s">
        <v>381</v>
      </c>
      <c r="B1285" s="825" t="s">
        <v>69</v>
      </c>
      <c r="C1285" s="825" t="s">
        <v>59</v>
      </c>
      <c r="D1285" s="825" t="s">
        <v>62</v>
      </c>
      <c r="E1285" s="825" t="s">
        <v>65</v>
      </c>
      <c r="F1285" s="1819">
        <v>61608</v>
      </c>
      <c r="G1285" s="827" t="s">
        <v>731</v>
      </c>
      <c r="H1285" s="830">
        <v>500</v>
      </c>
    </row>
    <row r="1286" spans="1:8" ht="15.75" thickBot="1">
      <c r="A1286" s="833"/>
      <c r="B1286" s="834"/>
      <c r="C1286" s="834"/>
      <c r="D1286" s="834"/>
      <c r="E1286" s="835"/>
      <c r="F1286" s="836"/>
      <c r="G1286" s="837"/>
      <c r="H1286" s="838">
        <f>SUM(H1278:H1285)</f>
        <v>10000</v>
      </c>
    </row>
    <row r="1287" spans="1:8" ht="15.75" thickBot="1">
      <c r="A1287" s="839"/>
      <c r="B1287" s="839"/>
      <c r="C1287" s="840"/>
      <c r="D1287" s="841"/>
      <c r="E1287" s="841"/>
      <c r="F1287" s="841"/>
      <c r="G1287" s="818"/>
      <c r="H1287" s="819"/>
    </row>
    <row r="1288" spans="1:8">
      <c r="A1288" s="2685" t="s">
        <v>732</v>
      </c>
      <c r="B1288" s="2686"/>
      <c r="C1288" s="2686"/>
      <c r="D1288" s="2686"/>
      <c r="E1288" s="2686"/>
      <c r="F1288" s="2686"/>
      <c r="G1288" s="2687" t="s">
        <v>1323</v>
      </c>
      <c r="H1288" s="2688"/>
    </row>
    <row r="1289" spans="1:8">
      <c r="A1289" s="2834" t="s">
        <v>1112</v>
      </c>
      <c r="B1289" s="2835"/>
      <c r="C1289" s="2835"/>
      <c r="D1289" s="2835"/>
      <c r="E1289" s="2835"/>
      <c r="F1289" s="2836"/>
      <c r="G1289" s="845"/>
      <c r="H1289" s="846"/>
    </row>
    <row r="1290" spans="1:8" ht="15" customHeight="1">
      <c r="A1290" s="2689"/>
      <c r="B1290" s="2837"/>
      <c r="C1290" s="2837"/>
      <c r="D1290" s="2837"/>
      <c r="E1290" s="2837"/>
      <c r="F1290" s="2838"/>
      <c r="G1290" s="2689" t="s">
        <v>1096</v>
      </c>
      <c r="H1290" s="2691"/>
    </row>
    <row r="1291" spans="1:8" ht="15" customHeight="1">
      <c r="A1291" s="2692" t="s">
        <v>1113</v>
      </c>
      <c r="B1291" s="2693"/>
      <c r="C1291" s="2693"/>
      <c r="D1291" s="2693"/>
      <c r="E1291" s="2693"/>
      <c r="F1291" s="2694"/>
      <c r="G1291" s="845"/>
      <c r="H1291" s="846"/>
    </row>
    <row r="1292" spans="1:8" ht="18.75" customHeight="1">
      <c r="A1292" s="2695"/>
      <c r="B1292" s="2696"/>
      <c r="C1292" s="2696"/>
      <c r="D1292" s="2696"/>
      <c r="E1292" s="2696"/>
      <c r="F1292" s="2697"/>
      <c r="G1292" s="2698" t="s">
        <v>695</v>
      </c>
      <c r="H1292" s="2691"/>
    </row>
    <row r="1293" spans="1:8" ht="15.75" customHeight="1">
      <c r="A1293" s="842"/>
      <c r="B1293" s="843"/>
      <c r="C1293" s="843"/>
      <c r="D1293" s="843"/>
      <c r="E1293" s="843"/>
      <c r="F1293" s="843"/>
      <c r="G1293" s="847"/>
      <c r="H1293" s="846"/>
    </row>
    <row r="1294" spans="1:8" ht="14.25" customHeight="1" thickBot="1">
      <c r="A1294" s="2699" t="s">
        <v>692</v>
      </c>
      <c r="B1294" s="2700"/>
      <c r="C1294" s="2700"/>
      <c r="D1294" s="2700"/>
      <c r="E1294" s="2700"/>
      <c r="F1294" s="2701"/>
      <c r="G1294" s="2702" t="s">
        <v>696</v>
      </c>
      <c r="H1294" s="2701"/>
    </row>
    <row r="1295" spans="1:8" ht="44.25" customHeight="1">
      <c r="A1295" s="2716" t="s">
        <v>821</v>
      </c>
      <c r="B1295" s="2716"/>
      <c r="C1295" s="2716"/>
      <c r="D1295" s="2716"/>
      <c r="E1295" s="2716"/>
      <c r="F1295" s="2716"/>
      <c r="G1295" s="2716"/>
      <c r="H1295" s="2716"/>
    </row>
    <row r="1296" spans="1:8" ht="15" customHeight="1">
      <c r="A1296" s="553"/>
      <c r="B1296" s="554"/>
      <c r="C1296" s="554"/>
      <c r="D1296" s="554"/>
      <c r="E1296" s="554"/>
      <c r="F1296" s="554"/>
      <c r="G1296" s="555"/>
      <c r="H1296" s="554"/>
    </row>
    <row r="1297" spans="1:8" ht="15" customHeight="1">
      <c r="A1297" s="553"/>
      <c r="B1297" s="554"/>
      <c r="C1297" s="554"/>
      <c r="D1297" s="554"/>
      <c r="E1297" s="554"/>
      <c r="F1297" s="554"/>
      <c r="G1297" s="555"/>
      <c r="H1297" s="554"/>
    </row>
    <row r="1298" spans="1:8" ht="15" customHeight="1">
      <c r="A1298" s="553"/>
      <c r="B1298" s="554"/>
      <c r="C1298" s="554"/>
      <c r="D1298" s="554"/>
      <c r="E1298" s="554"/>
      <c r="F1298" s="554"/>
      <c r="G1298" s="555"/>
      <c r="H1298" s="554"/>
    </row>
    <row r="1299" spans="1:8" ht="15" customHeight="1">
      <c r="A1299" s="553"/>
      <c r="B1299" s="554"/>
      <c r="C1299" s="554"/>
      <c r="D1299" s="554"/>
      <c r="E1299" s="554"/>
      <c r="F1299" s="554"/>
      <c r="G1299" s="555"/>
      <c r="H1299" s="554"/>
    </row>
    <row r="1300" spans="1:8" ht="15" customHeight="1">
      <c r="A1300" s="553"/>
      <c r="B1300" s="554"/>
      <c r="C1300" s="554"/>
      <c r="D1300" s="554"/>
      <c r="E1300" s="554"/>
      <c r="F1300" s="554"/>
      <c r="G1300" s="555"/>
      <c r="H1300" s="554"/>
    </row>
    <row r="1301" spans="1:8" ht="15" customHeight="1">
      <c r="A1301" s="553"/>
      <c r="B1301" s="554"/>
      <c r="C1301" s="554"/>
      <c r="D1301" s="554"/>
      <c r="E1301" s="554"/>
      <c r="F1301" s="554"/>
      <c r="G1301" s="555"/>
      <c r="H1301" s="554"/>
    </row>
    <row r="1302" spans="1:8" ht="15" customHeight="1">
      <c r="A1302" s="553"/>
      <c r="B1302" s="554"/>
      <c r="C1302" s="554"/>
      <c r="D1302" s="554"/>
      <c r="E1302" s="554"/>
      <c r="F1302" s="554"/>
      <c r="G1302" s="555"/>
      <c r="H1302" s="554"/>
    </row>
    <row r="1303" spans="1:8" ht="15" customHeight="1">
      <c r="A1303" s="2162" t="s">
        <v>111</v>
      </c>
      <c r="B1303" s="2164"/>
      <c r="C1303" s="2164"/>
      <c r="D1303" s="2164"/>
      <c r="E1303" s="2164"/>
      <c r="F1303" s="2164"/>
      <c r="G1303" s="2164"/>
      <c r="H1303" s="2164"/>
    </row>
    <row r="1304" spans="1:8" ht="15" customHeight="1">
      <c r="A1304" s="2162" t="s">
        <v>757</v>
      </c>
      <c r="B1304" s="2164"/>
      <c r="C1304" s="2164"/>
      <c r="D1304" s="2164"/>
      <c r="E1304" s="2164"/>
      <c r="F1304" s="2164"/>
      <c r="G1304" s="2164"/>
      <c r="H1304" s="2164"/>
    </row>
    <row r="1305" spans="1:8" ht="15" customHeight="1">
      <c r="A1305" s="2163" t="s">
        <v>211</v>
      </c>
      <c r="B1305" s="2164"/>
      <c r="C1305" s="2164"/>
      <c r="D1305" s="2164"/>
      <c r="E1305" s="2164"/>
      <c r="F1305" s="2164"/>
      <c r="G1305" s="2164"/>
      <c r="H1305" s="2164"/>
    </row>
    <row r="1306" spans="1:8" ht="15" customHeight="1">
      <c r="A1306" s="2163" t="s">
        <v>1212</v>
      </c>
      <c r="B1306" s="2164"/>
      <c r="C1306" s="2164"/>
      <c r="D1306" s="2164"/>
      <c r="E1306" s="2164"/>
      <c r="F1306" s="2164"/>
      <c r="G1306" s="2164"/>
      <c r="H1306" s="2164"/>
    </row>
    <row r="1307" spans="1:8" ht="15" customHeight="1">
      <c r="A1307" s="2163" t="s">
        <v>32</v>
      </c>
      <c r="B1307" s="2164"/>
      <c r="C1307" s="2164"/>
      <c r="D1307" s="2164"/>
      <c r="E1307" s="2164"/>
      <c r="F1307" s="2164"/>
      <c r="G1307" s="2164"/>
      <c r="H1307" s="2164"/>
    </row>
    <row r="1308" spans="1:8" ht="15" customHeight="1">
      <c r="A1308" s="33"/>
    </row>
    <row r="1309" spans="1:8" ht="15" customHeight="1">
      <c r="A1309" s="2596" t="s">
        <v>49</v>
      </c>
      <c r="B1309" s="2596"/>
      <c r="C1309" s="2596"/>
      <c r="D1309" s="2596"/>
      <c r="E1309" s="2596"/>
      <c r="F1309" s="2596"/>
      <c r="G1309" s="2596"/>
      <c r="H1309" s="2596"/>
    </row>
    <row r="1310" spans="1:8" ht="46.5" customHeight="1" thickBot="1">
      <c r="A1310" s="2839" t="s">
        <v>1114</v>
      </c>
      <c r="B1310" s="2840"/>
      <c r="C1310" s="2840"/>
      <c r="D1310" s="2840"/>
      <c r="E1310" s="2840"/>
      <c r="F1310" s="2840"/>
      <c r="G1310" s="2840"/>
      <c r="H1310" s="2840"/>
    </row>
    <row r="1311" spans="1:8" ht="15" customHeight="1" thickBot="1">
      <c r="A1311" s="2606" t="s">
        <v>29</v>
      </c>
      <c r="B1311" s="2620"/>
      <c r="C1311" s="2620"/>
      <c r="D1311" s="2620"/>
      <c r="E1311" s="2620"/>
      <c r="F1311" s="2621"/>
      <c r="G1311" s="2609" t="s">
        <v>640</v>
      </c>
      <c r="H1311" s="2610" t="s">
        <v>639</v>
      </c>
    </row>
    <row r="1312" spans="1:8" ht="75.75" customHeight="1" thickBot="1">
      <c r="A1312" s="411" t="s">
        <v>39</v>
      </c>
      <c r="B1312" s="412" t="s">
        <v>40</v>
      </c>
      <c r="C1312" s="412" t="s">
        <v>41</v>
      </c>
      <c r="D1312" s="412" t="s">
        <v>45</v>
      </c>
      <c r="E1312" s="413" t="s">
        <v>42</v>
      </c>
      <c r="F1312" s="407" t="s">
        <v>43</v>
      </c>
      <c r="G1312" s="2622"/>
      <c r="H1312" s="2595"/>
    </row>
    <row r="1313" spans="1:8" ht="15" customHeight="1">
      <c r="A1313" s="34" t="s">
        <v>381</v>
      </c>
      <c r="B1313" s="23" t="s">
        <v>69</v>
      </c>
      <c r="C1313" s="23" t="s">
        <v>59</v>
      </c>
      <c r="D1313" s="23" t="s">
        <v>62</v>
      </c>
      <c r="E1313" s="23" t="s">
        <v>65</v>
      </c>
      <c r="F1313" s="423" t="s">
        <v>209</v>
      </c>
      <c r="G1313" s="415" t="s">
        <v>724</v>
      </c>
      <c r="H1313" s="24">
        <v>1500</v>
      </c>
    </row>
    <row r="1314" spans="1:8" ht="15" customHeight="1">
      <c r="A1314" s="34" t="s">
        <v>381</v>
      </c>
      <c r="B1314" s="23" t="s">
        <v>69</v>
      </c>
      <c r="C1314" s="23" t="s">
        <v>59</v>
      </c>
      <c r="D1314" s="23" t="s">
        <v>62</v>
      </c>
      <c r="E1314" s="23" t="s">
        <v>65</v>
      </c>
      <c r="F1314" s="424" t="s">
        <v>726</v>
      </c>
      <c r="G1314" s="416" t="s">
        <v>727</v>
      </c>
      <c r="H1314" s="24">
        <v>2100</v>
      </c>
    </row>
    <row r="1315" spans="1:8" ht="15" customHeight="1">
      <c r="A1315" s="34" t="s">
        <v>381</v>
      </c>
      <c r="B1315" s="23" t="s">
        <v>69</v>
      </c>
      <c r="C1315" s="23" t="s">
        <v>59</v>
      </c>
      <c r="D1315" s="23" t="s">
        <v>62</v>
      </c>
      <c r="E1315" s="23" t="s">
        <v>65</v>
      </c>
      <c r="F1315" s="425">
        <v>54112</v>
      </c>
      <c r="G1315" s="416" t="s">
        <v>728</v>
      </c>
      <c r="H1315" s="25">
        <v>300</v>
      </c>
    </row>
    <row r="1316" spans="1:8" ht="18.75" customHeight="1">
      <c r="A1316" s="34" t="s">
        <v>381</v>
      </c>
      <c r="B1316" s="23" t="s">
        <v>69</v>
      </c>
      <c r="C1316" s="23" t="s">
        <v>59</v>
      </c>
      <c r="D1316" s="23" t="s">
        <v>62</v>
      </c>
      <c r="E1316" s="23" t="s">
        <v>65</v>
      </c>
      <c r="F1316" s="425">
        <v>54118</v>
      </c>
      <c r="G1316" s="416" t="s">
        <v>729</v>
      </c>
      <c r="H1316" s="25">
        <v>200</v>
      </c>
    </row>
    <row r="1317" spans="1:8">
      <c r="A1317" s="34" t="s">
        <v>381</v>
      </c>
      <c r="B1317" s="23" t="s">
        <v>69</v>
      </c>
      <c r="C1317" s="23" t="s">
        <v>59</v>
      </c>
      <c r="D1317" s="23" t="s">
        <v>62</v>
      </c>
      <c r="E1317" s="23" t="s">
        <v>65</v>
      </c>
      <c r="F1317" s="425">
        <v>54199</v>
      </c>
      <c r="G1317" s="419" t="s">
        <v>730</v>
      </c>
      <c r="H1317" s="25">
        <v>150</v>
      </c>
    </row>
    <row r="1318" spans="1:8">
      <c r="A1318" s="34" t="s">
        <v>381</v>
      </c>
      <c r="B1318" s="23" t="s">
        <v>69</v>
      </c>
      <c r="C1318" s="23" t="s">
        <v>59</v>
      </c>
      <c r="D1318" s="23" t="s">
        <v>62</v>
      </c>
      <c r="E1318" s="23" t="s">
        <v>65</v>
      </c>
      <c r="F1318" s="487">
        <v>34304</v>
      </c>
      <c r="G1318" s="419" t="s">
        <v>983</v>
      </c>
      <c r="H1318" s="25">
        <v>500</v>
      </c>
    </row>
    <row r="1319" spans="1:8">
      <c r="A1319" s="34" t="s">
        <v>381</v>
      </c>
      <c r="B1319" s="23" t="s">
        <v>69</v>
      </c>
      <c r="C1319" s="23" t="s">
        <v>59</v>
      </c>
      <c r="D1319" s="23" t="s">
        <v>62</v>
      </c>
      <c r="E1319" s="23" t="s">
        <v>65</v>
      </c>
      <c r="F1319" s="487">
        <v>61608</v>
      </c>
      <c r="G1319" s="419" t="s">
        <v>731</v>
      </c>
      <c r="H1319" s="25">
        <v>250</v>
      </c>
    </row>
    <row r="1320" spans="1:8" ht="15.75" thickBot="1">
      <c r="A1320" s="1064"/>
      <c r="B1320" s="1065"/>
      <c r="C1320" s="1065"/>
      <c r="D1320" s="1065"/>
      <c r="E1320" s="1066"/>
      <c r="F1320" s="1067"/>
      <c r="G1320" s="1068"/>
      <c r="H1320" s="1071">
        <f>SUM(H1313:H1319)</f>
        <v>5000</v>
      </c>
    </row>
    <row r="1321" spans="1:8" ht="15.75" thickBot="1">
      <c r="B1321" s="9"/>
      <c r="C1321" s="10"/>
      <c r="D1321" s="3"/>
      <c r="E1321" s="3"/>
      <c r="F1321" s="3"/>
    </row>
    <row r="1322" spans="1:8">
      <c r="A1322" s="2573" t="s">
        <v>732</v>
      </c>
      <c r="B1322" s="2574"/>
      <c r="C1322" s="2574"/>
      <c r="D1322" s="2574"/>
      <c r="E1322" s="2574"/>
      <c r="F1322" s="2574"/>
      <c r="G1322" s="2575" t="s">
        <v>1323</v>
      </c>
      <c r="H1322" s="2576"/>
    </row>
    <row r="1323" spans="1:8">
      <c r="A1323" s="2577" t="s">
        <v>1114</v>
      </c>
      <c r="B1323" s="2578"/>
      <c r="C1323" s="2578"/>
      <c r="D1323" s="2578"/>
      <c r="E1323" s="2578"/>
      <c r="F1323" s="2579"/>
      <c r="G1323" s="483"/>
      <c r="H1323" s="484"/>
    </row>
    <row r="1324" spans="1:8" ht="14.25">
      <c r="A1324" s="2580"/>
      <c r="B1324" s="2581"/>
      <c r="C1324" s="2581"/>
      <c r="D1324" s="2581"/>
      <c r="E1324" s="2581"/>
      <c r="F1324" s="2582"/>
      <c r="G1324" s="2580" t="s">
        <v>1096</v>
      </c>
      <c r="H1324" s="2552"/>
    </row>
    <row r="1325" spans="1:8">
      <c r="A1325" s="2597" t="s">
        <v>1115</v>
      </c>
      <c r="B1325" s="2584"/>
      <c r="C1325" s="2584"/>
      <c r="D1325" s="2584"/>
      <c r="E1325" s="2584"/>
      <c r="F1325" s="2585"/>
      <c r="G1325" s="483"/>
      <c r="H1325" s="484"/>
    </row>
    <row r="1326" spans="1:8" ht="14.25">
      <c r="A1326" s="2586"/>
      <c r="B1326" s="2587"/>
      <c r="C1326" s="2587"/>
      <c r="D1326" s="2587"/>
      <c r="E1326" s="2587"/>
      <c r="F1326" s="2588"/>
      <c r="G1326" s="2589" t="s">
        <v>695</v>
      </c>
      <c r="H1326" s="2552"/>
    </row>
    <row r="1327" spans="1:8">
      <c r="A1327" s="482"/>
      <c r="B1327" s="551"/>
      <c r="C1327" s="551"/>
      <c r="D1327" s="551"/>
      <c r="E1327" s="551"/>
      <c r="F1327" s="551"/>
      <c r="G1327" s="485"/>
      <c r="H1327" s="484"/>
    </row>
    <row r="1328" spans="1:8" thickBot="1">
      <c r="A1328" s="2590" t="s">
        <v>692</v>
      </c>
      <c r="B1328" s="2561"/>
      <c r="C1328" s="2561"/>
      <c r="D1328" s="2561"/>
      <c r="E1328" s="2561"/>
      <c r="F1328" s="2562"/>
      <c r="G1328" s="2591" t="s">
        <v>696</v>
      </c>
      <c r="H1328" s="2562"/>
    </row>
    <row r="1329" spans="1:8" ht="40.5" customHeight="1">
      <c r="A1329" s="2601" t="s">
        <v>821</v>
      </c>
      <c r="B1329" s="2601"/>
      <c r="C1329" s="2601"/>
      <c r="D1329" s="2601"/>
      <c r="E1329" s="2601"/>
      <c r="F1329" s="2601"/>
      <c r="G1329" s="2601"/>
      <c r="H1329" s="2601"/>
    </row>
    <row r="1330" spans="1:8">
      <c r="A1330" s="1056"/>
      <c r="B1330" s="554"/>
      <c r="C1330" s="554"/>
      <c r="D1330" s="554"/>
      <c r="E1330" s="554"/>
      <c r="F1330" s="554"/>
      <c r="G1330" s="1057"/>
      <c r="H1330" s="554"/>
    </row>
    <row r="1331" spans="1:8">
      <c r="A1331" s="1056"/>
      <c r="B1331" s="554"/>
      <c r="C1331" s="554"/>
      <c r="D1331" s="554"/>
      <c r="E1331" s="554"/>
      <c r="F1331" s="554"/>
      <c r="G1331" s="1057"/>
      <c r="H1331" s="554"/>
    </row>
    <row r="1332" spans="1:8">
      <c r="A1332" s="1056"/>
      <c r="B1332" s="554"/>
      <c r="C1332" s="554"/>
      <c r="D1332" s="554"/>
      <c r="E1332" s="554"/>
      <c r="F1332" s="554"/>
      <c r="G1332" s="1057"/>
      <c r="H1332" s="554"/>
    </row>
    <row r="1333" spans="1:8">
      <c r="A1333" s="1056"/>
      <c r="B1333" s="554"/>
      <c r="C1333" s="554"/>
      <c r="D1333" s="554"/>
      <c r="E1333" s="554"/>
      <c r="F1333" s="554"/>
      <c r="G1333" s="1057"/>
      <c r="H1333" s="554"/>
    </row>
    <row r="1334" spans="1:8" ht="18.75">
      <c r="A1334" s="2162" t="s">
        <v>111</v>
      </c>
      <c r="B1334" s="2164"/>
      <c r="C1334" s="2164"/>
      <c r="D1334" s="2164"/>
      <c r="E1334" s="2164"/>
      <c r="F1334" s="2164"/>
      <c r="G1334" s="2164"/>
      <c r="H1334" s="2164"/>
    </row>
    <row r="1335" spans="1:8" ht="18.75">
      <c r="A1335" s="2162" t="s">
        <v>757</v>
      </c>
      <c r="B1335" s="2164"/>
      <c r="C1335" s="2164"/>
      <c r="D1335" s="2164"/>
      <c r="E1335" s="2164"/>
      <c r="F1335" s="2164"/>
      <c r="G1335" s="2164"/>
      <c r="H1335" s="2164"/>
    </row>
    <row r="1336" spans="1:8" ht="18.75">
      <c r="A1336" s="2163" t="s">
        <v>211</v>
      </c>
      <c r="B1336" s="2164"/>
      <c r="C1336" s="2164"/>
      <c r="D1336" s="2164"/>
      <c r="E1336" s="2164"/>
      <c r="F1336" s="2164"/>
      <c r="G1336" s="2164"/>
      <c r="H1336" s="2164"/>
    </row>
    <row r="1337" spans="1:8" ht="18.75">
      <c r="A1337" s="2163" t="s">
        <v>1212</v>
      </c>
      <c r="B1337" s="2164"/>
      <c r="C1337" s="2164"/>
      <c r="D1337" s="2164"/>
      <c r="E1337" s="2164"/>
      <c r="F1337" s="2164"/>
      <c r="G1337" s="2164"/>
      <c r="H1337" s="2164"/>
    </row>
    <row r="1338" spans="1:8" ht="18.75">
      <c r="A1338" s="2163" t="s">
        <v>32</v>
      </c>
      <c r="B1338" s="2164"/>
      <c r="C1338" s="2164"/>
      <c r="D1338" s="2164"/>
      <c r="E1338" s="2164"/>
      <c r="F1338" s="2164"/>
      <c r="G1338" s="2164"/>
      <c r="H1338" s="2164"/>
    </row>
    <row r="1339" spans="1:8">
      <c r="A1339" s="33"/>
    </row>
    <row r="1340" spans="1:8" ht="18.75">
      <c r="A1340" s="2596" t="s">
        <v>49</v>
      </c>
      <c r="B1340" s="2596"/>
      <c r="C1340" s="2596"/>
      <c r="D1340" s="2596"/>
      <c r="E1340" s="2596"/>
      <c r="F1340" s="2596"/>
      <c r="G1340" s="2596"/>
      <c r="H1340" s="2596"/>
    </row>
    <row r="1341" spans="1:8" ht="43.5" customHeight="1" thickBot="1">
      <c r="A1341" s="2785" t="s">
        <v>1136</v>
      </c>
      <c r="B1341" s="2786"/>
      <c r="C1341" s="2786"/>
      <c r="D1341" s="2786"/>
      <c r="E1341" s="2786"/>
      <c r="F1341" s="2786"/>
      <c r="G1341" s="2786"/>
      <c r="H1341" s="2786"/>
    </row>
    <row r="1342" spans="1:8" ht="15.75" thickBot="1">
      <c r="A1342" s="2606" t="s">
        <v>29</v>
      </c>
      <c r="B1342" s="2620"/>
      <c r="C1342" s="2620"/>
      <c r="D1342" s="2620"/>
      <c r="E1342" s="2620"/>
      <c r="F1342" s="2621"/>
      <c r="G1342" s="2609" t="s">
        <v>640</v>
      </c>
      <c r="H1342" s="2610" t="s">
        <v>639</v>
      </c>
    </row>
    <row r="1343" spans="1:8" ht="75.75" thickBot="1">
      <c r="A1343" s="411" t="s">
        <v>39</v>
      </c>
      <c r="B1343" s="412" t="s">
        <v>40</v>
      </c>
      <c r="C1343" s="412" t="s">
        <v>41</v>
      </c>
      <c r="D1343" s="412" t="s">
        <v>45</v>
      </c>
      <c r="E1343" s="413" t="s">
        <v>42</v>
      </c>
      <c r="F1343" s="407" t="s">
        <v>43</v>
      </c>
      <c r="G1343" s="2622"/>
      <c r="H1343" s="2595"/>
    </row>
    <row r="1344" spans="1:8">
      <c r="A1344" s="34" t="s">
        <v>381</v>
      </c>
      <c r="B1344" s="23" t="s">
        <v>69</v>
      </c>
      <c r="C1344" s="23" t="s">
        <v>59</v>
      </c>
      <c r="D1344" s="23" t="s">
        <v>62</v>
      </c>
      <c r="E1344" s="23" t="s">
        <v>65</v>
      </c>
      <c r="F1344" s="423" t="s">
        <v>209</v>
      </c>
      <c r="G1344" s="415" t="s">
        <v>724</v>
      </c>
      <c r="H1344" s="24">
        <v>1500</v>
      </c>
    </row>
    <row r="1345" spans="1:8">
      <c r="A1345" s="34" t="s">
        <v>381</v>
      </c>
      <c r="B1345" s="23" t="s">
        <v>69</v>
      </c>
      <c r="C1345" s="23" t="s">
        <v>59</v>
      </c>
      <c r="D1345" s="23" t="s">
        <v>62</v>
      </c>
      <c r="E1345" s="23" t="s">
        <v>65</v>
      </c>
      <c r="F1345" s="424" t="s">
        <v>726</v>
      </c>
      <c r="G1345" s="416" t="s">
        <v>727</v>
      </c>
      <c r="H1345" s="24">
        <v>1500</v>
      </c>
    </row>
    <row r="1346" spans="1:8">
      <c r="A1346" s="34" t="s">
        <v>381</v>
      </c>
      <c r="B1346" s="23" t="s">
        <v>69</v>
      </c>
      <c r="C1346" s="23" t="s">
        <v>59</v>
      </c>
      <c r="D1346" s="23" t="s">
        <v>62</v>
      </c>
      <c r="E1346" s="23" t="s">
        <v>65</v>
      </c>
      <c r="F1346" s="425">
        <v>54112</v>
      </c>
      <c r="G1346" s="416" t="s">
        <v>728</v>
      </c>
      <c r="H1346" s="25">
        <v>900</v>
      </c>
    </row>
    <row r="1347" spans="1:8">
      <c r="A1347" s="34" t="s">
        <v>381</v>
      </c>
      <c r="B1347" s="23" t="s">
        <v>69</v>
      </c>
      <c r="C1347" s="23" t="s">
        <v>59</v>
      </c>
      <c r="D1347" s="23" t="s">
        <v>62</v>
      </c>
      <c r="E1347" s="23" t="s">
        <v>65</v>
      </c>
      <c r="F1347" s="425">
        <v>54118</v>
      </c>
      <c r="G1347" s="416" t="s">
        <v>729</v>
      </c>
      <c r="H1347" s="25">
        <v>200</v>
      </c>
    </row>
    <row r="1348" spans="1:8">
      <c r="A1348" s="34" t="s">
        <v>381</v>
      </c>
      <c r="B1348" s="23" t="s">
        <v>69</v>
      </c>
      <c r="C1348" s="23" t="s">
        <v>59</v>
      </c>
      <c r="D1348" s="23" t="s">
        <v>62</v>
      </c>
      <c r="E1348" s="23" t="s">
        <v>65</v>
      </c>
      <c r="F1348" s="425">
        <v>54199</v>
      </c>
      <c r="G1348" s="419" t="s">
        <v>730</v>
      </c>
      <c r="H1348" s="25">
        <v>150</v>
      </c>
    </row>
    <row r="1349" spans="1:8">
      <c r="A1349" s="34" t="s">
        <v>381</v>
      </c>
      <c r="B1349" s="23" t="s">
        <v>69</v>
      </c>
      <c r="C1349" s="23" t="s">
        <v>59</v>
      </c>
      <c r="D1349" s="23" t="s">
        <v>62</v>
      </c>
      <c r="E1349" s="23" t="s">
        <v>65</v>
      </c>
      <c r="F1349" s="487">
        <v>34304</v>
      </c>
      <c r="G1349" s="419" t="s">
        <v>983</v>
      </c>
      <c r="H1349" s="25">
        <v>500</v>
      </c>
    </row>
    <row r="1350" spans="1:8">
      <c r="A1350" s="34" t="s">
        <v>381</v>
      </c>
      <c r="B1350" s="23" t="s">
        <v>69</v>
      </c>
      <c r="C1350" s="23" t="s">
        <v>59</v>
      </c>
      <c r="D1350" s="23" t="s">
        <v>62</v>
      </c>
      <c r="E1350" s="23" t="s">
        <v>65</v>
      </c>
      <c r="F1350" s="487">
        <v>61608</v>
      </c>
      <c r="G1350" s="419" t="s">
        <v>731</v>
      </c>
      <c r="H1350" s="25">
        <v>250</v>
      </c>
    </row>
    <row r="1351" spans="1:8" ht="15.75" thickBot="1">
      <c r="A1351" s="1064"/>
      <c r="B1351" s="1065"/>
      <c r="C1351" s="1065"/>
      <c r="D1351" s="1065"/>
      <c r="E1351" s="1066"/>
      <c r="F1351" s="1067"/>
      <c r="G1351" s="1068"/>
      <c r="H1351" s="1071">
        <f>SUM(H1344:H1350)</f>
        <v>5000</v>
      </c>
    </row>
    <row r="1352" spans="1:8" ht="15.75" thickBot="1">
      <c r="B1352" s="9"/>
      <c r="C1352" s="10"/>
      <c r="D1352" s="3"/>
      <c r="E1352" s="3"/>
      <c r="F1352" s="3"/>
    </row>
    <row r="1353" spans="1:8">
      <c r="A1353" s="2573" t="s">
        <v>732</v>
      </c>
      <c r="B1353" s="2574"/>
      <c r="C1353" s="2574"/>
      <c r="D1353" s="2574"/>
      <c r="E1353" s="2574"/>
      <c r="F1353" s="2574"/>
      <c r="G1353" s="2575" t="s">
        <v>1323</v>
      </c>
      <c r="H1353" s="2576"/>
    </row>
    <row r="1354" spans="1:8">
      <c r="A1354" s="2577" t="s">
        <v>1136</v>
      </c>
      <c r="B1354" s="2578"/>
      <c r="C1354" s="2578"/>
      <c r="D1354" s="2578"/>
      <c r="E1354" s="2578"/>
      <c r="F1354" s="2579"/>
      <c r="G1354" s="483"/>
      <c r="H1354" s="484"/>
    </row>
    <row r="1355" spans="1:8" ht="14.25">
      <c r="A1355" s="2580"/>
      <c r="B1355" s="2581"/>
      <c r="C1355" s="2581"/>
      <c r="D1355" s="2581"/>
      <c r="E1355" s="2581"/>
      <c r="F1355" s="2582"/>
      <c r="G1355" s="2580" t="s">
        <v>1096</v>
      </c>
      <c r="H1355" s="2552"/>
    </row>
    <row r="1356" spans="1:8">
      <c r="A1356" s="2597" t="s">
        <v>1137</v>
      </c>
      <c r="B1356" s="2584"/>
      <c r="C1356" s="2584"/>
      <c r="D1356" s="2584"/>
      <c r="E1356" s="2584"/>
      <c r="F1356" s="2585"/>
      <c r="G1356" s="483"/>
      <c r="H1356" s="484"/>
    </row>
    <row r="1357" spans="1:8" ht="14.25">
      <c r="A1357" s="2586"/>
      <c r="B1357" s="2587"/>
      <c r="C1357" s="2587"/>
      <c r="D1357" s="2587"/>
      <c r="E1357" s="2587"/>
      <c r="F1357" s="2588"/>
      <c r="G1357" s="2589" t="s">
        <v>695</v>
      </c>
      <c r="H1357" s="2552"/>
    </row>
    <row r="1358" spans="1:8">
      <c r="A1358" s="482"/>
      <c r="B1358" s="551"/>
      <c r="C1358" s="551"/>
      <c r="D1358" s="551"/>
      <c r="E1358" s="551"/>
      <c r="F1358" s="551"/>
      <c r="G1358" s="485"/>
      <c r="H1358" s="484"/>
    </row>
    <row r="1359" spans="1:8" thickBot="1">
      <c r="A1359" s="2590" t="s">
        <v>692</v>
      </c>
      <c r="B1359" s="2561"/>
      <c r="C1359" s="2561"/>
      <c r="D1359" s="2561"/>
      <c r="E1359" s="2561"/>
      <c r="F1359" s="2562"/>
      <c r="G1359" s="2591" t="s">
        <v>696</v>
      </c>
      <c r="H1359" s="2562"/>
    </row>
    <row r="1360" spans="1:8" ht="38.25" customHeight="1">
      <c r="A1360" s="2601" t="s">
        <v>821</v>
      </c>
      <c r="B1360" s="2601"/>
      <c r="C1360" s="2601"/>
      <c r="D1360" s="2601"/>
      <c r="E1360" s="2601"/>
      <c r="F1360" s="2601"/>
      <c r="G1360" s="2601"/>
      <c r="H1360" s="2601"/>
    </row>
    <row r="1361" spans="1:8">
      <c r="A1361" s="1056"/>
      <c r="B1361" s="554"/>
      <c r="C1361" s="554"/>
      <c r="D1361" s="554"/>
      <c r="E1361" s="554"/>
      <c r="F1361" s="554"/>
      <c r="G1361" s="1057"/>
      <c r="H1361" s="554"/>
    </row>
    <row r="1362" spans="1:8">
      <c r="A1362" s="1056"/>
      <c r="B1362" s="1131"/>
      <c r="C1362" s="1131"/>
      <c r="D1362" s="1131"/>
      <c r="E1362" s="1131"/>
      <c r="F1362" s="1131"/>
      <c r="G1362" s="1131"/>
      <c r="H1362" s="554"/>
    </row>
    <row r="1363" spans="1:8" ht="18.75">
      <c r="A1363" s="2217" t="s">
        <v>111</v>
      </c>
      <c r="B1363" s="2164"/>
      <c r="C1363" s="2164"/>
      <c r="D1363" s="2164"/>
      <c r="E1363" s="2164"/>
      <c r="F1363" s="2164"/>
      <c r="G1363" s="2164"/>
      <c r="H1363" s="2164"/>
    </row>
    <row r="1364" spans="1:8" ht="18.75">
      <c r="A1364" s="2217" t="s">
        <v>757</v>
      </c>
      <c r="B1364" s="2164"/>
      <c r="C1364" s="2164"/>
      <c r="D1364" s="2164"/>
      <c r="E1364" s="2164"/>
      <c r="F1364" s="2164"/>
      <c r="G1364" s="2164"/>
      <c r="H1364" s="2164"/>
    </row>
    <row r="1365" spans="1:8" ht="18.75">
      <c r="A1365" s="2185" t="s">
        <v>211</v>
      </c>
      <c r="B1365" s="2164"/>
      <c r="C1365" s="2164"/>
      <c r="D1365" s="2164"/>
      <c r="E1365" s="2164"/>
      <c r="F1365" s="2164"/>
      <c r="G1365" s="2164"/>
      <c r="H1365" s="2164"/>
    </row>
    <row r="1366" spans="1:8" ht="18.75">
      <c r="A1366" s="2185" t="s">
        <v>1212</v>
      </c>
      <c r="B1366" s="2164"/>
      <c r="C1366" s="2164"/>
      <c r="D1366" s="2164"/>
      <c r="E1366" s="2164"/>
      <c r="F1366" s="2164"/>
      <c r="G1366" s="2164"/>
      <c r="H1366" s="2164"/>
    </row>
    <row r="1367" spans="1:8" ht="18.75">
      <c r="A1367" s="2185" t="s">
        <v>32</v>
      </c>
      <c r="B1367" s="2164"/>
      <c r="C1367" s="2164"/>
      <c r="D1367" s="2164"/>
      <c r="E1367" s="2164"/>
      <c r="F1367" s="2164"/>
      <c r="G1367" s="2164"/>
      <c r="H1367" s="2164"/>
    </row>
    <row r="1368" spans="1:8">
      <c r="A1368" s="850"/>
      <c r="B1368" s="198"/>
      <c r="C1368" s="851"/>
      <c r="D1368" s="41"/>
      <c r="E1368" s="41"/>
      <c r="F1368" s="41"/>
      <c r="G1368" s="21"/>
      <c r="H1368" s="203"/>
    </row>
    <row r="1369" spans="1:8" ht="18.75">
      <c r="A1369" s="2613" t="s">
        <v>49</v>
      </c>
      <c r="B1369" s="2613"/>
      <c r="C1369" s="2613"/>
      <c r="D1369" s="2613"/>
      <c r="E1369" s="2613"/>
      <c r="F1369" s="2613"/>
      <c r="G1369" s="2613"/>
      <c r="H1369" s="2613"/>
    </row>
    <row r="1370" spans="1:8" ht="46.5" customHeight="1" thickBot="1">
      <c r="A1370" s="2839" t="s">
        <v>1147</v>
      </c>
      <c r="B1370" s="2840"/>
      <c r="C1370" s="2840"/>
      <c r="D1370" s="2840"/>
      <c r="E1370" s="2840"/>
      <c r="F1370" s="2840"/>
      <c r="G1370" s="2840"/>
      <c r="H1370" s="2840"/>
    </row>
    <row r="1371" spans="1:8" ht="15.75" thickBot="1">
      <c r="A1371" s="2606" t="s">
        <v>29</v>
      </c>
      <c r="B1371" s="2620"/>
      <c r="C1371" s="2620"/>
      <c r="D1371" s="2620"/>
      <c r="E1371" s="2620"/>
      <c r="F1371" s="2621"/>
      <c r="G1371" s="2609" t="s">
        <v>640</v>
      </c>
      <c r="H1371" s="2610" t="s">
        <v>639</v>
      </c>
    </row>
    <row r="1372" spans="1:8" ht="75.75" thickBot="1">
      <c r="A1372" s="411" t="s">
        <v>39</v>
      </c>
      <c r="B1372" s="412" t="s">
        <v>40</v>
      </c>
      <c r="C1372" s="412" t="s">
        <v>41</v>
      </c>
      <c r="D1372" s="412" t="s">
        <v>45</v>
      </c>
      <c r="E1372" s="413" t="s">
        <v>42</v>
      </c>
      <c r="F1372" s="407" t="s">
        <v>43</v>
      </c>
      <c r="G1372" s="2622"/>
      <c r="H1372" s="2595"/>
    </row>
    <row r="1373" spans="1:8">
      <c r="A1373" s="852" t="s">
        <v>381</v>
      </c>
      <c r="B1373" s="853" t="s">
        <v>69</v>
      </c>
      <c r="C1373" s="853" t="s">
        <v>59</v>
      </c>
      <c r="D1373" s="853" t="s">
        <v>62</v>
      </c>
      <c r="E1373" s="853" t="s">
        <v>65</v>
      </c>
      <c r="F1373" s="427">
        <v>61606</v>
      </c>
      <c r="G1373" s="428" t="s">
        <v>1148</v>
      </c>
      <c r="H1373" s="557">
        <v>35000</v>
      </c>
    </row>
    <row r="1374" spans="1:8" ht="15.75" thickBot="1">
      <c r="A1374" s="1058"/>
      <c r="B1374" s="1059"/>
      <c r="C1374" s="1059"/>
      <c r="D1374" s="1059"/>
      <c r="E1374" s="1060"/>
      <c r="F1374" s="1061"/>
      <c r="G1374" s="1062"/>
      <c r="H1374" s="1063">
        <f>SUM(H1373:H1373)</f>
        <v>35000</v>
      </c>
    </row>
    <row r="1375" spans="1:8" ht="15.75" thickBot="1">
      <c r="A1375" s="200"/>
      <c r="B1375" s="200"/>
      <c r="C1375" s="201"/>
      <c r="D1375" s="202"/>
      <c r="E1375" s="202"/>
      <c r="F1375" s="202"/>
      <c r="G1375" s="21"/>
      <c r="H1375" s="203"/>
    </row>
    <row r="1376" spans="1:8">
      <c r="A1376" s="2541" t="s">
        <v>693</v>
      </c>
      <c r="B1376" s="2542"/>
      <c r="C1376" s="2542"/>
      <c r="D1376" s="2542"/>
      <c r="E1376" s="2542"/>
      <c r="F1376" s="2542"/>
      <c r="G1376" s="2543" t="s">
        <v>1323</v>
      </c>
      <c r="H1376" s="2544"/>
    </row>
    <row r="1377" spans="1:11">
      <c r="A1377" s="857"/>
      <c r="B1377" s="47"/>
      <c r="C1377" s="160"/>
      <c r="D1377" s="160"/>
      <c r="E1377" s="160"/>
      <c r="F1377" s="160"/>
      <c r="G1377" s="858"/>
      <c r="H1377" s="859"/>
    </row>
    <row r="1378" spans="1:11" ht="49.5" customHeight="1">
      <c r="A1378" s="2551" t="s">
        <v>1147</v>
      </c>
      <c r="B1378" s="2598"/>
      <c r="C1378" s="2598"/>
      <c r="D1378" s="2598"/>
      <c r="E1378" s="2598"/>
      <c r="F1378" s="2552"/>
      <c r="G1378" s="2551" t="s">
        <v>1095</v>
      </c>
      <c r="H1378" s="2552"/>
    </row>
    <row r="1379" spans="1:11">
      <c r="A1379" s="2553" t="s">
        <v>1149</v>
      </c>
      <c r="B1379" s="2554"/>
      <c r="C1379" s="2554"/>
      <c r="D1379" s="2554"/>
      <c r="E1379" s="2554"/>
      <c r="F1379" s="2555"/>
      <c r="G1379" s="858"/>
      <c r="H1379" s="859"/>
    </row>
    <row r="1380" spans="1:11" ht="34.5" customHeight="1">
      <c r="A1380" s="2556"/>
      <c r="B1380" s="2557"/>
      <c r="C1380" s="2557"/>
      <c r="D1380" s="2557"/>
      <c r="E1380" s="2557"/>
      <c r="F1380" s="2558"/>
      <c r="G1380" s="2559" t="s">
        <v>737</v>
      </c>
      <c r="H1380" s="2552"/>
    </row>
    <row r="1381" spans="1:11">
      <c r="A1381" s="857"/>
      <c r="B1381" s="47"/>
      <c r="C1381" s="47"/>
      <c r="D1381" s="47"/>
      <c r="E1381" s="47"/>
      <c r="F1381" s="47"/>
      <c r="G1381" s="860"/>
      <c r="H1381" s="859"/>
    </row>
    <row r="1382" spans="1:11" thickBot="1">
      <c r="A1382" s="2560" t="s">
        <v>692</v>
      </c>
      <c r="B1382" s="2561"/>
      <c r="C1382" s="2561"/>
      <c r="D1382" s="2561"/>
      <c r="E1382" s="2561"/>
      <c r="F1382" s="2562"/>
      <c r="G1382" s="2563" t="s">
        <v>696</v>
      </c>
      <c r="H1382" s="2562"/>
    </row>
    <row r="1383" spans="1:11">
      <c r="A1383" s="1056"/>
      <c r="B1383" s="554"/>
      <c r="C1383" s="554"/>
      <c r="D1383" s="554"/>
      <c r="E1383" s="554"/>
      <c r="F1383" s="554"/>
      <c r="G1383" s="1057"/>
      <c r="H1383" s="554"/>
    </row>
    <row r="1384" spans="1:11">
      <c r="A1384" s="1056"/>
      <c r="B1384" s="554"/>
      <c r="C1384" s="554"/>
      <c r="D1384" s="554"/>
      <c r="E1384" s="554"/>
      <c r="F1384" s="554"/>
      <c r="G1384" s="1057"/>
      <c r="H1384" s="554"/>
    </row>
    <row r="1385" spans="1:11">
      <c r="A1385" s="1056"/>
      <c r="B1385" s="554"/>
      <c r="C1385" s="554"/>
      <c r="D1385" s="554"/>
      <c r="E1385" s="554"/>
      <c r="F1385" s="554"/>
      <c r="G1385" s="1057"/>
      <c r="H1385" s="554"/>
    </row>
    <row r="1386" spans="1:11" ht="18.75">
      <c r="A1386" s="2217"/>
      <c r="B1386" s="2164"/>
      <c r="C1386" s="2164"/>
      <c r="D1386" s="2164"/>
      <c r="E1386" s="2164"/>
      <c r="F1386" s="2164"/>
      <c r="G1386" s="2164"/>
      <c r="H1386" s="2164"/>
    </row>
    <row r="1387" spans="1:11" ht="18.75">
      <c r="A1387" s="2217" t="s">
        <v>757</v>
      </c>
      <c r="B1387" s="2164"/>
      <c r="C1387" s="2164"/>
      <c r="D1387" s="2164"/>
      <c r="E1387" s="2164"/>
      <c r="F1387" s="2164"/>
      <c r="G1387" s="2164"/>
      <c r="H1387" s="2164"/>
      <c r="J1387" s="2857" t="s">
        <v>1456</v>
      </c>
      <c r="K1387" s="2857"/>
    </row>
    <row r="1388" spans="1:11" ht="18.75">
      <c r="A1388" s="2185" t="s">
        <v>211</v>
      </c>
      <c r="B1388" s="2164"/>
      <c r="C1388" s="2164"/>
      <c r="D1388" s="2164"/>
      <c r="E1388" s="2164"/>
      <c r="F1388" s="2164"/>
      <c r="G1388" s="2164"/>
      <c r="H1388" s="2164"/>
      <c r="J1388" s="2857"/>
      <c r="K1388" s="2857"/>
    </row>
    <row r="1389" spans="1:11" ht="18.75">
      <c r="A1389" s="2185" t="s">
        <v>1212</v>
      </c>
      <c r="B1389" s="2164"/>
      <c r="C1389" s="2164"/>
      <c r="D1389" s="2164"/>
      <c r="E1389" s="2164"/>
      <c r="F1389" s="2164"/>
      <c r="G1389" s="2164"/>
      <c r="H1389" s="2164"/>
    </row>
    <row r="1390" spans="1:11" ht="18.75">
      <c r="A1390" s="2185" t="s">
        <v>32</v>
      </c>
      <c r="B1390" s="2164"/>
      <c r="C1390" s="2164"/>
      <c r="D1390" s="2164"/>
      <c r="E1390" s="2164"/>
      <c r="F1390" s="2164"/>
      <c r="G1390" s="2164"/>
      <c r="H1390" s="2164"/>
    </row>
    <row r="1391" spans="1:11">
      <c r="A1391" s="850"/>
      <c r="B1391" s="198"/>
      <c r="C1391" s="851"/>
      <c r="D1391" s="41"/>
      <c r="E1391" s="41"/>
      <c r="F1391" s="41"/>
      <c r="G1391" s="21"/>
      <c r="H1391" s="203"/>
    </row>
    <row r="1392" spans="1:11" ht="18.75">
      <c r="A1392" s="2613" t="s">
        <v>49</v>
      </c>
      <c r="B1392" s="2613"/>
      <c r="C1392" s="2613"/>
      <c r="D1392" s="2613"/>
      <c r="E1392" s="2613"/>
      <c r="F1392" s="2613"/>
      <c r="G1392" s="2613"/>
      <c r="H1392" s="2613"/>
    </row>
    <row r="1393" spans="1:8" ht="40.5" customHeight="1" thickBot="1">
      <c r="A1393" s="2832" t="s">
        <v>1457</v>
      </c>
      <c r="B1393" s="2833"/>
      <c r="C1393" s="2833"/>
      <c r="D1393" s="2833"/>
      <c r="E1393" s="2833"/>
      <c r="F1393" s="2833"/>
      <c r="G1393" s="2833"/>
      <c r="H1393" s="2833"/>
    </row>
    <row r="1394" spans="1:8" ht="15.75" thickBot="1">
      <c r="A1394" s="2606" t="s">
        <v>29</v>
      </c>
      <c r="B1394" s="2620"/>
      <c r="C1394" s="2620"/>
      <c r="D1394" s="2620"/>
      <c r="E1394" s="2620"/>
      <c r="F1394" s="2621"/>
      <c r="G1394" s="2609" t="s">
        <v>640</v>
      </c>
      <c r="H1394" s="2610" t="s">
        <v>639</v>
      </c>
    </row>
    <row r="1395" spans="1:8" ht="75.75" thickBot="1">
      <c r="A1395" s="411" t="s">
        <v>39</v>
      </c>
      <c r="B1395" s="412" t="s">
        <v>40</v>
      </c>
      <c r="C1395" s="412" t="s">
        <v>41</v>
      </c>
      <c r="D1395" s="412" t="s">
        <v>45</v>
      </c>
      <c r="E1395" s="413" t="s">
        <v>42</v>
      </c>
      <c r="F1395" s="407" t="s">
        <v>43</v>
      </c>
      <c r="G1395" s="2622"/>
      <c r="H1395" s="2595"/>
    </row>
    <row r="1396" spans="1:8">
      <c r="A1396" s="852" t="s">
        <v>381</v>
      </c>
      <c r="B1396" s="853" t="s">
        <v>69</v>
      </c>
      <c r="C1396" s="853" t="s">
        <v>59</v>
      </c>
      <c r="D1396" s="853" t="s">
        <v>62</v>
      </c>
      <c r="E1396" s="853" t="s">
        <v>65</v>
      </c>
      <c r="F1396" s="414">
        <v>51202</v>
      </c>
      <c r="G1396" s="419" t="s">
        <v>759</v>
      </c>
      <c r="H1396" s="557">
        <v>10650</v>
      </c>
    </row>
    <row r="1397" spans="1:8">
      <c r="A1397" s="852" t="s">
        <v>381</v>
      </c>
      <c r="B1397" s="853" t="s">
        <v>69</v>
      </c>
      <c r="C1397" s="853" t="s">
        <v>59</v>
      </c>
      <c r="D1397" s="853" t="s">
        <v>62</v>
      </c>
      <c r="E1397" s="853" t="s">
        <v>65</v>
      </c>
      <c r="F1397" s="414">
        <v>54111</v>
      </c>
      <c r="G1397" s="419" t="s">
        <v>778</v>
      </c>
      <c r="H1397" s="557">
        <f>7950+3200.82</f>
        <v>11150.82</v>
      </c>
    </row>
    <row r="1398" spans="1:8">
      <c r="A1398" s="852" t="s">
        <v>381</v>
      </c>
      <c r="B1398" s="853" t="s">
        <v>69</v>
      </c>
      <c r="C1398" s="853" t="s">
        <v>59</v>
      </c>
      <c r="D1398" s="853" t="s">
        <v>62</v>
      </c>
      <c r="E1398" s="853" t="s">
        <v>65</v>
      </c>
      <c r="F1398" s="414">
        <v>54112</v>
      </c>
      <c r="G1398" s="419" t="s">
        <v>779</v>
      </c>
      <c r="H1398" s="557">
        <v>4500</v>
      </c>
    </row>
    <row r="1399" spans="1:8">
      <c r="A1399" s="852" t="s">
        <v>381</v>
      </c>
      <c r="B1399" s="853" t="s">
        <v>69</v>
      </c>
      <c r="C1399" s="853" t="s">
        <v>59</v>
      </c>
      <c r="D1399" s="853" t="s">
        <v>62</v>
      </c>
      <c r="E1399" s="853" t="s">
        <v>65</v>
      </c>
      <c r="F1399" s="414">
        <v>54118</v>
      </c>
      <c r="G1399" s="419" t="s">
        <v>746</v>
      </c>
      <c r="H1399" s="557">
        <v>900</v>
      </c>
    </row>
    <row r="1400" spans="1:8">
      <c r="A1400" s="852" t="s">
        <v>381</v>
      </c>
      <c r="B1400" s="853" t="s">
        <v>69</v>
      </c>
      <c r="C1400" s="853" t="s">
        <v>59</v>
      </c>
      <c r="D1400" s="853" t="s">
        <v>62</v>
      </c>
      <c r="E1400" s="853" t="s">
        <v>65</v>
      </c>
      <c r="F1400" s="414">
        <v>54199</v>
      </c>
      <c r="G1400" s="419" t="s">
        <v>658</v>
      </c>
      <c r="H1400" s="557">
        <v>900</v>
      </c>
    </row>
    <row r="1401" spans="1:8">
      <c r="A1401" s="852" t="s">
        <v>381</v>
      </c>
      <c r="B1401" s="853" t="s">
        <v>69</v>
      </c>
      <c r="C1401" s="853" t="s">
        <v>59</v>
      </c>
      <c r="D1401" s="853" t="s">
        <v>62</v>
      </c>
      <c r="E1401" s="853" t="s">
        <v>65</v>
      </c>
      <c r="F1401" s="418" t="s">
        <v>677</v>
      </c>
      <c r="G1401" s="419" t="s">
        <v>678</v>
      </c>
      <c r="H1401" s="557">
        <v>2100</v>
      </c>
    </row>
    <row r="1402" spans="1:8">
      <c r="A1402" s="852" t="s">
        <v>381</v>
      </c>
      <c r="B1402" s="853" t="s">
        <v>69</v>
      </c>
      <c r="C1402" s="853" t="s">
        <v>59</v>
      </c>
      <c r="D1402" s="853" t="s">
        <v>62</v>
      </c>
      <c r="E1402" s="853" t="s">
        <v>65</v>
      </c>
      <c r="F1402" s="421">
        <v>61608</v>
      </c>
      <c r="G1402" s="422" t="s">
        <v>780</v>
      </c>
      <c r="H1402" s="558">
        <v>1500</v>
      </c>
    </row>
    <row r="1403" spans="1:8" ht="15.75" thickBot="1">
      <c r="A1403" s="1058"/>
      <c r="B1403" s="1059"/>
      <c r="C1403" s="1059"/>
      <c r="D1403" s="1059"/>
      <c r="E1403" s="1060"/>
      <c r="F1403" s="1061"/>
      <c r="G1403" s="1062"/>
      <c r="H1403" s="1063">
        <f>SUM(H1396:H1402)</f>
        <v>31700.82</v>
      </c>
    </row>
    <row r="1404" spans="1:8" ht="15.75" thickBot="1">
      <c r="A1404" s="200"/>
      <c r="B1404" s="200"/>
      <c r="C1404" s="201"/>
      <c r="D1404" s="202"/>
      <c r="E1404" s="202"/>
      <c r="F1404" s="202"/>
      <c r="G1404" s="21"/>
      <c r="H1404" s="203"/>
    </row>
    <row r="1405" spans="1:8">
      <c r="A1405" s="2541" t="s">
        <v>1097</v>
      </c>
      <c r="B1405" s="2542"/>
      <c r="C1405" s="2542"/>
      <c r="D1405" s="2542"/>
      <c r="E1405" s="2542"/>
      <c r="F1405" s="2542"/>
      <c r="G1405" s="2543" t="s">
        <v>1323</v>
      </c>
      <c r="H1405" s="2544"/>
    </row>
    <row r="1406" spans="1:8">
      <c r="A1406" s="2623" t="s">
        <v>1457</v>
      </c>
      <c r="B1406" s="2624"/>
      <c r="C1406" s="2624"/>
      <c r="D1406" s="2624"/>
      <c r="E1406" s="2624"/>
      <c r="F1406" s="2625"/>
      <c r="G1406" s="858"/>
      <c r="H1406" s="859"/>
    </row>
    <row r="1407" spans="1:8" ht="14.25" customHeight="1">
      <c r="A1407" s="2551"/>
      <c r="B1407" s="2626"/>
      <c r="C1407" s="2626"/>
      <c r="D1407" s="2626"/>
      <c r="E1407" s="2626"/>
      <c r="F1407" s="2627"/>
      <c r="G1407" s="2551" t="s">
        <v>1095</v>
      </c>
      <c r="H1407" s="2552"/>
    </row>
    <row r="1408" spans="1:8">
      <c r="A1408" s="2553" t="s">
        <v>1106</v>
      </c>
      <c r="B1408" s="2554"/>
      <c r="C1408" s="2554"/>
      <c r="D1408" s="2554"/>
      <c r="E1408" s="2554"/>
      <c r="F1408" s="2555"/>
      <c r="G1408" s="858"/>
      <c r="H1408" s="859"/>
    </row>
    <row r="1409" spans="1:8" ht="14.25">
      <c r="A1409" s="2556"/>
      <c r="B1409" s="2557"/>
      <c r="C1409" s="2557"/>
      <c r="D1409" s="2557"/>
      <c r="E1409" s="2557"/>
      <c r="F1409" s="2558"/>
      <c r="G1409" s="2559" t="s">
        <v>695</v>
      </c>
      <c r="H1409" s="2552"/>
    </row>
    <row r="1410" spans="1:8">
      <c r="A1410" s="857"/>
      <c r="B1410" s="47"/>
      <c r="C1410" s="47"/>
      <c r="D1410" s="47"/>
      <c r="E1410" s="47"/>
      <c r="F1410" s="47"/>
      <c r="G1410" s="860"/>
      <c r="H1410" s="859"/>
    </row>
    <row r="1411" spans="1:8" thickBot="1">
      <c r="A1411" s="2560" t="s">
        <v>692</v>
      </c>
      <c r="B1411" s="2561"/>
      <c r="C1411" s="2561"/>
      <c r="D1411" s="2561"/>
      <c r="E1411" s="2561"/>
      <c r="F1411" s="2562"/>
      <c r="G1411" s="2563" t="s">
        <v>696</v>
      </c>
      <c r="H1411" s="2562"/>
    </row>
    <row r="1412" spans="1:8" ht="41.25" customHeight="1">
      <c r="A1412" s="2641" t="s">
        <v>821</v>
      </c>
      <c r="B1412" s="2641"/>
      <c r="C1412" s="2641"/>
      <c r="D1412" s="2641"/>
      <c r="E1412" s="2641"/>
      <c r="F1412" s="2641"/>
      <c r="G1412" s="2641"/>
      <c r="H1412" s="2641"/>
    </row>
    <row r="1413" spans="1:8">
      <c r="A1413" s="1056"/>
      <c r="B1413" s="554"/>
      <c r="C1413" s="554"/>
      <c r="D1413" s="554"/>
      <c r="E1413" s="554"/>
      <c r="F1413" s="554"/>
      <c r="G1413" s="1057"/>
      <c r="H1413" s="554"/>
    </row>
    <row r="1414" spans="1:8">
      <c r="A1414" s="1056"/>
      <c r="B1414" s="554"/>
      <c r="C1414" s="554"/>
      <c r="D1414" s="554"/>
      <c r="E1414" s="554"/>
      <c r="F1414" s="554"/>
      <c r="G1414" s="1057"/>
      <c r="H1414" s="554"/>
    </row>
    <row r="1415" spans="1:8">
      <c r="A1415" s="1056"/>
      <c r="B1415" s="554"/>
      <c r="C1415" s="554"/>
      <c r="D1415" s="554"/>
      <c r="E1415" s="554"/>
      <c r="F1415" s="554"/>
      <c r="G1415" s="1057"/>
      <c r="H1415" s="554"/>
    </row>
    <row r="1416" spans="1:8" ht="18.75">
      <c r="A1416" s="2217" t="s">
        <v>757</v>
      </c>
      <c r="B1416" s="2164"/>
      <c r="C1416" s="2164"/>
      <c r="D1416" s="2164"/>
      <c r="E1416" s="2164"/>
      <c r="F1416" s="2164"/>
      <c r="G1416" s="2164"/>
      <c r="H1416" s="2164"/>
    </row>
    <row r="1417" spans="1:8" ht="18.75">
      <c r="A1417" s="2185" t="s">
        <v>211</v>
      </c>
      <c r="B1417" s="2164"/>
      <c r="C1417" s="2164"/>
      <c r="D1417" s="2164"/>
      <c r="E1417" s="2164"/>
      <c r="F1417" s="2164"/>
      <c r="G1417" s="2164"/>
      <c r="H1417" s="2164"/>
    </row>
    <row r="1418" spans="1:8" ht="18.75">
      <c r="A1418" s="2185" t="s">
        <v>1212</v>
      </c>
      <c r="B1418" s="2164"/>
      <c r="C1418" s="2164"/>
      <c r="D1418" s="2164"/>
      <c r="E1418" s="2164"/>
      <c r="F1418" s="2164"/>
      <c r="G1418" s="2164"/>
      <c r="H1418" s="2164"/>
    </row>
    <row r="1419" spans="1:8" ht="18.75">
      <c r="A1419" s="2185" t="s">
        <v>32</v>
      </c>
      <c r="B1419" s="2164"/>
      <c r="C1419" s="2164"/>
      <c r="D1419" s="2164"/>
      <c r="E1419" s="2164"/>
      <c r="F1419" s="2164"/>
      <c r="G1419" s="2164"/>
      <c r="H1419" s="2164"/>
    </row>
    <row r="1420" spans="1:8">
      <c r="A1420" s="850"/>
      <c r="B1420" s="198"/>
      <c r="C1420" s="851"/>
      <c r="D1420" s="41"/>
      <c r="E1420" s="41"/>
      <c r="F1420" s="41"/>
      <c r="G1420" s="21"/>
      <c r="H1420" s="203"/>
    </row>
    <row r="1421" spans="1:8" ht="18.75">
      <c r="A1421" s="2613" t="s">
        <v>49</v>
      </c>
      <c r="B1421" s="2613"/>
      <c r="C1421" s="2613"/>
      <c r="D1421" s="2613"/>
      <c r="E1421" s="2613"/>
      <c r="F1421" s="2613"/>
      <c r="G1421" s="2613"/>
      <c r="H1421" s="2613"/>
    </row>
    <row r="1422" spans="1:8" ht="42" customHeight="1" thickBot="1">
      <c r="A1422" s="2832" t="s">
        <v>1458</v>
      </c>
      <c r="B1422" s="2833"/>
      <c r="C1422" s="2833"/>
      <c r="D1422" s="2833"/>
      <c r="E1422" s="2833"/>
      <c r="F1422" s="2833"/>
      <c r="G1422" s="2833"/>
      <c r="H1422" s="2833"/>
    </row>
    <row r="1423" spans="1:8" ht="15.75" thickBot="1">
      <c r="A1423" s="2606" t="s">
        <v>29</v>
      </c>
      <c r="B1423" s="2620"/>
      <c r="C1423" s="2620"/>
      <c r="D1423" s="2620"/>
      <c r="E1423" s="2620"/>
      <c r="F1423" s="2621"/>
      <c r="G1423" s="2609" t="s">
        <v>640</v>
      </c>
      <c r="H1423" s="2610" t="s">
        <v>639</v>
      </c>
    </row>
    <row r="1424" spans="1:8" ht="75.75" thickBot="1">
      <c r="A1424" s="411" t="s">
        <v>39</v>
      </c>
      <c r="B1424" s="412" t="s">
        <v>40</v>
      </c>
      <c r="C1424" s="412" t="s">
        <v>41</v>
      </c>
      <c r="D1424" s="412" t="s">
        <v>45</v>
      </c>
      <c r="E1424" s="413" t="s">
        <v>42</v>
      </c>
      <c r="F1424" s="407" t="s">
        <v>43</v>
      </c>
      <c r="G1424" s="2622"/>
      <c r="H1424" s="2595"/>
    </row>
    <row r="1425" spans="1:8">
      <c r="A1425" s="852" t="s">
        <v>381</v>
      </c>
      <c r="B1425" s="853" t="s">
        <v>69</v>
      </c>
      <c r="C1425" s="853" t="s">
        <v>59</v>
      </c>
      <c r="D1425" s="853" t="s">
        <v>62</v>
      </c>
      <c r="E1425" s="853" t="s">
        <v>65</v>
      </c>
      <c r="F1425" s="414">
        <v>51202</v>
      </c>
      <c r="G1425" s="419" t="s">
        <v>759</v>
      </c>
      <c r="H1425" s="557">
        <f>10650-1700.82</f>
        <v>8949.18</v>
      </c>
    </row>
    <row r="1426" spans="1:8">
      <c r="A1426" s="852" t="s">
        <v>381</v>
      </c>
      <c r="B1426" s="853" t="s">
        <v>69</v>
      </c>
      <c r="C1426" s="853" t="s">
        <v>59</v>
      </c>
      <c r="D1426" s="853" t="s">
        <v>62</v>
      </c>
      <c r="E1426" s="853" t="s">
        <v>65</v>
      </c>
      <c r="F1426" s="414">
        <v>54111</v>
      </c>
      <c r="G1426" s="419" t="s">
        <v>778</v>
      </c>
      <c r="H1426" s="557">
        <f>7950+3200.82</f>
        <v>11150.82</v>
      </c>
    </row>
    <row r="1427" spans="1:8">
      <c r="A1427" s="852" t="s">
        <v>381</v>
      </c>
      <c r="B1427" s="853" t="s">
        <v>69</v>
      </c>
      <c r="C1427" s="853" t="s">
        <v>59</v>
      </c>
      <c r="D1427" s="853" t="s">
        <v>62</v>
      </c>
      <c r="E1427" s="853" t="s">
        <v>65</v>
      </c>
      <c r="F1427" s="414">
        <v>54112</v>
      </c>
      <c r="G1427" s="419" t="s">
        <v>779</v>
      </c>
      <c r="H1427" s="557">
        <v>4500</v>
      </c>
    </row>
    <row r="1428" spans="1:8">
      <c r="A1428" s="852" t="s">
        <v>381</v>
      </c>
      <c r="B1428" s="853" t="s">
        <v>69</v>
      </c>
      <c r="C1428" s="853" t="s">
        <v>59</v>
      </c>
      <c r="D1428" s="853" t="s">
        <v>62</v>
      </c>
      <c r="E1428" s="853" t="s">
        <v>65</v>
      </c>
      <c r="F1428" s="414">
        <v>54118</v>
      </c>
      <c r="G1428" s="419" t="s">
        <v>746</v>
      </c>
      <c r="H1428" s="557">
        <v>900</v>
      </c>
    </row>
    <row r="1429" spans="1:8">
      <c r="A1429" s="852" t="s">
        <v>381</v>
      </c>
      <c r="B1429" s="853" t="s">
        <v>69</v>
      </c>
      <c r="C1429" s="853" t="s">
        <v>59</v>
      </c>
      <c r="D1429" s="853" t="s">
        <v>62</v>
      </c>
      <c r="E1429" s="853" t="s">
        <v>65</v>
      </c>
      <c r="F1429" s="414">
        <v>54199</v>
      </c>
      <c r="G1429" s="419" t="s">
        <v>658</v>
      </c>
      <c r="H1429" s="557">
        <v>900</v>
      </c>
    </row>
    <row r="1430" spans="1:8">
      <c r="A1430" s="852" t="s">
        <v>381</v>
      </c>
      <c r="B1430" s="853" t="s">
        <v>69</v>
      </c>
      <c r="C1430" s="853" t="s">
        <v>59</v>
      </c>
      <c r="D1430" s="853" t="s">
        <v>62</v>
      </c>
      <c r="E1430" s="853" t="s">
        <v>65</v>
      </c>
      <c r="F1430" s="418" t="s">
        <v>677</v>
      </c>
      <c r="G1430" s="419" t="s">
        <v>678</v>
      </c>
      <c r="H1430" s="557">
        <v>2100</v>
      </c>
    </row>
    <row r="1431" spans="1:8">
      <c r="A1431" s="852" t="s">
        <v>381</v>
      </c>
      <c r="B1431" s="853" t="s">
        <v>69</v>
      </c>
      <c r="C1431" s="853" t="s">
        <v>59</v>
      </c>
      <c r="D1431" s="853" t="s">
        <v>62</v>
      </c>
      <c r="E1431" s="853" t="s">
        <v>65</v>
      </c>
      <c r="F1431" s="421">
        <v>61608</v>
      </c>
      <c r="G1431" s="422" t="s">
        <v>780</v>
      </c>
      <c r="H1431" s="558">
        <v>1500</v>
      </c>
    </row>
    <row r="1432" spans="1:8" ht="15.75" thickBot="1">
      <c r="A1432" s="1058"/>
      <c r="B1432" s="1059"/>
      <c r="C1432" s="1059"/>
      <c r="D1432" s="1059"/>
      <c r="E1432" s="1060"/>
      <c r="F1432" s="1061"/>
      <c r="G1432" s="1062"/>
      <c r="H1432" s="1063">
        <f>SUM(H1425:H1431)</f>
        <v>30000</v>
      </c>
    </row>
    <row r="1433" spans="1:8" ht="15.75" thickBot="1">
      <c r="A1433" s="200"/>
      <c r="B1433" s="200"/>
      <c r="C1433" s="201"/>
      <c r="D1433" s="202"/>
      <c r="E1433" s="202"/>
      <c r="F1433" s="202"/>
      <c r="G1433" s="21"/>
      <c r="H1433" s="203"/>
    </row>
    <row r="1434" spans="1:8">
      <c r="A1434" s="2541" t="s">
        <v>1097</v>
      </c>
      <c r="B1434" s="2542"/>
      <c r="C1434" s="2542"/>
      <c r="D1434" s="2542"/>
      <c r="E1434" s="2542"/>
      <c r="F1434" s="2542"/>
      <c r="G1434" s="2543" t="s">
        <v>1323</v>
      </c>
      <c r="H1434" s="2544"/>
    </row>
    <row r="1435" spans="1:8">
      <c r="A1435" s="2623" t="s">
        <v>1458</v>
      </c>
      <c r="B1435" s="2624"/>
      <c r="C1435" s="2624"/>
      <c r="D1435" s="2624"/>
      <c r="E1435" s="2624"/>
      <c r="F1435" s="2625"/>
      <c r="G1435" s="858"/>
      <c r="H1435" s="859"/>
    </row>
    <row r="1436" spans="1:8" ht="35.25" customHeight="1">
      <c r="A1436" s="2551"/>
      <c r="B1436" s="2626"/>
      <c r="C1436" s="2626"/>
      <c r="D1436" s="2626"/>
      <c r="E1436" s="2626"/>
      <c r="F1436" s="2627"/>
      <c r="G1436" s="2551" t="s">
        <v>1095</v>
      </c>
      <c r="H1436" s="2552"/>
    </row>
    <row r="1437" spans="1:8">
      <c r="A1437" s="2553" t="s">
        <v>1459</v>
      </c>
      <c r="B1437" s="2554"/>
      <c r="C1437" s="2554"/>
      <c r="D1437" s="2554"/>
      <c r="E1437" s="2554"/>
      <c r="F1437" s="2555"/>
      <c r="G1437" s="858"/>
      <c r="H1437" s="859"/>
    </row>
    <row r="1438" spans="1:8" ht="40.5" customHeight="1">
      <c r="A1438" s="2556"/>
      <c r="B1438" s="2557"/>
      <c r="C1438" s="2557"/>
      <c r="D1438" s="2557"/>
      <c r="E1438" s="2557"/>
      <c r="F1438" s="2558"/>
      <c r="G1438" s="2559" t="s">
        <v>695</v>
      </c>
      <c r="H1438" s="2552"/>
    </row>
    <row r="1439" spans="1:8">
      <c r="A1439" s="857"/>
      <c r="B1439" s="47"/>
      <c r="C1439" s="47"/>
      <c r="D1439" s="47"/>
      <c r="E1439" s="47"/>
      <c r="F1439" s="47"/>
      <c r="G1439" s="860"/>
      <c r="H1439" s="859"/>
    </row>
    <row r="1440" spans="1:8" thickBot="1">
      <c r="A1440" s="2560" t="s">
        <v>692</v>
      </c>
      <c r="B1440" s="2561"/>
      <c r="C1440" s="2561"/>
      <c r="D1440" s="2561"/>
      <c r="E1440" s="2561"/>
      <c r="F1440" s="2562"/>
      <c r="G1440" s="2563" t="s">
        <v>696</v>
      </c>
      <c r="H1440" s="2562"/>
    </row>
    <row r="1441" spans="1:8" ht="42.75" customHeight="1">
      <c r="A1441" s="2641" t="s">
        <v>821</v>
      </c>
      <c r="B1441" s="2641"/>
      <c r="C1441" s="2641"/>
      <c r="D1441" s="2641"/>
      <c r="E1441" s="2641"/>
      <c r="F1441" s="2641"/>
      <c r="G1441" s="2641"/>
      <c r="H1441" s="2641"/>
    </row>
    <row r="1442" spans="1:8">
      <c r="A1442" s="1056"/>
      <c r="B1442" s="554"/>
      <c r="C1442" s="554"/>
      <c r="D1442" s="554"/>
      <c r="E1442" s="554"/>
      <c r="F1442" s="554"/>
      <c r="G1442" s="1057"/>
      <c r="H1442" s="554"/>
    </row>
    <row r="1443" spans="1:8">
      <c r="A1443" s="1056"/>
      <c r="B1443" s="554"/>
      <c r="C1443" s="554"/>
      <c r="D1443" s="554"/>
      <c r="E1443" s="554"/>
      <c r="F1443" s="554"/>
      <c r="G1443" s="1057"/>
      <c r="H1443" s="554"/>
    </row>
    <row r="1444" spans="1:8" ht="18.75">
      <c r="A1444" s="2162" t="s">
        <v>111</v>
      </c>
      <c r="B1444" s="2164"/>
      <c r="C1444" s="2164"/>
      <c r="D1444" s="2164"/>
      <c r="E1444" s="2164"/>
      <c r="F1444" s="2164"/>
      <c r="G1444" s="2164"/>
      <c r="H1444" s="2164"/>
    </row>
    <row r="1445" spans="1:8" ht="18.75">
      <c r="A1445" s="2162" t="s">
        <v>757</v>
      </c>
      <c r="B1445" s="2164"/>
      <c r="C1445" s="2164"/>
      <c r="D1445" s="2164"/>
      <c r="E1445" s="2164"/>
      <c r="F1445" s="2164"/>
      <c r="G1445" s="2164"/>
      <c r="H1445" s="2164"/>
    </row>
    <row r="1446" spans="1:8" ht="18.75">
      <c r="A1446" s="2163" t="s">
        <v>211</v>
      </c>
      <c r="B1446" s="2164"/>
      <c r="C1446" s="2164"/>
      <c r="D1446" s="2164"/>
      <c r="E1446" s="2164"/>
      <c r="F1446" s="2164"/>
      <c r="G1446" s="2164"/>
      <c r="H1446" s="2164"/>
    </row>
    <row r="1447" spans="1:8" ht="18.75">
      <c r="A1447" s="2163" t="s">
        <v>1212</v>
      </c>
      <c r="B1447" s="2164"/>
      <c r="C1447" s="2164"/>
      <c r="D1447" s="2164"/>
      <c r="E1447" s="2164"/>
      <c r="F1447" s="2164"/>
      <c r="G1447" s="2164"/>
      <c r="H1447" s="2164"/>
    </row>
    <row r="1448" spans="1:8" ht="18.75">
      <c r="A1448" s="2163" t="s">
        <v>32</v>
      </c>
      <c r="B1448" s="2164"/>
      <c r="C1448" s="2164"/>
      <c r="D1448" s="2164"/>
      <c r="E1448" s="2164"/>
      <c r="F1448" s="2164"/>
      <c r="G1448" s="2164"/>
      <c r="H1448" s="2164"/>
    </row>
    <row r="1449" spans="1:8">
      <c r="A1449" s="33"/>
    </row>
    <row r="1450" spans="1:8" ht="18.75">
      <c r="A1450" s="2596" t="s">
        <v>49</v>
      </c>
      <c r="B1450" s="2596"/>
      <c r="C1450" s="2596"/>
      <c r="D1450" s="2596"/>
      <c r="E1450" s="2596"/>
      <c r="F1450" s="2596"/>
      <c r="G1450" s="2596"/>
      <c r="H1450" s="2596"/>
    </row>
    <row r="1451" spans="1:8" ht="39" customHeight="1" thickBot="1">
      <c r="A1451" s="2839" t="s">
        <v>1460</v>
      </c>
      <c r="B1451" s="2840"/>
      <c r="C1451" s="2840"/>
      <c r="D1451" s="2840"/>
      <c r="E1451" s="2840"/>
      <c r="F1451" s="2840"/>
      <c r="G1451" s="2840"/>
      <c r="H1451" s="2840"/>
    </row>
    <row r="1452" spans="1:8" ht="15.75" thickBot="1">
      <c r="A1452" s="2606" t="s">
        <v>29</v>
      </c>
      <c r="B1452" s="2620"/>
      <c r="C1452" s="2620"/>
      <c r="D1452" s="2620"/>
      <c r="E1452" s="2620"/>
      <c r="F1452" s="2621"/>
      <c r="G1452" s="2609" t="s">
        <v>640</v>
      </c>
      <c r="H1452" s="2858" t="s">
        <v>639</v>
      </c>
    </row>
    <row r="1453" spans="1:8" ht="75.75" thickBot="1">
      <c r="A1453" s="411" t="s">
        <v>39</v>
      </c>
      <c r="B1453" s="412" t="s">
        <v>40</v>
      </c>
      <c r="C1453" s="412" t="s">
        <v>41</v>
      </c>
      <c r="D1453" s="412" t="s">
        <v>45</v>
      </c>
      <c r="E1453" s="413" t="s">
        <v>42</v>
      </c>
      <c r="F1453" s="407" t="s">
        <v>43</v>
      </c>
      <c r="G1453" s="2622"/>
      <c r="H1453" s="2859"/>
    </row>
    <row r="1454" spans="1:8">
      <c r="A1454" s="34" t="s">
        <v>381</v>
      </c>
      <c r="B1454" s="23" t="s">
        <v>69</v>
      </c>
      <c r="C1454" s="23" t="s">
        <v>59</v>
      </c>
      <c r="D1454" s="23" t="s">
        <v>62</v>
      </c>
      <c r="E1454" s="23" t="s">
        <v>65</v>
      </c>
      <c r="F1454" s="423" t="s">
        <v>209</v>
      </c>
      <c r="G1454" s="415" t="s">
        <v>724</v>
      </c>
      <c r="H1454" s="24">
        <f>5000-150</f>
        <v>4850</v>
      </c>
    </row>
    <row r="1455" spans="1:8">
      <c r="A1455" s="34" t="s">
        <v>381</v>
      </c>
      <c r="B1455" s="23" t="s">
        <v>69</v>
      </c>
      <c r="C1455" s="23" t="s">
        <v>59</v>
      </c>
      <c r="D1455" s="23" t="s">
        <v>62</v>
      </c>
      <c r="E1455" s="23" t="s">
        <v>65</v>
      </c>
      <c r="F1455" s="424" t="s">
        <v>498</v>
      </c>
      <c r="G1455" s="416" t="s">
        <v>725</v>
      </c>
      <c r="H1455" s="24">
        <v>300</v>
      </c>
    </row>
    <row r="1456" spans="1:8">
      <c r="A1456" s="34" t="s">
        <v>381</v>
      </c>
      <c r="B1456" s="23" t="s">
        <v>69</v>
      </c>
      <c r="C1456" s="23" t="s">
        <v>59</v>
      </c>
      <c r="D1456" s="23" t="s">
        <v>62</v>
      </c>
      <c r="E1456" s="23" t="s">
        <v>65</v>
      </c>
      <c r="F1456" s="424" t="s">
        <v>726</v>
      </c>
      <c r="G1456" s="416" t="s">
        <v>727</v>
      </c>
      <c r="H1456" s="24">
        <v>7000</v>
      </c>
    </row>
    <row r="1457" spans="1:8">
      <c r="A1457" s="34" t="s">
        <v>381</v>
      </c>
      <c r="B1457" s="23" t="s">
        <v>69</v>
      </c>
      <c r="C1457" s="23" t="s">
        <v>59</v>
      </c>
      <c r="D1457" s="23" t="s">
        <v>62</v>
      </c>
      <c r="E1457" s="23" t="s">
        <v>65</v>
      </c>
      <c r="F1457" s="425">
        <v>54112</v>
      </c>
      <c r="G1457" s="416" t="s">
        <v>728</v>
      </c>
      <c r="H1457" s="25">
        <v>500</v>
      </c>
    </row>
    <row r="1458" spans="1:8">
      <c r="A1458" s="34" t="s">
        <v>381</v>
      </c>
      <c r="B1458" s="23" t="s">
        <v>69</v>
      </c>
      <c r="C1458" s="23" t="s">
        <v>59</v>
      </c>
      <c r="D1458" s="23" t="s">
        <v>62</v>
      </c>
      <c r="E1458" s="23" t="s">
        <v>65</v>
      </c>
      <c r="F1458" s="425">
        <v>54118</v>
      </c>
      <c r="G1458" s="416" t="s">
        <v>729</v>
      </c>
      <c r="H1458" s="25">
        <v>250</v>
      </c>
    </row>
    <row r="1459" spans="1:8">
      <c r="A1459" s="34" t="s">
        <v>381</v>
      </c>
      <c r="B1459" s="23" t="s">
        <v>69</v>
      </c>
      <c r="C1459" s="23" t="s">
        <v>59</v>
      </c>
      <c r="D1459" s="23" t="s">
        <v>62</v>
      </c>
      <c r="E1459" s="23" t="s">
        <v>65</v>
      </c>
      <c r="F1459" s="425">
        <v>54199</v>
      </c>
      <c r="G1459" s="419" t="s">
        <v>730</v>
      </c>
      <c r="H1459" s="25">
        <v>350</v>
      </c>
    </row>
    <row r="1460" spans="1:8">
      <c r="A1460" s="34" t="s">
        <v>381</v>
      </c>
      <c r="B1460" s="23" t="s">
        <v>69</v>
      </c>
      <c r="C1460" s="23" t="s">
        <v>59</v>
      </c>
      <c r="D1460" s="23" t="s">
        <v>62</v>
      </c>
      <c r="E1460" s="23" t="s">
        <v>65</v>
      </c>
      <c r="F1460" s="487">
        <v>34304</v>
      </c>
      <c r="G1460" s="419" t="s">
        <v>983</v>
      </c>
      <c r="H1460" s="25">
        <v>1000</v>
      </c>
    </row>
    <row r="1461" spans="1:8">
      <c r="A1461" s="34" t="s">
        <v>381</v>
      </c>
      <c r="B1461" s="23" t="s">
        <v>69</v>
      </c>
      <c r="C1461" s="23" t="s">
        <v>59</v>
      </c>
      <c r="D1461" s="23" t="s">
        <v>62</v>
      </c>
      <c r="E1461" s="23" t="s">
        <v>65</v>
      </c>
      <c r="F1461" s="487">
        <v>61608</v>
      </c>
      <c r="G1461" s="419" t="s">
        <v>731</v>
      </c>
      <c r="H1461" s="25">
        <v>750</v>
      </c>
    </row>
    <row r="1462" spans="1:8" ht="15.75" thickBot="1">
      <c r="A1462" s="1064"/>
      <c r="B1462" s="1065"/>
      <c r="C1462" s="1065"/>
      <c r="D1462" s="1065"/>
      <c r="E1462" s="1066"/>
      <c r="F1462" s="1067"/>
      <c r="G1462" s="1068"/>
      <c r="H1462" s="1071">
        <f>SUM(H1454:H1461)</f>
        <v>15000</v>
      </c>
    </row>
    <row r="1463" spans="1:8" ht="15.75" thickBot="1">
      <c r="B1463" s="9"/>
      <c r="C1463" s="10"/>
      <c r="D1463" s="3"/>
      <c r="E1463" s="3"/>
      <c r="F1463" s="3"/>
    </row>
    <row r="1464" spans="1:8">
      <c r="A1464" s="2573" t="s">
        <v>732</v>
      </c>
      <c r="B1464" s="2574"/>
      <c r="C1464" s="2574"/>
      <c r="D1464" s="2574"/>
      <c r="E1464" s="2574"/>
      <c r="F1464" s="2574"/>
      <c r="G1464" s="2575" t="s">
        <v>1323</v>
      </c>
      <c r="H1464" s="2576"/>
    </row>
    <row r="1465" spans="1:8">
      <c r="A1465" s="2577" t="s">
        <v>1460</v>
      </c>
      <c r="B1465" s="2578"/>
      <c r="C1465" s="2578"/>
      <c r="D1465" s="2578"/>
      <c r="E1465" s="2578"/>
      <c r="F1465" s="2579"/>
      <c r="G1465" s="483"/>
      <c r="H1465" s="484"/>
    </row>
    <row r="1466" spans="1:8" ht="17.25" customHeight="1">
      <c r="A1466" s="2580"/>
      <c r="B1466" s="2581"/>
      <c r="C1466" s="2581"/>
      <c r="D1466" s="2581"/>
      <c r="E1466" s="2581"/>
      <c r="F1466" s="2582"/>
      <c r="G1466" s="2580" t="s">
        <v>1096</v>
      </c>
      <c r="H1466" s="2552"/>
    </row>
    <row r="1467" spans="1:8">
      <c r="A1467" s="2597" t="s">
        <v>1111</v>
      </c>
      <c r="B1467" s="2584"/>
      <c r="C1467" s="2584"/>
      <c r="D1467" s="2584"/>
      <c r="E1467" s="2584"/>
      <c r="F1467" s="2585"/>
      <c r="G1467" s="483"/>
      <c r="H1467" s="484"/>
    </row>
    <row r="1468" spans="1:8" ht="14.25">
      <c r="A1468" s="2586"/>
      <c r="B1468" s="2587"/>
      <c r="C1468" s="2587"/>
      <c r="D1468" s="2587"/>
      <c r="E1468" s="2587"/>
      <c r="F1468" s="2588"/>
      <c r="G1468" s="2589" t="s">
        <v>695</v>
      </c>
      <c r="H1468" s="2552"/>
    </row>
    <row r="1469" spans="1:8">
      <c r="A1469" s="482"/>
      <c r="B1469" s="551"/>
      <c r="C1469" s="551"/>
      <c r="D1469" s="551"/>
      <c r="E1469" s="551"/>
      <c r="F1469" s="551"/>
      <c r="G1469" s="485"/>
      <c r="H1469" s="484"/>
    </row>
    <row r="1470" spans="1:8" thickBot="1">
      <c r="A1470" s="2590" t="s">
        <v>692</v>
      </c>
      <c r="B1470" s="2561"/>
      <c r="C1470" s="2561"/>
      <c r="D1470" s="2561"/>
      <c r="E1470" s="2561"/>
      <c r="F1470" s="2562"/>
      <c r="G1470" s="2591" t="s">
        <v>696</v>
      </c>
      <c r="H1470" s="2562"/>
    </row>
    <row r="1471" spans="1:8" ht="48" customHeight="1">
      <c r="A1471" s="2601" t="s">
        <v>821</v>
      </c>
      <c r="B1471" s="2601"/>
      <c r="C1471" s="2601"/>
      <c r="D1471" s="2601"/>
      <c r="E1471" s="2601"/>
      <c r="F1471" s="2601"/>
      <c r="G1471" s="2601"/>
      <c r="H1471" s="2601"/>
    </row>
    <row r="1472" spans="1:8">
      <c r="A1472" s="1056"/>
      <c r="B1472" s="554"/>
      <c r="C1472" s="554"/>
      <c r="D1472" s="554"/>
      <c r="E1472" s="554"/>
      <c r="F1472" s="554"/>
      <c r="G1472" s="1057"/>
      <c r="H1472" s="554"/>
    </row>
    <row r="1473" spans="1:8">
      <c r="A1473" s="1056"/>
      <c r="B1473" s="554"/>
      <c r="C1473" s="554"/>
      <c r="D1473" s="554"/>
      <c r="E1473" s="554"/>
      <c r="F1473" s="554"/>
      <c r="G1473" s="1057"/>
      <c r="H1473" s="554"/>
    </row>
    <row r="1474" spans="1:8" ht="18.75">
      <c r="A1474" s="2217" t="s">
        <v>111</v>
      </c>
      <c r="B1474" s="2217"/>
      <c r="C1474" s="2217"/>
      <c r="D1474" s="2217"/>
      <c r="E1474" s="2217"/>
      <c r="F1474" s="2217"/>
      <c r="G1474" s="2217"/>
      <c r="H1474" s="2217"/>
    </row>
    <row r="1475" spans="1:8" ht="18.75">
      <c r="A1475" s="2217" t="s">
        <v>757</v>
      </c>
      <c r="B1475" s="2217"/>
      <c r="C1475" s="2217"/>
      <c r="D1475" s="2217"/>
      <c r="E1475" s="2217"/>
      <c r="F1475" s="2217"/>
      <c r="G1475" s="2217"/>
      <c r="H1475" s="2217"/>
    </row>
    <row r="1476" spans="1:8" ht="18.75">
      <c r="A1476" s="2185" t="s">
        <v>211</v>
      </c>
      <c r="B1476" s="2185"/>
      <c r="C1476" s="2185"/>
      <c r="D1476" s="2185"/>
      <c r="E1476" s="2185"/>
      <c r="F1476" s="2185"/>
      <c r="G1476" s="2185"/>
      <c r="H1476" s="2185"/>
    </row>
    <row r="1477" spans="1:8" ht="18.75">
      <c r="A1477" s="2185" t="s">
        <v>1212</v>
      </c>
      <c r="B1477" s="2185"/>
      <c r="C1477" s="2185"/>
      <c r="D1477" s="2185"/>
      <c r="E1477" s="2185"/>
      <c r="F1477" s="2185"/>
      <c r="G1477" s="2185"/>
      <c r="H1477" s="2185"/>
    </row>
    <row r="1478" spans="1:8" ht="18.75">
      <c r="A1478" s="2185" t="s">
        <v>32</v>
      </c>
      <c r="B1478" s="2185"/>
      <c r="C1478" s="2185"/>
      <c r="D1478" s="2185"/>
      <c r="E1478" s="2185"/>
      <c r="F1478" s="2185"/>
      <c r="G1478" s="2185"/>
      <c r="H1478" s="2185"/>
    </row>
    <row r="1479" spans="1:8" ht="18.75">
      <c r="A1479" s="2613" t="s">
        <v>49</v>
      </c>
      <c r="B1479" s="2613"/>
      <c r="C1479" s="2613"/>
      <c r="D1479" s="2613"/>
      <c r="E1479" s="2613"/>
      <c r="F1479" s="2613"/>
      <c r="G1479" s="2613"/>
      <c r="H1479" s="2613"/>
    </row>
    <row r="1480" spans="1:8" ht="49.5" customHeight="1" thickBot="1">
      <c r="A1480" s="2780" t="s">
        <v>1464</v>
      </c>
      <c r="B1480" s="2781"/>
      <c r="C1480" s="2781"/>
      <c r="D1480" s="2781"/>
      <c r="E1480" s="2781"/>
      <c r="F1480" s="2781"/>
      <c r="G1480" s="2781"/>
      <c r="H1480" s="2781"/>
    </row>
    <row r="1481" spans="1:8" ht="15.75" thickBot="1">
      <c r="A1481" s="2606" t="s">
        <v>29</v>
      </c>
      <c r="B1481" s="2620"/>
      <c r="C1481" s="2620"/>
      <c r="D1481" s="2620"/>
      <c r="E1481" s="2620"/>
      <c r="F1481" s="2621"/>
      <c r="G1481" s="2609" t="s">
        <v>640</v>
      </c>
      <c r="H1481" s="2858" t="s">
        <v>639</v>
      </c>
    </row>
    <row r="1482" spans="1:8" ht="75.75" thickBot="1">
      <c r="A1482" s="411" t="s">
        <v>39</v>
      </c>
      <c r="B1482" s="412" t="s">
        <v>40</v>
      </c>
      <c r="C1482" s="412" t="s">
        <v>41</v>
      </c>
      <c r="D1482" s="412" t="s">
        <v>45</v>
      </c>
      <c r="E1482" s="413" t="s">
        <v>42</v>
      </c>
      <c r="F1482" s="407" t="s">
        <v>43</v>
      </c>
      <c r="G1482" s="2622"/>
      <c r="H1482" s="2859"/>
    </row>
    <row r="1483" spans="1:8">
      <c r="A1483" s="852" t="s">
        <v>381</v>
      </c>
      <c r="B1483" s="853" t="s">
        <v>69</v>
      </c>
      <c r="C1483" s="853" t="s">
        <v>59</v>
      </c>
      <c r="D1483" s="853" t="s">
        <v>62</v>
      </c>
      <c r="E1483" s="853" t="s">
        <v>65</v>
      </c>
      <c r="F1483" s="414">
        <v>51202</v>
      </c>
      <c r="G1483" s="419" t="s">
        <v>759</v>
      </c>
      <c r="H1483" s="557">
        <v>7000</v>
      </c>
    </row>
    <row r="1484" spans="1:8">
      <c r="A1484" s="852" t="s">
        <v>381</v>
      </c>
      <c r="B1484" s="853" t="s">
        <v>69</v>
      </c>
      <c r="C1484" s="853" t="s">
        <v>59</v>
      </c>
      <c r="D1484" s="853" t="s">
        <v>62</v>
      </c>
      <c r="E1484" s="853" t="s">
        <v>65</v>
      </c>
      <c r="F1484" s="414">
        <v>54107</v>
      </c>
      <c r="G1484" s="419" t="s">
        <v>743</v>
      </c>
      <c r="H1484" s="557">
        <v>1300</v>
      </c>
    </row>
    <row r="1485" spans="1:8">
      <c r="A1485" s="852" t="s">
        <v>381</v>
      </c>
      <c r="B1485" s="853" t="s">
        <v>69</v>
      </c>
      <c r="C1485" s="853" t="s">
        <v>59</v>
      </c>
      <c r="D1485" s="853" t="s">
        <v>62</v>
      </c>
      <c r="E1485" s="853" t="s">
        <v>65</v>
      </c>
      <c r="F1485" s="414">
        <v>54111</v>
      </c>
      <c r="G1485" s="419" t="s">
        <v>778</v>
      </c>
      <c r="H1485" s="557">
        <v>7000</v>
      </c>
    </row>
    <row r="1486" spans="1:8">
      <c r="A1486" s="852" t="s">
        <v>381</v>
      </c>
      <c r="B1486" s="853" t="s">
        <v>69</v>
      </c>
      <c r="C1486" s="853" t="s">
        <v>59</v>
      </c>
      <c r="D1486" s="853" t="s">
        <v>62</v>
      </c>
      <c r="E1486" s="853" t="s">
        <v>65</v>
      </c>
      <c r="F1486" s="414">
        <v>54112</v>
      </c>
      <c r="G1486" s="419" t="s">
        <v>779</v>
      </c>
      <c r="H1486" s="557">
        <v>1200</v>
      </c>
    </row>
    <row r="1487" spans="1:8">
      <c r="A1487" s="852" t="s">
        <v>381</v>
      </c>
      <c r="B1487" s="853" t="s">
        <v>69</v>
      </c>
      <c r="C1487" s="853" t="s">
        <v>59</v>
      </c>
      <c r="D1487" s="853" t="s">
        <v>62</v>
      </c>
      <c r="E1487" s="853" t="s">
        <v>65</v>
      </c>
      <c r="F1487" s="414">
        <v>54118</v>
      </c>
      <c r="G1487" s="419" t="s">
        <v>746</v>
      </c>
      <c r="H1487" s="557">
        <v>700</v>
      </c>
    </row>
    <row r="1488" spans="1:8">
      <c r="A1488" s="852" t="s">
        <v>381</v>
      </c>
      <c r="B1488" s="853" t="s">
        <v>69</v>
      </c>
      <c r="C1488" s="853" t="s">
        <v>59</v>
      </c>
      <c r="D1488" s="853" t="s">
        <v>62</v>
      </c>
      <c r="E1488" s="853" t="s">
        <v>65</v>
      </c>
      <c r="F1488" s="414">
        <v>54199</v>
      </c>
      <c r="G1488" s="419" t="s">
        <v>658</v>
      </c>
      <c r="H1488" s="557">
        <v>600</v>
      </c>
    </row>
    <row r="1489" spans="1:8">
      <c r="A1489" s="852" t="s">
        <v>381</v>
      </c>
      <c r="B1489" s="853" t="s">
        <v>69</v>
      </c>
      <c r="C1489" s="853" t="s">
        <v>59</v>
      </c>
      <c r="D1489" s="853" t="s">
        <v>62</v>
      </c>
      <c r="E1489" s="853" t="s">
        <v>65</v>
      </c>
      <c r="F1489" s="418" t="s">
        <v>677</v>
      </c>
      <c r="G1489" s="419" t="s">
        <v>678</v>
      </c>
      <c r="H1489" s="557">
        <v>700</v>
      </c>
    </row>
    <row r="1490" spans="1:8">
      <c r="A1490" s="852" t="s">
        <v>381</v>
      </c>
      <c r="B1490" s="853" t="s">
        <v>69</v>
      </c>
      <c r="C1490" s="853" t="s">
        <v>59</v>
      </c>
      <c r="D1490" s="853" t="s">
        <v>62</v>
      </c>
      <c r="E1490" s="853" t="s">
        <v>65</v>
      </c>
      <c r="F1490" s="421">
        <v>61608</v>
      </c>
      <c r="G1490" s="422" t="s">
        <v>780</v>
      </c>
      <c r="H1490" s="558">
        <v>1500</v>
      </c>
    </row>
    <row r="1491" spans="1:8" ht="15.75" thickBot="1">
      <c r="A1491" s="1058"/>
      <c r="B1491" s="1059"/>
      <c r="C1491" s="1059"/>
      <c r="D1491" s="1059"/>
      <c r="E1491" s="1060"/>
      <c r="F1491" s="1061"/>
      <c r="G1491" s="1062"/>
      <c r="H1491" s="1072">
        <f>SUM(H1483:H1490)</f>
        <v>20000</v>
      </c>
    </row>
    <row r="1492" spans="1:8" ht="15.75" thickBot="1">
      <c r="A1492" s="200"/>
      <c r="B1492" s="200"/>
      <c r="C1492" s="201"/>
      <c r="D1492" s="202"/>
      <c r="E1492" s="202"/>
      <c r="F1492" s="202"/>
      <c r="G1492" s="21"/>
      <c r="H1492" s="203"/>
    </row>
    <row r="1493" spans="1:8">
      <c r="A1493" s="2541" t="s">
        <v>732</v>
      </c>
      <c r="B1493" s="2542"/>
      <c r="C1493" s="2542"/>
      <c r="D1493" s="2542"/>
      <c r="E1493" s="2542"/>
      <c r="F1493" s="2542"/>
      <c r="G1493" s="2543" t="s">
        <v>1323</v>
      </c>
      <c r="H1493" s="2544"/>
    </row>
    <row r="1494" spans="1:8">
      <c r="A1494" s="857"/>
      <c r="B1494" s="47"/>
      <c r="C1494" s="160"/>
      <c r="D1494" s="160"/>
      <c r="E1494" s="160"/>
      <c r="F1494" s="160"/>
      <c r="G1494" s="858"/>
      <c r="H1494" s="859"/>
    </row>
    <row r="1495" spans="1:8" ht="31.5" customHeight="1">
      <c r="A1495" s="2551" t="s">
        <v>1464</v>
      </c>
      <c r="B1495" s="2598"/>
      <c r="C1495" s="2598"/>
      <c r="D1495" s="2598"/>
      <c r="E1495" s="2598"/>
      <c r="F1495" s="2552"/>
      <c r="G1495" s="2551" t="s">
        <v>1108</v>
      </c>
      <c r="H1495" s="2552"/>
    </row>
    <row r="1496" spans="1:8">
      <c r="A1496" s="2553" t="s">
        <v>1189</v>
      </c>
      <c r="B1496" s="2554"/>
      <c r="C1496" s="2554"/>
      <c r="D1496" s="2554"/>
      <c r="E1496" s="2554"/>
      <c r="F1496" s="2555"/>
      <c r="G1496" s="858"/>
      <c r="H1496" s="859"/>
    </row>
    <row r="1497" spans="1:8" ht="14.25">
      <c r="A1497" s="2556"/>
      <c r="B1497" s="2557"/>
      <c r="C1497" s="2557"/>
      <c r="D1497" s="2557"/>
      <c r="E1497" s="2557"/>
      <c r="F1497" s="2558"/>
      <c r="G1497" s="2559" t="s">
        <v>695</v>
      </c>
      <c r="H1497" s="2552"/>
    </row>
    <row r="1498" spans="1:8">
      <c r="A1498" s="857"/>
      <c r="B1498" s="47"/>
      <c r="C1498" s="47"/>
      <c r="D1498" s="47"/>
      <c r="E1498" s="47"/>
      <c r="F1498" s="47"/>
      <c r="G1498" s="860"/>
      <c r="H1498" s="859"/>
    </row>
    <row r="1499" spans="1:8" thickBot="1">
      <c r="A1499" s="2560" t="s">
        <v>692</v>
      </c>
      <c r="B1499" s="2561"/>
      <c r="C1499" s="2561"/>
      <c r="D1499" s="2561"/>
      <c r="E1499" s="2561"/>
      <c r="F1499" s="2562"/>
      <c r="G1499" s="2563" t="s">
        <v>696</v>
      </c>
      <c r="H1499" s="2562"/>
    </row>
    <row r="1500" spans="1:8" ht="45.75" customHeight="1">
      <c r="A1500" s="2641" t="s">
        <v>821</v>
      </c>
      <c r="B1500" s="2641"/>
      <c r="C1500" s="2641"/>
      <c r="D1500" s="2641"/>
      <c r="E1500" s="2641"/>
      <c r="F1500" s="2641"/>
      <c r="G1500" s="2641"/>
      <c r="H1500" s="2641"/>
    </row>
    <row r="1501" spans="1:8">
      <c r="A1501" s="1056"/>
      <c r="B1501" s="554"/>
      <c r="C1501" s="554"/>
      <c r="D1501" s="554"/>
      <c r="E1501" s="554"/>
      <c r="F1501" s="554"/>
      <c r="G1501" s="1057"/>
      <c r="H1501" s="554"/>
    </row>
    <row r="1502" spans="1:8">
      <c r="A1502" s="1056"/>
      <c r="B1502" s="554"/>
      <c r="C1502" s="554"/>
      <c r="D1502" s="554"/>
      <c r="E1502" s="554"/>
      <c r="F1502" s="554"/>
      <c r="G1502" s="1057"/>
      <c r="H1502" s="554"/>
    </row>
    <row r="1503" spans="1:8">
      <c r="A1503" s="1056"/>
      <c r="B1503" s="554"/>
      <c r="C1503" s="554"/>
      <c r="D1503" s="554"/>
      <c r="E1503" s="554"/>
      <c r="F1503" s="554"/>
      <c r="G1503" s="1057"/>
      <c r="H1503" s="554"/>
    </row>
    <row r="1504" spans="1:8" ht="18.75">
      <c r="A1504" s="2703" t="s">
        <v>757</v>
      </c>
      <c r="B1504" s="2705"/>
      <c r="C1504" s="2705"/>
      <c r="D1504" s="2705"/>
      <c r="E1504" s="2705"/>
      <c r="F1504" s="2705"/>
      <c r="G1504" s="2705"/>
      <c r="H1504" s="2705"/>
    </row>
    <row r="1505" spans="1:8" ht="18.75">
      <c r="A1505" s="2704" t="s">
        <v>211</v>
      </c>
      <c r="B1505" s="2705"/>
      <c r="C1505" s="2705"/>
      <c r="D1505" s="2705"/>
      <c r="E1505" s="2705"/>
      <c r="F1505" s="2705"/>
      <c r="G1505" s="2705"/>
      <c r="H1505" s="2705"/>
    </row>
    <row r="1506" spans="1:8" ht="18.75">
      <c r="A1506" s="2704" t="s">
        <v>1212</v>
      </c>
      <c r="B1506" s="2705"/>
      <c r="C1506" s="2705"/>
      <c r="D1506" s="2705"/>
      <c r="E1506" s="2705"/>
      <c r="F1506" s="2705"/>
      <c r="G1506" s="2705"/>
      <c r="H1506" s="2705"/>
    </row>
    <row r="1507" spans="1:8" ht="18.75">
      <c r="A1507" s="2704" t="s">
        <v>32</v>
      </c>
      <c r="B1507" s="2705"/>
      <c r="C1507" s="2705"/>
      <c r="D1507" s="2705"/>
      <c r="E1507" s="2705"/>
      <c r="F1507" s="2705"/>
      <c r="G1507" s="2705"/>
      <c r="H1507" s="2705"/>
    </row>
    <row r="1508" spans="1:8">
      <c r="A1508" s="814"/>
      <c r="B1508" s="815"/>
      <c r="C1508" s="816"/>
      <c r="D1508" s="817"/>
      <c r="E1508" s="817"/>
      <c r="F1508" s="817"/>
      <c r="G1508" s="818"/>
      <c r="H1508" s="819"/>
    </row>
    <row r="1509" spans="1:8" ht="18.75">
      <c r="A1509" s="2706" t="s">
        <v>49</v>
      </c>
      <c r="B1509" s="2706"/>
      <c r="C1509" s="2706"/>
      <c r="D1509" s="2706"/>
      <c r="E1509" s="2706"/>
      <c r="F1509" s="2706"/>
      <c r="G1509" s="2706"/>
      <c r="H1509" s="2706"/>
    </row>
    <row r="1510" spans="1:8" ht="45.75" customHeight="1" thickBot="1">
      <c r="A1510" s="2717" t="s">
        <v>1465</v>
      </c>
      <c r="B1510" s="2718"/>
      <c r="C1510" s="2718"/>
      <c r="D1510" s="2718"/>
      <c r="E1510" s="2718"/>
      <c r="F1510" s="2718"/>
      <c r="G1510" s="2718"/>
      <c r="H1510" s="2718"/>
    </row>
    <row r="1511" spans="1:8" ht="15.75" thickBot="1">
      <c r="A1511" s="2709" t="s">
        <v>29</v>
      </c>
      <c r="B1511" s="2789"/>
      <c r="C1511" s="2789"/>
      <c r="D1511" s="2789"/>
      <c r="E1511" s="2789"/>
      <c r="F1511" s="2790"/>
      <c r="G1511" s="2712" t="s">
        <v>640</v>
      </c>
      <c r="H1511" s="2714" t="s">
        <v>639</v>
      </c>
    </row>
    <row r="1512" spans="1:8" ht="75.75" thickBot="1">
      <c r="A1512" s="1106" t="s">
        <v>39</v>
      </c>
      <c r="B1512" s="1107" t="s">
        <v>40</v>
      </c>
      <c r="C1512" s="1107" t="s">
        <v>41</v>
      </c>
      <c r="D1512" s="1107" t="s">
        <v>45</v>
      </c>
      <c r="E1512" s="1108" t="s">
        <v>42</v>
      </c>
      <c r="F1512" s="823" t="s">
        <v>43</v>
      </c>
      <c r="G1512" s="2791"/>
      <c r="H1512" s="2723"/>
    </row>
    <row r="1513" spans="1:8">
      <c r="A1513" s="824" t="s">
        <v>381</v>
      </c>
      <c r="B1513" s="825" t="s">
        <v>69</v>
      </c>
      <c r="C1513" s="825" t="s">
        <v>59</v>
      </c>
      <c r="D1513" s="825" t="s">
        <v>62</v>
      </c>
      <c r="E1513" s="825" t="s">
        <v>65</v>
      </c>
      <c r="F1513" s="826">
        <v>51202</v>
      </c>
      <c r="G1513" s="827" t="s">
        <v>759</v>
      </c>
      <c r="H1513" s="1118">
        <f>10650</f>
        <v>10650</v>
      </c>
    </row>
    <row r="1514" spans="1:8">
      <c r="A1514" s="824" t="s">
        <v>381</v>
      </c>
      <c r="B1514" s="825" t="s">
        <v>69</v>
      </c>
      <c r="C1514" s="825" t="s">
        <v>59</v>
      </c>
      <c r="D1514" s="825" t="s">
        <v>62</v>
      </c>
      <c r="E1514" s="825" t="s">
        <v>65</v>
      </c>
      <c r="F1514" s="826">
        <v>54111</v>
      </c>
      <c r="G1514" s="827" t="s">
        <v>778</v>
      </c>
      <c r="H1514" s="1118">
        <f>7950+3200.82</f>
        <v>11150.82</v>
      </c>
    </row>
    <row r="1515" spans="1:8">
      <c r="A1515" s="824" t="s">
        <v>381</v>
      </c>
      <c r="B1515" s="825" t="s">
        <v>69</v>
      </c>
      <c r="C1515" s="825" t="s">
        <v>59</v>
      </c>
      <c r="D1515" s="825" t="s">
        <v>62</v>
      </c>
      <c r="E1515" s="825" t="s">
        <v>65</v>
      </c>
      <c r="F1515" s="826">
        <v>54112</v>
      </c>
      <c r="G1515" s="827" t="s">
        <v>779</v>
      </c>
      <c r="H1515" s="1118">
        <f>4500-1700.82</f>
        <v>2799.1800000000003</v>
      </c>
    </row>
    <row r="1516" spans="1:8">
      <c r="A1516" s="824" t="s">
        <v>381</v>
      </c>
      <c r="B1516" s="825" t="s">
        <v>69</v>
      </c>
      <c r="C1516" s="825" t="s">
        <v>59</v>
      </c>
      <c r="D1516" s="825" t="s">
        <v>62</v>
      </c>
      <c r="E1516" s="825" t="s">
        <v>65</v>
      </c>
      <c r="F1516" s="826">
        <v>54118</v>
      </c>
      <c r="G1516" s="827" t="s">
        <v>746</v>
      </c>
      <c r="H1516" s="1118">
        <v>900</v>
      </c>
    </row>
    <row r="1517" spans="1:8">
      <c r="A1517" s="824" t="s">
        <v>381</v>
      </c>
      <c r="B1517" s="825" t="s">
        <v>69</v>
      </c>
      <c r="C1517" s="825" t="s">
        <v>59</v>
      </c>
      <c r="D1517" s="825" t="s">
        <v>62</v>
      </c>
      <c r="E1517" s="825" t="s">
        <v>65</v>
      </c>
      <c r="F1517" s="826">
        <v>54199</v>
      </c>
      <c r="G1517" s="827" t="s">
        <v>658</v>
      </c>
      <c r="H1517" s="1118">
        <v>900</v>
      </c>
    </row>
    <row r="1518" spans="1:8">
      <c r="A1518" s="824" t="s">
        <v>381</v>
      </c>
      <c r="B1518" s="825" t="s">
        <v>69</v>
      </c>
      <c r="C1518" s="825" t="s">
        <v>59</v>
      </c>
      <c r="D1518" s="825" t="s">
        <v>62</v>
      </c>
      <c r="E1518" s="825" t="s">
        <v>65</v>
      </c>
      <c r="F1518" s="829" t="s">
        <v>677</v>
      </c>
      <c r="G1518" s="827" t="s">
        <v>678</v>
      </c>
      <c r="H1518" s="1118">
        <v>2100</v>
      </c>
    </row>
    <row r="1519" spans="1:8">
      <c r="A1519" s="824" t="s">
        <v>381</v>
      </c>
      <c r="B1519" s="825" t="s">
        <v>69</v>
      </c>
      <c r="C1519" s="825" t="s">
        <v>59</v>
      </c>
      <c r="D1519" s="825" t="s">
        <v>62</v>
      </c>
      <c r="E1519" s="825" t="s">
        <v>65</v>
      </c>
      <c r="F1519" s="831">
        <v>61608</v>
      </c>
      <c r="G1519" s="832" t="s">
        <v>780</v>
      </c>
      <c r="H1519" s="1129">
        <v>1500</v>
      </c>
    </row>
    <row r="1520" spans="1:8" ht="15.75" thickBot="1">
      <c r="A1520" s="1110"/>
      <c r="B1520" s="1111"/>
      <c r="C1520" s="1111"/>
      <c r="D1520" s="1111"/>
      <c r="E1520" s="1112"/>
      <c r="F1520" s="1113"/>
      <c r="G1520" s="1114"/>
      <c r="H1520" s="1120">
        <f>SUM(H1513:H1519)</f>
        <v>30000</v>
      </c>
    </row>
    <row r="1521" spans="1:8" ht="15.75" thickBot="1">
      <c r="A1521" s="839"/>
      <c r="B1521" s="839"/>
      <c r="C1521" s="840"/>
      <c r="D1521" s="841"/>
      <c r="E1521" s="841"/>
      <c r="F1521" s="841"/>
      <c r="G1521" s="818"/>
      <c r="H1521" s="819"/>
    </row>
    <row r="1522" spans="1:8">
      <c r="A1522" s="2685" t="s">
        <v>1097</v>
      </c>
      <c r="B1522" s="2686"/>
      <c r="C1522" s="2686"/>
      <c r="D1522" s="2686"/>
      <c r="E1522" s="2686"/>
      <c r="F1522" s="2686"/>
      <c r="G1522" s="2687" t="s">
        <v>1323</v>
      </c>
      <c r="H1522" s="2688"/>
    </row>
    <row r="1523" spans="1:8">
      <c r="A1523" s="2834" t="s">
        <v>1465</v>
      </c>
      <c r="B1523" s="2835"/>
      <c r="C1523" s="2835"/>
      <c r="D1523" s="2835"/>
      <c r="E1523" s="2835"/>
      <c r="F1523" s="2836"/>
      <c r="G1523" s="845"/>
      <c r="H1523" s="846"/>
    </row>
    <row r="1524" spans="1:8" ht="14.25">
      <c r="A1524" s="2689"/>
      <c r="B1524" s="2837"/>
      <c r="C1524" s="2837"/>
      <c r="D1524" s="2837"/>
      <c r="E1524" s="2837"/>
      <c r="F1524" s="2838"/>
      <c r="G1524" s="2689" t="s">
        <v>1095</v>
      </c>
      <c r="H1524" s="2691"/>
    </row>
    <row r="1525" spans="1:8">
      <c r="A1525" s="2692" t="s">
        <v>1466</v>
      </c>
      <c r="B1525" s="2693"/>
      <c r="C1525" s="2693"/>
      <c r="D1525" s="2693"/>
      <c r="E1525" s="2693"/>
      <c r="F1525" s="2694"/>
      <c r="G1525" s="845"/>
      <c r="H1525" s="846"/>
    </row>
    <row r="1526" spans="1:8" ht="33.75" customHeight="1">
      <c r="A1526" s="2695"/>
      <c r="B1526" s="2696"/>
      <c r="C1526" s="2696"/>
      <c r="D1526" s="2696"/>
      <c r="E1526" s="2696"/>
      <c r="F1526" s="2697"/>
      <c r="G1526" s="2698" t="s">
        <v>695</v>
      </c>
      <c r="H1526" s="2691"/>
    </row>
    <row r="1527" spans="1:8">
      <c r="A1527" s="842"/>
      <c r="B1527" s="843"/>
      <c r="C1527" s="843"/>
      <c r="D1527" s="843"/>
      <c r="E1527" s="843"/>
      <c r="F1527" s="843"/>
      <c r="G1527" s="847"/>
      <c r="H1527" s="846"/>
    </row>
    <row r="1528" spans="1:8" thickBot="1">
      <c r="A1528" s="2699" t="s">
        <v>692</v>
      </c>
      <c r="B1528" s="2700"/>
      <c r="C1528" s="2700"/>
      <c r="D1528" s="2700"/>
      <c r="E1528" s="2700"/>
      <c r="F1528" s="2701"/>
      <c r="G1528" s="2702" t="s">
        <v>696</v>
      </c>
      <c r="H1528" s="2701"/>
    </row>
    <row r="1529" spans="1:8" ht="39" customHeight="1">
      <c r="A1529" s="2716" t="s">
        <v>821</v>
      </c>
      <c r="B1529" s="2716"/>
      <c r="C1529" s="2716"/>
      <c r="D1529" s="2716"/>
      <c r="E1529" s="2716"/>
      <c r="F1529" s="2716"/>
      <c r="G1529" s="2716"/>
      <c r="H1529" s="2716"/>
    </row>
    <row r="1530" spans="1:8">
      <c r="A1530" s="1056"/>
      <c r="B1530" s="554"/>
      <c r="C1530" s="554"/>
      <c r="D1530" s="554"/>
      <c r="E1530" s="554"/>
      <c r="F1530" s="554"/>
      <c r="G1530" s="1057"/>
      <c r="H1530" s="554"/>
    </row>
    <row r="1531" spans="1:8">
      <c r="A1531" s="1056"/>
      <c r="B1531" s="554"/>
      <c r="C1531" s="554"/>
      <c r="D1531" s="554"/>
      <c r="E1531" s="554"/>
      <c r="F1531" s="554"/>
      <c r="G1531" s="1057"/>
      <c r="H1531" s="554"/>
    </row>
    <row r="1532" spans="1:8">
      <c r="A1532" s="1056"/>
      <c r="B1532" s="554"/>
      <c r="C1532" s="554"/>
      <c r="D1532" s="554"/>
      <c r="E1532" s="554"/>
      <c r="F1532" s="554"/>
      <c r="G1532" s="1057"/>
      <c r="H1532" s="554"/>
    </row>
    <row r="1533" spans="1:8" ht="18.75">
      <c r="A1533" s="2162" t="s">
        <v>111</v>
      </c>
      <c r="B1533" s="2162"/>
      <c r="C1533" s="2162"/>
      <c r="D1533" s="2162"/>
      <c r="E1533" s="2162"/>
      <c r="F1533" s="2162"/>
      <c r="G1533" s="2162"/>
      <c r="H1533" s="2162"/>
    </row>
    <row r="1534" spans="1:8" ht="18.75">
      <c r="A1534" s="2162" t="s">
        <v>110</v>
      </c>
      <c r="B1534" s="2162"/>
      <c r="C1534" s="2162"/>
      <c r="D1534" s="2162"/>
      <c r="E1534" s="2162"/>
      <c r="F1534" s="2162"/>
      <c r="G1534" s="2162"/>
      <c r="H1534" s="2162"/>
    </row>
    <row r="1535" spans="1:8" ht="18.75">
      <c r="A1535" s="2163" t="s">
        <v>211</v>
      </c>
      <c r="B1535" s="2164"/>
      <c r="C1535" s="2164"/>
      <c r="D1535" s="2164"/>
      <c r="E1535" s="2164"/>
      <c r="F1535" s="2164"/>
      <c r="G1535" s="2164"/>
      <c r="H1535" s="2164"/>
    </row>
    <row r="1536" spans="1:8" ht="18.75">
      <c r="A1536" s="2163" t="s">
        <v>1212</v>
      </c>
      <c r="B1536" s="2164"/>
      <c r="C1536" s="2164"/>
      <c r="D1536" s="2164"/>
      <c r="E1536" s="2164"/>
      <c r="F1536" s="2164"/>
      <c r="G1536" s="2164"/>
      <c r="H1536" s="2164"/>
    </row>
    <row r="1537" spans="1:8" ht="18.75">
      <c r="A1537" s="2163" t="s">
        <v>32</v>
      </c>
      <c r="B1537" s="2164"/>
      <c r="C1537" s="2164"/>
      <c r="D1537" s="2164"/>
      <c r="E1537" s="2164"/>
      <c r="F1537" s="2164"/>
      <c r="G1537" s="2164"/>
      <c r="H1537" s="2164"/>
    </row>
    <row r="1538" spans="1:8" ht="3.75" customHeight="1">
      <c r="A1538" s="33"/>
    </row>
    <row r="1539" spans="1:8" ht="18.75">
      <c r="A1539" s="2596" t="s">
        <v>49</v>
      </c>
      <c r="B1539" s="2596"/>
      <c r="C1539" s="2596"/>
      <c r="D1539" s="2596"/>
      <c r="E1539" s="2596"/>
      <c r="F1539" s="2596"/>
      <c r="G1539" s="2596"/>
      <c r="H1539" s="2596"/>
    </row>
    <row r="1540" spans="1:8" ht="50.25" customHeight="1">
      <c r="A1540" s="2780" t="s">
        <v>1468</v>
      </c>
      <c r="B1540" s="2781"/>
      <c r="C1540" s="2781"/>
      <c r="D1540" s="2781"/>
      <c r="E1540" s="2781"/>
      <c r="F1540" s="2781"/>
      <c r="G1540" s="2781"/>
      <c r="H1540" s="2781"/>
    </row>
    <row r="1541" spans="1:8" ht="15.75" thickBot="1">
      <c r="A1541" s="2567" t="s">
        <v>29</v>
      </c>
      <c r="B1541" s="2568"/>
      <c r="C1541" s="2568"/>
      <c r="D1541" s="2568"/>
      <c r="E1541" s="2568"/>
      <c r="F1541" s="2569"/>
      <c r="G1541" s="2570" t="s">
        <v>640</v>
      </c>
      <c r="H1541" s="2860" t="s">
        <v>639</v>
      </c>
    </row>
    <row r="1542" spans="1:8" ht="75.75" thickBot="1">
      <c r="A1542" s="411" t="s">
        <v>39</v>
      </c>
      <c r="B1542" s="412" t="s">
        <v>40</v>
      </c>
      <c r="C1542" s="412" t="s">
        <v>41</v>
      </c>
      <c r="D1542" s="412" t="s">
        <v>45</v>
      </c>
      <c r="E1542" s="413" t="s">
        <v>42</v>
      </c>
      <c r="F1542" s="407" t="s">
        <v>43</v>
      </c>
      <c r="G1542" s="2571"/>
      <c r="H1542" s="2860"/>
    </row>
    <row r="1543" spans="1:8">
      <c r="A1543" s="34" t="s">
        <v>381</v>
      </c>
      <c r="B1543" s="23" t="s">
        <v>69</v>
      </c>
      <c r="C1543" s="23" t="s">
        <v>59</v>
      </c>
      <c r="D1543" s="23" t="s">
        <v>62</v>
      </c>
      <c r="E1543" s="23" t="s">
        <v>65</v>
      </c>
      <c r="F1543" s="423" t="s">
        <v>785</v>
      </c>
      <c r="G1543" s="561" t="s">
        <v>1061</v>
      </c>
      <c r="H1543" s="541">
        <v>38000</v>
      </c>
    </row>
    <row r="1544" spans="1:8">
      <c r="A1544" s="34" t="s">
        <v>381</v>
      </c>
      <c r="B1544" s="23" t="s">
        <v>69</v>
      </c>
      <c r="C1544" s="23" t="s">
        <v>59</v>
      </c>
      <c r="D1544" s="23" t="s">
        <v>62</v>
      </c>
      <c r="E1544" s="23" t="s">
        <v>65</v>
      </c>
      <c r="F1544" s="424" t="s">
        <v>735</v>
      </c>
      <c r="G1544" s="540" t="s">
        <v>736</v>
      </c>
      <c r="H1544" s="563">
        <v>2000</v>
      </c>
    </row>
    <row r="1545" spans="1:8" ht="15.75" thickBot="1">
      <c r="A1545" s="1064"/>
      <c r="B1545" s="1065"/>
      <c r="C1545" s="1065"/>
      <c r="D1545" s="1065"/>
      <c r="E1545" s="1066"/>
      <c r="F1545" s="1067"/>
      <c r="G1545" s="1068"/>
      <c r="H1545" s="1071">
        <f>SUM(H1543:H1544)</f>
        <v>40000</v>
      </c>
    </row>
    <row r="1546" spans="1:8" ht="15.75" thickBot="1">
      <c r="B1546" s="9"/>
      <c r="C1546" s="10"/>
      <c r="D1546" s="3"/>
      <c r="E1546" s="3"/>
      <c r="F1546" s="3"/>
    </row>
    <row r="1547" spans="1:8">
      <c r="A1547" s="2573" t="s">
        <v>1097</v>
      </c>
      <c r="B1547" s="2574"/>
      <c r="C1547" s="2574"/>
      <c r="D1547" s="2574"/>
      <c r="E1547" s="2574"/>
      <c r="F1547" s="2574"/>
      <c r="G1547" s="2575" t="s">
        <v>1323</v>
      </c>
      <c r="H1547" s="2576"/>
    </row>
    <row r="1548" spans="1:8">
      <c r="A1548" s="2577" t="s">
        <v>1468</v>
      </c>
      <c r="B1548" s="2578"/>
      <c r="C1548" s="2578"/>
      <c r="D1548" s="2578"/>
      <c r="E1548" s="2578"/>
      <c r="F1548" s="2579"/>
      <c r="G1548" s="483"/>
      <c r="H1548" s="484"/>
    </row>
    <row r="1549" spans="1:8" ht="14.25" customHeight="1">
      <c r="A1549" s="2580"/>
      <c r="B1549" s="2581"/>
      <c r="C1549" s="2581"/>
      <c r="D1549" s="2581"/>
      <c r="E1549" s="2581"/>
      <c r="F1549" s="2582"/>
      <c r="G1549" s="2580" t="s">
        <v>1067</v>
      </c>
      <c r="H1549" s="2552"/>
    </row>
    <row r="1550" spans="1:8">
      <c r="A1550" s="2597" t="s">
        <v>1329</v>
      </c>
      <c r="B1550" s="2584"/>
      <c r="C1550" s="2584"/>
      <c r="D1550" s="2584"/>
      <c r="E1550" s="2584"/>
      <c r="F1550" s="2585"/>
      <c r="G1550" s="483"/>
      <c r="H1550" s="484"/>
    </row>
    <row r="1551" spans="1:8" ht="18" customHeight="1">
      <c r="A1551" s="2586"/>
      <c r="B1551" s="2587"/>
      <c r="C1551" s="2587"/>
      <c r="D1551" s="2587"/>
      <c r="E1551" s="2587"/>
      <c r="F1551" s="2588"/>
      <c r="G1551" s="2589" t="s">
        <v>737</v>
      </c>
      <c r="H1551" s="2552"/>
    </row>
    <row r="1552" spans="1:8">
      <c r="A1552" s="482"/>
      <c r="B1552" s="551"/>
      <c r="C1552" s="551"/>
      <c r="D1552" s="551"/>
      <c r="E1552" s="551"/>
      <c r="F1552" s="551"/>
      <c r="G1552" s="485"/>
      <c r="H1552" s="484"/>
    </row>
    <row r="1553" spans="1:10" thickBot="1">
      <c r="A1553" s="2590" t="s">
        <v>692</v>
      </c>
      <c r="B1553" s="2561"/>
      <c r="C1553" s="2561"/>
      <c r="D1553" s="2561"/>
      <c r="E1553" s="2561"/>
      <c r="F1553" s="2562"/>
      <c r="G1553" s="2591" t="s">
        <v>696</v>
      </c>
      <c r="H1553" s="2562"/>
    </row>
    <row r="1554" spans="1:10">
      <c r="A1554" s="553"/>
      <c r="B1554" s="554"/>
      <c r="C1554" s="554"/>
      <c r="D1554" s="554"/>
      <c r="E1554" s="554"/>
      <c r="F1554" s="554"/>
      <c r="G1554" s="555"/>
      <c r="H1554" s="554"/>
    </row>
    <row r="1555" spans="1:10" ht="38.25" customHeight="1">
      <c r="A1555" s="2601" t="s">
        <v>821</v>
      </c>
      <c r="B1555" s="2601"/>
      <c r="C1555" s="2601"/>
      <c r="D1555" s="2601"/>
      <c r="E1555" s="2601"/>
      <c r="F1555" s="2601"/>
      <c r="G1555" s="2601"/>
      <c r="H1555" s="2601"/>
    </row>
    <row r="1556" spans="1:10">
      <c r="A1556" s="1056"/>
      <c r="B1556" s="554"/>
      <c r="C1556" s="554"/>
      <c r="D1556" s="554"/>
      <c r="E1556" s="554"/>
      <c r="F1556" s="554"/>
      <c r="G1556" s="1057"/>
      <c r="H1556" s="554"/>
    </row>
    <row r="1557" spans="1:10">
      <c r="A1557" s="1056"/>
      <c r="B1557" s="554"/>
      <c r="C1557" s="554"/>
      <c r="D1557" s="554"/>
      <c r="E1557" s="554"/>
      <c r="F1557" s="554"/>
      <c r="G1557" s="1057"/>
      <c r="H1557" s="554"/>
    </row>
    <row r="1558" spans="1:10">
      <c r="A1558" s="1056"/>
      <c r="B1558" s="554"/>
      <c r="C1558" s="554"/>
      <c r="D1558" s="554"/>
      <c r="E1558" s="554"/>
      <c r="F1558" s="554"/>
      <c r="G1558" s="1057"/>
      <c r="H1558" s="554"/>
    </row>
    <row r="1559" spans="1:10" ht="18.75">
      <c r="A1559" s="2217" t="s">
        <v>111</v>
      </c>
      <c r="B1559" s="2217"/>
      <c r="C1559" s="2217"/>
      <c r="D1559" s="2217"/>
      <c r="E1559" s="2217"/>
      <c r="F1559" s="2217"/>
      <c r="G1559" s="2217"/>
      <c r="H1559" s="2217"/>
    </row>
    <row r="1560" spans="1:10" ht="18.75">
      <c r="A1560" s="2217" t="s">
        <v>757</v>
      </c>
      <c r="B1560" s="2217"/>
      <c r="C1560" s="2217"/>
      <c r="D1560" s="2217"/>
      <c r="E1560" s="2217"/>
      <c r="F1560" s="2217"/>
      <c r="G1560" s="2217"/>
      <c r="H1560" s="2217"/>
    </row>
    <row r="1561" spans="1:10" ht="18.75">
      <c r="A1561" s="2185" t="s">
        <v>211</v>
      </c>
      <c r="B1561" s="2185"/>
      <c r="C1561" s="2185"/>
      <c r="D1561" s="2185"/>
      <c r="E1561" s="2185"/>
      <c r="F1561" s="2185"/>
      <c r="G1561" s="2185"/>
      <c r="H1561" s="2185"/>
    </row>
    <row r="1562" spans="1:10" ht="18.75">
      <c r="A1562" s="2185" t="s">
        <v>1212</v>
      </c>
      <c r="B1562" s="2185"/>
      <c r="C1562" s="2185"/>
      <c r="D1562" s="2185"/>
      <c r="E1562" s="2185"/>
      <c r="F1562" s="2185"/>
      <c r="G1562" s="2185"/>
      <c r="H1562" s="2185"/>
    </row>
    <row r="1563" spans="1:10" ht="18.75">
      <c r="A1563" s="2185" t="s">
        <v>32</v>
      </c>
      <c r="B1563" s="2185"/>
      <c r="C1563" s="2185"/>
      <c r="D1563" s="2185"/>
      <c r="E1563" s="2185"/>
      <c r="F1563" s="2185"/>
      <c r="G1563" s="2185"/>
      <c r="H1563" s="2185"/>
      <c r="J1563" s="1702"/>
    </row>
    <row r="1564" spans="1:10" ht="18.75">
      <c r="A1564" s="2613" t="s">
        <v>49</v>
      </c>
      <c r="B1564" s="2613"/>
      <c r="C1564" s="2613"/>
      <c r="D1564" s="2613"/>
      <c r="E1564" s="2613"/>
      <c r="F1564" s="2613"/>
      <c r="G1564" s="2613"/>
      <c r="H1564" s="2613"/>
    </row>
    <row r="1565" spans="1:10" ht="41.25" customHeight="1" thickBot="1">
      <c r="A1565" s="2821" t="s">
        <v>1469</v>
      </c>
      <c r="B1565" s="2822"/>
      <c r="C1565" s="2822"/>
      <c r="D1565" s="2822"/>
      <c r="E1565" s="2822"/>
      <c r="F1565" s="2822"/>
      <c r="G1565" s="2822"/>
      <c r="H1565" s="2822"/>
    </row>
    <row r="1566" spans="1:10" ht="15.75" thickBot="1">
      <c r="A1566" s="2606" t="s">
        <v>29</v>
      </c>
      <c r="B1566" s="2620"/>
      <c r="C1566" s="2620"/>
      <c r="D1566" s="2620"/>
      <c r="E1566" s="2620"/>
      <c r="F1566" s="2621"/>
      <c r="G1566" s="2609" t="s">
        <v>640</v>
      </c>
      <c r="H1566" s="2858" t="s">
        <v>639</v>
      </c>
    </row>
    <row r="1567" spans="1:10" ht="75.75" thickBot="1">
      <c r="A1567" s="411" t="s">
        <v>39</v>
      </c>
      <c r="B1567" s="412" t="s">
        <v>40</v>
      </c>
      <c r="C1567" s="412" t="s">
        <v>41</v>
      </c>
      <c r="D1567" s="412" t="s">
        <v>45</v>
      </c>
      <c r="E1567" s="413" t="s">
        <v>42</v>
      </c>
      <c r="F1567" s="407" t="s">
        <v>43</v>
      </c>
      <c r="G1567" s="2622"/>
      <c r="H1567" s="2859"/>
    </row>
    <row r="1568" spans="1:10">
      <c r="A1568" s="852" t="s">
        <v>381</v>
      </c>
      <c r="B1568" s="853" t="s">
        <v>69</v>
      </c>
      <c r="C1568" s="853" t="s">
        <v>59</v>
      </c>
      <c r="D1568" s="853" t="s">
        <v>62</v>
      </c>
      <c r="E1568" s="853" t="s">
        <v>65</v>
      </c>
      <c r="F1568" s="414">
        <v>51202</v>
      </c>
      <c r="G1568" s="419" t="s">
        <v>759</v>
      </c>
      <c r="H1568" s="557">
        <v>7000</v>
      </c>
    </row>
    <row r="1569" spans="1:8">
      <c r="A1569" s="852" t="s">
        <v>381</v>
      </c>
      <c r="B1569" s="853" t="s">
        <v>69</v>
      </c>
      <c r="C1569" s="853" t="s">
        <v>59</v>
      </c>
      <c r="D1569" s="853" t="s">
        <v>62</v>
      </c>
      <c r="E1569" s="853" t="s">
        <v>65</v>
      </c>
      <c r="F1569" s="414">
        <v>54107</v>
      </c>
      <c r="G1569" s="419" t="s">
        <v>743</v>
      </c>
      <c r="H1569" s="557">
        <v>1300</v>
      </c>
    </row>
    <row r="1570" spans="1:8">
      <c r="A1570" s="852" t="s">
        <v>381</v>
      </c>
      <c r="B1570" s="853" t="s">
        <v>69</v>
      </c>
      <c r="C1570" s="853" t="s">
        <v>59</v>
      </c>
      <c r="D1570" s="853" t="s">
        <v>62</v>
      </c>
      <c r="E1570" s="853" t="s">
        <v>65</v>
      </c>
      <c r="F1570" s="414">
        <v>54111</v>
      </c>
      <c r="G1570" s="419" t="s">
        <v>778</v>
      </c>
      <c r="H1570" s="557">
        <v>7500</v>
      </c>
    </row>
    <row r="1571" spans="1:8">
      <c r="A1571" s="852" t="s">
        <v>381</v>
      </c>
      <c r="B1571" s="853" t="s">
        <v>69</v>
      </c>
      <c r="C1571" s="853" t="s">
        <v>59</v>
      </c>
      <c r="D1571" s="853" t="s">
        <v>62</v>
      </c>
      <c r="E1571" s="853" t="s">
        <v>65</v>
      </c>
      <c r="F1571" s="414">
        <v>54112</v>
      </c>
      <c r="G1571" s="419" t="s">
        <v>779</v>
      </c>
      <c r="H1571" s="557">
        <v>1200</v>
      </c>
    </row>
    <row r="1572" spans="1:8">
      <c r="A1572" s="852" t="s">
        <v>381</v>
      </c>
      <c r="B1572" s="853" t="s">
        <v>69</v>
      </c>
      <c r="C1572" s="853" t="s">
        <v>59</v>
      </c>
      <c r="D1572" s="853" t="s">
        <v>62</v>
      </c>
      <c r="E1572" s="853" t="s">
        <v>65</v>
      </c>
      <c r="F1572" s="414">
        <v>54118</v>
      </c>
      <c r="G1572" s="419" t="s">
        <v>746</v>
      </c>
      <c r="H1572" s="557">
        <v>700</v>
      </c>
    </row>
    <row r="1573" spans="1:8">
      <c r="A1573" s="852" t="s">
        <v>381</v>
      </c>
      <c r="B1573" s="853" t="s">
        <v>69</v>
      </c>
      <c r="C1573" s="853" t="s">
        <v>59</v>
      </c>
      <c r="D1573" s="853" t="s">
        <v>62</v>
      </c>
      <c r="E1573" s="853" t="s">
        <v>65</v>
      </c>
      <c r="F1573" s="414">
        <v>54199</v>
      </c>
      <c r="G1573" s="419" t="s">
        <v>658</v>
      </c>
      <c r="H1573" s="557">
        <v>600</v>
      </c>
    </row>
    <row r="1574" spans="1:8">
      <c r="A1574" s="852" t="s">
        <v>381</v>
      </c>
      <c r="B1574" s="853" t="s">
        <v>69</v>
      </c>
      <c r="C1574" s="853" t="s">
        <v>59</v>
      </c>
      <c r="D1574" s="853" t="s">
        <v>62</v>
      </c>
      <c r="E1574" s="853" t="s">
        <v>65</v>
      </c>
      <c r="F1574" s="418" t="s">
        <v>677</v>
      </c>
      <c r="G1574" s="419" t="s">
        <v>678</v>
      </c>
      <c r="H1574" s="557">
        <v>700</v>
      </c>
    </row>
    <row r="1575" spans="1:8">
      <c r="A1575" s="852" t="s">
        <v>381</v>
      </c>
      <c r="B1575" s="853" t="s">
        <v>69</v>
      </c>
      <c r="C1575" s="853" t="s">
        <v>59</v>
      </c>
      <c r="D1575" s="853" t="s">
        <v>62</v>
      </c>
      <c r="E1575" s="853" t="s">
        <v>65</v>
      </c>
      <c r="F1575" s="421">
        <v>61608</v>
      </c>
      <c r="G1575" s="422" t="s">
        <v>780</v>
      </c>
      <c r="H1575" s="558">
        <v>1000</v>
      </c>
    </row>
    <row r="1576" spans="1:8" ht="15.75" thickBot="1">
      <c r="A1576" s="1058"/>
      <c r="B1576" s="1059"/>
      <c r="C1576" s="1059"/>
      <c r="D1576" s="1059"/>
      <c r="E1576" s="1060"/>
      <c r="F1576" s="1061"/>
      <c r="G1576" s="1062"/>
      <c r="H1576" s="1072">
        <f>SUM(H1568:H1575)</f>
        <v>20000</v>
      </c>
    </row>
    <row r="1577" spans="1:8" ht="15.75" thickBot="1">
      <c r="A1577" s="200"/>
      <c r="B1577" s="200"/>
      <c r="C1577" s="201"/>
      <c r="D1577" s="202"/>
      <c r="E1577" s="202"/>
      <c r="F1577" s="202"/>
      <c r="G1577" s="21"/>
      <c r="H1577" s="203"/>
    </row>
    <row r="1578" spans="1:8">
      <c r="A1578" s="2541" t="s">
        <v>732</v>
      </c>
      <c r="B1578" s="2542"/>
      <c r="C1578" s="2542"/>
      <c r="D1578" s="2542"/>
      <c r="E1578" s="2542"/>
      <c r="F1578" s="2542"/>
      <c r="G1578" s="2543" t="s">
        <v>1323</v>
      </c>
      <c r="H1578" s="2544"/>
    </row>
    <row r="1579" spans="1:8">
      <c r="A1579" s="857"/>
      <c r="B1579" s="47"/>
      <c r="C1579" s="160"/>
      <c r="D1579" s="160"/>
      <c r="E1579" s="160"/>
      <c r="F1579" s="160"/>
      <c r="G1579" s="858"/>
      <c r="H1579" s="859"/>
    </row>
    <row r="1580" spans="1:8" ht="35.25" customHeight="1">
      <c r="A1580" s="2551" t="s">
        <v>1469</v>
      </c>
      <c r="B1580" s="2598"/>
      <c r="C1580" s="2598"/>
      <c r="D1580" s="2598"/>
      <c r="E1580" s="2598"/>
      <c r="F1580" s="2552"/>
      <c r="G1580" s="2551" t="s">
        <v>1108</v>
      </c>
      <c r="H1580" s="2552"/>
    </row>
    <row r="1581" spans="1:8">
      <c r="A1581" s="2553" t="s">
        <v>1189</v>
      </c>
      <c r="B1581" s="2554"/>
      <c r="C1581" s="2554"/>
      <c r="D1581" s="2554"/>
      <c r="E1581" s="2554"/>
      <c r="F1581" s="2555"/>
      <c r="G1581" s="858"/>
      <c r="H1581" s="859"/>
    </row>
    <row r="1582" spans="1:8" ht="14.25">
      <c r="A1582" s="2556"/>
      <c r="B1582" s="2557"/>
      <c r="C1582" s="2557"/>
      <c r="D1582" s="2557"/>
      <c r="E1582" s="2557"/>
      <c r="F1582" s="2558"/>
      <c r="G1582" s="2559" t="s">
        <v>695</v>
      </c>
      <c r="H1582" s="2552"/>
    </row>
    <row r="1583" spans="1:8">
      <c r="A1583" s="857"/>
      <c r="B1583" s="47"/>
      <c r="C1583" s="47"/>
      <c r="D1583" s="47"/>
      <c r="E1583" s="47"/>
      <c r="F1583" s="47"/>
      <c r="G1583" s="860"/>
      <c r="H1583" s="859"/>
    </row>
    <row r="1584" spans="1:8" thickBot="1">
      <c r="A1584" s="2560" t="s">
        <v>692</v>
      </c>
      <c r="B1584" s="2561"/>
      <c r="C1584" s="2561"/>
      <c r="D1584" s="2561"/>
      <c r="E1584" s="2561"/>
      <c r="F1584" s="2562"/>
      <c r="G1584" s="2563" t="s">
        <v>696</v>
      </c>
      <c r="H1584" s="2562"/>
    </row>
    <row r="1585" spans="1:8" ht="44.25" customHeight="1">
      <c r="A1585" s="2641" t="s">
        <v>821</v>
      </c>
      <c r="B1585" s="2641"/>
      <c r="C1585" s="2641"/>
      <c r="D1585" s="2641"/>
      <c r="E1585" s="2641"/>
      <c r="F1585" s="2641"/>
      <c r="G1585" s="2641"/>
      <c r="H1585" s="2641"/>
    </row>
    <row r="1586" spans="1:8">
      <c r="A1586" s="1056"/>
      <c r="B1586" s="554"/>
      <c r="C1586" s="554"/>
      <c r="D1586" s="554"/>
      <c r="E1586" s="554"/>
      <c r="F1586" s="554"/>
      <c r="G1586" s="1057"/>
      <c r="H1586" s="554"/>
    </row>
    <row r="1587" spans="1:8">
      <c r="A1587" s="1056"/>
      <c r="B1587" s="554"/>
      <c r="C1587" s="554"/>
      <c r="D1587" s="554"/>
      <c r="E1587" s="554"/>
      <c r="F1587" s="554"/>
      <c r="G1587" s="1057"/>
      <c r="H1587" s="554"/>
    </row>
    <row r="1588" spans="1:8">
      <c r="A1588" s="1056"/>
      <c r="B1588" s="554"/>
      <c r="C1588" s="554"/>
      <c r="D1588" s="554"/>
      <c r="E1588" s="554"/>
      <c r="F1588" s="554"/>
      <c r="G1588" s="1057"/>
      <c r="H1588" s="554"/>
    </row>
    <row r="1589" spans="1:8">
      <c r="A1589" s="1056"/>
      <c r="B1589" s="554"/>
      <c r="C1589" s="554"/>
      <c r="D1589" s="554"/>
      <c r="E1589" s="554"/>
      <c r="F1589" s="554"/>
      <c r="G1589" s="1057"/>
      <c r="H1589" s="554"/>
    </row>
    <row r="1590" spans="1:8">
      <c r="A1590" s="1056"/>
      <c r="B1590" s="554"/>
      <c r="C1590" s="554"/>
      <c r="D1590" s="554"/>
      <c r="E1590" s="554"/>
      <c r="F1590" s="554"/>
      <c r="G1590" s="1057"/>
      <c r="H1590" s="554"/>
    </row>
    <row r="1591" spans="1:8">
      <c r="A1591" s="1056"/>
      <c r="B1591" s="554"/>
      <c r="C1591" s="554"/>
      <c r="D1591" s="554"/>
      <c r="E1591" s="554"/>
      <c r="F1591" s="554"/>
      <c r="G1591" s="1057"/>
      <c r="H1591" s="554"/>
    </row>
    <row r="1592" spans="1:8">
      <c r="A1592" s="1056"/>
      <c r="B1592" s="554"/>
      <c r="C1592" s="554"/>
      <c r="D1592" s="554"/>
      <c r="E1592" s="554"/>
      <c r="F1592" s="554"/>
      <c r="G1592" s="1057"/>
      <c r="H1592" s="554"/>
    </row>
    <row r="1593" spans="1:8">
      <c r="A1593" s="1056"/>
      <c r="B1593" s="554"/>
      <c r="C1593" s="554"/>
      <c r="D1593" s="554"/>
      <c r="E1593" s="554"/>
      <c r="F1593" s="554"/>
      <c r="G1593" s="1057"/>
      <c r="H1593" s="554"/>
    </row>
    <row r="1594" spans="1:8">
      <c r="A1594" s="1056"/>
      <c r="B1594" s="554"/>
      <c r="C1594" s="554"/>
      <c r="D1594" s="554"/>
      <c r="E1594" s="554"/>
      <c r="F1594" s="554"/>
      <c r="G1594" s="1057"/>
      <c r="H1594" s="554"/>
    </row>
    <row r="1595" spans="1:8">
      <c r="A1595" s="1056"/>
      <c r="B1595" s="554"/>
      <c r="C1595" s="554"/>
      <c r="D1595" s="554"/>
      <c r="E1595" s="554"/>
      <c r="F1595" s="554"/>
      <c r="G1595" s="1057"/>
      <c r="H1595" s="554"/>
    </row>
    <row r="1596" spans="1:8">
      <c r="A1596" s="1056"/>
      <c r="B1596" s="554"/>
      <c r="C1596" s="554"/>
      <c r="D1596" s="554"/>
      <c r="E1596" s="554"/>
      <c r="F1596" s="554"/>
      <c r="G1596" s="1057"/>
      <c r="H1596" s="554"/>
    </row>
    <row r="1597" spans="1:8">
      <c r="A1597" s="1056"/>
      <c r="B1597" s="554"/>
      <c r="C1597" s="554"/>
      <c r="D1597" s="554"/>
      <c r="E1597" s="554"/>
      <c r="F1597" s="554"/>
      <c r="G1597" s="1057"/>
      <c r="H1597" s="554"/>
    </row>
    <row r="1598" spans="1:8">
      <c r="A1598" s="1056"/>
      <c r="B1598" s="554"/>
      <c r="C1598" s="554"/>
      <c r="D1598" s="554"/>
      <c r="E1598" s="554"/>
      <c r="F1598" s="554"/>
      <c r="G1598" s="1057"/>
      <c r="H1598" s="554"/>
    </row>
    <row r="1599" spans="1:8">
      <c r="A1599" s="1056"/>
      <c r="B1599" s="554"/>
      <c r="C1599" s="554"/>
      <c r="D1599" s="554"/>
      <c r="E1599" s="554"/>
      <c r="F1599" s="554"/>
      <c r="G1599" s="1057"/>
      <c r="H1599" s="554"/>
    </row>
    <row r="1600" spans="1:8">
      <c r="A1600" s="1056"/>
      <c r="B1600" s="554"/>
      <c r="C1600" s="554"/>
      <c r="D1600" s="554"/>
      <c r="E1600" s="554"/>
      <c r="F1600" s="554"/>
      <c r="G1600" s="1057"/>
      <c r="H1600" s="554"/>
    </row>
    <row r="1601" spans="1:8">
      <c r="A1601" s="1056"/>
      <c r="B1601" s="554"/>
      <c r="C1601" s="554"/>
      <c r="D1601" s="554"/>
      <c r="E1601" s="554"/>
      <c r="F1601" s="554"/>
      <c r="G1601" s="1057"/>
      <c r="H1601" s="554"/>
    </row>
    <row r="1602" spans="1:8">
      <c r="A1602" s="1056"/>
      <c r="B1602" s="554"/>
      <c r="C1602" s="554"/>
      <c r="D1602" s="554"/>
      <c r="E1602" s="554"/>
      <c r="F1602" s="554"/>
      <c r="G1602" s="1057"/>
      <c r="H1602" s="554"/>
    </row>
    <row r="1603" spans="1:8">
      <c r="A1603" s="1056"/>
      <c r="B1603" s="554"/>
      <c r="C1603" s="554"/>
      <c r="D1603" s="554"/>
      <c r="E1603" s="554"/>
      <c r="F1603" s="554"/>
      <c r="G1603" s="1057"/>
      <c r="H1603" s="554"/>
    </row>
    <row r="1604" spans="1:8">
      <c r="A1604" s="1056"/>
      <c r="B1604" s="554"/>
      <c r="C1604" s="554"/>
      <c r="D1604" s="554"/>
      <c r="E1604" s="554"/>
      <c r="F1604" s="554"/>
      <c r="G1604" s="1057"/>
      <c r="H1604" s="554"/>
    </row>
    <row r="1605" spans="1:8">
      <c r="A1605" s="1056"/>
      <c r="B1605" s="554"/>
      <c r="C1605" s="554"/>
      <c r="D1605" s="554"/>
      <c r="E1605" s="554"/>
      <c r="F1605" s="554"/>
      <c r="G1605" s="1057"/>
      <c r="H1605" s="554"/>
    </row>
    <row r="1606" spans="1:8">
      <c r="A1606" s="1056"/>
      <c r="B1606" s="554"/>
      <c r="C1606" s="554"/>
      <c r="D1606" s="554"/>
      <c r="E1606" s="554"/>
      <c r="F1606" s="554"/>
      <c r="G1606" s="1057"/>
      <c r="H1606" s="554"/>
    </row>
    <row r="1607" spans="1:8">
      <c r="A1607" s="1056"/>
      <c r="B1607" s="554"/>
      <c r="C1607" s="554"/>
      <c r="D1607" s="554"/>
      <c r="E1607" s="554"/>
      <c r="F1607" s="554"/>
      <c r="G1607" s="1057"/>
      <c r="H1607" s="554"/>
    </row>
    <row r="1608" spans="1:8">
      <c r="A1608" s="1056"/>
      <c r="B1608" s="554"/>
      <c r="C1608" s="554"/>
      <c r="D1608" s="554"/>
      <c r="E1608" s="554"/>
      <c r="F1608" s="554"/>
      <c r="G1608" s="1057"/>
      <c r="H1608" s="554"/>
    </row>
    <row r="1609" spans="1:8">
      <c r="A1609" s="1056"/>
      <c r="B1609" s="554"/>
      <c r="C1609" s="554"/>
      <c r="D1609" s="554"/>
      <c r="E1609" s="554"/>
      <c r="F1609" s="554"/>
      <c r="G1609" s="1057"/>
      <c r="H1609" s="554"/>
    </row>
    <row r="1610" spans="1:8">
      <c r="A1610" s="1056"/>
      <c r="B1610" s="554"/>
      <c r="C1610" s="554"/>
      <c r="D1610" s="554"/>
      <c r="E1610" s="554"/>
      <c r="F1610" s="554"/>
      <c r="G1610" s="1057"/>
      <c r="H1610" s="554"/>
    </row>
    <row r="1611" spans="1:8">
      <c r="A1611" s="1056"/>
      <c r="B1611" s="554"/>
      <c r="C1611" s="554"/>
      <c r="D1611" s="554"/>
      <c r="E1611" s="554"/>
      <c r="F1611" s="554"/>
      <c r="G1611" s="1057"/>
      <c r="H1611" s="554"/>
    </row>
    <row r="1612" spans="1:8">
      <c r="A1612" s="1056"/>
      <c r="B1612" s="554"/>
      <c r="C1612" s="554"/>
      <c r="D1612" s="554"/>
      <c r="E1612" s="554"/>
      <c r="F1612" s="554"/>
      <c r="G1612" s="1057"/>
      <c r="H1612" s="554"/>
    </row>
    <row r="1613" spans="1:8">
      <c r="A1613" s="1056"/>
      <c r="B1613" s="554"/>
      <c r="C1613" s="554"/>
      <c r="D1613" s="554"/>
      <c r="E1613" s="554"/>
      <c r="F1613" s="554"/>
      <c r="G1613" s="1057"/>
      <c r="H1613" s="554"/>
    </row>
    <row r="1614" spans="1:8">
      <c r="A1614" s="1056"/>
      <c r="B1614" s="554"/>
      <c r="C1614" s="554"/>
      <c r="D1614" s="554"/>
      <c r="E1614" s="554"/>
      <c r="F1614" s="554"/>
      <c r="G1614" s="1057"/>
      <c r="H1614" s="554"/>
    </row>
    <row r="1615" spans="1:8">
      <c r="A1615" s="1056"/>
      <c r="B1615" s="554"/>
      <c r="C1615" s="554"/>
      <c r="D1615" s="554"/>
      <c r="E1615" s="554"/>
      <c r="F1615" s="554"/>
      <c r="G1615" s="1057"/>
      <c r="H1615" s="554"/>
    </row>
    <row r="1616" spans="1:8">
      <c r="A1616" s="1056"/>
      <c r="B1616" s="554"/>
      <c r="C1616" s="554"/>
      <c r="D1616" s="554"/>
      <c r="E1616" s="554"/>
      <c r="F1616" s="554"/>
      <c r="G1616" s="1057"/>
      <c r="H1616" s="554"/>
    </row>
    <row r="1617" spans="1:8">
      <c r="A1617" s="1056"/>
      <c r="B1617" s="554"/>
      <c r="C1617" s="554"/>
      <c r="D1617" s="554"/>
      <c r="E1617" s="554"/>
      <c r="F1617" s="554"/>
      <c r="G1617" s="1057"/>
      <c r="H1617" s="554"/>
    </row>
    <row r="1618" spans="1:8">
      <c r="A1618" s="1056"/>
      <c r="B1618" s="554"/>
      <c r="C1618" s="554"/>
      <c r="D1618" s="554"/>
      <c r="E1618" s="554"/>
      <c r="F1618" s="554"/>
      <c r="G1618" s="1057"/>
      <c r="H1618" s="554"/>
    </row>
    <row r="1619" spans="1:8">
      <c r="A1619" s="1056"/>
      <c r="B1619" s="554"/>
      <c r="C1619" s="554"/>
      <c r="D1619" s="554"/>
      <c r="E1619" s="554"/>
      <c r="F1619" s="554"/>
      <c r="G1619" s="1057"/>
      <c r="H1619" s="554"/>
    </row>
    <row r="1620" spans="1:8">
      <c r="A1620" s="1056"/>
      <c r="B1620" s="554"/>
      <c r="C1620" s="554"/>
      <c r="D1620" s="554"/>
      <c r="E1620" s="554"/>
      <c r="F1620" s="554"/>
      <c r="G1620" s="1057"/>
      <c r="H1620" s="554"/>
    </row>
    <row r="1621" spans="1:8">
      <c r="A1621" s="1056"/>
      <c r="B1621" s="554"/>
      <c r="C1621" s="554"/>
      <c r="D1621" s="554"/>
      <c r="E1621" s="554"/>
      <c r="F1621" s="554"/>
      <c r="G1621" s="1057"/>
      <c r="H1621" s="554"/>
    </row>
    <row r="1622" spans="1:8">
      <c r="A1622" s="1056"/>
      <c r="B1622" s="554"/>
      <c r="C1622" s="554"/>
      <c r="D1622" s="554"/>
      <c r="E1622" s="554"/>
      <c r="F1622" s="554"/>
      <c r="G1622" s="1057"/>
      <c r="H1622" s="554"/>
    </row>
    <row r="1623" spans="1:8">
      <c r="A1623" s="1056"/>
      <c r="B1623" s="554"/>
      <c r="C1623" s="554"/>
      <c r="D1623" s="554"/>
      <c r="E1623" s="554"/>
      <c r="F1623" s="554"/>
      <c r="G1623" s="1057"/>
      <c r="H1623" s="554"/>
    </row>
    <row r="1624" spans="1:8">
      <c r="A1624" s="1056"/>
      <c r="B1624" s="554"/>
      <c r="C1624" s="554"/>
      <c r="D1624" s="554"/>
      <c r="E1624" s="554"/>
      <c r="F1624" s="554"/>
      <c r="G1624" s="1057"/>
      <c r="H1624" s="554"/>
    </row>
    <row r="1625" spans="1:8">
      <c r="A1625" s="1056"/>
      <c r="B1625" s="554"/>
      <c r="C1625" s="554"/>
      <c r="D1625" s="554"/>
      <c r="E1625" s="554"/>
      <c r="F1625" s="554"/>
      <c r="G1625" s="1057"/>
      <c r="H1625" s="554"/>
    </row>
    <row r="1626" spans="1:8">
      <c r="A1626" s="1056"/>
      <c r="B1626" s="554"/>
      <c r="C1626" s="554"/>
      <c r="D1626" s="554"/>
      <c r="E1626" s="554"/>
      <c r="F1626" s="554"/>
      <c r="G1626" s="1057"/>
      <c r="H1626" s="554"/>
    </row>
    <row r="1627" spans="1:8">
      <c r="A1627" s="1056"/>
      <c r="B1627" s="554"/>
      <c r="C1627" s="554"/>
      <c r="D1627" s="554"/>
      <c r="E1627" s="554"/>
      <c r="F1627" s="554"/>
      <c r="G1627" s="1057"/>
      <c r="H1627" s="554"/>
    </row>
    <row r="1628" spans="1:8">
      <c r="A1628" s="1056"/>
      <c r="B1628" s="554"/>
      <c r="C1628" s="554"/>
      <c r="D1628" s="554"/>
      <c r="E1628" s="554"/>
      <c r="F1628" s="554"/>
      <c r="G1628" s="1057"/>
      <c r="H1628" s="554"/>
    </row>
    <row r="1629" spans="1:8">
      <c r="A1629" s="1056"/>
      <c r="B1629" s="554"/>
      <c r="C1629" s="554"/>
      <c r="D1629" s="554"/>
      <c r="E1629" s="554"/>
      <c r="F1629" s="554"/>
      <c r="G1629" s="1057"/>
      <c r="H1629" s="554"/>
    </row>
    <row r="1630" spans="1:8">
      <c r="A1630" s="1056"/>
      <c r="B1630" s="554"/>
      <c r="C1630" s="554"/>
      <c r="D1630" s="554"/>
      <c r="E1630" s="554"/>
      <c r="F1630" s="554"/>
      <c r="G1630" s="1057"/>
      <c r="H1630" s="554"/>
    </row>
    <row r="1631" spans="1:8">
      <c r="A1631" s="1056"/>
      <c r="B1631" s="554"/>
      <c r="C1631" s="554"/>
      <c r="D1631" s="554"/>
      <c r="E1631" s="554"/>
      <c r="F1631" s="554"/>
      <c r="G1631" s="1057"/>
      <c r="H1631" s="554"/>
    </row>
    <row r="1632" spans="1:8">
      <c r="A1632" s="1056"/>
      <c r="B1632" s="554"/>
      <c r="C1632" s="554"/>
      <c r="D1632" s="554"/>
      <c r="E1632" s="554"/>
      <c r="F1632" s="554"/>
      <c r="G1632" s="1057"/>
      <c r="H1632" s="554"/>
    </row>
    <row r="1633" spans="1:8">
      <c r="A1633" s="1056"/>
      <c r="B1633" s="554"/>
      <c r="C1633" s="554"/>
      <c r="D1633" s="554"/>
      <c r="E1633" s="554"/>
      <c r="F1633" s="554"/>
      <c r="G1633" s="1057"/>
      <c r="H1633" s="554"/>
    </row>
    <row r="1634" spans="1:8">
      <c r="A1634" s="1056"/>
      <c r="B1634" s="554"/>
      <c r="C1634" s="554"/>
      <c r="D1634" s="554"/>
      <c r="E1634" s="554"/>
      <c r="F1634" s="554"/>
      <c r="G1634" s="1057"/>
      <c r="H1634" s="554"/>
    </row>
    <row r="1635" spans="1:8">
      <c r="A1635" s="1056"/>
      <c r="B1635" s="554"/>
      <c r="C1635" s="554"/>
      <c r="D1635" s="554"/>
      <c r="E1635" s="554"/>
      <c r="F1635" s="554"/>
      <c r="G1635" s="1057"/>
      <c r="H1635" s="554"/>
    </row>
    <row r="1636" spans="1:8">
      <c r="A1636" s="1056"/>
      <c r="B1636" s="554"/>
      <c r="C1636" s="554"/>
      <c r="D1636" s="554"/>
      <c r="E1636" s="554"/>
      <c r="F1636" s="554"/>
      <c r="G1636" s="1057"/>
      <c r="H1636" s="554"/>
    </row>
    <row r="1637" spans="1:8">
      <c r="A1637" s="1056"/>
      <c r="B1637" s="554"/>
      <c r="C1637" s="554"/>
      <c r="D1637" s="554"/>
      <c r="E1637" s="554"/>
      <c r="F1637" s="554"/>
      <c r="G1637" s="1057"/>
      <c r="H1637" s="554"/>
    </row>
    <row r="1638" spans="1:8">
      <c r="A1638" s="1056"/>
      <c r="B1638" s="554"/>
      <c r="C1638" s="554"/>
      <c r="D1638" s="554"/>
      <c r="E1638" s="554"/>
      <c r="F1638" s="554"/>
      <c r="G1638" s="1057"/>
      <c r="H1638" s="554"/>
    </row>
    <row r="1639" spans="1:8">
      <c r="A1639" s="1056"/>
      <c r="B1639" s="554"/>
      <c r="C1639" s="554"/>
      <c r="D1639" s="554"/>
      <c r="E1639" s="554"/>
      <c r="F1639" s="554"/>
      <c r="G1639" s="1057"/>
      <c r="H1639" s="554"/>
    </row>
    <row r="1640" spans="1:8">
      <c r="A1640" s="1056"/>
      <c r="B1640" s="554"/>
      <c r="C1640" s="554"/>
      <c r="D1640" s="554"/>
      <c r="E1640" s="554"/>
      <c r="F1640" s="554"/>
      <c r="G1640" s="1057"/>
      <c r="H1640" s="554"/>
    </row>
    <row r="1641" spans="1:8">
      <c r="A1641" s="1056"/>
      <c r="B1641" s="554"/>
      <c r="C1641" s="554"/>
      <c r="D1641" s="554"/>
      <c r="E1641" s="554"/>
      <c r="F1641" s="554"/>
      <c r="G1641" s="1057"/>
      <c r="H1641" s="554"/>
    </row>
    <row r="1642" spans="1:8">
      <c r="A1642" s="1056"/>
      <c r="B1642" s="554"/>
      <c r="C1642" s="554"/>
      <c r="D1642" s="554"/>
      <c r="E1642" s="554"/>
      <c r="F1642" s="554"/>
      <c r="G1642" s="1057"/>
      <c r="H1642" s="554"/>
    </row>
    <row r="1643" spans="1:8">
      <c r="A1643" s="1056"/>
      <c r="B1643" s="554"/>
      <c r="C1643" s="554"/>
      <c r="D1643" s="554"/>
      <c r="E1643" s="554"/>
      <c r="F1643" s="554"/>
      <c r="G1643" s="1057"/>
      <c r="H1643" s="554"/>
    </row>
    <row r="1644" spans="1:8">
      <c r="A1644" s="1056"/>
      <c r="B1644" s="554"/>
      <c r="C1644" s="554"/>
      <c r="D1644" s="554"/>
      <c r="E1644" s="554"/>
      <c r="F1644" s="554"/>
      <c r="G1644" s="1057"/>
      <c r="H1644" s="554"/>
    </row>
    <row r="1645" spans="1:8">
      <c r="A1645" s="1056"/>
      <c r="B1645" s="554"/>
      <c r="C1645" s="554"/>
      <c r="D1645" s="554"/>
      <c r="E1645" s="554"/>
      <c r="F1645" s="554"/>
      <c r="G1645" s="1057"/>
      <c r="H1645" s="554"/>
    </row>
    <row r="1646" spans="1:8">
      <c r="A1646" s="1056"/>
      <c r="B1646" s="554"/>
      <c r="C1646" s="554"/>
      <c r="D1646" s="554"/>
      <c r="E1646" s="554"/>
      <c r="F1646" s="554"/>
      <c r="G1646" s="1057"/>
      <c r="H1646" s="554"/>
    </row>
    <row r="1647" spans="1:8">
      <c r="A1647" s="1056"/>
      <c r="B1647" s="554"/>
      <c r="C1647" s="554"/>
      <c r="D1647" s="554"/>
      <c r="E1647" s="554"/>
      <c r="F1647" s="554"/>
      <c r="G1647" s="1057"/>
      <c r="H1647" s="554"/>
    </row>
    <row r="1648" spans="1:8">
      <c r="A1648" s="1056"/>
      <c r="B1648" s="554"/>
      <c r="C1648" s="554"/>
      <c r="D1648" s="554"/>
      <c r="E1648" s="554"/>
      <c r="F1648" s="554"/>
      <c r="G1648" s="1057"/>
      <c r="H1648" s="554"/>
    </row>
    <row r="1649" spans="1:8">
      <c r="A1649" s="1056"/>
      <c r="B1649" s="554"/>
      <c r="C1649" s="554"/>
      <c r="D1649" s="554"/>
      <c r="E1649" s="554"/>
      <c r="F1649" s="554"/>
      <c r="G1649" s="1057"/>
      <c r="H1649" s="554"/>
    </row>
    <row r="1650" spans="1:8">
      <c r="A1650" s="1056"/>
      <c r="B1650" s="554"/>
      <c r="C1650" s="554"/>
      <c r="D1650" s="554"/>
      <c r="E1650" s="554"/>
      <c r="F1650" s="554"/>
      <c r="G1650" s="1057"/>
      <c r="H1650" s="554"/>
    </row>
    <row r="1651" spans="1:8">
      <c r="A1651" s="1056"/>
      <c r="B1651" s="554"/>
      <c r="C1651" s="554"/>
      <c r="D1651" s="554"/>
      <c r="E1651" s="554"/>
      <c r="F1651" s="554"/>
      <c r="G1651" s="1057"/>
      <c r="H1651" s="554"/>
    </row>
    <row r="1652" spans="1:8">
      <c r="A1652" s="1056"/>
      <c r="B1652" s="554"/>
      <c r="C1652" s="554"/>
      <c r="D1652" s="554"/>
      <c r="E1652" s="554"/>
      <c r="F1652" s="554"/>
      <c r="G1652" s="1057"/>
      <c r="H1652" s="554"/>
    </row>
    <row r="1653" spans="1:8">
      <c r="A1653" s="1056"/>
      <c r="B1653" s="554"/>
      <c r="C1653" s="554"/>
      <c r="D1653" s="554"/>
      <c r="E1653" s="554"/>
      <c r="F1653" s="554"/>
      <c r="G1653" s="1057"/>
      <c r="H1653" s="554"/>
    </row>
    <row r="1654" spans="1:8">
      <c r="A1654" s="1056"/>
      <c r="B1654" s="554"/>
      <c r="C1654" s="554"/>
      <c r="D1654" s="554"/>
      <c r="E1654" s="554"/>
      <c r="F1654" s="554"/>
      <c r="G1654" s="1057"/>
      <c r="H1654" s="554"/>
    </row>
    <row r="1655" spans="1:8">
      <c r="A1655" s="1056"/>
      <c r="B1655" s="554"/>
      <c r="C1655" s="554"/>
      <c r="D1655" s="554"/>
      <c r="E1655" s="554"/>
      <c r="F1655" s="554"/>
      <c r="G1655" s="1057"/>
      <c r="H1655" s="554"/>
    </row>
    <row r="1656" spans="1:8">
      <c r="A1656" s="1056"/>
      <c r="B1656" s="554"/>
      <c r="C1656" s="554"/>
      <c r="D1656" s="554"/>
      <c r="E1656" s="554"/>
      <c r="F1656" s="554"/>
      <c r="G1656" s="1057"/>
      <c r="H1656" s="554"/>
    </row>
    <row r="1657" spans="1:8">
      <c r="A1657" s="1056"/>
      <c r="B1657" s="554"/>
      <c r="C1657" s="554"/>
      <c r="D1657" s="554"/>
      <c r="E1657" s="554"/>
      <c r="F1657" s="554"/>
      <c r="G1657" s="1057"/>
      <c r="H1657" s="554"/>
    </row>
    <row r="1658" spans="1:8">
      <c r="A1658" s="1056"/>
      <c r="B1658" s="554"/>
      <c r="C1658" s="554"/>
      <c r="D1658" s="554"/>
      <c r="E1658" s="554"/>
      <c r="F1658" s="554"/>
      <c r="G1658" s="1057"/>
      <c r="H1658" s="554"/>
    </row>
    <row r="1659" spans="1:8">
      <c r="A1659" s="1056"/>
      <c r="B1659" s="554"/>
      <c r="C1659" s="554"/>
      <c r="D1659" s="554"/>
      <c r="E1659" s="554"/>
      <c r="F1659" s="554"/>
      <c r="G1659" s="1057"/>
      <c r="H1659" s="554"/>
    </row>
    <row r="1660" spans="1:8">
      <c r="A1660" s="1056"/>
      <c r="B1660" s="554"/>
      <c r="C1660" s="554"/>
      <c r="D1660" s="554"/>
      <c r="E1660" s="554"/>
      <c r="F1660" s="554"/>
      <c r="G1660" s="1057"/>
      <c r="H1660" s="554"/>
    </row>
    <row r="1661" spans="1:8">
      <c r="A1661" s="1056"/>
      <c r="B1661" s="554"/>
      <c r="C1661" s="554"/>
      <c r="D1661" s="554"/>
      <c r="E1661" s="554"/>
      <c r="F1661" s="554"/>
      <c r="G1661" s="1057"/>
      <c r="H1661" s="554"/>
    </row>
    <row r="1662" spans="1:8">
      <c r="A1662" s="1056"/>
      <c r="B1662" s="554"/>
      <c r="C1662" s="554"/>
      <c r="D1662" s="554"/>
      <c r="E1662" s="554"/>
      <c r="F1662" s="554"/>
      <c r="G1662" s="1057"/>
      <c r="H1662" s="554"/>
    </row>
    <row r="1663" spans="1:8">
      <c r="A1663" s="1056"/>
      <c r="B1663" s="554"/>
      <c r="C1663" s="554"/>
      <c r="D1663" s="554"/>
      <c r="E1663" s="554"/>
      <c r="F1663" s="554"/>
      <c r="G1663" s="1057"/>
      <c r="H1663" s="554"/>
    </row>
    <row r="1664" spans="1:8">
      <c r="A1664" s="1056"/>
      <c r="B1664" s="554"/>
      <c r="C1664" s="554"/>
      <c r="D1664" s="554"/>
      <c r="E1664" s="554"/>
      <c r="F1664" s="554"/>
      <c r="G1664" s="1057"/>
      <c r="H1664" s="554"/>
    </row>
    <row r="1665" spans="1:8">
      <c r="A1665" s="1056"/>
      <c r="B1665" s="554"/>
      <c r="C1665" s="554"/>
      <c r="D1665" s="554"/>
      <c r="E1665" s="554"/>
      <c r="F1665" s="554"/>
      <c r="G1665" s="1057"/>
      <c r="H1665" s="554"/>
    </row>
    <row r="1666" spans="1:8">
      <c r="A1666" s="1056"/>
      <c r="B1666" s="554"/>
      <c r="C1666" s="554"/>
      <c r="D1666" s="554"/>
      <c r="E1666" s="554"/>
      <c r="F1666" s="554"/>
      <c r="G1666" s="1057"/>
      <c r="H1666" s="554"/>
    </row>
    <row r="1667" spans="1:8">
      <c r="A1667" s="1056"/>
      <c r="B1667" s="554"/>
      <c r="C1667" s="554"/>
      <c r="D1667" s="554"/>
      <c r="E1667" s="554"/>
      <c r="F1667" s="554"/>
      <c r="G1667" s="1057"/>
      <c r="H1667" s="554"/>
    </row>
    <row r="1668" spans="1:8">
      <c r="A1668" s="1056"/>
      <c r="B1668" s="554"/>
      <c r="C1668" s="554"/>
      <c r="D1668" s="554"/>
      <c r="E1668" s="554"/>
      <c r="F1668" s="554"/>
      <c r="G1668" s="1057"/>
      <c r="H1668" s="554"/>
    </row>
    <row r="1669" spans="1:8">
      <c r="A1669" s="1056"/>
      <c r="B1669" s="554"/>
      <c r="C1669" s="554"/>
      <c r="D1669" s="554"/>
      <c r="E1669" s="554"/>
      <c r="F1669" s="554"/>
      <c r="G1669" s="1057"/>
      <c r="H1669" s="554"/>
    </row>
    <row r="1670" spans="1:8">
      <c r="A1670" s="1056"/>
      <c r="B1670" s="554"/>
      <c r="C1670" s="554"/>
      <c r="D1670" s="554"/>
      <c r="E1670" s="554"/>
      <c r="F1670" s="554"/>
      <c r="G1670" s="1057"/>
      <c r="H1670" s="554"/>
    </row>
    <row r="1671" spans="1:8">
      <c r="A1671" s="1056"/>
      <c r="B1671" s="554"/>
      <c r="C1671" s="554"/>
      <c r="D1671" s="554"/>
      <c r="E1671" s="554"/>
      <c r="F1671" s="554"/>
      <c r="G1671" s="1057"/>
      <c r="H1671" s="554"/>
    </row>
    <row r="1672" spans="1:8">
      <c r="A1672" s="1056"/>
      <c r="B1672" s="554"/>
      <c r="C1672" s="554"/>
      <c r="D1672" s="554"/>
      <c r="E1672" s="554"/>
      <c r="F1672" s="554"/>
      <c r="G1672" s="1057"/>
      <c r="H1672" s="554"/>
    </row>
    <row r="1673" spans="1:8">
      <c r="A1673" s="1056"/>
      <c r="B1673" s="554"/>
      <c r="C1673" s="554"/>
      <c r="D1673" s="554"/>
      <c r="E1673" s="554"/>
      <c r="F1673" s="554"/>
      <c r="G1673" s="1057"/>
      <c r="H1673" s="554"/>
    </row>
    <row r="1674" spans="1:8">
      <c r="A1674" s="1056"/>
      <c r="B1674" s="554"/>
      <c r="C1674" s="554"/>
      <c r="D1674" s="554"/>
      <c r="E1674" s="554"/>
      <c r="F1674" s="554"/>
      <c r="G1674" s="1057"/>
      <c r="H1674" s="554"/>
    </row>
    <row r="1675" spans="1:8">
      <c r="A1675" s="1056"/>
      <c r="B1675" s="554"/>
      <c r="C1675" s="554"/>
      <c r="D1675" s="554"/>
      <c r="E1675" s="554"/>
      <c r="F1675" s="554"/>
      <c r="G1675" s="1057"/>
      <c r="H1675" s="554"/>
    </row>
    <row r="1676" spans="1:8">
      <c r="A1676" s="1056"/>
      <c r="B1676" s="554"/>
      <c r="C1676" s="554"/>
      <c r="D1676" s="554"/>
      <c r="E1676" s="554"/>
      <c r="F1676" s="554"/>
      <c r="G1676" s="1057"/>
      <c r="H1676" s="554"/>
    </row>
    <row r="1677" spans="1:8">
      <c r="A1677" s="1056"/>
      <c r="B1677" s="554"/>
      <c r="C1677" s="554"/>
      <c r="D1677" s="554"/>
      <c r="E1677" s="554"/>
      <c r="F1677" s="554"/>
      <c r="G1677" s="1057"/>
      <c r="H1677" s="554"/>
    </row>
    <row r="1678" spans="1:8">
      <c r="A1678" s="1056"/>
      <c r="B1678" s="554"/>
      <c r="C1678" s="554"/>
      <c r="D1678" s="554"/>
      <c r="E1678" s="554"/>
      <c r="F1678" s="554"/>
      <c r="G1678" s="1057"/>
      <c r="H1678" s="554"/>
    </row>
    <row r="1679" spans="1:8">
      <c r="A1679" s="1056"/>
      <c r="B1679" s="554"/>
      <c r="C1679" s="554"/>
      <c r="D1679" s="554"/>
      <c r="E1679" s="554"/>
      <c r="F1679" s="554"/>
      <c r="G1679" s="1057"/>
      <c r="H1679" s="554"/>
    </row>
    <row r="1680" spans="1:8">
      <c r="A1680" s="1056"/>
      <c r="B1680" s="554"/>
      <c r="C1680" s="554"/>
      <c r="D1680" s="554"/>
      <c r="E1680" s="554"/>
      <c r="F1680" s="554"/>
      <c r="G1680" s="1057"/>
      <c r="H1680" s="554"/>
    </row>
    <row r="1681" spans="1:8">
      <c r="A1681" s="1056"/>
      <c r="B1681" s="554"/>
      <c r="C1681" s="554"/>
      <c r="D1681" s="554"/>
      <c r="E1681" s="554"/>
      <c r="F1681" s="554"/>
      <c r="G1681" s="1057"/>
      <c r="H1681" s="554"/>
    </row>
    <row r="1682" spans="1:8">
      <c r="A1682" s="1056"/>
      <c r="B1682" s="554"/>
      <c r="C1682" s="554"/>
      <c r="D1682" s="554"/>
      <c r="E1682" s="554"/>
      <c r="F1682" s="554"/>
      <c r="G1682" s="1057"/>
      <c r="H1682" s="554"/>
    </row>
    <row r="1683" spans="1:8">
      <c r="A1683" s="1056"/>
      <c r="B1683" s="554"/>
      <c r="C1683" s="554"/>
      <c r="D1683" s="554"/>
      <c r="E1683" s="554"/>
      <c r="F1683" s="554"/>
      <c r="G1683" s="1057"/>
      <c r="H1683" s="554"/>
    </row>
    <row r="1684" spans="1:8">
      <c r="A1684" s="1056"/>
      <c r="B1684" s="554"/>
      <c r="C1684" s="554"/>
      <c r="D1684" s="554"/>
      <c r="E1684" s="554"/>
      <c r="F1684" s="554"/>
      <c r="G1684" s="1057"/>
      <c r="H1684" s="554"/>
    </row>
    <row r="1685" spans="1:8">
      <c r="A1685" s="1056"/>
      <c r="B1685" s="554"/>
      <c r="C1685" s="554"/>
      <c r="D1685" s="554"/>
      <c r="E1685" s="554"/>
      <c r="F1685" s="554"/>
      <c r="G1685" s="1057"/>
      <c r="H1685" s="554"/>
    </row>
    <row r="1686" spans="1:8">
      <c r="A1686" s="1056"/>
      <c r="B1686" s="554"/>
      <c r="C1686" s="554"/>
      <c r="D1686" s="554"/>
      <c r="E1686" s="554"/>
      <c r="F1686" s="554"/>
      <c r="G1686" s="1057"/>
      <c r="H1686" s="554"/>
    </row>
    <row r="1687" spans="1:8">
      <c r="A1687" s="1056"/>
      <c r="B1687" s="554"/>
      <c r="C1687" s="554"/>
      <c r="D1687" s="554"/>
      <c r="E1687" s="554"/>
      <c r="F1687" s="554"/>
      <c r="G1687" s="1057"/>
      <c r="H1687" s="554"/>
    </row>
    <row r="1688" spans="1:8">
      <c r="A1688" s="1056"/>
      <c r="B1688" s="554"/>
      <c r="C1688" s="554"/>
      <c r="D1688" s="554"/>
      <c r="E1688" s="554"/>
      <c r="F1688" s="554"/>
      <c r="G1688" s="1057"/>
      <c r="H1688" s="554"/>
    </row>
    <row r="1689" spans="1:8">
      <c r="A1689" s="1056"/>
      <c r="B1689" s="554"/>
      <c r="C1689" s="554"/>
      <c r="D1689" s="554"/>
      <c r="E1689" s="554"/>
      <c r="F1689" s="554"/>
      <c r="G1689" s="1057"/>
      <c r="H1689" s="554"/>
    </row>
    <row r="1690" spans="1:8">
      <c r="A1690" s="1056"/>
      <c r="B1690" s="554"/>
      <c r="C1690" s="554"/>
      <c r="D1690" s="554"/>
      <c r="E1690" s="554"/>
      <c r="F1690" s="554"/>
      <c r="G1690" s="1057"/>
      <c r="H1690" s="554"/>
    </row>
    <row r="1691" spans="1:8">
      <c r="A1691" s="1056"/>
      <c r="B1691" s="554"/>
      <c r="C1691" s="554"/>
      <c r="D1691" s="554"/>
      <c r="E1691" s="554"/>
      <c r="F1691" s="554"/>
      <c r="G1691" s="1057"/>
      <c r="H1691" s="554"/>
    </row>
    <row r="1692" spans="1:8">
      <c r="A1692" s="1056"/>
      <c r="B1692" s="554"/>
      <c r="C1692" s="554"/>
      <c r="D1692" s="554"/>
      <c r="E1692" s="554"/>
      <c r="F1692" s="554"/>
      <c r="G1692" s="1057"/>
      <c r="H1692" s="554"/>
    </row>
    <row r="1693" spans="1:8">
      <c r="A1693" s="1056"/>
      <c r="B1693" s="554"/>
      <c r="C1693" s="554"/>
      <c r="D1693" s="554"/>
      <c r="E1693" s="554"/>
      <c r="F1693" s="554"/>
      <c r="G1693" s="1057"/>
      <c r="H1693" s="554"/>
    </row>
    <row r="1694" spans="1:8">
      <c r="A1694" s="1056"/>
      <c r="B1694" s="554"/>
      <c r="C1694" s="554"/>
      <c r="D1694" s="554"/>
      <c r="E1694" s="554"/>
      <c r="F1694" s="554"/>
      <c r="G1694" s="1057"/>
      <c r="H1694" s="554"/>
    </row>
    <row r="1695" spans="1:8">
      <c r="A1695" s="1056"/>
      <c r="B1695" s="554"/>
      <c r="C1695" s="554"/>
      <c r="D1695" s="554"/>
      <c r="E1695" s="554"/>
      <c r="F1695" s="554"/>
      <c r="G1695" s="1057"/>
      <c r="H1695" s="554"/>
    </row>
    <row r="1696" spans="1:8">
      <c r="A1696" s="1056"/>
      <c r="B1696" s="554"/>
      <c r="C1696" s="554"/>
      <c r="D1696" s="554"/>
      <c r="E1696" s="554"/>
      <c r="F1696" s="554"/>
      <c r="G1696" s="1057"/>
      <c r="H1696" s="554"/>
    </row>
    <row r="1697" spans="1:8">
      <c r="A1697" s="1056"/>
      <c r="B1697" s="554"/>
      <c r="C1697" s="554"/>
      <c r="D1697" s="554"/>
      <c r="E1697" s="554"/>
      <c r="F1697" s="554"/>
      <c r="G1697" s="1057"/>
      <c r="H1697" s="554"/>
    </row>
    <row r="1698" spans="1:8">
      <c r="A1698" s="1056"/>
      <c r="B1698" s="554"/>
      <c r="C1698" s="554"/>
      <c r="D1698" s="554"/>
      <c r="E1698" s="554"/>
      <c r="F1698" s="554"/>
      <c r="G1698" s="1057"/>
      <c r="H1698" s="554"/>
    </row>
    <row r="1699" spans="1:8">
      <c r="A1699" s="1056"/>
      <c r="B1699" s="554"/>
      <c r="C1699" s="554"/>
      <c r="D1699" s="554"/>
      <c r="E1699" s="554"/>
      <c r="F1699" s="554"/>
      <c r="G1699" s="1057"/>
      <c r="H1699" s="554"/>
    </row>
    <row r="1700" spans="1:8">
      <c r="A1700" s="1056"/>
      <c r="B1700" s="554"/>
      <c r="C1700" s="554"/>
      <c r="D1700" s="554"/>
      <c r="E1700" s="554"/>
      <c r="F1700" s="554"/>
      <c r="G1700" s="1057"/>
      <c r="H1700" s="554"/>
    </row>
    <row r="1701" spans="1:8">
      <c r="A1701" s="1056"/>
      <c r="B1701" s="554"/>
      <c r="C1701" s="554"/>
      <c r="D1701" s="554"/>
      <c r="E1701" s="554"/>
      <c r="F1701" s="554"/>
      <c r="G1701" s="1057"/>
      <c r="H1701" s="554"/>
    </row>
    <row r="1702" spans="1:8">
      <c r="A1702" s="1056"/>
      <c r="B1702" s="554"/>
      <c r="C1702" s="554"/>
      <c r="D1702" s="554"/>
      <c r="E1702" s="554"/>
      <c r="F1702" s="554"/>
      <c r="G1702" s="1057"/>
      <c r="H1702" s="554"/>
    </row>
    <row r="1703" spans="1:8">
      <c r="A1703" s="1056"/>
      <c r="B1703" s="554"/>
      <c r="C1703" s="554"/>
      <c r="D1703" s="554"/>
      <c r="E1703" s="554"/>
      <c r="F1703" s="554"/>
      <c r="G1703" s="1057"/>
      <c r="H1703" s="554"/>
    </row>
    <row r="1704" spans="1:8">
      <c r="A1704" s="1056"/>
      <c r="B1704" s="554"/>
      <c r="C1704" s="554"/>
      <c r="D1704" s="554"/>
      <c r="E1704" s="554"/>
      <c r="F1704" s="554"/>
      <c r="G1704" s="1057"/>
      <c r="H1704" s="554"/>
    </row>
    <row r="1705" spans="1:8">
      <c r="A1705" s="1056"/>
      <c r="B1705" s="554"/>
      <c r="C1705" s="554"/>
      <c r="D1705" s="554"/>
      <c r="E1705" s="554"/>
      <c r="F1705" s="554"/>
      <c r="G1705" s="1057"/>
      <c r="H1705" s="554"/>
    </row>
    <row r="1706" spans="1:8">
      <c r="A1706" s="1056"/>
      <c r="B1706" s="554"/>
      <c r="C1706" s="554"/>
      <c r="D1706" s="554"/>
      <c r="E1706" s="554"/>
      <c r="F1706" s="554"/>
      <c r="G1706" s="1057"/>
      <c r="H1706" s="554"/>
    </row>
    <row r="1707" spans="1:8">
      <c r="A1707" s="1056"/>
      <c r="B1707" s="554"/>
      <c r="C1707" s="554"/>
      <c r="D1707" s="554"/>
      <c r="E1707" s="554"/>
      <c r="F1707" s="554"/>
      <c r="G1707" s="1057"/>
      <c r="H1707" s="554"/>
    </row>
    <row r="1708" spans="1:8">
      <c r="A1708" s="1056"/>
      <c r="B1708" s="554"/>
      <c r="C1708" s="554"/>
      <c r="D1708" s="554"/>
      <c r="E1708" s="554"/>
      <c r="F1708" s="554"/>
      <c r="G1708" s="1057"/>
      <c r="H1708" s="554"/>
    </row>
    <row r="1709" spans="1:8">
      <c r="A1709" s="1056"/>
      <c r="B1709" s="554"/>
      <c r="C1709" s="554"/>
      <c r="D1709" s="554"/>
      <c r="E1709" s="554"/>
      <c r="F1709" s="554"/>
      <c r="G1709" s="1057"/>
      <c r="H1709" s="554"/>
    </row>
    <row r="1710" spans="1:8">
      <c r="A1710" s="1056"/>
      <c r="B1710" s="554"/>
      <c r="C1710" s="554"/>
      <c r="D1710" s="554"/>
      <c r="E1710" s="554"/>
      <c r="F1710" s="554"/>
      <c r="G1710" s="1057"/>
      <c r="H1710" s="554"/>
    </row>
    <row r="1711" spans="1:8">
      <c r="A1711" s="1056"/>
      <c r="B1711" s="554"/>
      <c r="C1711" s="554"/>
      <c r="D1711" s="554"/>
      <c r="E1711" s="554"/>
      <c r="F1711" s="554"/>
      <c r="G1711" s="1057"/>
      <c r="H1711" s="554"/>
    </row>
    <row r="1712" spans="1:8">
      <c r="A1712" s="1056"/>
      <c r="B1712" s="554"/>
      <c r="C1712" s="554"/>
      <c r="D1712" s="554"/>
      <c r="E1712" s="554"/>
      <c r="F1712" s="554"/>
      <c r="G1712" s="1057"/>
      <c r="H1712" s="554"/>
    </row>
    <row r="1713" spans="1:8">
      <c r="A1713" s="1056"/>
      <c r="B1713" s="554"/>
      <c r="C1713" s="554"/>
      <c r="D1713" s="554"/>
      <c r="E1713" s="554"/>
      <c r="F1713" s="554"/>
      <c r="G1713" s="1057"/>
      <c r="H1713" s="554"/>
    </row>
    <row r="1714" spans="1:8">
      <c r="A1714" s="1056"/>
      <c r="B1714" s="554"/>
      <c r="C1714" s="554"/>
      <c r="D1714" s="554"/>
      <c r="E1714" s="554"/>
      <c r="F1714" s="554"/>
      <c r="G1714" s="1057"/>
      <c r="H1714" s="554"/>
    </row>
    <row r="1715" spans="1:8">
      <c r="A1715" s="1056"/>
      <c r="B1715" s="554"/>
      <c r="C1715" s="554"/>
      <c r="D1715" s="554"/>
      <c r="E1715" s="554"/>
      <c r="F1715" s="554"/>
      <c r="G1715" s="1057"/>
      <c r="H1715" s="554"/>
    </row>
    <row r="1716" spans="1:8">
      <c r="A1716" s="1056"/>
      <c r="B1716" s="554"/>
      <c r="C1716" s="554"/>
      <c r="D1716" s="554"/>
      <c r="E1716" s="554"/>
      <c r="F1716" s="554"/>
      <c r="G1716" s="1057"/>
      <c r="H1716" s="554"/>
    </row>
    <row r="1717" spans="1:8">
      <c r="A1717" s="1056"/>
      <c r="B1717" s="554"/>
      <c r="C1717" s="554"/>
      <c r="D1717" s="554"/>
      <c r="E1717" s="554"/>
      <c r="F1717" s="554"/>
      <c r="G1717" s="1057"/>
      <c r="H1717" s="554"/>
    </row>
    <row r="1718" spans="1:8">
      <c r="A1718" s="1056"/>
      <c r="B1718" s="554"/>
      <c r="C1718" s="554"/>
      <c r="D1718" s="554"/>
      <c r="E1718" s="554"/>
      <c r="F1718" s="554"/>
      <c r="G1718" s="1057"/>
      <c r="H1718" s="554"/>
    </row>
    <row r="1719" spans="1:8">
      <c r="A1719" s="1056"/>
      <c r="B1719" s="554"/>
      <c r="C1719" s="554"/>
      <c r="D1719" s="554"/>
      <c r="E1719" s="554"/>
      <c r="F1719" s="554"/>
      <c r="G1719" s="1057"/>
      <c r="H1719" s="554"/>
    </row>
    <row r="1720" spans="1:8">
      <c r="A1720" s="1056"/>
      <c r="B1720" s="554"/>
      <c r="C1720" s="554"/>
      <c r="D1720" s="554"/>
      <c r="E1720" s="554"/>
      <c r="F1720" s="554"/>
      <c r="G1720" s="1057"/>
      <c r="H1720" s="554"/>
    </row>
    <row r="1721" spans="1:8">
      <c r="A1721" s="1056"/>
      <c r="B1721" s="554"/>
      <c r="C1721" s="554"/>
      <c r="D1721" s="554"/>
      <c r="E1721" s="554"/>
      <c r="F1721" s="554"/>
      <c r="G1721" s="1057"/>
      <c r="H1721" s="554"/>
    </row>
    <row r="1722" spans="1:8">
      <c r="A1722" s="1056"/>
      <c r="B1722" s="554"/>
      <c r="C1722" s="554"/>
      <c r="D1722" s="554"/>
      <c r="E1722" s="554"/>
      <c r="F1722" s="554"/>
      <c r="G1722" s="1057"/>
      <c r="H1722" s="554"/>
    </row>
    <row r="1723" spans="1:8">
      <c r="A1723" s="1056"/>
      <c r="B1723" s="554"/>
      <c r="C1723" s="554"/>
      <c r="D1723" s="554"/>
      <c r="E1723" s="554"/>
      <c r="F1723" s="554"/>
      <c r="G1723" s="1057"/>
      <c r="H1723" s="554"/>
    </row>
    <row r="1724" spans="1:8">
      <c r="A1724" s="1056"/>
      <c r="B1724" s="554"/>
      <c r="C1724" s="554"/>
      <c r="D1724" s="554"/>
      <c r="E1724" s="554"/>
      <c r="F1724" s="554"/>
      <c r="G1724" s="1057"/>
      <c r="H1724" s="554"/>
    </row>
    <row r="1725" spans="1:8">
      <c r="A1725" s="1056"/>
      <c r="B1725" s="554"/>
      <c r="C1725" s="554"/>
      <c r="D1725" s="554"/>
      <c r="E1725" s="554"/>
      <c r="F1725" s="554"/>
      <c r="G1725" s="1057"/>
      <c r="H1725" s="554"/>
    </row>
    <row r="1726" spans="1:8">
      <c r="A1726" s="1056"/>
      <c r="B1726" s="554"/>
      <c r="C1726" s="554"/>
      <c r="D1726" s="554"/>
      <c r="E1726" s="554"/>
      <c r="F1726" s="554"/>
      <c r="G1726" s="1057"/>
      <c r="H1726" s="554"/>
    </row>
    <row r="1727" spans="1:8">
      <c r="A1727" s="1056"/>
      <c r="B1727" s="554"/>
      <c r="C1727" s="554"/>
      <c r="D1727" s="554"/>
      <c r="E1727" s="554"/>
      <c r="F1727" s="554"/>
      <c r="G1727" s="1057"/>
      <c r="H1727" s="554"/>
    </row>
    <row r="1728" spans="1:8">
      <c r="A1728" s="1056"/>
      <c r="B1728" s="554"/>
      <c r="C1728" s="554"/>
      <c r="D1728" s="554"/>
      <c r="E1728" s="554"/>
      <c r="F1728" s="554"/>
      <c r="G1728" s="1057"/>
      <c r="H1728" s="554"/>
    </row>
    <row r="1729" spans="1:8">
      <c r="A1729" s="1056"/>
      <c r="B1729" s="554"/>
      <c r="C1729" s="554"/>
      <c r="D1729" s="554"/>
      <c r="E1729" s="554"/>
      <c r="F1729" s="554"/>
      <c r="G1729" s="1057"/>
      <c r="H1729" s="554"/>
    </row>
    <row r="1730" spans="1:8">
      <c r="A1730" s="1056"/>
      <c r="B1730" s="554"/>
      <c r="C1730" s="554"/>
      <c r="D1730" s="554"/>
      <c r="E1730" s="554"/>
      <c r="F1730" s="554"/>
      <c r="G1730" s="1057"/>
      <c r="H1730" s="554"/>
    </row>
    <row r="1731" spans="1:8">
      <c r="A1731" s="1056"/>
      <c r="B1731" s="554"/>
      <c r="C1731" s="554"/>
      <c r="D1731" s="554"/>
      <c r="E1731" s="554"/>
      <c r="F1731" s="554"/>
      <c r="G1731" s="1057"/>
      <c r="H1731" s="554"/>
    </row>
    <row r="1732" spans="1:8">
      <c r="A1732" s="1056"/>
      <c r="B1732" s="554"/>
      <c r="C1732" s="554"/>
      <c r="D1732" s="554"/>
      <c r="E1732" s="554"/>
      <c r="F1732" s="554"/>
      <c r="G1732" s="1057"/>
      <c r="H1732" s="554"/>
    </row>
    <row r="1733" spans="1:8">
      <c r="A1733" s="1056"/>
      <c r="B1733" s="554"/>
      <c r="C1733" s="554"/>
      <c r="D1733" s="554"/>
      <c r="E1733" s="554"/>
      <c r="F1733" s="554"/>
      <c r="G1733" s="1057"/>
      <c r="H1733" s="554"/>
    </row>
    <row r="1734" spans="1:8">
      <c r="A1734" s="1056"/>
      <c r="B1734" s="554"/>
      <c r="C1734" s="554"/>
      <c r="D1734" s="554"/>
      <c r="E1734" s="554"/>
      <c r="F1734" s="554"/>
      <c r="G1734" s="1057"/>
      <c r="H1734" s="554"/>
    </row>
    <row r="1735" spans="1:8">
      <c r="A1735" s="1056"/>
      <c r="B1735" s="554"/>
      <c r="C1735" s="554"/>
      <c r="D1735" s="554"/>
      <c r="E1735" s="554"/>
      <c r="F1735" s="554"/>
      <c r="G1735" s="1057"/>
      <c r="H1735" s="554"/>
    </row>
    <row r="1736" spans="1:8">
      <c r="A1736" s="1056"/>
      <c r="B1736" s="554"/>
      <c r="C1736" s="554"/>
      <c r="D1736" s="554"/>
      <c r="E1736" s="554"/>
      <c r="F1736" s="554"/>
      <c r="G1736" s="1057"/>
      <c r="H1736" s="554"/>
    </row>
    <row r="1737" spans="1:8">
      <c r="A1737" s="1056"/>
      <c r="B1737" s="554"/>
      <c r="C1737" s="554"/>
      <c r="D1737" s="554"/>
      <c r="E1737" s="554"/>
      <c r="F1737" s="554"/>
      <c r="G1737" s="1057"/>
      <c r="H1737" s="554"/>
    </row>
    <row r="1738" spans="1:8">
      <c r="A1738" s="1056"/>
      <c r="B1738" s="554"/>
      <c r="C1738" s="554"/>
      <c r="D1738" s="554"/>
      <c r="E1738" s="554"/>
      <c r="F1738" s="554"/>
      <c r="G1738" s="1057"/>
      <c r="H1738" s="554"/>
    </row>
    <row r="1739" spans="1:8">
      <c r="A1739" s="1056"/>
      <c r="B1739" s="554"/>
      <c r="C1739" s="554"/>
      <c r="D1739" s="554"/>
      <c r="E1739" s="554"/>
      <c r="F1739" s="554"/>
      <c r="G1739" s="1057"/>
      <c r="H1739" s="554"/>
    </row>
    <row r="1740" spans="1:8">
      <c r="A1740" s="1056"/>
      <c r="B1740" s="554"/>
      <c r="C1740" s="554"/>
      <c r="D1740" s="554"/>
      <c r="E1740" s="554"/>
      <c r="F1740" s="554"/>
      <c r="G1740" s="1057"/>
      <c r="H1740" s="554"/>
    </row>
    <row r="1741" spans="1:8">
      <c r="A1741" s="1056"/>
      <c r="B1741" s="554"/>
      <c r="C1741" s="554"/>
      <c r="D1741" s="554"/>
      <c r="E1741" s="554"/>
      <c r="F1741" s="554"/>
      <c r="G1741" s="1057"/>
      <c r="H1741" s="554"/>
    </row>
    <row r="1742" spans="1:8">
      <c r="A1742" s="1056"/>
      <c r="B1742" s="554"/>
      <c r="C1742" s="554"/>
      <c r="D1742" s="554"/>
      <c r="E1742" s="554"/>
      <c r="F1742" s="554"/>
      <c r="G1742" s="1057"/>
      <c r="H1742" s="554"/>
    </row>
    <row r="1743" spans="1:8">
      <c r="A1743" s="1056"/>
      <c r="B1743" s="554"/>
      <c r="C1743" s="554"/>
      <c r="D1743" s="554"/>
      <c r="E1743" s="554"/>
      <c r="F1743" s="554"/>
      <c r="G1743" s="1057"/>
      <c r="H1743" s="554"/>
    </row>
    <row r="1744" spans="1:8">
      <c r="A1744" s="1056"/>
      <c r="B1744" s="554"/>
      <c r="C1744" s="554"/>
      <c r="D1744" s="554"/>
      <c r="E1744" s="554"/>
      <c r="F1744" s="554"/>
      <c r="G1744" s="1057"/>
      <c r="H1744" s="554"/>
    </row>
    <row r="1745" spans="1:8">
      <c r="A1745" s="1056"/>
      <c r="B1745" s="554"/>
      <c r="C1745" s="554"/>
      <c r="D1745" s="554"/>
      <c r="E1745" s="554"/>
      <c r="F1745" s="554"/>
      <c r="G1745" s="1057"/>
      <c r="H1745" s="554"/>
    </row>
    <row r="1746" spans="1:8" ht="15" customHeight="1">
      <c r="A1746" s="1056"/>
      <c r="B1746" s="554"/>
      <c r="C1746" s="554"/>
      <c r="D1746" s="554"/>
      <c r="E1746" s="554"/>
      <c r="F1746" s="554"/>
      <c r="G1746" s="1057"/>
      <c r="H1746" s="554"/>
    </row>
    <row r="1747" spans="1:8">
      <c r="A1747" s="1056"/>
      <c r="B1747" s="554"/>
      <c r="C1747" s="554"/>
      <c r="D1747" s="554"/>
      <c r="E1747" s="554"/>
      <c r="F1747" s="554"/>
      <c r="G1747" s="1057"/>
      <c r="H1747" s="554"/>
    </row>
    <row r="1748" spans="1:8" ht="14.25" customHeight="1">
      <c r="A1748" s="1056"/>
      <c r="B1748" s="554"/>
      <c r="C1748" s="554"/>
      <c r="D1748" s="554"/>
      <c r="E1748" s="554"/>
      <c r="F1748" s="554"/>
      <c r="G1748" s="1057"/>
      <c r="H1748" s="554"/>
    </row>
    <row r="1749" spans="1:8" ht="15" customHeight="1">
      <c r="A1749" s="1056"/>
      <c r="B1749" s="2845" t="s">
        <v>1150</v>
      </c>
      <c r="C1749" s="2845"/>
      <c r="D1749" s="2845"/>
      <c r="E1749" s="2845"/>
      <c r="F1749" s="2845"/>
      <c r="G1749" s="2845"/>
      <c r="H1749" s="554"/>
    </row>
    <row r="1750" spans="1:8" ht="14.25" customHeight="1">
      <c r="A1750" s="1056"/>
      <c r="B1750" s="2845"/>
      <c r="C1750" s="2845"/>
      <c r="D1750" s="2845"/>
      <c r="E1750" s="2845"/>
      <c r="F1750" s="2845"/>
      <c r="G1750" s="2845"/>
      <c r="H1750" s="554"/>
    </row>
    <row r="1751" spans="1:8" ht="18.75">
      <c r="A1751" s="2162" t="s">
        <v>111</v>
      </c>
      <c r="B1751" s="2164"/>
      <c r="C1751" s="2164"/>
      <c r="D1751" s="2164"/>
      <c r="E1751" s="2164"/>
      <c r="F1751" s="2164"/>
      <c r="G1751" s="2164"/>
      <c r="H1751" s="2164"/>
    </row>
    <row r="1752" spans="1:8" ht="15" customHeight="1">
      <c r="A1752" s="2162" t="s">
        <v>757</v>
      </c>
      <c r="B1752" s="2164"/>
      <c r="C1752" s="2164"/>
      <c r="D1752" s="2164"/>
      <c r="E1752" s="2164"/>
      <c r="F1752" s="2164"/>
      <c r="G1752" s="2164"/>
      <c r="H1752" s="2164"/>
    </row>
    <row r="1753" spans="1:8" ht="18.75">
      <c r="A1753" s="2163" t="s">
        <v>211</v>
      </c>
      <c r="B1753" s="2164"/>
      <c r="C1753" s="2164"/>
      <c r="D1753" s="2164"/>
      <c r="E1753" s="2164"/>
      <c r="F1753" s="2164"/>
      <c r="G1753" s="2164"/>
      <c r="H1753" s="2164"/>
    </row>
    <row r="1754" spans="1:8" ht="18.75">
      <c r="A1754" s="2163" t="s">
        <v>1006</v>
      </c>
      <c r="B1754" s="2164"/>
      <c r="C1754" s="2164"/>
      <c r="D1754" s="2164"/>
      <c r="E1754" s="2164"/>
      <c r="F1754" s="2164"/>
      <c r="G1754" s="2164"/>
      <c r="H1754" s="2164"/>
    </row>
    <row r="1755" spans="1:8" ht="18.75">
      <c r="A1755" s="2163" t="s">
        <v>32</v>
      </c>
      <c r="B1755" s="2164"/>
      <c r="C1755" s="2164"/>
      <c r="D1755" s="2164"/>
      <c r="E1755" s="2164"/>
      <c r="F1755" s="2164"/>
      <c r="G1755" s="2164"/>
      <c r="H1755" s="2164"/>
    </row>
    <row r="1756" spans="1:8">
      <c r="A1756" s="33"/>
    </row>
    <row r="1757" spans="1:8" ht="18.75">
      <c r="A1757" s="2596" t="s">
        <v>49</v>
      </c>
      <c r="B1757" s="2596"/>
      <c r="C1757" s="2596"/>
      <c r="D1757" s="2596"/>
      <c r="E1757" s="2596"/>
      <c r="F1757" s="2596"/>
      <c r="G1757" s="2596"/>
      <c r="H1757" s="2596"/>
    </row>
    <row r="1758" spans="1:8" ht="27.75" customHeight="1">
      <c r="A1758" s="2841" t="s">
        <v>1138</v>
      </c>
      <c r="B1758" s="2842"/>
      <c r="C1758" s="2842"/>
      <c r="D1758" s="2842"/>
      <c r="E1758" s="2842"/>
      <c r="F1758" s="2842"/>
      <c r="G1758" s="2842"/>
      <c r="H1758" s="2842"/>
    </row>
    <row r="1759" spans="1:8" ht="15.75" thickBot="1">
      <c r="A1759" s="2567" t="s">
        <v>29</v>
      </c>
      <c r="B1759" s="2843"/>
      <c r="C1759" s="2843"/>
      <c r="D1759" s="2843"/>
      <c r="E1759" s="2843"/>
      <c r="F1759" s="2844"/>
      <c r="G1759" s="2570" t="s">
        <v>640</v>
      </c>
      <c r="H1759" s="2572" t="s">
        <v>639</v>
      </c>
    </row>
    <row r="1760" spans="1:8" ht="75.75" thickBot="1">
      <c r="A1760" s="411" t="s">
        <v>39</v>
      </c>
      <c r="B1760" s="412" t="s">
        <v>40</v>
      </c>
      <c r="C1760" s="412" t="s">
        <v>41</v>
      </c>
      <c r="D1760" s="412" t="s">
        <v>45</v>
      </c>
      <c r="E1760" s="413" t="s">
        <v>42</v>
      </c>
      <c r="F1760" s="407" t="s">
        <v>43</v>
      </c>
      <c r="G1760" s="2622"/>
      <c r="H1760" s="2595"/>
    </row>
    <row r="1761" spans="1:8">
      <c r="A1761" s="34" t="s">
        <v>381</v>
      </c>
      <c r="B1761" s="23" t="s">
        <v>69</v>
      </c>
      <c r="C1761" s="23" t="s">
        <v>59</v>
      </c>
      <c r="D1761" s="23" t="s">
        <v>62</v>
      </c>
      <c r="E1761" s="23" t="s">
        <v>65</v>
      </c>
      <c r="F1761" s="414">
        <v>51202</v>
      </c>
      <c r="G1761" s="419" t="s">
        <v>759</v>
      </c>
      <c r="H1761" s="557">
        <v>1500</v>
      </c>
    </row>
    <row r="1762" spans="1:8">
      <c r="A1762" s="34" t="s">
        <v>381</v>
      </c>
      <c r="B1762" s="23" t="s">
        <v>69</v>
      </c>
      <c r="C1762" s="23" t="s">
        <v>59</v>
      </c>
      <c r="D1762" s="23" t="s">
        <v>62</v>
      </c>
      <c r="E1762" s="23" t="s">
        <v>65</v>
      </c>
      <c r="F1762" s="414">
        <v>54111</v>
      </c>
      <c r="G1762" s="419" t="s">
        <v>778</v>
      </c>
      <c r="H1762" s="557">
        <v>1050</v>
      </c>
    </row>
    <row r="1763" spans="1:8">
      <c r="A1763" s="34" t="s">
        <v>381</v>
      </c>
      <c r="B1763" s="23" t="s">
        <v>69</v>
      </c>
      <c r="C1763" s="23" t="s">
        <v>59</v>
      </c>
      <c r="D1763" s="23" t="s">
        <v>62</v>
      </c>
      <c r="E1763" s="23" t="s">
        <v>65</v>
      </c>
      <c r="F1763" s="414">
        <v>54112</v>
      </c>
      <c r="G1763" s="419" t="s">
        <v>779</v>
      </c>
      <c r="H1763" s="557">
        <v>250</v>
      </c>
    </row>
    <row r="1764" spans="1:8">
      <c r="A1764" s="34" t="s">
        <v>381</v>
      </c>
      <c r="B1764" s="23" t="s">
        <v>69</v>
      </c>
      <c r="C1764" s="23" t="s">
        <v>59</v>
      </c>
      <c r="D1764" s="23" t="s">
        <v>62</v>
      </c>
      <c r="E1764" s="23" t="s">
        <v>65</v>
      </c>
      <c r="F1764" s="414">
        <v>54118</v>
      </c>
      <c r="G1764" s="419" t="s">
        <v>746</v>
      </c>
      <c r="H1764" s="557">
        <v>300</v>
      </c>
    </row>
    <row r="1765" spans="1:8">
      <c r="A1765" s="34" t="s">
        <v>381</v>
      </c>
      <c r="B1765" s="23" t="s">
        <v>69</v>
      </c>
      <c r="C1765" s="23" t="s">
        <v>59</v>
      </c>
      <c r="D1765" s="23" t="s">
        <v>62</v>
      </c>
      <c r="E1765" s="23" t="s">
        <v>65</v>
      </c>
      <c r="F1765" s="414">
        <v>54199</v>
      </c>
      <c r="G1765" s="419" t="s">
        <v>658</v>
      </c>
      <c r="H1765" s="557">
        <v>200</v>
      </c>
    </row>
    <row r="1766" spans="1:8">
      <c r="A1766" s="34" t="s">
        <v>381</v>
      </c>
      <c r="B1766" s="23" t="s">
        <v>69</v>
      </c>
      <c r="C1766" s="23" t="s">
        <v>59</v>
      </c>
      <c r="D1766" s="23" t="s">
        <v>62</v>
      </c>
      <c r="E1766" s="23" t="s">
        <v>65</v>
      </c>
      <c r="F1766" s="418" t="s">
        <v>677</v>
      </c>
      <c r="G1766" s="419" t="s">
        <v>678</v>
      </c>
      <c r="H1766" s="557">
        <v>500</v>
      </c>
    </row>
    <row r="1767" spans="1:8">
      <c r="A1767" s="34" t="s">
        <v>381</v>
      </c>
      <c r="B1767" s="23" t="s">
        <v>69</v>
      </c>
      <c r="C1767" s="23" t="s">
        <v>59</v>
      </c>
      <c r="D1767" s="23" t="s">
        <v>62</v>
      </c>
      <c r="E1767" s="23" t="s">
        <v>65</v>
      </c>
      <c r="F1767" s="421">
        <v>61608</v>
      </c>
      <c r="G1767" s="422" t="s">
        <v>780</v>
      </c>
      <c r="H1767" s="558">
        <v>200</v>
      </c>
    </row>
    <row r="1768" spans="1:8" ht="15.75" thickBot="1">
      <c r="A1768" s="1064"/>
      <c r="B1768" s="1065"/>
      <c r="C1768" s="1065"/>
      <c r="D1768" s="1065"/>
      <c r="E1768" s="1066"/>
      <c r="F1768" s="1067"/>
      <c r="G1768" s="1068"/>
      <c r="H1768" s="1069">
        <f>SUM(H1761:H1767)</f>
        <v>4000</v>
      </c>
    </row>
    <row r="1769" spans="1:8" ht="15.75" thickBot="1">
      <c r="B1769" s="9"/>
      <c r="C1769" s="10"/>
      <c r="D1769" s="3"/>
      <c r="E1769" s="3"/>
      <c r="F1769" s="3"/>
    </row>
    <row r="1770" spans="1:8">
      <c r="A1770" s="2573" t="s">
        <v>1097</v>
      </c>
      <c r="B1770" s="2574"/>
      <c r="C1770" s="2574"/>
      <c r="D1770" s="2574"/>
      <c r="E1770" s="2574"/>
      <c r="F1770" s="2574"/>
      <c r="G1770" s="2575" t="s">
        <v>1021</v>
      </c>
      <c r="H1770" s="2576"/>
    </row>
    <row r="1771" spans="1:8">
      <c r="A1771" s="482"/>
      <c r="B1771" s="551"/>
      <c r="C1771" s="19"/>
      <c r="D1771" s="19"/>
      <c r="E1771" s="19"/>
      <c r="F1771" s="19"/>
      <c r="G1771" s="483"/>
      <c r="H1771" s="484"/>
    </row>
    <row r="1772" spans="1:8" ht="14.25">
      <c r="A1772" s="2580" t="s">
        <v>1139</v>
      </c>
      <c r="B1772" s="2598"/>
      <c r="C1772" s="2598"/>
      <c r="D1772" s="2598"/>
      <c r="E1772" s="2598"/>
      <c r="F1772" s="2552"/>
      <c r="G1772" s="2580" t="s">
        <v>1092</v>
      </c>
      <c r="H1772" s="2552"/>
    </row>
    <row r="1773" spans="1:8">
      <c r="A1773" s="2597" t="s">
        <v>1140</v>
      </c>
      <c r="B1773" s="2584"/>
      <c r="C1773" s="2584"/>
      <c r="D1773" s="2584"/>
      <c r="E1773" s="2584"/>
      <c r="F1773" s="2585"/>
      <c r="G1773" s="483"/>
      <c r="H1773" s="484"/>
    </row>
    <row r="1774" spans="1:8" ht="14.25">
      <c r="A1774" s="2586"/>
      <c r="B1774" s="2587"/>
      <c r="C1774" s="2587"/>
      <c r="D1774" s="2587"/>
      <c r="E1774" s="2587"/>
      <c r="F1774" s="2588"/>
      <c r="G1774" s="2589" t="s">
        <v>695</v>
      </c>
      <c r="H1774" s="2552"/>
    </row>
    <row r="1775" spans="1:8">
      <c r="A1775" s="482"/>
      <c r="B1775" s="551"/>
      <c r="C1775" s="551"/>
      <c r="D1775" s="551"/>
      <c r="E1775" s="551"/>
      <c r="F1775" s="551"/>
      <c r="G1775" s="485"/>
      <c r="H1775" s="484"/>
    </row>
    <row r="1776" spans="1:8" thickBot="1">
      <c r="A1776" s="2590" t="s">
        <v>692</v>
      </c>
      <c r="B1776" s="2561"/>
      <c r="C1776" s="2561"/>
      <c r="D1776" s="2561"/>
      <c r="E1776" s="2561"/>
      <c r="F1776" s="2562"/>
      <c r="G1776" s="2591" t="s">
        <v>696</v>
      </c>
      <c r="H1776" s="2562"/>
    </row>
    <row r="1777" spans="1:8">
      <c r="A1777" s="553"/>
      <c r="B1777" s="554"/>
      <c r="C1777" s="554"/>
      <c r="D1777" s="554"/>
      <c r="E1777" s="554"/>
      <c r="F1777" s="554"/>
      <c r="G1777" s="555"/>
      <c r="H1777" s="554"/>
    </row>
    <row r="1778" spans="1:8" ht="18.75">
      <c r="A1778" s="2601"/>
      <c r="B1778" s="2601"/>
      <c r="C1778" s="2601"/>
      <c r="D1778" s="2601"/>
      <c r="E1778" s="2601"/>
      <c r="F1778" s="2601"/>
      <c r="G1778" s="2601"/>
      <c r="H1778" s="2601"/>
    </row>
    <row r="1779" spans="1:8">
      <c r="A1779" s="1056"/>
      <c r="B1779" s="554"/>
      <c r="C1779" s="554"/>
      <c r="D1779" s="554"/>
      <c r="E1779" s="554"/>
      <c r="F1779" s="554"/>
      <c r="G1779" s="1057"/>
      <c r="H1779" s="554"/>
    </row>
    <row r="1780" spans="1:8">
      <c r="A1780" s="1056"/>
      <c r="B1780" s="554"/>
      <c r="C1780" s="554"/>
      <c r="D1780" s="554"/>
      <c r="E1780" s="554"/>
      <c r="F1780" s="554"/>
      <c r="G1780" s="1057"/>
      <c r="H1780" s="554"/>
    </row>
    <row r="1781" spans="1:8">
      <c r="A1781" s="1056"/>
      <c r="B1781" s="554"/>
      <c r="C1781" s="554"/>
      <c r="D1781" s="554"/>
      <c r="E1781" s="554"/>
      <c r="F1781" s="554"/>
      <c r="G1781" s="1057"/>
      <c r="H1781" s="554"/>
    </row>
    <row r="1782" spans="1:8" ht="18.75">
      <c r="A1782" s="2703" t="s">
        <v>111</v>
      </c>
      <c r="B1782" s="2705"/>
      <c r="C1782" s="2705"/>
      <c r="D1782" s="2705"/>
      <c r="E1782" s="2705"/>
      <c r="F1782" s="2705"/>
      <c r="G1782" s="2705"/>
      <c r="H1782" s="2705"/>
    </row>
    <row r="1783" spans="1:8" ht="18.75">
      <c r="A1783" s="2703" t="s">
        <v>757</v>
      </c>
      <c r="B1783" s="2705"/>
      <c r="C1783" s="2705"/>
      <c r="D1783" s="2705"/>
      <c r="E1783" s="2705"/>
      <c r="F1783" s="2705"/>
      <c r="G1783" s="2705"/>
      <c r="H1783" s="2705"/>
    </row>
    <row r="1784" spans="1:8" ht="18.75">
      <c r="A1784" s="2704" t="s">
        <v>211</v>
      </c>
      <c r="B1784" s="2705"/>
      <c r="C1784" s="2705"/>
      <c r="D1784" s="2705"/>
      <c r="E1784" s="2705"/>
      <c r="F1784" s="2705"/>
      <c r="G1784" s="2705"/>
      <c r="H1784" s="2705"/>
    </row>
    <row r="1785" spans="1:8" ht="18.75">
      <c r="A1785" s="2704" t="s">
        <v>1006</v>
      </c>
      <c r="B1785" s="2705"/>
      <c r="C1785" s="2705"/>
      <c r="D1785" s="2705"/>
      <c r="E1785" s="2705"/>
      <c r="F1785" s="2705"/>
      <c r="G1785" s="2705"/>
      <c r="H1785" s="2705"/>
    </row>
    <row r="1786" spans="1:8" ht="18.75">
      <c r="A1786" s="2704" t="s">
        <v>32</v>
      </c>
      <c r="B1786" s="2705"/>
      <c r="C1786" s="2705"/>
      <c r="D1786" s="2705"/>
      <c r="E1786" s="2705"/>
      <c r="F1786" s="2705"/>
      <c r="G1786" s="2705"/>
      <c r="H1786" s="2705"/>
    </row>
    <row r="1787" spans="1:8">
      <c r="A1787" s="814"/>
      <c r="B1787" s="815"/>
      <c r="C1787" s="816"/>
      <c r="D1787" s="817"/>
      <c r="E1787" s="817"/>
      <c r="F1787" s="817"/>
      <c r="G1787" s="818"/>
      <c r="H1787" s="819"/>
    </row>
    <row r="1788" spans="1:8" ht="18.75">
      <c r="A1788" s="2706" t="s">
        <v>49</v>
      </c>
      <c r="B1788" s="2706"/>
      <c r="C1788" s="2706"/>
      <c r="D1788" s="2706"/>
      <c r="E1788" s="2706"/>
      <c r="F1788" s="2706"/>
      <c r="G1788" s="2706"/>
      <c r="H1788" s="2706"/>
    </row>
    <row r="1789" spans="1:8" ht="41.25" customHeight="1">
      <c r="A1789" s="2717" t="s">
        <v>981</v>
      </c>
      <c r="B1789" s="2718"/>
      <c r="C1789" s="2718"/>
      <c r="D1789" s="2718"/>
      <c r="E1789" s="2718"/>
      <c r="F1789" s="2718"/>
      <c r="G1789" s="2718"/>
      <c r="H1789" s="2718"/>
    </row>
    <row r="1790" spans="1:8" ht="15.75" thickBot="1">
      <c r="A1790" s="2719" t="s">
        <v>29</v>
      </c>
      <c r="B1790" s="2846"/>
      <c r="C1790" s="2846"/>
      <c r="D1790" s="2846"/>
      <c r="E1790" s="2846"/>
      <c r="F1790" s="2847"/>
      <c r="G1790" s="2722" t="s">
        <v>640</v>
      </c>
      <c r="H1790" s="2715" t="s">
        <v>639</v>
      </c>
    </row>
    <row r="1791" spans="1:8" ht="75.75" thickBot="1">
      <c r="A1791" s="1106" t="s">
        <v>39</v>
      </c>
      <c r="B1791" s="1107" t="s">
        <v>40</v>
      </c>
      <c r="C1791" s="1107" t="s">
        <v>41</v>
      </c>
      <c r="D1791" s="1107" t="s">
        <v>45</v>
      </c>
      <c r="E1791" s="1108" t="s">
        <v>42</v>
      </c>
      <c r="F1791" s="823" t="s">
        <v>43</v>
      </c>
      <c r="G1791" s="2791"/>
      <c r="H1791" s="2723"/>
    </row>
    <row r="1792" spans="1:8">
      <c r="A1792" s="824" t="s">
        <v>381</v>
      </c>
      <c r="B1792" s="825" t="s">
        <v>69</v>
      </c>
      <c r="C1792" s="825" t="s">
        <v>59</v>
      </c>
      <c r="D1792" s="825" t="s">
        <v>62</v>
      </c>
      <c r="E1792" s="825" t="s">
        <v>65</v>
      </c>
      <c r="F1792" s="826">
        <v>51202</v>
      </c>
      <c r="G1792" s="827" t="s">
        <v>759</v>
      </c>
      <c r="H1792" s="1118">
        <v>1300</v>
      </c>
    </row>
    <row r="1793" spans="1:8">
      <c r="A1793" s="824" t="s">
        <v>381</v>
      </c>
      <c r="B1793" s="825" t="s">
        <v>69</v>
      </c>
      <c r="C1793" s="825" t="s">
        <v>59</v>
      </c>
      <c r="D1793" s="825" t="s">
        <v>62</v>
      </c>
      <c r="E1793" s="825" t="s">
        <v>65</v>
      </c>
      <c r="F1793" s="826">
        <v>54111</v>
      </c>
      <c r="G1793" s="827" t="s">
        <v>778</v>
      </c>
      <c r="H1793" s="1118">
        <v>2500</v>
      </c>
    </row>
    <row r="1794" spans="1:8">
      <c r="A1794" s="824" t="s">
        <v>381</v>
      </c>
      <c r="B1794" s="825" t="s">
        <v>69</v>
      </c>
      <c r="C1794" s="825" t="s">
        <v>59</v>
      </c>
      <c r="D1794" s="825" t="s">
        <v>62</v>
      </c>
      <c r="E1794" s="825" t="s">
        <v>65</v>
      </c>
      <c r="F1794" s="826">
        <v>54112</v>
      </c>
      <c r="G1794" s="827" t="s">
        <v>779</v>
      </c>
      <c r="H1794" s="1118">
        <v>300</v>
      </c>
    </row>
    <row r="1795" spans="1:8">
      <c r="A1795" s="824" t="s">
        <v>381</v>
      </c>
      <c r="B1795" s="825" t="s">
        <v>69</v>
      </c>
      <c r="C1795" s="825" t="s">
        <v>59</v>
      </c>
      <c r="D1795" s="825" t="s">
        <v>62</v>
      </c>
      <c r="E1795" s="825" t="s">
        <v>65</v>
      </c>
      <c r="F1795" s="826">
        <v>54118</v>
      </c>
      <c r="G1795" s="827" t="s">
        <v>746</v>
      </c>
      <c r="H1795" s="1118">
        <v>200</v>
      </c>
    </row>
    <row r="1796" spans="1:8">
      <c r="A1796" s="824" t="s">
        <v>381</v>
      </c>
      <c r="B1796" s="825" t="s">
        <v>69</v>
      </c>
      <c r="C1796" s="825" t="s">
        <v>59</v>
      </c>
      <c r="D1796" s="825" t="s">
        <v>62</v>
      </c>
      <c r="E1796" s="825" t="s">
        <v>65</v>
      </c>
      <c r="F1796" s="826">
        <v>54199</v>
      </c>
      <c r="G1796" s="827" t="s">
        <v>658</v>
      </c>
      <c r="H1796" s="1118">
        <v>200</v>
      </c>
    </row>
    <row r="1797" spans="1:8">
      <c r="A1797" s="824" t="s">
        <v>381</v>
      </c>
      <c r="B1797" s="825" t="s">
        <v>69</v>
      </c>
      <c r="C1797" s="825" t="s">
        <v>59</v>
      </c>
      <c r="D1797" s="825" t="s">
        <v>62</v>
      </c>
      <c r="E1797" s="825" t="s">
        <v>65</v>
      </c>
      <c r="F1797" s="829" t="s">
        <v>677</v>
      </c>
      <c r="G1797" s="827" t="s">
        <v>678</v>
      </c>
      <c r="H1797" s="1118">
        <v>200</v>
      </c>
    </row>
    <row r="1798" spans="1:8">
      <c r="A1798" s="824" t="s">
        <v>381</v>
      </c>
      <c r="B1798" s="825" t="s">
        <v>69</v>
      </c>
      <c r="C1798" s="825" t="s">
        <v>59</v>
      </c>
      <c r="D1798" s="825" t="s">
        <v>62</v>
      </c>
      <c r="E1798" s="825" t="s">
        <v>65</v>
      </c>
      <c r="F1798" s="831">
        <v>61608</v>
      </c>
      <c r="G1798" s="832" t="s">
        <v>780</v>
      </c>
      <c r="H1798" s="1129">
        <v>300</v>
      </c>
    </row>
    <row r="1799" spans="1:8" ht="15.75" thickBot="1">
      <c r="A1799" s="1110"/>
      <c r="B1799" s="1111"/>
      <c r="C1799" s="1111"/>
      <c r="D1799" s="1111"/>
      <c r="E1799" s="1112"/>
      <c r="F1799" s="1113"/>
      <c r="G1799" s="1114"/>
      <c r="H1799" s="1120">
        <f>SUM(H1792:H1798)</f>
        <v>5000</v>
      </c>
    </row>
    <row r="1800" spans="1:8" ht="15.75" thickBot="1">
      <c r="A1800" s="839"/>
      <c r="B1800" s="839"/>
      <c r="C1800" s="840"/>
      <c r="D1800" s="841"/>
      <c r="E1800" s="841"/>
      <c r="F1800" s="841"/>
      <c r="G1800" s="818"/>
      <c r="H1800" s="819"/>
    </row>
    <row r="1801" spans="1:8">
      <c r="A1801" s="2685" t="s">
        <v>693</v>
      </c>
      <c r="B1801" s="2686"/>
      <c r="C1801" s="2686"/>
      <c r="D1801" s="2686"/>
      <c r="E1801" s="2686"/>
      <c r="F1801" s="2686"/>
      <c r="G1801" s="2687" t="s">
        <v>1021</v>
      </c>
      <c r="H1801" s="2688"/>
    </row>
    <row r="1802" spans="1:8">
      <c r="A1802" s="842"/>
      <c r="B1802" s="843"/>
      <c r="C1802" s="844"/>
      <c r="D1802" s="844"/>
      <c r="E1802" s="844"/>
      <c r="F1802" s="844"/>
      <c r="G1802" s="845"/>
      <c r="H1802" s="846"/>
    </row>
    <row r="1803" spans="1:8" ht="14.25">
      <c r="A1803" s="2689" t="s">
        <v>841</v>
      </c>
      <c r="B1803" s="2690"/>
      <c r="C1803" s="2690"/>
      <c r="D1803" s="2690"/>
      <c r="E1803" s="2690"/>
      <c r="F1803" s="2691"/>
      <c r="G1803" s="2689" t="s">
        <v>1095</v>
      </c>
      <c r="H1803" s="2691"/>
    </row>
    <row r="1804" spans="1:8">
      <c r="A1804" s="2692" t="s">
        <v>840</v>
      </c>
      <c r="B1804" s="2693"/>
      <c r="C1804" s="2693"/>
      <c r="D1804" s="2693"/>
      <c r="E1804" s="2693"/>
      <c r="F1804" s="2694"/>
      <c r="G1804" s="845"/>
      <c r="H1804" s="846"/>
    </row>
    <row r="1805" spans="1:8" ht="30" customHeight="1">
      <c r="A1805" s="2695"/>
      <c r="B1805" s="2696"/>
      <c r="C1805" s="2696"/>
      <c r="D1805" s="2696"/>
      <c r="E1805" s="2696"/>
      <c r="F1805" s="2697"/>
      <c r="G1805" s="2698" t="s">
        <v>695</v>
      </c>
      <c r="H1805" s="2691"/>
    </row>
    <row r="1806" spans="1:8">
      <c r="A1806" s="842"/>
      <c r="B1806" s="843"/>
      <c r="C1806" s="843"/>
      <c r="D1806" s="843"/>
      <c r="E1806" s="843"/>
      <c r="F1806" s="843"/>
      <c r="G1806" s="847"/>
      <c r="H1806" s="846"/>
    </row>
    <row r="1807" spans="1:8" thickBot="1">
      <c r="A1807" s="2699" t="s">
        <v>692</v>
      </c>
      <c r="B1807" s="2700"/>
      <c r="C1807" s="2700"/>
      <c r="D1807" s="2700"/>
      <c r="E1807" s="2700"/>
      <c r="F1807" s="2701"/>
      <c r="G1807" s="2702" t="s">
        <v>696</v>
      </c>
      <c r="H1807" s="2701"/>
    </row>
    <row r="1808" spans="1:8">
      <c r="A1808" s="1056"/>
      <c r="B1808" s="554"/>
      <c r="C1808" s="554"/>
      <c r="D1808" s="554"/>
      <c r="E1808" s="554"/>
      <c r="F1808" s="554"/>
      <c r="G1808" s="1057"/>
      <c r="H1808" s="554"/>
    </row>
    <row r="1809" spans="1:8" ht="36.75" customHeight="1">
      <c r="A1809" s="2641"/>
      <c r="B1809" s="2641"/>
      <c r="C1809" s="2641"/>
      <c r="D1809" s="2641"/>
      <c r="E1809" s="2641"/>
      <c r="F1809" s="2641"/>
      <c r="G1809" s="2641"/>
      <c r="H1809" s="2641"/>
    </row>
    <row r="1810" spans="1:8">
      <c r="A1810" s="1056"/>
      <c r="B1810" s="554"/>
      <c r="C1810" s="554"/>
      <c r="D1810" s="554"/>
      <c r="E1810" s="554"/>
      <c r="F1810" s="554"/>
      <c r="G1810" s="1057"/>
      <c r="H1810" s="554"/>
    </row>
    <row r="1811" spans="1:8" ht="18.75">
      <c r="A1811" s="2162" t="s">
        <v>111</v>
      </c>
      <c r="B1811" s="2164"/>
      <c r="C1811" s="2164"/>
      <c r="D1811" s="2164"/>
      <c r="E1811" s="2164"/>
      <c r="F1811" s="2164"/>
      <c r="G1811" s="2164"/>
      <c r="H1811" s="2164"/>
    </row>
    <row r="1812" spans="1:8" ht="18.75">
      <c r="A1812" s="2162" t="s">
        <v>757</v>
      </c>
      <c r="B1812" s="2164"/>
      <c r="C1812" s="2164"/>
      <c r="D1812" s="2164"/>
      <c r="E1812" s="2164"/>
      <c r="F1812" s="2164"/>
      <c r="G1812" s="2164"/>
      <c r="H1812" s="2164"/>
    </row>
    <row r="1813" spans="1:8" ht="18.75">
      <c r="A1813" s="2163" t="s">
        <v>211</v>
      </c>
      <c r="B1813" s="2164"/>
      <c r="C1813" s="2164"/>
      <c r="D1813" s="2164"/>
      <c r="E1813" s="2164"/>
      <c r="F1813" s="2164"/>
      <c r="G1813" s="2164"/>
      <c r="H1813" s="2164"/>
    </row>
    <row r="1814" spans="1:8" ht="18.75">
      <c r="A1814" s="2163" t="s">
        <v>1006</v>
      </c>
      <c r="B1814" s="2164"/>
      <c r="C1814" s="2164"/>
      <c r="D1814" s="2164"/>
      <c r="E1814" s="2164"/>
      <c r="F1814" s="2164"/>
      <c r="G1814" s="2164"/>
      <c r="H1814" s="2164"/>
    </row>
    <row r="1815" spans="1:8" ht="18.75">
      <c r="A1815" s="2163" t="s">
        <v>32</v>
      </c>
      <c r="B1815" s="2164"/>
      <c r="C1815" s="2164"/>
      <c r="D1815" s="2164"/>
      <c r="E1815" s="2164"/>
      <c r="F1815" s="2164"/>
      <c r="G1815" s="2164"/>
      <c r="H1815" s="2164"/>
    </row>
    <row r="1816" spans="1:8">
      <c r="A1816" s="33"/>
    </row>
    <row r="1817" spans="1:8" ht="18.75">
      <c r="A1817" s="2596" t="s">
        <v>49</v>
      </c>
      <c r="B1817" s="2596"/>
      <c r="C1817" s="2596"/>
      <c r="D1817" s="2596"/>
      <c r="E1817" s="2596"/>
      <c r="F1817" s="2596"/>
      <c r="G1817" s="2596"/>
      <c r="H1817" s="2596"/>
    </row>
    <row r="1818" spans="1:8" ht="19.5" thickBot="1">
      <c r="A1818" s="2848" t="s">
        <v>1163</v>
      </c>
      <c r="B1818" s="2849"/>
      <c r="C1818" s="2849"/>
      <c r="D1818" s="2849"/>
      <c r="E1818" s="2849"/>
      <c r="F1818" s="2849"/>
      <c r="G1818" s="2849"/>
      <c r="H1818" s="2849"/>
    </row>
    <row r="1819" spans="1:8" ht="15.75" thickBot="1">
      <c r="A1819" s="2606" t="s">
        <v>29</v>
      </c>
      <c r="B1819" s="2620"/>
      <c r="C1819" s="2620"/>
      <c r="D1819" s="2620"/>
      <c r="E1819" s="2620"/>
      <c r="F1819" s="2621"/>
      <c r="G1819" s="2609" t="s">
        <v>640</v>
      </c>
      <c r="H1819" s="2610" t="s">
        <v>639</v>
      </c>
    </row>
    <row r="1820" spans="1:8" ht="75.75" thickBot="1">
      <c r="A1820" s="411" t="s">
        <v>39</v>
      </c>
      <c r="B1820" s="412" t="s">
        <v>40</v>
      </c>
      <c r="C1820" s="412" t="s">
        <v>41</v>
      </c>
      <c r="D1820" s="412" t="s">
        <v>45</v>
      </c>
      <c r="E1820" s="413" t="s">
        <v>42</v>
      </c>
      <c r="F1820" s="407" t="s">
        <v>43</v>
      </c>
      <c r="G1820" s="2850"/>
      <c r="H1820" s="2595"/>
    </row>
    <row r="1821" spans="1:8">
      <c r="A1821" s="34" t="s">
        <v>381</v>
      </c>
      <c r="B1821" s="23" t="s">
        <v>69</v>
      </c>
      <c r="C1821" s="23" t="s">
        <v>59</v>
      </c>
      <c r="D1821" s="23" t="s">
        <v>62</v>
      </c>
      <c r="E1821" s="23" t="s">
        <v>65</v>
      </c>
      <c r="F1821" s="1103" t="s">
        <v>785</v>
      </c>
      <c r="G1821" s="415" t="s">
        <v>1142</v>
      </c>
      <c r="H1821" s="1104">
        <v>57000</v>
      </c>
    </row>
    <row r="1822" spans="1:8">
      <c r="A1822" s="34" t="s">
        <v>381</v>
      </c>
      <c r="B1822" s="23" t="s">
        <v>69</v>
      </c>
      <c r="C1822" s="23" t="s">
        <v>59</v>
      </c>
      <c r="D1822" s="23" t="s">
        <v>62</v>
      </c>
      <c r="E1822" s="23" t="s">
        <v>65</v>
      </c>
      <c r="F1822" s="487">
        <v>61608</v>
      </c>
      <c r="G1822" s="419" t="s">
        <v>731</v>
      </c>
      <c r="H1822" s="1105">
        <v>3000</v>
      </c>
    </row>
    <row r="1823" spans="1:8" ht="15.75" thickBot="1">
      <c r="A1823" s="1064"/>
      <c r="B1823" s="1065"/>
      <c r="C1823" s="1065"/>
      <c r="D1823" s="1065"/>
      <c r="E1823" s="1066"/>
      <c r="F1823" s="1067"/>
      <c r="G1823" s="1068"/>
      <c r="H1823" s="1071">
        <f>SUM(H1821:H1822)</f>
        <v>60000</v>
      </c>
    </row>
    <row r="1824" spans="1:8" ht="15.75" thickBot="1">
      <c r="B1824" s="9"/>
      <c r="C1824" s="10"/>
      <c r="D1824" s="3"/>
      <c r="E1824" s="3"/>
      <c r="F1824" s="3"/>
    </row>
    <row r="1825" spans="1:8">
      <c r="A1825" s="2573" t="s">
        <v>693</v>
      </c>
      <c r="B1825" s="2574"/>
      <c r="C1825" s="2574"/>
      <c r="D1825" s="2574"/>
      <c r="E1825" s="2574"/>
      <c r="F1825" s="2574"/>
      <c r="G1825" s="2575" t="s">
        <v>1021</v>
      </c>
      <c r="H1825" s="2576"/>
    </row>
    <row r="1826" spans="1:8">
      <c r="A1826" s="482"/>
      <c r="B1826" s="551"/>
      <c r="C1826" s="19"/>
      <c r="D1826" s="19"/>
      <c r="E1826" s="19"/>
      <c r="F1826" s="19"/>
      <c r="G1826" s="483"/>
      <c r="H1826" s="484"/>
    </row>
    <row r="1827" spans="1:8" ht="14.25">
      <c r="A1827" s="2580" t="s">
        <v>1143</v>
      </c>
      <c r="B1827" s="2598"/>
      <c r="C1827" s="2598"/>
      <c r="D1827" s="2598"/>
      <c r="E1827" s="2598"/>
      <c r="F1827" s="2552"/>
      <c r="G1827" s="2580" t="s">
        <v>694</v>
      </c>
      <c r="H1827" s="2552"/>
    </row>
    <row r="1828" spans="1:8">
      <c r="A1828" s="2597" t="s">
        <v>956</v>
      </c>
      <c r="B1828" s="2584"/>
      <c r="C1828" s="2584"/>
      <c r="D1828" s="2584"/>
      <c r="E1828" s="2584"/>
      <c r="F1828" s="2585"/>
      <c r="G1828" s="483"/>
      <c r="H1828" s="484"/>
    </row>
    <row r="1829" spans="1:8" ht="14.25">
      <c r="A1829" s="2586"/>
      <c r="B1829" s="2587"/>
      <c r="C1829" s="2587"/>
      <c r="D1829" s="2587"/>
      <c r="E1829" s="2587"/>
      <c r="F1829" s="2588"/>
      <c r="G1829" s="2589" t="s">
        <v>737</v>
      </c>
      <c r="H1829" s="2552"/>
    </row>
    <row r="1830" spans="1:8">
      <c r="A1830" s="482"/>
      <c r="B1830" s="551"/>
      <c r="C1830" s="551"/>
      <c r="D1830" s="551"/>
      <c r="E1830" s="551"/>
      <c r="F1830" s="551"/>
      <c r="G1830" s="485"/>
      <c r="H1830" s="484"/>
    </row>
    <row r="1831" spans="1:8" thickBot="1">
      <c r="A1831" s="2590" t="s">
        <v>692</v>
      </c>
      <c r="B1831" s="2561"/>
      <c r="C1831" s="2561"/>
      <c r="D1831" s="2561"/>
      <c r="E1831" s="2561"/>
      <c r="F1831" s="2562"/>
      <c r="G1831" s="2591" t="s">
        <v>696</v>
      </c>
      <c r="H1831" s="2562"/>
    </row>
    <row r="1832" spans="1:8">
      <c r="A1832" s="1056"/>
      <c r="B1832" s="554"/>
      <c r="C1832" s="554"/>
      <c r="D1832" s="554"/>
      <c r="E1832" s="554"/>
      <c r="F1832" s="554"/>
      <c r="G1832" s="1057"/>
      <c r="H1832" s="554"/>
    </row>
    <row r="1833" spans="1:8">
      <c r="A1833" s="1056"/>
      <c r="B1833" s="554"/>
      <c r="C1833" s="554"/>
      <c r="D1833" s="554"/>
      <c r="E1833" s="554"/>
      <c r="F1833" s="554"/>
      <c r="G1833" s="1057"/>
      <c r="H1833" s="554"/>
    </row>
    <row r="1834" spans="1:8" ht="18.75">
      <c r="A1834" s="2217" t="s">
        <v>111</v>
      </c>
      <c r="B1834" s="2164"/>
      <c r="C1834" s="2164"/>
      <c r="D1834" s="2164"/>
      <c r="E1834" s="2164"/>
      <c r="F1834" s="2164"/>
      <c r="G1834" s="2164"/>
      <c r="H1834" s="2164"/>
    </row>
    <row r="1835" spans="1:8" ht="18.75">
      <c r="A1835" s="2217" t="s">
        <v>757</v>
      </c>
      <c r="B1835" s="2164"/>
      <c r="C1835" s="2164"/>
      <c r="D1835" s="2164"/>
      <c r="E1835" s="2164"/>
      <c r="F1835" s="2164"/>
      <c r="G1835" s="2164"/>
      <c r="H1835" s="2164"/>
    </row>
    <row r="1836" spans="1:8" ht="18.75">
      <c r="A1836" s="2185" t="s">
        <v>211</v>
      </c>
      <c r="B1836" s="2164"/>
      <c r="C1836" s="2164"/>
      <c r="D1836" s="2164"/>
      <c r="E1836" s="2164"/>
      <c r="F1836" s="2164"/>
      <c r="G1836" s="2164"/>
      <c r="H1836" s="2164"/>
    </row>
    <row r="1837" spans="1:8" ht="18.75">
      <c r="A1837" s="2185" t="s">
        <v>1006</v>
      </c>
      <c r="B1837" s="2164"/>
      <c r="C1837" s="2164"/>
      <c r="D1837" s="2164"/>
      <c r="E1837" s="2164"/>
      <c r="F1837" s="2164"/>
      <c r="G1837" s="2164"/>
      <c r="H1837" s="2164"/>
    </row>
    <row r="1838" spans="1:8" ht="18.75">
      <c r="A1838" s="2185" t="s">
        <v>32</v>
      </c>
      <c r="B1838" s="2164"/>
      <c r="C1838" s="2164"/>
      <c r="D1838" s="2164"/>
      <c r="E1838" s="2164"/>
      <c r="F1838" s="2164"/>
      <c r="G1838" s="2164"/>
      <c r="H1838" s="2164"/>
    </row>
    <row r="1839" spans="1:8">
      <c r="A1839" s="850"/>
      <c r="B1839" s="198"/>
      <c r="C1839" s="851"/>
      <c r="D1839" s="41"/>
      <c r="E1839" s="41"/>
      <c r="F1839" s="41"/>
      <c r="G1839" s="21"/>
      <c r="H1839" s="203"/>
    </row>
    <row r="1840" spans="1:8" ht="18.75">
      <c r="A1840" s="2613" t="s">
        <v>49</v>
      </c>
      <c r="B1840" s="2613"/>
      <c r="C1840" s="2613"/>
      <c r="D1840" s="2613"/>
      <c r="E1840" s="2613"/>
      <c r="F1840" s="2613"/>
      <c r="G1840" s="2613"/>
      <c r="H1840" s="2613"/>
    </row>
    <row r="1841" spans="1:8" ht="30.75" customHeight="1">
      <c r="A1841" s="2851" t="s">
        <v>1144</v>
      </c>
      <c r="B1841" s="2852"/>
      <c r="C1841" s="2852"/>
      <c r="D1841" s="2852"/>
      <c r="E1841" s="2852"/>
      <c r="F1841" s="2852"/>
      <c r="G1841" s="2852"/>
      <c r="H1841" s="2852"/>
    </row>
    <row r="1842" spans="1:8" ht="15.75" thickBot="1">
      <c r="A1842" s="2567" t="s">
        <v>29</v>
      </c>
      <c r="B1842" s="2843"/>
      <c r="C1842" s="2843"/>
      <c r="D1842" s="2843"/>
      <c r="E1842" s="2843"/>
      <c r="F1842" s="2844"/>
      <c r="G1842" s="2570" t="s">
        <v>640</v>
      </c>
      <c r="H1842" s="2572" t="s">
        <v>639</v>
      </c>
    </row>
    <row r="1843" spans="1:8" ht="75.75" thickBot="1">
      <c r="A1843" s="411" t="s">
        <v>39</v>
      </c>
      <c r="B1843" s="412" t="s">
        <v>40</v>
      </c>
      <c r="C1843" s="412" t="s">
        <v>41</v>
      </c>
      <c r="D1843" s="412" t="s">
        <v>45</v>
      </c>
      <c r="E1843" s="413" t="s">
        <v>42</v>
      </c>
      <c r="F1843" s="407" t="s">
        <v>43</v>
      </c>
      <c r="G1843" s="2622"/>
      <c r="H1843" s="2595"/>
    </row>
    <row r="1844" spans="1:8">
      <c r="A1844" s="852" t="s">
        <v>381</v>
      </c>
      <c r="B1844" s="853" t="s">
        <v>69</v>
      </c>
      <c r="C1844" s="853" t="s">
        <v>59</v>
      </c>
      <c r="D1844" s="853" t="s">
        <v>62</v>
      </c>
      <c r="E1844" s="853" t="s">
        <v>65</v>
      </c>
      <c r="F1844" s="427">
        <v>51202</v>
      </c>
      <c r="G1844" s="428" t="s">
        <v>759</v>
      </c>
      <c r="H1844" s="557">
        <v>2850</v>
      </c>
    </row>
    <row r="1845" spans="1:8">
      <c r="A1845" s="852" t="s">
        <v>381</v>
      </c>
      <c r="B1845" s="853" t="s">
        <v>69</v>
      </c>
      <c r="C1845" s="853" t="s">
        <v>59</v>
      </c>
      <c r="D1845" s="853" t="s">
        <v>62</v>
      </c>
      <c r="E1845" s="853" t="s">
        <v>65</v>
      </c>
      <c r="F1845" s="414">
        <v>54111</v>
      </c>
      <c r="G1845" s="419" t="s">
        <v>778</v>
      </c>
      <c r="H1845" s="557">
        <v>4000</v>
      </c>
    </row>
    <row r="1846" spans="1:8">
      <c r="A1846" s="852" t="s">
        <v>381</v>
      </c>
      <c r="B1846" s="853" t="s">
        <v>69</v>
      </c>
      <c r="C1846" s="853" t="s">
        <v>59</v>
      </c>
      <c r="D1846" s="853" t="s">
        <v>62</v>
      </c>
      <c r="E1846" s="853" t="s">
        <v>65</v>
      </c>
      <c r="F1846" s="414">
        <v>54112</v>
      </c>
      <c r="G1846" s="419" t="s">
        <v>782</v>
      </c>
      <c r="H1846" s="557">
        <v>1700</v>
      </c>
    </row>
    <row r="1847" spans="1:8">
      <c r="A1847" s="852" t="s">
        <v>381</v>
      </c>
      <c r="B1847" s="853" t="s">
        <v>69</v>
      </c>
      <c r="C1847" s="853" t="s">
        <v>59</v>
      </c>
      <c r="D1847" s="853" t="s">
        <v>62</v>
      </c>
      <c r="E1847" s="853" t="s">
        <v>65</v>
      </c>
      <c r="F1847" s="414">
        <v>54118</v>
      </c>
      <c r="G1847" s="419" t="s">
        <v>746</v>
      </c>
      <c r="H1847" s="557">
        <v>200</v>
      </c>
    </row>
    <row r="1848" spans="1:8">
      <c r="A1848" s="852" t="s">
        <v>381</v>
      </c>
      <c r="B1848" s="853" t="s">
        <v>69</v>
      </c>
      <c r="C1848" s="853" t="s">
        <v>59</v>
      </c>
      <c r="D1848" s="853" t="s">
        <v>62</v>
      </c>
      <c r="E1848" s="853" t="s">
        <v>65</v>
      </c>
      <c r="F1848" s="414">
        <v>54199</v>
      </c>
      <c r="G1848" s="419" t="s">
        <v>658</v>
      </c>
      <c r="H1848" s="557">
        <v>200</v>
      </c>
    </row>
    <row r="1849" spans="1:8">
      <c r="A1849" s="852" t="s">
        <v>381</v>
      </c>
      <c r="B1849" s="853" t="s">
        <v>69</v>
      </c>
      <c r="C1849" s="853" t="s">
        <v>59</v>
      </c>
      <c r="D1849" s="853" t="s">
        <v>62</v>
      </c>
      <c r="E1849" s="853" t="s">
        <v>65</v>
      </c>
      <c r="F1849" s="418" t="s">
        <v>677</v>
      </c>
      <c r="G1849" s="419" t="s">
        <v>678</v>
      </c>
      <c r="H1849" s="557">
        <v>300</v>
      </c>
    </row>
    <row r="1850" spans="1:8">
      <c r="A1850" s="852" t="s">
        <v>381</v>
      </c>
      <c r="B1850" s="853" t="s">
        <v>69</v>
      </c>
      <c r="C1850" s="853" t="s">
        <v>59</v>
      </c>
      <c r="D1850" s="853" t="s">
        <v>62</v>
      </c>
      <c r="E1850" s="853" t="s">
        <v>65</v>
      </c>
      <c r="F1850" s="421">
        <v>61608</v>
      </c>
      <c r="G1850" s="422" t="s">
        <v>780</v>
      </c>
      <c r="H1850" s="559">
        <v>750</v>
      </c>
    </row>
    <row r="1851" spans="1:8" ht="15.75" thickBot="1">
      <c r="A1851" s="1058"/>
      <c r="B1851" s="1059"/>
      <c r="C1851" s="1059"/>
      <c r="D1851" s="1059"/>
      <c r="E1851" s="1060"/>
      <c r="F1851" s="1061"/>
      <c r="G1851" s="1062"/>
      <c r="H1851" s="1063">
        <f>SUM(H1844:H1850)</f>
        <v>10000</v>
      </c>
    </row>
    <row r="1852" spans="1:8" ht="15.75" thickBot="1">
      <c r="A1852" s="200"/>
      <c r="B1852" s="200"/>
      <c r="C1852" s="201"/>
      <c r="D1852" s="202"/>
      <c r="E1852" s="202"/>
      <c r="F1852" s="202"/>
      <c r="G1852" s="21"/>
      <c r="H1852" s="203"/>
    </row>
    <row r="1853" spans="1:8">
      <c r="A1853" s="2541" t="s">
        <v>693</v>
      </c>
      <c r="B1853" s="2542"/>
      <c r="C1853" s="2542"/>
      <c r="D1853" s="2542"/>
      <c r="E1853" s="2542"/>
      <c r="F1853" s="2542"/>
      <c r="G1853" s="2543" t="s">
        <v>1021</v>
      </c>
      <c r="H1853" s="2544"/>
    </row>
    <row r="1854" spans="1:8">
      <c r="A1854" s="857"/>
      <c r="B1854" s="47"/>
      <c r="C1854" s="160"/>
      <c r="D1854" s="160"/>
      <c r="E1854" s="160"/>
      <c r="F1854" s="160"/>
      <c r="G1854" s="858"/>
      <c r="H1854" s="859"/>
    </row>
    <row r="1855" spans="1:8" ht="14.25">
      <c r="A1855" s="2551" t="s">
        <v>1145</v>
      </c>
      <c r="B1855" s="2598"/>
      <c r="C1855" s="2598"/>
      <c r="D1855" s="2598"/>
      <c r="E1855" s="2598"/>
      <c r="F1855" s="2552"/>
      <c r="G1855" s="2551" t="s">
        <v>694</v>
      </c>
      <c r="H1855" s="2552"/>
    </row>
    <row r="1856" spans="1:8">
      <c r="A1856" s="2553" t="s">
        <v>1146</v>
      </c>
      <c r="B1856" s="2554"/>
      <c r="C1856" s="2554"/>
      <c r="D1856" s="2554"/>
      <c r="E1856" s="2554"/>
      <c r="F1856" s="2555"/>
      <c r="G1856" s="858"/>
      <c r="H1856" s="859"/>
    </row>
    <row r="1857" spans="1:8" ht="14.25">
      <c r="A1857" s="2556"/>
      <c r="B1857" s="2557"/>
      <c r="C1857" s="2557"/>
      <c r="D1857" s="2557"/>
      <c r="E1857" s="2557"/>
      <c r="F1857" s="2558"/>
      <c r="G1857" s="2559" t="s">
        <v>695</v>
      </c>
      <c r="H1857" s="2552"/>
    </row>
    <row r="1858" spans="1:8">
      <c r="A1858" s="857"/>
      <c r="B1858" s="47"/>
      <c r="C1858" s="47"/>
      <c r="D1858" s="47"/>
      <c r="E1858" s="47"/>
      <c r="F1858" s="47"/>
      <c r="G1858" s="860"/>
      <c r="H1858" s="859"/>
    </row>
    <row r="1859" spans="1:8" thickBot="1">
      <c r="A1859" s="2560" t="s">
        <v>692</v>
      </c>
      <c r="B1859" s="2561"/>
      <c r="C1859" s="2561"/>
      <c r="D1859" s="2561"/>
      <c r="E1859" s="2561"/>
      <c r="F1859" s="2562"/>
      <c r="G1859" s="2563" t="s">
        <v>696</v>
      </c>
      <c r="H1859" s="2562"/>
    </row>
    <row r="1860" spans="1:8">
      <c r="A1860" s="1056"/>
      <c r="B1860" s="554"/>
      <c r="C1860" s="554"/>
      <c r="D1860" s="554"/>
      <c r="E1860" s="554"/>
      <c r="F1860" s="554"/>
      <c r="G1860" s="1057"/>
      <c r="H1860" s="554"/>
    </row>
    <row r="1861" spans="1:8">
      <c r="A1861" s="1056"/>
      <c r="B1861" s="554"/>
      <c r="C1861" s="554"/>
      <c r="D1861" s="554"/>
      <c r="E1861" s="554"/>
      <c r="F1861" s="554"/>
      <c r="G1861" s="1057"/>
      <c r="H1861" s="554"/>
    </row>
    <row r="1862" spans="1:8">
      <c r="A1862" s="1056"/>
      <c r="B1862" s="554"/>
      <c r="C1862" s="554"/>
      <c r="D1862" s="554"/>
      <c r="E1862" s="554"/>
      <c r="F1862" s="554"/>
      <c r="G1862" s="1057"/>
      <c r="H1862" s="554"/>
    </row>
    <row r="1863" spans="1:8" ht="18.75">
      <c r="A1863" s="2703" t="s">
        <v>111</v>
      </c>
      <c r="B1863" s="2705"/>
      <c r="C1863" s="2705"/>
      <c r="D1863" s="2705"/>
      <c r="E1863" s="2705"/>
      <c r="F1863" s="2705"/>
      <c r="G1863" s="2705"/>
      <c r="H1863" s="2705"/>
    </row>
    <row r="1864" spans="1:8" ht="18.75">
      <c r="A1864" s="2703" t="s">
        <v>757</v>
      </c>
      <c r="B1864" s="2705"/>
      <c r="C1864" s="2705"/>
      <c r="D1864" s="2705"/>
      <c r="E1864" s="2705"/>
      <c r="F1864" s="2705"/>
      <c r="G1864" s="2705"/>
      <c r="H1864" s="2705"/>
    </row>
    <row r="1865" spans="1:8" ht="18.75">
      <c r="A1865" s="2704" t="s">
        <v>211</v>
      </c>
      <c r="B1865" s="2705"/>
      <c r="C1865" s="2705"/>
      <c r="D1865" s="2705"/>
      <c r="E1865" s="2705"/>
      <c r="F1865" s="2705"/>
      <c r="G1865" s="2705"/>
      <c r="H1865" s="2705"/>
    </row>
    <row r="1866" spans="1:8" ht="18.75">
      <c r="A1866" s="2704" t="s">
        <v>1006</v>
      </c>
      <c r="B1866" s="2705"/>
      <c r="C1866" s="2705"/>
      <c r="D1866" s="2705"/>
      <c r="E1866" s="2705"/>
      <c r="F1866" s="2705"/>
      <c r="G1866" s="2705"/>
      <c r="H1866" s="2705"/>
    </row>
    <row r="1867" spans="1:8" ht="18.75">
      <c r="A1867" s="2704" t="s">
        <v>32</v>
      </c>
      <c r="B1867" s="2705"/>
      <c r="C1867" s="2705"/>
      <c r="D1867" s="2705"/>
      <c r="E1867" s="2705"/>
      <c r="F1867" s="2705"/>
      <c r="G1867" s="2705"/>
      <c r="H1867" s="2705"/>
    </row>
    <row r="1868" spans="1:8">
      <c r="A1868" s="814"/>
      <c r="B1868" s="815"/>
      <c r="C1868" s="816"/>
      <c r="D1868" s="817"/>
      <c r="E1868" s="817"/>
      <c r="F1868" s="817"/>
      <c r="G1868" s="818"/>
      <c r="H1868" s="819"/>
    </row>
    <row r="1869" spans="1:8" ht="18.75">
      <c r="A1869" s="2706" t="s">
        <v>49</v>
      </c>
      <c r="B1869" s="2706"/>
      <c r="C1869" s="2706"/>
      <c r="D1869" s="2706"/>
      <c r="E1869" s="2706"/>
      <c r="F1869" s="2706"/>
      <c r="G1869" s="2706"/>
      <c r="H1869" s="2706"/>
    </row>
    <row r="1870" spans="1:8" ht="42" customHeight="1" thickBot="1">
      <c r="A1870" s="2827" t="s">
        <v>1147</v>
      </c>
      <c r="B1870" s="2828"/>
      <c r="C1870" s="2828"/>
      <c r="D1870" s="2828"/>
      <c r="E1870" s="2828"/>
      <c r="F1870" s="2828"/>
      <c r="G1870" s="2828"/>
      <c r="H1870" s="2828"/>
    </row>
    <row r="1871" spans="1:8" ht="15.75" thickBot="1">
      <c r="A1871" s="2709" t="s">
        <v>29</v>
      </c>
      <c r="B1871" s="2789"/>
      <c r="C1871" s="2789"/>
      <c r="D1871" s="2789"/>
      <c r="E1871" s="2789"/>
      <c r="F1871" s="2790"/>
      <c r="G1871" s="2712" t="s">
        <v>640</v>
      </c>
      <c r="H1871" s="2714" t="s">
        <v>639</v>
      </c>
    </row>
    <row r="1872" spans="1:8" ht="75.75" thickBot="1">
      <c r="A1872" s="1106" t="s">
        <v>39</v>
      </c>
      <c r="B1872" s="1107" t="s">
        <v>40</v>
      </c>
      <c r="C1872" s="1107" t="s">
        <v>41</v>
      </c>
      <c r="D1872" s="1107" t="s">
        <v>45</v>
      </c>
      <c r="E1872" s="1108" t="s">
        <v>42</v>
      </c>
      <c r="F1872" s="823" t="s">
        <v>43</v>
      </c>
      <c r="G1872" s="2791"/>
      <c r="H1872" s="2723"/>
    </row>
    <row r="1873" spans="1:8">
      <c r="A1873" s="824" t="s">
        <v>381</v>
      </c>
      <c r="B1873" s="825" t="s">
        <v>69</v>
      </c>
      <c r="C1873" s="825" t="s">
        <v>59</v>
      </c>
      <c r="D1873" s="825" t="s">
        <v>62</v>
      </c>
      <c r="E1873" s="825" t="s">
        <v>65</v>
      </c>
      <c r="F1873" s="1116">
        <v>61606</v>
      </c>
      <c r="G1873" s="1117" t="s">
        <v>1148</v>
      </c>
      <c r="H1873" s="1118">
        <v>35000</v>
      </c>
    </row>
    <row r="1874" spans="1:8" ht="15.75" thickBot="1">
      <c r="A1874" s="833"/>
      <c r="B1874" s="834"/>
      <c r="C1874" s="834"/>
      <c r="D1874" s="834"/>
      <c r="E1874" s="835"/>
      <c r="F1874" s="836"/>
      <c r="G1874" s="837"/>
      <c r="H1874" s="1124">
        <f>SUM(H1873:H1873)</f>
        <v>35000</v>
      </c>
    </row>
    <row r="1875" spans="1:8" ht="15.75" thickBot="1">
      <c r="A1875" s="839"/>
      <c r="B1875" s="839"/>
      <c r="C1875" s="840"/>
      <c r="D1875" s="841"/>
      <c r="E1875" s="841"/>
      <c r="F1875" s="841"/>
      <c r="G1875" s="818"/>
      <c r="H1875" s="819"/>
    </row>
    <row r="1876" spans="1:8">
      <c r="A1876" s="2685" t="s">
        <v>693</v>
      </c>
      <c r="B1876" s="2686"/>
      <c r="C1876" s="2686"/>
      <c r="D1876" s="2686"/>
      <c r="E1876" s="2686"/>
      <c r="F1876" s="2686"/>
      <c r="G1876" s="2687" t="s">
        <v>1021</v>
      </c>
      <c r="H1876" s="2688"/>
    </row>
    <row r="1877" spans="1:8">
      <c r="A1877" s="842"/>
      <c r="B1877" s="843"/>
      <c r="C1877" s="844"/>
      <c r="D1877" s="844"/>
      <c r="E1877" s="844"/>
      <c r="F1877" s="844"/>
      <c r="G1877" s="845"/>
      <c r="H1877" s="846"/>
    </row>
    <row r="1878" spans="1:8" ht="44.25" customHeight="1">
      <c r="A1878" s="2689" t="s">
        <v>1147</v>
      </c>
      <c r="B1878" s="2690"/>
      <c r="C1878" s="2690"/>
      <c r="D1878" s="2690"/>
      <c r="E1878" s="2690"/>
      <c r="F1878" s="2691"/>
      <c r="G1878" s="2689" t="s">
        <v>1095</v>
      </c>
      <c r="H1878" s="2691"/>
    </row>
    <row r="1879" spans="1:8">
      <c r="A1879" s="2692" t="s">
        <v>1149</v>
      </c>
      <c r="B1879" s="2693"/>
      <c r="C1879" s="2693"/>
      <c r="D1879" s="2693"/>
      <c r="E1879" s="2693"/>
      <c r="F1879" s="2694"/>
      <c r="G1879" s="845"/>
      <c r="H1879" s="846"/>
    </row>
    <row r="1880" spans="1:8" ht="30.75" customHeight="1">
      <c r="A1880" s="2695"/>
      <c r="B1880" s="2696"/>
      <c r="C1880" s="2696"/>
      <c r="D1880" s="2696"/>
      <c r="E1880" s="2696"/>
      <c r="F1880" s="2697"/>
      <c r="G1880" s="2698" t="s">
        <v>737</v>
      </c>
      <c r="H1880" s="2691"/>
    </row>
    <row r="1881" spans="1:8">
      <c r="A1881" s="842"/>
      <c r="B1881" s="843"/>
      <c r="C1881" s="843"/>
      <c r="D1881" s="843"/>
      <c r="E1881" s="843"/>
      <c r="F1881" s="843"/>
      <c r="G1881" s="847"/>
      <c r="H1881" s="846"/>
    </row>
    <row r="1882" spans="1:8" thickBot="1">
      <c r="A1882" s="2699" t="s">
        <v>692</v>
      </c>
      <c r="B1882" s="2700"/>
      <c r="C1882" s="2700"/>
      <c r="D1882" s="2700"/>
      <c r="E1882" s="2700"/>
      <c r="F1882" s="2701"/>
      <c r="G1882" s="2702" t="s">
        <v>696</v>
      </c>
      <c r="H1882" s="2701"/>
    </row>
    <row r="1883" spans="1:8">
      <c r="A1883" s="1056"/>
      <c r="B1883" s="554"/>
      <c r="C1883" s="554"/>
      <c r="D1883" s="554"/>
      <c r="E1883" s="554"/>
      <c r="F1883" s="554"/>
      <c r="G1883" s="1057"/>
      <c r="H1883" s="554"/>
    </row>
    <row r="1884" spans="1:8">
      <c r="A1884" s="1056"/>
      <c r="B1884" s="554"/>
      <c r="C1884" s="554"/>
      <c r="D1884" s="554"/>
      <c r="E1884" s="554"/>
      <c r="F1884" s="554"/>
      <c r="G1884" s="1057"/>
      <c r="H1884" s="554"/>
    </row>
    <row r="1885" spans="1:8">
      <c r="A1885" s="1056"/>
      <c r="B1885" s="554"/>
      <c r="C1885" s="554"/>
      <c r="D1885" s="554"/>
      <c r="E1885" s="554"/>
      <c r="F1885" s="554"/>
      <c r="G1885" s="1057"/>
      <c r="H1885" s="554"/>
    </row>
    <row r="1886" spans="1:8">
      <c r="A1886" s="1056"/>
      <c r="B1886" s="554"/>
      <c r="C1886" s="554"/>
      <c r="D1886" s="554"/>
      <c r="E1886" s="554"/>
      <c r="F1886" s="554"/>
      <c r="G1886" s="1057"/>
      <c r="H1886" s="554"/>
    </row>
    <row r="1887" spans="1:8">
      <c r="A1887" s="1056"/>
      <c r="B1887" s="554"/>
      <c r="C1887" s="554"/>
      <c r="D1887" s="554"/>
      <c r="E1887" s="554"/>
      <c r="F1887" s="554"/>
      <c r="G1887" s="1057"/>
      <c r="H1887" s="554"/>
    </row>
    <row r="1888" spans="1:8">
      <c r="A1888" s="1056"/>
      <c r="B1888" s="554"/>
      <c r="C1888" s="554"/>
      <c r="D1888" s="554"/>
      <c r="E1888" s="554"/>
      <c r="F1888" s="554"/>
      <c r="G1888" s="1057"/>
      <c r="H1888" s="554"/>
    </row>
    <row r="1889" spans="1:8">
      <c r="A1889" s="1056"/>
      <c r="B1889" s="554"/>
      <c r="C1889" s="554"/>
      <c r="D1889" s="554"/>
      <c r="E1889" s="554"/>
      <c r="F1889" s="554"/>
      <c r="G1889" s="1057"/>
      <c r="H1889" s="554"/>
    </row>
    <row r="1890" spans="1:8">
      <c r="A1890" s="1056"/>
      <c r="B1890" s="554"/>
      <c r="C1890" s="554"/>
      <c r="D1890" s="554"/>
      <c r="E1890" s="554"/>
      <c r="F1890" s="554"/>
      <c r="G1890" s="1057"/>
      <c r="H1890" s="554"/>
    </row>
    <row r="1891" spans="1:8">
      <c r="A1891" s="1056"/>
      <c r="B1891" s="554"/>
      <c r="C1891" s="554"/>
      <c r="D1891" s="554"/>
      <c r="E1891" s="554"/>
      <c r="F1891" s="554"/>
      <c r="G1891" s="1057"/>
      <c r="H1891" s="554"/>
    </row>
    <row r="1892" spans="1:8">
      <c r="A1892" s="1056"/>
      <c r="B1892" s="554"/>
      <c r="C1892" s="554"/>
      <c r="D1892" s="554"/>
      <c r="E1892" s="554"/>
      <c r="F1892" s="554"/>
      <c r="G1892" s="1057"/>
      <c r="H1892" s="554"/>
    </row>
    <row r="1893" spans="1:8">
      <c r="A1893" s="1056"/>
      <c r="B1893" s="554"/>
      <c r="C1893" s="554"/>
      <c r="D1893" s="554"/>
      <c r="E1893" s="554"/>
      <c r="F1893" s="554"/>
      <c r="G1893" s="1057"/>
      <c r="H1893" s="554"/>
    </row>
    <row r="1894" spans="1:8">
      <c r="A1894" s="1056"/>
      <c r="B1894" s="554"/>
      <c r="C1894" s="554"/>
      <c r="D1894" s="554"/>
      <c r="E1894" s="554"/>
      <c r="F1894" s="554"/>
      <c r="G1894" s="1057"/>
      <c r="H1894" s="554"/>
    </row>
    <row r="1895" spans="1:8">
      <c r="A1895" s="1056"/>
      <c r="B1895" s="554"/>
      <c r="C1895" s="554"/>
      <c r="D1895" s="554"/>
      <c r="E1895" s="554"/>
      <c r="F1895" s="554"/>
      <c r="G1895" s="1057"/>
      <c r="H1895" s="554"/>
    </row>
    <row r="1896" spans="1:8">
      <c r="A1896" s="1056"/>
      <c r="B1896" s="554"/>
      <c r="C1896" s="554"/>
      <c r="D1896" s="554"/>
      <c r="E1896" s="554"/>
      <c r="F1896" s="554"/>
      <c r="G1896" s="1057"/>
      <c r="H1896" s="554"/>
    </row>
    <row r="1897" spans="1:8">
      <c r="A1897" s="1056"/>
      <c r="B1897" s="554"/>
      <c r="C1897" s="554"/>
      <c r="D1897" s="554"/>
      <c r="E1897" s="554"/>
      <c r="F1897" s="554"/>
      <c r="G1897" s="1057"/>
      <c r="H1897" s="554"/>
    </row>
    <row r="1898" spans="1:8">
      <c r="A1898" s="1056"/>
      <c r="B1898" s="554"/>
      <c r="C1898" s="554"/>
      <c r="D1898" s="554"/>
      <c r="E1898" s="554"/>
      <c r="F1898" s="554"/>
      <c r="G1898" s="1057"/>
      <c r="H1898" s="554"/>
    </row>
    <row r="1899" spans="1:8">
      <c r="A1899" s="1056"/>
      <c r="B1899" s="554"/>
      <c r="C1899" s="554"/>
      <c r="D1899" s="554"/>
      <c r="E1899" s="554"/>
      <c r="F1899" s="554"/>
      <c r="G1899" s="1057"/>
      <c r="H1899" s="554"/>
    </row>
    <row r="1900" spans="1:8">
      <c r="A1900" s="1056"/>
      <c r="B1900" s="554"/>
      <c r="C1900" s="554"/>
      <c r="D1900" s="554"/>
      <c r="E1900" s="554"/>
      <c r="F1900" s="554"/>
      <c r="G1900" s="1057"/>
      <c r="H1900" s="554"/>
    </row>
    <row r="1901" spans="1:8">
      <c r="A1901" s="1056"/>
      <c r="B1901" s="554"/>
      <c r="C1901" s="554"/>
      <c r="D1901" s="554"/>
      <c r="E1901" s="554"/>
      <c r="F1901" s="554"/>
      <c r="G1901" s="1057"/>
      <c r="H1901" s="554"/>
    </row>
    <row r="1902" spans="1:8">
      <c r="A1902" s="1056"/>
      <c r="B1902" s="554"/>
      <c r="C1902" s="554"/>
      <c r="D1902" s="554"/>
      <c r="E1902" s="554"/>
      <c r="F1902" s="554"/>
      <c r="G1902" s="1057"/>
      <c r="H1902" s="554"/>
    </row>
    <row r="1903" spans="1:8">
      <c r="A1903" s="1056"/>
      <c r="B1903" s="554"/>
      <c r="C1903" s="554"/>
      <c r="D1903" s="554"/>
      <c r="E1903" s="554"/>
      <c r="F1903" s="554"/>
      <c r="G1903" s="1057"/>
      <c r="H1903" s="554"/>
    </row>
    <row r="1904" spans="1:8">
      <c r="A1904" s="1056"/>
      <c r="B1904" s="554"/>
      <c r="C1904" s="554"/>
      <c r="D1904" s="554"/>
      <c r="E1904" s="554"/>
      <c r="F1904" s="554"/>
      <c r="G1904" s="1057"/>
      <c r="H1904" s="554"/>
    </row>
    <row r="1905" spans="1:8">
      <c r="A1905" s="1056"/>
      <c r="B1905" s="554"/>
      <c r="C1905" s="554"/>
      <c r="D1905" s="554"/>
      <c r="E1905" s="554"/>
      <c r="F1905" s="554"/>
      <c r="G1905" s="1057"/>
      <c r="H1905" s="554"/>
    </row>
    <row r="1906" spans="1:8">
      <c r="A1906" s="1056"/>
      <c r="B1906" s="554"/>
      <c r="C1906" s="554"/>
      <c r="D1906" s="554"/>
      <c r="E1906" s="554"/>
      <c r="F1906" s="554"/>
      <c r="G1906" s="1057"/>
      <c r="H1906" s="554"/>
    </row>
    <row r="1907" spans="1:8">
      <c r="A1907" s="1056"/>
      <c r="B1907" s="554"/>
      <c r="C1907" s="554"/>
      <c r="D1907" s="554"/>
      <c r="E1907" s="554"/>
      <c r="F1907" s="554"/>
      <c r="G1907" s="1057"/>
      <c r="H1907" s="554"/>
    </row>
    <row r="1908" spans="1:8">
      <c r="A1908" s="1056"/>
      <c r="B1908" s="554"/>
      <c r="C1908" s="554"/>
      <c r="D1908" s="554"/>
      <c r="E1908" s="554"/>
      <c r="F1908" s="554"/>
      <c r="G1908" s="1057"/>
      <c r="H1908" s="554"/>
    </row>
    <row r="1909" spans="1:8">
      <c r="A1909" s="1056"/>
      <c r="B1909" s="554"/>
      <c r="C1909" s="554"/>
      <c r="D1909" s="554"/>
      <c r="E1909" s="554"/>
      <c r="F1909" s="554"/>
      <c r="G1909" s="1057"/>
      <c r="H1909" s="554"/>
    </row>
    <row r="1910" spans="1:8">
      <c r="A1910" s="1056"/>
      <c r="B1910" s="554"/>
      <c r="C1910" s="554"/>
      <c r="D1910" s="554"/>
      <c r="E1910" s="554"/>
      <c r="F1910" s="554"/>
      <c r="G1910" s="1057"/>
      <c r="H1910" s="554"/>
    </row>
    <row r="1911" spans="1:8">
      <c r="A1911" s="1056"/>
      <c r="B1911" s="554"/>
      <c r="C1911" s="554"/>
      <c r="D1911" s="554"/>
      <c r="E1911" s="554"/>
      <c r="F1911" s="554"/>
      <c r="G1911" s="1057"/>
      <c r="H1911" s="554"/>
    </row>
    <row r="1912" spans="1:8">
      <c r="A1912" s="1056"/>
      <c r="B1912" s="554"/>
      <c r="C1912" s="554"/>
      <c r="D1912" s="554"/>
      <c r="E1912" s="554"/>
      <c r="F1912" s="554"/>
      <c r="G1912" s="1057"/>
      <c r="H1912" s="554"/>
    </row>
    <row r="1913" spans="1:8">
      <c r="A1913" s="1056"/>
      <c r="B1913" s="554"/>
      <c r="C1913" s="554"/>
      <c r="D1913" s="554"/>
      <c r="E1913" s="554"/>
      <c r="F1913" s="554"/>
      <c r="G1913" s="1057"/>
      <c r="H1913" s="554"/>
    </row>
    <row r="1914" spans="1:8">
      <c r="A1914" s="1056"/>
      <c r="B1914" s="554"/>
      <c r="C1914" s="554"/>
      <c r="D1914" s="554"/>
      <c r="E1914" s="554"/>
      <c r="F1914" s="554"/>
      <c r="G1914" s="1057"/>
      <c r="H1914" s="554"/>
    </row>
    <row r="1915" spans="1:8">
      <c r="A1915" s="1056"/>
      <c r="B1915" s="554"/>
      <c r="C1915" s="554"/>
      <c r="D1915" s="554"/>
      <c r="E1915" s="554"/>
      <c r="F1915" s="554"/>
      <c r="G1915" s="1057"/>
      <c r="H1915" s="554"/>
    </row>
    <row r="1916" spans="1:8">
      <c r="A1916" s="1056"/>
      <c r="B1916" s="554"/>
      <c r="C1916" s="554"/>
      <c r="D1916" s="554"/>
      <c r="E1916" s="554"/>
      <c r="F1916" s="554"/>
      <c r="G1916" s="1057"/>
      <c r="H1916" s="554"/>
    </row>
    <row r="1917" spans="1:8">
      <c r="A1917" s="1056"/>
      <c r="B1917" s="554"/>
      <c r="C1917" s="554"/>
      <c r="D1917" s="554"/>
      <c r="E1917" s="554"/>
      <c r="F1917" s="554"/>
      <c r="G1917" s="1057"/>
      <c r="H1917" s="554"/>
    </row>
    <row r="1918" spans="1:8">
      <c r="A1918" s="1056"/>
      <c r="B1918" s="554"/>
      <c r="C1918" s="554"/>
      <c r="D1918" s="554"/>
      <c r="E1918" s="554"/>
      <c r="F1918" s="554"/>
      <c r="G1918" s="1057"/>
      <c r="H1918" s="554"/>
    </row>
    <row r="1919" spans="1:8">
      <c r="A1919" s="1056"/>
      <c r="B1919" s="554"/>
      <c r="C1919" s="554"/>
      <c r="D1919" s="554"/>
      <c r="E1919" s="554"/>
      <c r="F1919" s="554"/>
      <c r="G1919" s="1057"/>
      <c r="H1919" s="554"/>
    </row>
    <row r="1920" spans="1:8">
      <c r="A1920" s="1056"/>
      <c r="B1920" s="554"/>
      <c r="C1920" s="554"/>
      <c r="D1920" s="554"/>
      <c r="E1920" s="554"/>
      <c r="F1920" s="554"/>
      <c r="G1920" s="1057"/>
      <c r="H1920" s="554"/>
    </row>
    <row r="1921" spans="1:8">
      <c r="A1921" s="1056"/>
      <c r="B1921" s="554"/>
      <c r="C1921" s="554"/>
      <c r="D1921" s="554"/>
      <c r="E1921" s="554"/>
      <c r="F1921" s="554"/>
      <c r="G1921" s="1057"/>
      <c r="H1921" s="554"/>
    </row>
    <row r="1922" spans="1:8">
      <c r="A1922" s="1056"/>
      <c r="B1922" s="554"/>
      <c r="C1922" s="554"/>
      <c r="D1922" s="554"/>
      <c r="E1922" s="554"/>
      <c r="F1922" s="554"/>
      <c r="G1922" s="1057"/>
      <c r="H1922" s="554"/>
    </row>
    <row r="1923" spans="1:8">
      <c r="A1923" s="1056"/>
      <c r="B1923" s="554"/>
      <c r="C1923" s="554"/>
      <c r="D1923" s="554"/>
      <c r="E1923" s="554"/>
      <c r="F1923" s="554"/>
      <c r="G1923" s="1057"/>
      <c r="H1923" s="554"/>
    </row>
    <row r="1924" spans="1:8">
      <c r="A1924" s="1056"/>
      <c r="B1924" s="554"/>
      <c r="C1924" s="554"/>
      <c r="D1924" s="554"/>
      <c r="E1924" s="554"/>
      <c r="F1924" s="554"/>
      <c r="G1924" s="1057"/>
      <c r="H1924" s="554"/>
    </row>
    <row r="1925" spans="1:8">
      <c r="A1925" s="1056"/>
      <c r="B1925" s="554"/>
      <c r="C1925" s="554"/>
      <c r="D1925" s="554"/>
      <c r="E1925" s="554"/>
      <c r="F1925" s="554"/>
      <c r="G1925" s="1057"/>
      <c r="H1925" s="554"/>
    </row>
    <row r="1926" spans="1:8">
      <c r="A1926" s="1056"/>
      <c r="B1926" s="554"/>
      <c r="C1926" s="554"/>
      <c r="D1926" s="554"/>
      <c r="E1926" s="554"/>
      <c r="F1926" s="554"/>
      <c r="G1926" s="1057"/>
      <c r="H1926" s="554"/>
    </row>
    <row r="1927" spans="1:8">
      <c r="A1927" s="1056"/>
      <c r="B1927" s="554"/>
      <c r="C1927" s="554"/>
      <c r="D1927" s="554"/>
      <c r="E1927" s="554"/>
      <c r="F1927" s="554"/>
      <c r="G1927" s="1057"/>
      <c r="H1927" s="554"/>
    </row>
    <row r="1928" spans="1:8">
      <c r="A1928" s="1056"/>
      <c r="B1928" s="554"/>
      <c r="C1928" s="554"/>
      <c r="D1928" s="554"/>
      <c r="E1928" s="554"/>
      <c r="F1928" s="554"/>
      <c r="G1928" s="1057"/>
      <c r="H1928" s="554"/>
    </row>
    <row r="1929" spans="1:8">
      <c r="A1929" s="1056"/>
      <c r="B1929" s="554"/>
      <c r="C1929" s="554"/>
      <c r="D1929" s="554"/>
      <c r="E1929" s="554"/>
      <c r="F1929" s="554"/>
      <c r="G1929" s="1057"/>
      <c r="H1929" s="554"/>
    </row>
    <row r="1930" spans="1:8">
      <c r="A1930" s="1056"/>
      <c r="B1930" s="554"/>
      <c r="C1930" s="554"/>
      <c r="D1930" s="554"/>
      <c r="E1930" s="554"/>
      <c r="F1930" s="554"/>
      <c r="G1930" s="1057"/>
      <c r="H1930" s="554"/>
    </row>
    <row r="1931" spans="1:8">
      <c r="A1931" s="1056"/>
      <c r="B1931" s="554"/>
      <c r="C1931" s="554"/>
      <c r="D1931" s="554"/>
      <c r="E1931" s="554"/>
      <c r="F1931" s="554"/>
      <c r="G1931" s="1057"/>
      <c r="H1931" s="554"/>
    </row>
    <row r="1932" spans="1:8">
      <c r="A1932" s="1056"/>
      <c r="B1932" s="554"/>
      <c r="C1932" s="554"/>
      <c r="D1932" s="554"/>
      <c r="E1932" s="554"/>
      <c r="F1932" s="554"/>
      <c r="G1932" s="1057"/>
      <c r="H1932" s="554"/>
    </row>
    <row r="1933" spans="1:8">
      <c r="A1933" s="1056"/>
      <c r="B1933" s="554"/>
      <c r="C1933" s="554"/>
      <c r="D1933" s="554"/>
      <c r="E1933" s="554"/>
      <c r="F1933" s="554"/>
      <c r="G1933" s="1057"/>
      <c r="H1933" s="554"/>
    </row>
    <row r="1934" spans="1:8">
      <c r="A1934" s="1056"/>
      <c r="B1934" s="554"/>
      <c r="C1934" s="554"/>
      <c r="D1934" s="554"/>
      <c r="E1934" s="554"/>
      <c r="F1934" s="554"/>
      <c r="G1934" s="1057"/>
      <c r="H1934" s="554"/>
    </row>
    <row r="1935" spans="1:8">
      <c r="A1935" s="1056"/>
      <c r="B1935" s="554"/>
      <c r="C1935" s="554"/>
      <c r="D1935" s="554"/>
      <c r="E1935" s="554"/>
      <c r="F1935" s="554"/>
      <c r="G1935" s="1057"/>
      <c r="H1935" s="554"/>
    </row>
    <row r="1936" spans="1:8">
      <c r="A1936" s="1056"/>
      <c r="B1936" s="554"/>
      <c r="C1936" s="554"/>
      <c r="D1936" s="554"/>
      <c r="E1936" s="554"/>
      <c r="F1936" s="554"/>
      <c r="G1936" s="1057"/>
      <c r="H1936" s="554"/>
    </row>
    <row r="1937" spans="1:8">
      <c r="A1937" s="1056"/>
      <c r="B1937" s="554"/>
      <c r="C1937" s="554"/>
      <c r="D1937" s="554"/>
      <c r="E1937" s="554"/>
      <c r="F1937" s="554"/>
      <c r="G1937" s="1057"/>
      <c r="H1937" s="554"/>
    </row>
    <row r="1938" spans="1:8">
      <c r="A1938" s="1056"/>
      <c r="B1938" s="554"/>
      <c r="C1938" s="554"/>
      <c r="D1938" s="554"/>
      <c r="E1938" s="554"/>
      <c r="F1938" s="554"/>
      <c r="G1938" s="1057"/>
      <c r="H1938" s="554"/>
    </row>
    <row r="1939" spans="1:8">
      <c r="A1939" s="1056"/>
      <c r="B1939" s="554"/>
      <c r="C1939" s="554"/>
      <c r="D1939" s="554"/>
      <c r="E1939" s="554"/>
      <c r="F1939" s="554"/>
      <c r="G1939" s="1057"/>
      <c r="H1939" s="554"/>
    </row>
    <row r="1940" spans="1:8">
      <c r="A1940" s="1056"/>
      <c r="B1940" s="554"/>
      <c r="C1940" s="554"/>
      <c r="D1940" s="554"/>
      <c r="E1940" s="554"/>
      <c r="F1940" s="554"/>
      <c r="G1940" s="1057"/>
      <c r="H1940" s="554"/>
    </row>
    <row r="1941" spans="1:8">
      <c r="A1941" s="1056"/>
      <c r="B1941" s="554"/>
      <c r="C1941" s="554"/>
      <c r="D1941" s="554"/>
      <c r="E1941" s="554"/>
      <c r="F1941" s="554"/>
      <c r="G1941" s="1057"/>
      <c r="H1941" s="554"/>
    </row>
    <row r="1942" spans="1:8">
      <c r="A1942" s="1056"/>
      <c r="B1942" s="554"/>
      <c r="C1942" s="554"/>
      <c r="D1942" s="554"/>
      <c r="E1942" s="554"/>
      <c r="F1942" s="554"/>
      <c r="G1942" s="1057"/>
      <c r="H1942" s="554"/>
    </row>
    <row r="1943" spans="1:8">
      <c r="A1943" s="1056"/>
      <c r="B1943" s="554"/>
      <c r="C1943" s="554"/>
      <c r="D1943" s="554"/>
      <c r="E1943" s="554"/>
      <c r="F1943" s="554"/>
      <c r="G1943" s="1057"/>
      <c r="H1943" s="554"/>
    </row>
    <row r="1944" spans="1:8">
      <c r="A1944" s="1056"/>
      <c r="B1944" s="554"/>
      <c r="C1944" s="554"/>
      <c r="D1944" s="554"/>
      <c r="E1944" s="554"/>
      <c r="F1944" s="554"/>
      <c r="G1944" s="1057"/>
      <c r="H1944" s="554"/>
    </row>
    <row r="1945" spans="1:8">
      <c r="A1945" s="1056"/>
      <c r="B1945" s="554"/>
      <c r="C1945" s="554"/>
      <c r="D1945" s="554"/>
      <c r="E1945" s="554"/>
      <c r="F1945" s="554"/>
      <c r="G1945" s="1057"/>
      <c r="H1945" s="554"/>
    </row>
    <row r="1946" spans="1:8">
      <c r="A1946" s="1056"/>
      <c r="B1946" s="554"/>
      <c r="C1946" s="554"/>
      <c r="D1946" s="554"/>
      <c r="E1946" s="554"/>
      <c r="F1946" s="554"/>
      <c r="G1946" s="1057"/>
      <c r="H1946" s="554"/>
    </row>
    <row r="1947" spans="1:8">
      <c r="A1947" s="1056"/>
      <c r="B1947" s="554"/>
      <c r="C1947" s="554"/>
      <c r="D1947" s="554"/>
      <c r="E1947" s="554"/>
      <c r="F1947" s="554"/>
      <c r="G1947" s="1057"/>
      <c r="H1947" s="554"/>
    </row>
    <row r="1948" spans="1:8">
      <c r="A1948" s="1056"/>
      <c r="B1948" s="554"/>
      <c r="C1948" s="554"/>
      <c r="D1948" s="554"/>
      <c r="E1948" s="554"/>
      <c r="F1948" s="554"/>
      <c r="G1948" s="1057"/>
      <c r="H1948" s="554"/>
    </row>
    <row r="1949" spans="1:8">
      <c r="A1949" s="1056"/>
      <c r="B1949" s="554"/>
      <c r="C1949" s="554"/>
      <c r="D1949" s="554"/>
      <c r="E1949" s="554"/>
      <c r="F1949" s="554"/>
      <c r="G1949" s="1057"/>
      <c r="H1949" s="554"/>
    </row>
    <row r="1950" spans="1:8">
      <c r="A1950" s="1056"/>
      <c r="B1950" s="554"/>
      <c r="C1950" s="554"/>
      <c r="D1950" s="554"/>
      <c r="E1950" s="554"/>
      <c r="F1950" s="554"/>
      <c r="G1950" s="1057"/>
      <c r="H1950" s="554"/>
    </row>
    <row r="1951" spans="1:8">
      <c r="A1951" s="1056"/>
      <c r="B1951" s="554"/>
      <c r="C1951" s="554"/>
      <c r="D1951" s="554"/>
      <c r="E1951" s="554"/>
      <c r="F1951" s="554"/>
      <c r="G1951" s="1057"/>
      <c r="H1951" s="554"/>
    </row>
    <row r="1952" spans="1:8">
      <c r="A1952" s="1056"/>
      <c r="B1952" s="554"/>
      <c r="C1952" s="554"/>
      <c r="D1952" s="554"/>
      <c r="E1952" s="554"/>
      <c r="F1952" s="554"/>
      <c r="G1952" s="1057"/>
      <c r="H1952" s="554"/>
    </row>
    <row r="1953" spans="1:8">
      <c r="A1953" s="1056"/>
      <c r="B1953" s="554"/>
      <c r="C1953" s="554"/>
      <c r="D1953" s="554"/>
      <c r="E1953" s="554"/>
      <c r="F1953" s="554"/>
      <c r="G1953" s="1057"/>
      <c r="H1953" s="554"/>
    </row>
    <row r="1954" spans="1:8">
      <c r="A1954" s="1056"/>
      <c r="B1954" s="554"/>
      <c r="C1954" s="554"/>
      <c r="D1954" s="554"/>
      <c r="E1954" s="554"/>
      <c r="F1954" s="554"/>
      <c r="G1954" s="1057"/>
      <c r="H1954" s="554"/>
    </row>
    <row r="1955" spans="1:8">
      <c r="A1955" s="1056"/>
      <c r="B1955" s="554"/>
      <c r="C1955" s="554"/>
      <c r="D1955" s="554"/>
      <c r="E1955" s="554"/>
      <c r="F1955" s="554"/>
      <c r="G1955" s="1057"/>
      <c r="H1955" s="554"/>
    </row>
    <row r="1956" spans="1:8">
      <c r="A1956" s="1056"/>
      <c r="B1956" s="554"/>
      <c r="C1956" s="554"/>
      <c r="D1956" s="554"/>
      <c r="E1956" s="554"/>
      <c r="F1956" s="554"/>
      <c r="G1956" s="1057"/>
      <c r="H1956" s="554"/>
    </row>
    <row r="1957" spans="1:8">
      <c r="A1957" s="1056"/>
      <c r="B1957" s="554"/>
      <c r="C1957" s="554"/>
      <c r="D1957" s="554"/>
      <c r="E1957" s="554"/>
      <c r="F1957" s="554"/>
      <c r="G1957" s="1057"/>
      <c r="H1957" s="554"/>
    </row>
    <row r="1958" spans="1:8">
      <c r="A1958" s="1056"/>
      <c r="B1958" s="554"/>
      <c r="C1958" s="554"/>
      <c r="D1958" s="554"/>
      <c r="E1958" s="554"/>
      <c r="F1958" s="554"/>
      <c r="G1958" s="1057"/>
      <c r="H1958" s="554"/>
    </row>
    <row r="1959" spans="1:8">
      <c r="A1959" s="1056"/>
      <c r="B1959" s="554"/>
      <c r="C1959" s="554"/>
      <c r="D1959" s="554"/>
      <c r="E1959" s="554"/>
      <c r="F1959" s="554"/>
      <c r="G1959" s="1057"/>
      <c r="H1959" s="554"/>
    </row>
    <row r="1960" spans="1:8">
      <c r="A1960" s="1056"/>
      <c r="B1960" s="554"/>
      <c r="C1960" s="554"/>
      <c r="D1960" s="554"/>
      <c r="E1960" s="554"/>
      <c r="F1960" s="554"/>
      <c r="G1960" s="1057"/>
      <c r="H1960" s="554"/>
    </row>
    <row r="1961" spans="1:8">
      <c r="A1961" s="1056"/>
      <c r="B1961" s="554"/>
      <c r="C1961" s="554"/>
      <c r="D1961" s="554"/>
      <c r="E1961" s="554"/>
      <c r="F1961" s="554"/>
      <c r="G1961" s="1057"/>
      <c r="H1961" s="554"/>
    </row>
    <row r="1962" spans="1:8">
      <c r="A1962" s="1056"/>
      <c r="B1962" s="554"/>
      <c r="C1962" s="554"/>
      <c r="D1962" s="554"/>
      <c r="E1962" s="554"/>
      <c r="F1962" s="554"/>
      <c r="G1962" s="1057"/>
      <c r="H1962" s="554"/>
    </row>
    <row r="1963" spans="1:8">
      <c r="A1963" s="1056"/>
      <c r="B1963" s="554"/>
      <c r="C1963" s="554"/>
      <c r="D1963" s="554"/>
      <c r="E1963" s="554"/>
      <c r="F1963" s="554"/>
      <c r="G1963" s="1057"/>
      <c r="H1963" s="554"/>
    </row>
    <row r="1964" spans="1:8">
      <c r="A1964" s="1056"/>
      <c r="B1964" s="554"/>
      <c r="C1964" s="554"/>
      <c r="D1964" s="554"/>
      <c r="E1964" s="554"/>
      <c r="F1964" s="554"/>
      <c r="G1964" s="1057"/>
      <c r="H1964" s="554"/>
    </row>
    <row r="1965" spans="1:8">
      <c r="A1965" s="1056"/>
      <c r="B1965" s="554"/>
      <c r="C1965" s="554"/>
      <c r="D1965" s="554"/>
      <c r="E1965" s="554"/>
      <c r="F1965" s="554"/>
      <c r="G1965" s="1057"/>
      <c r="H1965" s="554"/>
    </row>
    <row r="1966" spans="1:8">
      <c r="A1966" s="1056"/>
      <c r="B1966" s="554"/>
      <c r="C1966" s="554"/>
      <c r="D1966" s="554"/>
      <c r="E1966" s="554"/>
      <c r="F1966" s="554"/>
      <c r="G1966" s="1057"/>
      <c r="H1966" s="554"/>
    </row>
    <row r="1967" spans="1:8">
      <c r="A1967" s="1056"/>
      <c r="B1967" s="554"/>
      <c r="C1967" s="554"/>
      <c r="D1967" s="554"/>
      <c r="E1967" s="554"/>
      <c r="F1967" s="554"/>
      <c r="G1967" s="1057"/>
      <c r="H1967" s="554"/>
    </row>
    <row r="1968" spans="1:8">
      <c r="A1968" s="1056"/>
      <c r="B1968" s="554"/>
      <c r="C1968" s="554"/>
      <c r="D1968" s="554"/>
      <c r="E1968" s="554"/>
      <c r="F1968" s="554"/>
      <c r="G1968" s="1057"/>
      <c r="H1968" s="554"/>
    </row>
    <row r="1969" spans="1:8">
      <c r="A1969" s="1056"/>
      <c r="B1969" s="554"/>
      <c r="C1969" s="554"/>
      <c r="D1969" s="554"/>
      <c r="E1969" s="554"/>
      <c r="F1969" s="554"/>
      <c r="G1969" s="1057"/>
      <c r="H1969" s="554"/>
    </row>
    <row r="1970" spans="1:8">
      <c r="A1970" s="1056"/>
      <c r="B1970" s="554"/>
      <c r="C1970" s="554"/>
      <c r="D1970" s="554"/>
      <c r="E1970" s="554"/>
      <c r="F1970" s="554"/>
      <c r="G1970" s="1057"/>
      <c r="H1970" s="554"/>
    </row>
    <row r="1971" spans="1:8">
      <c r="A1971" s="1056"/>
      <c r="B1971" s="554"/>
      <c r="C1971" s="554"/>
      <c r="D1971" s="554"/>
      <c r="E1971" s="554"/>
      <c r="F1971" s="554"/>
      <c r="G1971" s="1057"/>
      <c r="H1971" s="554"/>
    </row>
    <row r="1972" spans="1:8">
      <c r="A1972" s="1056"/>
      <c r="B1972" s="554"/>
      <c r="C1972" s="554"/>
      <c r="D1972" s="554"/>
      <c r="E1972" s="554"/>
      <c r="F1972" s="554"/>
      <c r="G1972" s="1057"/>
      <c r="H1972" s="554"/>
    </row>
    <row r="1973" spans="1:8">
      <c r="A1973" s="1056"/>
      <c r="B1973" s="554"/>
      <c r="C1973" s="554"/>
      <c r="D1973" s="554"/>
      <c r="E1973" s="554"/>
      <c r="F1973" s="554"/>
      <c r="G1973" s="1057"/>
      <c r="H1973" s="554"/>
    </row>
    <row r="1974" spans="1:8">
      <c r="A1974" s="1056"/>
      <c r="B1974" s="554"/>
      <c r="C1974" s="554"/>
      <c r="D1974" s="554"/>
      <c r="E1974" s="554"/>
      <c r="F1974" s="554"/>
      <c r="G1974" s="1057"/>
      <c r="H1974" s="554"/>
    </row>
    <row r="1975" spans="1:8">
      <c r="A1975" s="1056"/>
      <c r="B1975" s="554"/>
      <c r="C1975" s="554"/>
      <c r="D1975" s="554"/>
      <c r="E1975" s="554"/>
      <c r="F1975" s="554"/>
      <c r="G1975" s="1057"/>
      <c r="H1975" s="554"/>
    </row>
    <row r="1976" spans="1:8">
      <c r="A1976" s="1056"/>
      <c r="B1976" s="554"/>
      <c r="C1976" s="554"/>
      <c r="D1976" s="554"/>
      <c r="E1976" s="554"/>
      <c r="F1976" s="554"/>
      <c r="G1976" s="1057"/>
      <c r="H1976" s="554"/>
    </row>
    <row r="1977" spans="1:8">
      <c r="A1977" s="1056"/>
      <c r="B1977" s="554"/>
      <c r="C1977" s="554"/>
      <c r="D1977" s="554"/>
      <c r="E1977" s="554"/>
      <c r="F1977" s="554"/>
      <c r="G1977" s="1057"/>
      <c r="H1977" s="554"/>
    </row>
    <row r="1978" spans="1:8">
      <c r="A1978" s="1056"/>
      <c r="B1978" s="554"/>
      <c r="C1978" s="554"/>
      <c r="D1978" s="554"/>
      <c r="E1978" s="554"/>
      <c r="F1978" s="554"/>
      <c r="G1978" s="1057"/>
      <c r="H1978" s="554"/>
    </row>
    <row r="1979" spans="1:8">
      <c r="A1979" s="1056"/>
      <c r="B1979" s="554"/>
      <c r="C1979" s="554"/>
      <c r="D1979" s="554"/>
      <c r="E1979" s="554"/>
      <c r="F1979" s="554"/>
      <c r="G1979" s="1057"/>
      <c r="H1979" s="554"/>
    </row>
    <row r="1980" spans="1:8">
      <c r="A1980" s="1056"/>
      <c r="B1980" s="554"/>
      <c r="C1980" s="554"/>
      <c r="D1980" s="554"/>
      <c r="E1980" s="554"/>
      <c r="F1980" s="554"/>
      <c r="G1980" s="1057"/>
      <c r="H1980" s="554"/>
    </row>
    <row r="1981" spans="1:8">
      <c r="A1981" s="1056"/>
      <c r="B1981" s="554"/>
      <c r="C1981" s="554"/>
      <c r="D1981" s="554"/>
      <c r="E1981" s="554"/>
      <c r="F1981" s="554"/>
      <c r="G1981" s="1057"/>
      <c r="H1981" s="554"/>
    </row>
    <row r="1982" spans="1:8">
      <c r="A1982" s="1056"/>
      <c r="B1982" s="554"/>
      <c r="C1982" s="554"/>
      <c r="D1982" s="554"/>
      <c r="E1982" s="554"/>
      <c r="F1982" s="554"/>
      <c r="G1982" s="1057"/>
      <c r="H1982" s="554"/>
    </row>
    <row r="1983" spans="1:8">
      <c r="A1983" s="1056"/>
      <c r="B1983" s="554"/>
      <c r="C1983" s="554"/>
      <c r="D1983" s="554"/>
      <c r="E1983" s="554"/>
      <c r="F1983" s="554"/>
      <c r="G1983" s="1057"/>
      <c r="H1983" s="554"/>
    </row>
    <row r="1984" spans="1:8">
      <c r="A1984" s="1056"/>
      <c r="B1984" s="554"/>
      <c r="C1984" s="554"/>
      <c r="D1984" s="554"/>
      <c r="E1984" s="554"/>
      <c r="F1984" s="554"/>
      <c r="G1984" s="1057"/>
      <c r="H1984" s="554"/>
    </row>
    <row r="1985" spans="1:8">
      <c r="A1985" s="1056"/>
      <c r="B1985" s="554"/>
      <c r="C1985" s="554"/>
      <c r="D1985" s="554"/>
      <c r="E1985" s="554"/>
      <c r="F1985" s="554"/>
      <c r="G1985" s="1057"/>
      <c r="H1985" s="554"/>
    </row>
    <row r="1986" spans="1:8">
      <c r="A1986" s="1056"/>
      <c r="B1986" s="554"/>
      <c r="C1986" s="554"/>
      <c r="D1986" s="554"/>
      <c r="E1986" s="554"/>
      <c r="F1986" s="554"/>
      <c r="G1986" s="1057"/>
      <c r="H1986" s="554"/>
    </row>
    <row r="1987" spans="1:8">
      <c r="A1987" s="1056"/>
      <c r="B1987" s="554"/>
      <c r="C1987" s="554"/>
      <c r="D1987" s="554"/>
      <c r="E1987" s="554"/>
      <c r="F1987" s="554"/>
      <c r="G1987" s="1057"/>
      <c r="H1987" s="554"/>
    </row>
    <row r="1988" spans="1:8">
      <c r="A1988" s="1056"/>
      <c r="B1988" s="554"/>
      <c r="C1988" s="554"/>
      <c r="D1988" s="554"/>
      <c r="E1988" s="554"/>
      <c r="F1988" s="554"/>
      <c r="G1988" s="1057"/>
      <c r="H1988" s="554"/>
    </row>
    <row r="1989" spans="1:8">
      <c r="A1989" s="1056"/>
      <c r="B1989" s="554"/>
      <c r="C1989" s="554"/>
      <c r="D1989" s="554"/>
      <c r="E1989" s="554"/>
      <c r="F1989" s="554"/>
      <c r="G1989" s="1057"/>
      <c r="H1989" s="554"/>
    </row>
    <row r="1990" spans="1:8">
      <c r="A1990" s="1056"/>
      <c r="B1990" s="554"/>
      <c r="C1990" s="554"/>
      <c r="D1990" s="554"/>
      <c r="E1990" s="554"/>
      <c r="F1990" s="554"/>
      <c r="G1990" s="1057"/>
      <c r="H1990" s="554"/>
    </row>
    <row r="1991" spans="1:8">
      <c r="A1991" s="1056"/>
      <c r="B1991" s="554"/>
      <c r="C1991" s="554"/>
      <c r="D1991" s="554"/>
      <c r="E1991" s="554"/>
      <c r="F1991" s="554"/>
      <c r="G1991" s="1057"/>
      <c r="H1991" s="554"/>
    </row>
    <row r="1992" spans="1:8">
      <c r="A1992" s="1056"/>
      <c r="B1992" s="554"/>
      <c r="C1992" s="554"/>
      <c r="D1992" s="554"/>
      <c r="E1992" s="554"/>
      <c r="F1992" s="554"/>
      <c r="G1992" s="1057"/>
      <c r="H1992" s="554"/>
    </row>
    <row r="1993" spans="1:8">
      <c r="A1993" s="1056"/>
      <c r="B1993" s="554"/>
      <c r="C1993" s="554"/>
      <c r="D1993" s="554"/>
      <c r="E1993" s="554"/>
      <c r="F1993" s="554"/>
      <c r="G1993" s="1057"/>
      <c r="H1993" s="554"/>
    </row>
    <row r="1994" spans="1:8">
      <c r="A1994" s="1056"/>
      <c r="B1994" s="554"/>
      <c r="C1994" s="554"/>
      <c r="D1994" s="554"/>
      <c r="E1994" s="554"/>
      <c r="F1994" s="554"/>
      <c r="G1994" s="1057"/>
      <c r="H1994" s="554"/>
    </row>
    <row r="1995" spans="1:8">
      <c r="A1995" s="1056"/>
      <c r="B1995" s="554"/>
      <c r="C1995" s="554"/>
      <c r="D1995" s="554"/>
      <c r="E1995" s="554"/>
      <c r="F1995" s="554"/>
      <c r="G1995" s="1057"/>
      <c r="H1995" s="554"/>
    </row>
    <row r="1996" spans="1:8">
      <c r="A1996" s="1056"/>
      <c r="B1996" s="554"/>
      <c r="C1996" s="554"/>
      <c r="D1996" s="554"/>
      <c r="E1996" s="554"/>
      <c r="F1996" s="554"/>
      <c r="G1996" s="1057"/>
      <c r="H1996" s="554"/>
    </row>
    <row r="1997" spans="1:8">
      <c r="A1997" s="1056"/>
      <c r="B1997" s="554"/>
      <c r="C1997" s="554"/>
      <c r="D1997" s="554"/>
      <c r="E1997" s="554"/>
      <c r="F1997" s="554"/>
      <c r="G1997" s="1057"/>
      <c r="H1997" s="554"/>
    </row>
    <row r="1998" spans="1:8">
      <c r="A1998" s="1056"/>
      <c r="B1998" s="554"/>
      <c r="C1998" s="554"/>
      <c r="D1998" s="554"/>
      <c r="E1998" s="554"/>
      <c r="F1998" s="554"/>
      <c r="G1998" s="1057"/>
      <c r="H1998" s="554"/>
    </row>
    <row r="1999" spans="1:8">
      <c r="A1999" s="1056"/>
      <c r="B1999" s="554"/>
      <c r="C1999" s="554"/>
      <c r="D1999" s="554"/>
      <c r="E1999" s="554"/>
      <c r="F1999" s="554"/>
      <c r="G1999" s="1057"/>
      <c r="H1999" s="554"/>
    </row>
    <row r="2000" spans="1:8">
      <c r="A2000" s="1056"/>
      <c r="B2000" s="554"/>
      <c r="C2000" s="554"/>
      <c r="D2000" s="554"/>
      <c r="E2000" s="554"/>
      <c r="F2000" s="554"/>
      <c r="G2000" s="1057"/>
      <c r="H2000" s="554"/>
    </row>
    <row r="2001" spans="1:8">
      <c r="A2001" s="1056"/>
      <c r="B2001" s="554"/>
      <c r="C2001" s="554"/>
      <c r="D2001" s="554"/>
      <c r="E2001" s="554"/>
      <c r="F2001" s="554"/>
      <c r="G2001" s="1057"/>
      <c r="H2001" s="554"/>
    </row>
    <row r="2002" spans="1:8">
      <c r="A2002" s="1056"/>
      <c r="B2002" s="554"/>
      <c r="C2002" s="554"/>
      <c r="D2002" s="554"/>
      <c r="E2002" s="554"/>
      <c r="F2002" s="554"/>
      <c r="G2002" s="1057"/>
      <c r="H2002" s="554"/>
    </row>
    <row r="2003" spans="1:8">
      <c r="A2003" s="1056"/>
      <c r="B2003" s="554"/>
      <c r="C2003" s="554"/>
      <c r="D2003" s="554"/>
      <c r="E2003" s="554"/>
      <c r="F2003" s="554"/>
      <c r="G2003" s="1057"/>
      <c r="H2003" s="554"/>
    </row>
    <row r="2004" spans="1:8">
      <c r="A2004" s="1056"/>
      <c r="B2004" s="554"/>
      <c r="C2004" s="554"/>
      <c r="D2004" s="554"/>
      <c r="E2004" s="554"/>
      <c r="F2004" s="554"/>
      <c r="G2004" s="1057"/>
      <c r="H2004" s="554"/>
    </row>
    <row r="2005" spans="1:8">
      <c r="A2005" s="1056"/>
      <c r="B2005" s="554"/>
      <c r="C2005" s="554"/>
      <c r="D2005" s="554"/>
      <c r="E2005" s="554"/>
      <c r="F2005" s="554"/>
      <c r="G2005" s="1057"/>
      <c r="H2005" s="554"/>
    </row>
    <row r="2006" spans="1:8">
      <c r="A2006" s="1056"/>
      <c r="B2006" s="554"/>
      <c r="C2006" s="554"/>
      <c r="D2006" s="554"/>
      <c r="E2006" s="554"/>
      <c r="F2006" s="554"/>
      <c r="G2006" s="1057"/>
      <c r="H2006" s="554"/>
    </row>
    <row r="2007" spans="1:8">
      <c r="A2007" s="1056"/>
      <c r="B2007" s="554"/>
      <c r="C2007" s="554"/>
      <c r="D2007" s="554"/>
      <c r="E2007" s="554"/>
      <c r="F2007" s="554"/>
      <c r="G2007" s="1057"/>
      <c r="H2007" s="554"/>
    </row>
    <row r="2008" spans="1:8">
      <c r="A2008" s="1056"/>
      <c r="B2008" s="554"/>
      <c r="C2008" s="554"/>
      <c r="D2008" s="554"/>
      <c r="E2008" s="554"/>
      <c r="F2008" s="554"/>
      <c r="G2008" s="1057"/>
      <c r="H2008" s="554"/>
    </row>
    <row r="2009" spans="1:8">
      <c r="A2009" s="1056"/>
      <c r="B2009" s="554"/>
      <c r="C2009" s="554"/>
      <c r="D2009" s="554"/>
      <c r="E2009" s="554"/>
      <c r="F2009" s="554"/>
      <c r="G2009" s="1057"/>
      <c r="H2009" s="554"/>
    </row>
    <row r="2010" spans="1:8">
      <c r="A2010" s="1056"/>
      <c r="B2010" s="554"/>
      <c r="C2010" s="554"/>
      <c r="D2010" s="554"/>
      <c r="E2010" s="554"/>
      <c r="F2010" s="554"/>
      <c r="G2010" s="1057"/>
      <c r="H2010" s="554"/>
    </row>
    <row r="2011" spans="1:8">
      <c r="A2011" s="1056"/>
      <c r="B2011" s="554"/>
      <c r="C2011" s="554"/>
      <c r="D2011" s="554"/>
      <c r="E2011" s="554"/>
      <c r="F2011" s="554"/>
      <c r="G2011" s="1057"/>
      <c r="H2011" s="554"/>
    </row>
    <row r="2012" spans="1:8">
      <c r="A2012" s="1056"/>
      <c r="B2012" s="554"/>
      <c r="C2012" s="554"/>
      <c r="D2012" s="554"/>
      <c r="E2012" s="554"/>
      <c r="F2012" s="554"/>
      <c r="G2012" s="1057"/>
      <c r="H2012" s="554"/>
    </row>
    <row r="2013" spans="1:8">
      <c r="A2013" s="1056"/>
      <c r="B2013" s="554"/>
      <c r="C2013" s="554"/>
      <c r="D2013" s="554"/>
      <c r="E2013" s="554"/>
      <c r="F2013" s="554"/>
      <c r="G2013" s="1057"/>
      <c r="H2013" s="554"/>
    </row>
    <row r="2014" spans="1:8">
      <c r="A2014" s="1056"/>
      <c r="B2014" s="554"/>
      <c r="C2014" s="554"/>
      <c r="D2014" s="554"/>
      <c r="E2014" s="554"/>
      <c r="F2014" s="554"/>
      <c r="G2014" s="1057"/>
      <c r="H2014" s="554"/>
    </row>
    <row r="2015" spans="1:8">
      <c r="A2015" s="1056"/>
      <c r="B2015" s="554"/>
      <c r="C2015" s="554"/>
      <c r="D2015" s="554"/>
      <c r="E2015" s="554"/>
      <c r="F2015" s="554"/>
      <c r="G2015" s="1057"/>
      <c r="H2015" s="554"/>
    </row>
    <row r="2016" spans="1:8">
      <c r="A2016" s="1056"/>
      <c r="B2016" s="554"/>
      <c r="C2016" s="554"/>
      <c r="D2016" s="554"/>
      <c r="E2016" s="554"/>
      <c r="F2016" s="554"/>
      <c r="G2016" s="1057"/>
      <c r="H2016" s="554"/>
    </row>
    <row r="2017" spans="1:8">
      <c r="A2017" s="1056"/>
      <c r="B2017" s="554"/>
      <c r="C2017" s="554"/>
      <c r="D2017" s="554"/>
      <c r="E2017" s="554"/>
      <c r="F2017" s="554"/>
      <c r="G2017" s="1057"/>
      <c r="H2017" s="554"/>
    </row>
    <row r="2018" spans="1:8">
      <c r="A2018" s="1056"/>
      <c r="B2018" s="554"/>
      <c r="C2018" s="554"/>
      <c r="D2018" s="554"/>
      <c r="E2018" s="554"/>
      <c r="F2018" s="554"/>
      <c r="G2018" s="1057"/>
      <c r="H2018" s="554"/>
    </row>
    <row r="2019" spans="1:8">
      <c r="A2019" s="1056"/>
      <c r="B2019" s="554"/>
      <c r="C2019" s="554"/>
      <c r="D2019" s="554"/>
      <c r="E2019" s="554"/>
      <c r="F2019" s="554"/>
      <c r="G2019" s="1057"/>
      <c r="H2019" s="554"/>
    </row>
    <row r="2020" spans="1:8">
      <c r="A2020" s="1056"/>
      <c r="B2020" s="554"/>
      <c r="C2020" s="554"/>
      <c r="D2020" s="554"/>
      <c r="E2020" s="554"/>
      <c r="F2020" s="554"/>
      <c r="G2020" s="1057"/>
      <c r="H2020" s="554"/>
    </row>
    <row r="2021" spans="1:8">
      <c r="A2021" s="1056"/>
      <c r="B2021" s="554"/>
      <c r="C2021" s="554"/>
      <c r="D2021" s="554"/>
      <c r="E2021" s="554"/>
      <c r="F2021" s="554"/>
      <c r="G2021" s="1057"/>
      <c r="H2021" s="554"/>
    </row>
    <row r="2022" spans="1:8">
      <c r="A2022" s="1056"/>
      <c r="B2022" s="554"/>
      <c r="C2022" s="554"/>
      <c r="D2022" s="554"/>
      <c r="E2022" s="554"/>
      <c r="F2022" s="554"/>
      <c r="G2022" s="1057"/>
      <c r="H2022" s="554"/>
    </row>
    <row r="2023" spans="1:8">
      <c r="A2023" s="1056"/>
      <c r="B2023" s="554"/>
      <c r="C2023" s="554"/>
      <c r="D2023" s="554"/>
      <c r="E2023" s="554"/>
      <c r="F2023" s="554"/>
      <c r="G2023" s="1057"/>
      <c r="H2023" s="554"/>
    </row>
    <row r="2024" spans="1:8">
      <c r="A2024" s="1056"/>
      <c r="B2024" s="554"/>
      <c r="C2024" s="554"/>
      <c r="D2024" s="554"/>
      <c r="E2024" s="554"/>
      <c r="F2024" s="554"/>
      <c r="G2024" s="1057"/>
      <c r="H2024" s="554"/>
    </row>
    <row r="2025" spans="1:8">
      <c r="A2025" s="1056"/>
      <c r="B2025" s="554"/>
      <c r="C2025" s="554"/>
      <c r="D2025" s="554"/>
      <c r="E2025" s="554"/>
      <c r="F2025" s="554"/>
      <c r="G2025" s="1057"/>
      <c r="H2025" s="554"/>
    </row>
    <row r="2026" spans="1:8">
      <c r="A2026" s="1056"/>
      <c r="B2026" s="554"/>
      <c r="C2026" s="554"/>
      <c r="D2026" s="554"/>
      <c r="E2026" s="554"/>
      <c r="F2026" s="554"/>
      <c r="G2026" s="1057"/>
      <c r="H2026" s="554"/>
    </row>
    <row r="2027" spans="1:8">
      <c r="A2027" s="1056"/>
      <c r="B2027" s="554"/>
      <c r="C2027" s="554"/>
      <c r="D2027" s="554"/>
      <c r="E2027" s="554"/>
      <c r="F2027" s="554"/>
      <c r="G2027" s="1057"/>
      <c r="H2027" s="554"/>
    </row>
    <row r="2028" spans="1:8">
      <c r="A2028" s="1056"/>
      <c r="B2028" s="554"/>
      <c r="C2028" s="554"/>
      <c r="D2028" s="554"/>
      <c r="E2028" s="554"/>
      <c r="F2028" s="554"/>
      <c r="G2028" s="1057"/>
      <c r="H2028" s="554"/>
    </row>
    <row r="2029" spans="1:8">
      <c r="A2029" s="1056"/>
      <c r="B2029" s="554"/>
      <c r="C2029" s="554"/>
      <c r="D2029" s="554"/>
      <c r="E2029" s="554"/>
      <c r="F2029" s="554"/>
      <c r="G2029" s="1057"/>
      <c r="H2029" s="554"/>
    </row>
    <row r="2030" spans="1:8">
      <c r="A2030" s="1056"/>
      <c r="B2030" s="554"/>
      <c r="C2030" s="554"/>
      <c r="D2030" s="554"/>
      <c r="E2030" s="554"/>
      <c r="F2030" s="554"/>
      <c r="G2030" s="1057"/>
      <c r="H2030" s="554"/>
    </row>
    <row r="2031" spans="1:8">
      <c r="A2031" s="1056"/>
      <c r="B2031" s="554"/>
      <c r="C2031" s="554"/>
      <c r="D2031" s="554"/>
      <c r="E2031" s="554"/>
      <c r="F2031" s="554"/>
      <c r="G2031" s="1057"/>
      <c r="H2031" s="554"/>
    </row>
    <row r="2032" spans="1:8">
      <c r="A2032" s="1056"/>
      <c r="B2032" s="554"/>
      <c r="C2032" s="554"/>
      <c r="D2032" s="554"/>
      <c r="E2032" s="554"/>
      <c r="F2032" s="554"/>
      <c r="G2032" s="1057"/>
      <c r="H2032" s="554"/>
    </row>
    <row r="2033" spans="1:8">
      <c r="A2033" s="1056"/>
      <c r="B2033" s="554"/>
      <c r="C2033" s="554"/>
      <c r="D2033" s="554"/>
      <c r="E2033" s="554"/>
      <c r="F2033" s="554"/>
      <c r="G2033" s="1057"/>
      <c r="H2033" s="554"/>
    </row>
    <row r="2034" spans="1:8">
      <c r="A2034" s="1056"/>
      <c r="B2034" s="554"/>
      <c r="C2034" s="554"/>
      <c r="D2034" s="554"/>
      <c r="E2034" s="554"/>
      <c r="F2034" s="554"/>
      <c r="G2034" s="1057"/>
      <c r="H2034" s="554"/>
    </row>
    <row r="2035" spans="1:8">
      <c r="A2035" s="1056"/>
      <c r="B2035" s="554"/>
      <c r="C2035" s="554"/>
      <c r="D2035" s="554"/>
      <c r="E2035" s="554"/>
      <c r="F2035" s="554"/>
      <c r="G2035" s="1057"/>
      <c r="H2035" s="554"/>
    </row>
    <row r="2036" spans="1:8">
      <c r="A2036" s="1056"/>
      <c r="B2036" s="554"/>
      <c r="C2036" s="554"/>
      <c r="D2036" s="554"/>
      <c r="E2036" s="554"/>
      <c r="F2036" s="554"/>
      <c r="G2036" s="1057"/>
      <c r="H2036" s="554"/>
    </row>
    <row r="2037" spans="1:8">
      <c r="A2037" s="1056"/>
      <c r="B2037" s="554"/>
      <c r="C2037" s="554"/>
      <c r="D2037" s="554"/>
      <c r="E2037" s="554"/>
      <c r="F2037" s="554"/>
      <c r="G2037" s="1057"/>
      <c r="H2037" s="554"/>
    </row>
    <row r="2038" spans="1:8">
      <c r="A2038" s="1056"/>
      <c r="B2038" s="554"/>
      <c r="C2038" s="554"/>
      <c r="D2038" s="554"/>
      <c r="E2038" s="554"/>
      <c r="F2038" s="554"/>
      <c r="G2038" s="1057"/>
      <c r="H2038" s="554"/>
    </row>
    <row r="2039" spans="1:8">
      <c r="A2039" s="1056"/>
      <c r="B2039" s="554"/>
      <c r="C2039" s="554"/>
      <c r="D2039" s="554"/>
      <c r="E2039" s="554"/>
      <c r="F2039" s="554"/>
      <c r="G2039" s="1057"/>
      <c r="H2039" s="554"/>
    </row>
    <row r="2040" spans="1:8">
      <c r="A2040" s="1056"/>
      <c r="B2040" s="554"/>
      <c r="C2040" s="554"/>
      <c r="D2040" s="554"/>
      <c r="E2040" s="554"/>
      <c r="F2040" s="554"/>
      <c r="G2040" s="1057"/>
      <c r="H2040" s="554"/>
    </row>
    <row r="2041" spans="1:8">
      <c r="A2041" s="1056"/>
      <c r="B2041" s="554"/>
      <c r="C2041" s="554"/>
      <c r="D2041" s="554"/>
      <c r="E2041" s="554"/>
      <c r="F2041" s="554"/>
      <c r="G2041" s="1057"/>
      <c r="H2041" s="554"/>
    </row>
    <row r="2042" spans="1:8">
      <c r="A2042" s="1056"/>
      <c r="B2042" s="554"/>
      <c r="C2042" s="554"/>
      <c r="D2042" s="554"/>
      <c r="E2042" s="554"/>
      <c r="F2042" s="554"/>
      <c r="G2042" s="1057"/>
      <c r="H2042" s="554"/>
    </row>
    <row r="2043" spans="1:8">
      <c r="A2043" s="1056"/>
      <c r="B2043" s="554"/>
      <c r="C2043" s="554"/>
      <c r="D2043" s="554"/>
      <c r="E2043" s="554"/>
      <c r="F2043" s="554"/>
      <c r="G2043" s="1057"/>
      <c r="H2043" s="554"/>
    </row>
    <row r="2044" spans="1:8">
      <c r="A2044" s="1056"/>
      <c r="B2044" s="554"/>
      <c r="C2044" s="554"/>
      <c r="D2044" s="554"/>
      <c r="E2044" s="554"/>
      <c r="F2044" s="554"/>
      <c r="G2044" s="1057"/>
      <c r="H2044" s="554"/>
    </row>
    <row r="2045" spans="1:8">
      <c r="A2045" s="1056"/>
      <c r="B2045" s="554"/>
      <c r="C2045" s="554"/>
      <c r="D2045" s="554"/>
      <c r="E2045" s="554"/>
      <c r="F2045" s="554"/>
      <c r="G2045" s="1057"/>
      <c r="H2045" s="554"/>
    </row>
    <row r="2046" spans="1:8">
      <c r="A2046" s="1056"/>
      <c r="B2046" s="554"/>
      <c r="C2046" s="554"/>
      <c r="D2046" s="554"/>
      <c r="E2046" s="554"/>
      <c r="F2046" s="554"/>
      <c r="G2046" s="1057"/>
      <c r="H2046" s="554"/>
    </row>
    <row r="2047" spans="1:8">
      <c r="A2047" s="1056"/>
      <c r="B2047" s="554"/>
      <c r="C2047" s="554"/>
      <c r="D2047" s="554"/>
      <c r="E2047" s="554"/>
      <c r="F2047" s="554"/>
      <c r="G2047" s="1057"/>
      <c r="H2047" s="554"/>
    </row>
    <row r="2048" spans="1:8">
      <c r="A2048" s="1056"/>
      <c r="B2048" s="554"/>
      <c r="C2048" s="554"/>
      <c r="D2048" s="554"/>
      <c r="E2048" s="554"/>
      <c r="F2048" s="554"/>
      <c r="G2048" s="1057"/>
      <c r="H2048" s="554"/>
    </row>
    <row r="2049" spans="1:8">
      <c r="A2049" s="1056"/>
      <c r="B2049" s="554"/>
      <c r="C2049" s="554"/>
      <c r="D2049" s="554"/>
      <c r="E2049" s="554"/>
      <c r="F2049" s="554"/>
      <c r="G2049" s="1057"/>
      <c r="H2049" s="554"/>
    </row>
    <row r="2050" spans="1:8">
      <c r="A2050" s="1056"/>
      <c r="B2050" s="554"/>
      <c r="C2050" s="554"/>
      <c r="D2050" s="554"/>
      <c r="E2050" s="554"/>
      <c r="F2050" s="554"/>
      <c r="G2050" s="1057"/>
      <c r="H2050" s="554"/>
    </row>
    <row r="2051" spans="1:8">
      <c r="A2051" s="1056"/>
      <c r="B2051" s="554"/>
      <c r="C2051" s="554"/>
      <c r="D2051" s="554"/>
      <c r="E2051" s="554"/>
      <c r="F2051" s="554"/>
      <c r="G2051" s="1057"/>
      <c r="H2051" s="554"/>
    </row>
    <row r="2052" spans="1:8">
      <c r="A2052" s="1056"/>
      <c r="B2052" s="554"/>
      <c r="C2052" s="554"/>
      <c r="D2052" s="554"/>
      <c r="E2052" s="554"/>
      <c r="F2052" s="554"/>
      <c r="G2052" s="1057"/>
      <c r="H2052" s="554"/>
    </row>
    <row r="2053" spans="1:8">
      <c r="A2053" s="1056"/>
      <c r="B2053" s="554"/>
      <c r="C2053" s="554"/>
      <c r="D2053" s="554"/>
      <c r="E2053" s="554"/>
      <c r="F2053" s="554"/>
      <c r="G2053" s="1057"/>
      <c r="H2053" s="554"/>
    </row>
    <row r="2054" spans="1:8">
      <c r="A2054" s="1056"/>
      <c r="B2054" s="554"/>
      <c r="C2054" s="554"/>
      <c r="D2054" s="554"/>
      <c r="E2054" s="554"/>
      <c r="F2054" s="554"/>
      <c r="G2054" s="1057"/>
      <c r="H2054" s="554"/>
    </row>
    <row r="2055" spans="1:8">
      <c r="A2055" s="1056"/>
      <c r="B2055" s="554"/>
      <c r="C2055" s="554"/>
      <c r="D2055" s="554"/>
      <c r="E2055" s="554"/>
      <c r="F2055" s="554"/>
      <c r="G2055" s="1057"/>
      <c r="H2055" s="554"/>
    </row>
    <row r="2056" spans="1:8">
      <c r="A2056" s="1056"/>
      <c r="B2056" s="554"/>
      <c r="C2056" s="554"/>
      <c r="D2056" s="554"/>
      <c r="E2056" s="554"/>
      <c r="F2056" s="554"/>
      <c r="G2056" s="1057"/>
      <c r="H2056" s="554"/>
    </row>
    <row r="2057" spans="1:8">
      <c r="A2057" s="1056"/>
      <c r="B2057" s="554"/>
      <c r="C2057" s="554"/>
      <c r="D2057" s="554"/>
      <c r="E2057" s="554"/>
      <c r="F2057" s="554"/>
      <c r="G2057" s="1057"/>
      <c r="H2057" s="554"/>
    </row>
    <row r="2058" spans="1:8">
      <c r="A2058" s="1056"/>
      <c r="B2058" s="554"/>
      <c r="C2058" s="554"/>
      <c r="D2058" s="554"/>
      <c r="E2058" s="554"/>
      <c r="F2058" s="554"/>
      <c r="G2058" s="1057"/>
      <c r="H2058" s="554"/>
    </row>
    <row r="2059" spans="1:8">
      <c r="A2059" s="1056"/>
      <c r="B2059" s="554"/>
      <c r="C2059" s="554"/>
      <c r="D2059" s="554"/>
      <c r="E2059" s="554"/>
      <c r="F2059" s="554"/>
      <c r="G2059" s="1057"/>
      <c r="H2059" s="554"/>
    </row>
    <row r="2060" spans="1:8">
      <c r="A2060" s="1056"/>
      <c r="B2060" s="554"/>
      <c r="C2060" s="554"/>
      <c r="D2060" s="554"/>
      <c r="E2060" s="554"/>
      <c r="F2060" s="554"/>
      <c r="G2060" s="1057"/>
      <c r="H2060" s="554"/>
    </row>
    <row r="2061" spans="1:8">
      <c r="A2061" s="1056"/>
      <c r="B2061" s="554"/>
      <c r="C2061" s="554"/>
      <c r="D2061" s="554"/>
      <c r="E2061" s="554"/>
      <c r="F2061" s="554"/>
      <c r="G2061" s="1057"/>
      <c r="H2061" s="554"/>
    </row>
    <row r="2062" spans="1:8">
      <c r="A2062" s="1056"/>
      <c r="B2062" s="554"/>
      <c r="C2062" s="554"/>
      <c r="D2062" s="554"/>
      <c r="E2062" s="554"/>
      <c r="F2062" s="554"/>
      <c r="G2062" s="1057"/>
      <c r="H2062" s="554"/>
    </row>
    <row r="2063" spans="1:8">
      <c r="A2063" s="1056"/>
      <c r="B2063" s="554"/>
      <c r="C2063" s="554"/>
      <c r="D2063" s="554"/>
      <c r="E2063" s="554"/>
      <c r="F2063" s="554"/>
      <c r="G2063" s="1057"/>
      <c r="H2063" s="554"/>
    </row>
    <row r="2064" spans="1:8">
      <c r="A2064" s="1056"/>
      <c r="B2064" s="554"/>
      <c r="C2064" s="554"/>
      <c r="D2064" s="554"/>
      <c r="E2064" s="554"/>
      <c r="F2064" s="554"/>
      <c r="G2064" s="1057"/>
      <c r="H2064" s="554"/>
    </row>
    <row r="2065" spans="1:8">
      <c r="A2065" s="1056"/>
      <c r="B2065" s="554"/>
      <c r="C2065" s="554"/>
      <c r="D2065" s="554"/>
      <c r="E2065" s="554"/>
      <c r="F2065" s="554"/>
      <c r="G2065" s="1057"/>
      <c r="H2065" s="554"/>
    </row>
    <row r="2066" spans="1:8">
      <c r="A2066" s="1056"/>
      <c r="B2066" s="554"/>
      <c r="C2066" s="554"/>
      <c r="D2066" s="554"/>
      <c r="E2066" s="554"/>
      <c r="F2066" s="554"/>
      <c r="G2066" s="1057"/>
      <c r="H2066" s="554"/>
    </row>
    <row r="2067" spans="1:8">
      <c r="A2067" s="1056"/>
      <c r="B2067" s="554"/>
      <c r="C2067" s="554"/>
      <c r="D2067" s="554"/>
      <c r="E2067" s="554"/>
      <c r="F2067" s="554"/>
      <c r="G2067" s="1057"/>
      <c r="H2067" s="554"/>
    </row>
    <row r="2068" spans="1:8">
      <c r="A2068" s="1056"/>
      <c r="B2068" s="554"/>
      <c r="C2068" s="554"/>
      <c r="D2068" s="554"/>
      <c r="E2068" s="554"/>
      <c r="F2068" s="554"/>
      <c r="G2068" s="1057"/>
      <c r="H2068" s="554"/>
    </row>
    <row r="2069" spans="1:8">
      <c r="A2069" s="1056"/>
      <c r="B2069" s="554"/>
      <c r="C2069" s="554"/>
      <c r="D2069" s="554"/>
      <c r="E2069" s="554"/>
      <c r="F2069" s="554"/>
      <c r="G2069" s="1057"/>
      <c r="H2069" s="554"/>
    </row>
    <row r="2070" spans="1:8">
      <c r="A2070" s="1056"/>
      <c r="B2070" s="554"/>
      <c r="C2070" s="554"/>
      <c r="D2070" s="554"/>
      <c r="E2070" s="554"/>
      <c r="F2070" s="554"/>
      <c r="G2070" s="1057"/>
      <c r="H2070" s="554"/>
    </row>
    <row r="2071" spans="1:8">
      <c r="A2071" s="1056"/>
      <c r="B2071" s="554"/>
      <c r="C2071" s="554"/>
      <c r="D2071" s="554"/>
      <c r="E2071" s="554"/>
      <c r="F2071" s="554"/>
      <c r="G2071" s="1057"/>
      <c r="H2071" s="554"/>
    </row>
    <row r="2072" spans="1:8">
      <c r="A2072" s="1056"/>
      <c r="B2072" s="554"/>
      <c r="C2072" s="554"/>
      <c r="D2072" s="554"/>
      <c r="E2072" s="554"/>
      <c r="F2072" s="554"/>
      <c r="G2072" s="1057"/>
      <c r="H2072" s="554"/>
    </row>
    <row r="2073" spans="1:8">
      <c r="A2073" s="1056"/>
      <c r="B2073" s="554"/>
      <c r="C2073" s="554"/>
      <c r="D2073" s="554"/>
      <c r="E2073" s="554"/>
      <c r="F2073" s="554"/>
      <c r="G2073" s="1057"/>
      <c r="H2073" s="554"/>
    </row>
    <row r="2074" spans="1:8">
      <c r="A2074" s="1056"/>
      <c r="B2074" s="554"/>
      <c r="C2074" s="554"/>
      <c r="D2074" s="554"/>
      <c r="E2074" s="554"/>
      <c r="F2074" s="554"/>
      <c r="G2074" s="1057"/>
      <c r="H2074" s="554"/>
    </row>
    <row r="2075" spans="1:8">
      <c r="A2075" s="1056"/>
      <c r="B2075" s="554"/>
      <c r="C2075" s="554"/>
      <c r="D2075" s="554"/>
      <c r="E2075" s="554"/>
      <c r="F2075" s="554"/>
      <c r="G2075" s="1057"/>
      <c r="H2075" s="554"/>
    </row>
    <row r="2076" spans="1:8">
      <c r="A2076" s="1056"/>
      <c r="B2076" s="554"/>
      <c r="C2076" s="554"/>
      <c r="D2076" s="554"/>
      <c r="E2076" s="554"/>
      <c r="F2076" s="554"/>
      <c r="G2076" s="1057"/>
      <c r="H2076" s="554"/>
    </row>
    <row r="2077" spans="1:8">
      <c r="A2077" s="1056"/>
      <c r="B2077" s="554"/>
      <c r="C2077" s="554"/>
      <c r="D2077" s="554"/>
      <c r="E2077" s="554"/>
      <c r="F2077" s="554"/>
      <c r="G2077" s="1057"/>
      <c r="H2077" s="554"/>
    </row>
    <row r="2078" spans="1:8">
      <c r="A2078" s="1056"/>
      <c r="B2078" s="554"/>
      <c r="C2078" s="554"/>
      <c r="D2078" s="554"/>
      <c r="E2078" s="554"/>
      <c r="F2078" s="554"/>
      <c r="G2078" s="1057"/>
      <c r="H2078" s="554"/>
    </row>
    <row r="2079" spans="1:8">
      <c r="A2079" s="1056"/>
      <c r="B2079" s="554"/>
      <c r="C2079" s="554"/>
      <c r="D2079" s="554"/>
      <c r="E2079" s="554"/>
      <c r="F2079" s="554"/>
      <c r="G2079" s="1057"/>
      <c r="H2079" s="554"/>
    </row>
    <row r="2080" spans="1:8">
      <c r="A2080" s="1056"/>
      <c r="B2080" s="554"/>
      <c r="C2080" s="554"/>
      <c r="D2080" s="554"/>
      <c r="E2080" s="554"/>
      <c r="F2080" s="554"/>
      <c r="G2080" s="1057"/>
      <c r="H2080" s="554"/>
    </row>
    <row r="2081" spans="1:8">
      <c r="A2081" s="1056"/>
      <c r="B2081" s="554"/>
      <c r="C2081" s="554"/>
      <c r="D2081" s="554"/>
      <c r="E2081" s="554"/>
      <c r="F2081" s="554"/>
      <c r="G2081" s="1057"/>
      <c r="H2081" s="554"/>
    </row>
    <row r="2082" spans="1:8">
      <c r="A2082" s="1056"/>
      <c r="B2082" s="554"/>
      <c r="C2082" s="554"/>
      <c r="D2082" s="554"/>
      <c r="E2082" s="554"/>
      <c r="F2082" s="554"/>
      <c r="G2082" s="1057"/>
      <c r="H2082" s="554"/>
    </row>
    <row r="2083" spans="1:8">
      <c r="A2083" s="1056"/>
      <c r="B2083" s="554"/>
      <c r="C2083" s="554"/>
      <c r="D2083" s="554"/>
      <c r="E2083" s="554"/>
      <c r="F2083" s="554"/>
      <c r="G2083" s="1057"/>
      <c r="H2083" s="554"/>
    </row>
    <row r="2084" spans="1:8">
      <c r="A2084" s="1056"/>
      <c r="B2084" s="554"/>
      <c r="C2084" s="554"/>
      <c r="D2084" s="554"/>
      <c r="E2084" s="554"/>
      <c r="F2084" s="554"/>
      <c r="G2084" s="1057"/>
      <c r="H2084" s="554"/>
    </row>
    <row r="2085" spans="1:8">
      <c r="A2085" s="1056"/>
      <c r="B2085" s="554"/>
      <c r="C2085" s="554"/>
      <c r="D2085" s="554"/>
      <c r="E2085" s="554"/>
      <c r="F2085" s="554"/>
      <c r="G2085" s="1057"/>
      <c r="H2085" s="554"/>
    </row>
    <row r="2086" spans="1:8">
      <c r="A2086" s="1056"/>
      <c r="B2086" s="554"/>
      <c r="C2086" s="554"/>
      <c r="D2086" s="554"/>
      <c r="E2086" s="554"/>
      <c r="F2086" s="554"/>
      <c r="G2086" s="1057"/>
      <c r="H2086" s="554"/>
    </row>
    <row r="2087" spans="1:8">
      <c r="A2087" s="1056"/>
      <c r="B2087" s="554"/>
      <c r="C2087" s="554"/>
      <c r="D2087" s="554"/>
      <c r="E2087" s="554"/>
      <c r="F2087" s="554"/>
      <c r="G2087" s="1057"/>
      <c r="H2087" s="554"/>
    </row>
    <row r="2088" spans="1:8">
      <c r="A2088" s="1056"/>
      <c r="B2088" s="554"/>
      <c r="C2088" s="554"/>
      <c r="D2088" s="554"/>
      <c r="E2088" s="554"/>
      <c r="F2088" s="554"/>
      <c r="G2088" s="1057"/>
      <c r="H2088" s="554"/>
    </row>
    <row r="2089" spans="1:8">
      <c r="A2089" s="1056"/>
      <c r="B2089" s="554"/>
      <c r="C2089" s="554"/>
      <c r="D2089" s="554"/>
      <c r="E2089" s="554"/>
      <c r="F2089" s="554"/>
      <c r="G2089" s="1057"/>
      <c r="H2089" s="554"/>
    </row>
    <row r="2090" spans="1:8">
      <c r="A2090" s="1056"/>
      <c r="B2090" s="554"/>
      <c r="C2090" s="554"/>
      <c r="D2090" s="554"/>
      <c r="E2090" s="554"/>
      <c r="F2090" s="554"/>
      <c r="G2090" s="1057"/>
      <c r="H2090" s="554"/>
    </row>
    <row r="2091" spans="1:8">
      <c r="A2091" s="1056"/>
      <c r="B2091" s="554"/>
      <c r="C2091" s="554"/>
      <c r="D2091" s="554"/>
      <c r="E2091" s="554"/>
      <c r="F2091" s="554"/>
      <c r="G2091" s="1057"/>
      <c r="H2091" s="554"/>
    </row>
    <row r="2092" spans="1:8">
      <c r="A2092" s="1056"/>
      <c r="B2092" s="554"/>
      <c r="C2092" s="554"/>
      <c r="D2092" s="554"/>
      <c r="E2092" s="554"/>
      <c r="F2092" s="554"/>
      <c r="G2092" s="1057"/>
      <c r="H2092" s="554"/>
    </row>
    <row r="2093" spans="1:8">
      <c r="A2093" s="1056"/>
      <c r="B2093" s="554"/>
      <c r="C2093" s="554"/>
      <c r="D2093" s="554"/>
      <c r="E2093" s="554"/>
      <c r="F2093" s="554"/>
      <c r="G2093" s="1057"/>
      <c r="H2093" s="554"/>
    </row>
    <row r="2094" spans="1:8">
      <c r="A2094" s="1056"/>
      <c r="B2094" s="554"/>
      <c r="C2094" s="554"/>
      <c r="D2094" s="554"/>
      <c r="E2094" s="554"/>
      <c r="F2094" s="554"/>
      <c r="G2094" s="1057"/>
      <c r="H2094" s="554"/>
    </row>
    <row r="2095" spans="1:8">
      <c r="A2095" s="1056"/>
      <c r="B2095" s="554"/>
      <c r="C2095" s="554"/>
      <c r="D2095" s="554"/>
      <c r="E2095" s="554"/>
      <c r="F2095" s="554"/>
      <c r="G2095" s="1057"/>
      <c r="H2095" s="554"/>
    </row>
    <row r="2096" spans="1:8">
      <c r="A2096" s="1056"/>
      <c r="B2096" s="554"/>
      <c r="C2096" s="554"/>
      <c r="D2096" s="554"/>
      <c r="E2096" s="554"/>
      <c r="F2096" s="554"/>
      <c r="G2096" s="1057"/>
      <c r="H2096" s="554"/>
    </row>
    <row r="2097" spans="1:8">
      <c r="A2097" s="1056"/>
      <c r="B2097" s="554"/>
      <c r="C2097" s="554"/>
      <c r="D2097" s="554"/>
      <c r="E2097" s="554"/>
      <c r="F2097" s="554"/>
      <c r="G2097" s="1057"/>
      <c r="H2097" s="554"/>
    </row>
    <row r="2098" spans="1:8">
      <c r="A2098" s="1056"/>
      <c r="B2098" s="554"/>
      <c r="C2098" s="554"/>
      <c r="D2098" s="554"/>
      <c r="E2098" s="554"/>
      <c r="F2098" s="554"/>
      <c r="G2098" s="1057"/>
      <c r="H2098" s="554"/>
    </row>
    <row r="2099" spans="1:8">
      <c r="A2099" s="1056"/>
      <c r="B2099" s="554"/>
      <c r="C2099" s="554"/>
      <c r="D2099" s="554"/>
      <c r="E2099" s="554"/>
      <c r="F2099" s="554"/>
      <c r="G2099" s="1057"/>
      <c r="H2099" s="554"/>
    </row>
    <row r="2100" spans="1:8">
      <c r="A2100" s="1056"/>
      <c r="B2100" s="554"/>
      <c r="C2100" s="554"/>
      <c r="D2100" s="554"/>
      <c r="E2100" s="554"/>
      <c r="F2100" s="554"/>
      <c r="G2100" s="1057"/>
      <c r="H2100" s="554"/>
    </row>
    <row r="2101" spans="1:8">
      <c r="A2101" s="1056"/>
      <c r="B2101" s="554"/>
      <c r="C2101" s="554"/>
      <c r="D2101" s="554"/>
      <c r="E2101" s="554"/>
      <c r="F2101" s="554"/>
      <c r="G2101" s="1057"/>
      <c r="H2101" s="554"/>
    </row>
    <row r="2102" spans="1:8">
      <c r="A2102" s="1056"/>
      <c r="B2102" s="554"/>
      <c r="C2102" s="554"/>
      <c r="D2102" s="554"/>
      <c r="E2102" s="554"/>
      <c r="F2102" s="554"/>
      <c r="G2102" s="1057"/>
      <c r="H2102" s="554"/>
    </row>
    <row r="2103" spans="1:8">
      <c r="A2103" s="1056"/>
      <c r="B2103" s="554"/>
      <c r="C2103" s="554"/>
      <c r="D2103" s="554"/>
      <c r="E2103" s="554"/>
      <c r="F2103" s="554"/>
      <c r="G2103" s="1057"/>
      <c r="H2103" s="554"/>
    </row>
    <row r="2104" spans="1:8">
      <c r="A2104" s="1056"/>
      <c r="B2104" s="554"/>
      <c r="C2104" s="554"/>
      <c r="D2104" s="554"/>
      <c r="E2104" s="554"/>
      <c r="F2104" s="554"/>
      <c r="G2104" s="1057"/>
      <c r="H2104" s="554"/>
    </row>
    <row r="2105" spans="1:8">
      <c r="A2105" s="1056"/>
      <c r="B2105" s="554"/>
      <c r="C2105" s="554"/>
      <c r="D2105" s="554"/>
      <c r="E2105" s="554"/>
      <c r="F2105" s="554"/>
      <c r="G2105" s="1057"/>
      <c r="H2105" s="554"/>
    </row>
    <row r="2106" spans="1:8">
      <c r="A2106" s="1056"/>
      <c r="B2106" s="554"/>
      <c r="C2106" s="554"/>
      <c r="D2106" s="554"/>
      <c r="E2106" s="554"/>
      <c r="F2106" s="554"/>
      <c r="G2106" s="1057"/>
      <c r="H2106" s="554"/>
    </row>
    <row r="2107" spans="1:8">
      <c r="A2107" s="1056"/>
      <c r="B2107" s="554"/>
      <c r="C2107" s="554"/>
      <c r="D2107" s="554"/>
      <c r="E2107" s="554"/>
      <c r="F2107" s="554"/>
      <c r="G2107" s="1057"/>
      <c r="H2107" s="554"/>
    </row>
    <row r="2108" spans="1:8">
      <c r="A2108" s="1056"/>
      <c r="B2108" s="554"/>
      <c r="C2108" s="554"/>
      <c r="D2108" s="554"/>
      <c r="E2108" s="554"/>
      <c r="F2108" s="554"/>
      <c r="G2108" s="1057"/>
      <c r="H2108" s="554"/>
    </row>
    <row r="2109" spans="1:8">
      <c r="A2109" s="1056"/>
      <c r="B2109" s="554"/>
      <c r="C2109" s="554"/>
      <c r="D2109" s="554"/>
      <c r="E2109" s="554"/>
      <c r="F2109" s="554"/>
      <c r="G2109" s="1057"/>
      <c r="H2109" s="554"/>
    </row>
    <row r="2110" spans="1:8">
      <c r="A2110" s="1056"/>
      <c r="B2110" s="554"/>
      <c r="C2110" s="554"/>
      <c r="D2110" s="554"/>
      <c r="E2110" s="554"/>
      <c r="F2110" s="554"/>
      <c r="G2110" s="1057"/>
      <c r="H2110" s="554"/>
    </row>
    <row r="2111" spans="1:8">
      <c r="A2111" s="1056"/>
      <c r="B2111" s="554"/>
      <c r="C2111" s="554"/>
      <c r="D2111" s="554"/>
      <c r="E2111" s="554"/>
      <c r="F2111" s="554"/>
      <c r="G2111" s="1057"/>
      <c r="H2111" s="554"/>
    </row>
    <row r="2112" spans="1:8">
      <c r="A2112" s="1056"/>
      <c r="B2112" s="554"/>
      <c r="C2112" s="554"/>
      <c r="D2112" s="554"/>
      <c r="E2112" s="554"/>
      <c r="F2112" s="554"/>
      <c r="G2112" s="1057"/>
      <c r="H2112" s="554"/>
    </row>
    <row r="2113" spans="1:8">
      <c r="A2113" s="1056"/>
      <c r="B2113" s="554"/>
      <c r="C2113" s="554"/>
      <c r="D2113" s="554"/>
      <c r="E2113" s="554"/>
      <c r="F2113" s="554"/>
      <c r="G2113" s="1057"/>
      <c r="H2113" s="554"/>
    </row>
    <row r="2114" spans="1:8">
      <c r="A2114" s="1056"/>
      <c r="B2114" s="554"/>
      <c r="C2114" s="554"/>
      <c r="D2114" s="554"/>
      <c r="E2114" s="554"/>
      <c r="F2114" s="554"/>
      <c r="G2114" s="1057"/>
      <c r="H2114" s="554"/>
    </row>
    <row r="2115" spans="1:8">
      <c r="A2115" s="1056"/>
      <c r="B2115" s="554"/>
      <c r="C2115" s="554"/>
      <c r="D2115" s="554"/>
      <c r="E2115" s="554"/>
      <c r="F2115" s="554"/>
      <c r="G2115" s="1057"/>
      <c r="H2115" s="554"/>
    </row>
    <row r="2116" spans="1:8">
      <c r="A2116" s="1056"/>
      <c r="B2116" s="554"/>
      <c r="C2116" s="554"/>
      <c r="D2116" s="554"/>
      <c r="E2116" s="554"/>
      <c r="F2116" s="554"/>
      <c r="G2116" s="1057"/>
      <c r="H2116" s="554"/>
    </row>
    <row r="2117" spans="1:8">
      <c r="A2117" s="1056"/>
      <c r="B2117" s="554"/>
      <c r="C2117" s="554"/>
      <c r="D2117" s="554"/>
      <c r="E2117" s="554"/>
      <c r="F2117" s="554"/>
      <c r="G2117" s="1057"/>
      <c r="H2117" s="554"/>
    </row>
    <row r="2118" spans="1:8">
      <c r="A2118" s="1056"/>
      <c r="B2118" s="554"/>
      <c r="C2118" s="554"/>
      <c r="D2118" s="554"/>
      <c r="E2118" s="554"/>
      <c r="F2118" s="554"/>
      <c r="G2118" s="1057"/>
      <c r="H2118" s="554"/>
    </row>
    <row r="2119" spans="1:8">
      <c r="A2119" s="1056"/>
      <c r="B2119" s="554"/>
      <c r="C2119" s="554"/>
      <c r="D2119" s="554"/>
      <c r="E2119" s="554"/>
      <c r="F2119" s="554"/>
      <c r="G2119" s="1057"/>
      <c r="H2119" s="554"/>
    </row>
    <row r="2120" spans="1:8">
      <c r="A2120" s="1056"/>
      <c r="B2120" s="554"/>
      <c r="C2120" s="554"/>
      <c r="D2120" s="554"/>
      <c r="E2120" s="554"/>
      <c r="F2120" s="554"/>
      <c r="G2120" s="1057"/>
      <c r="H2120" s="554"/>
    </row>
    <row r="2121" spans="1:8">
      <c r="A2121" s="1056"/>
      <c r="B2121" s="554"/>
      <c r="C2121" s="554"/>
      <c r="D2121" s="554"/>
      <c r="E2121" s="554"/>
      <c r="F2121" s="554"/>
      <c r="G2121" s="1057"/>
      <c r="H2121" s="554"/>
    </row>
    <row r="2122" spans="1:8">
      <c r="A2122" s="1056"/>
      <c r="B2122" s="554"/>
      <c r="C2122" s="554"/>
      <c r="D2122" s="554"/>
      <c r="E2122" s="554"/>
      <c r="F2122" s="554"/>
      <c r="G2122" s="1057"/>
      <c r="H2122" s="554"/>
    </row>
    <row r="2123" spans="1:8">
      <c r="A2123" s="1056"/>
      <c r="B2123" s="554"/>
      <c r="C2123" s="554"/>
      <c r="D2123" s="554"/>
      <c r="E2123" s="554"/>
      <c r="F2123" s="554"/>
      <c r="G2123" s="1057"/>
      <c r="H2123" s="554"/>
    </row>
    <row r="2124" spans="1:8">
      <c r="A2124" s="1056"/>
      <c r="B2124" s="554"/>
      <c r="C2124" s="554"/>
      <c r="D2124" s="554"/>
      <c r="E2124" s="554"/>
      <c r="F2124" s="554"/>
      <c r="G2124" s="1057"/>
      <c r="H2124" s="554"/>
    </row>
    <row r="2125" spans="1:8">
      <c r="A2125" s="1056"/>
      <c r="B2125" s="554"/>
      <c r="C2125" s="554"/>
      <c r="D2125" s="554"/>
      <c r="E2125" s="554"/>
      <c r="F2125" s="554"/>
      <c r="G2125" s="1057"/>
      <c r="H2125" s="554"/>
    </row>
    <row r="2126" spans="1:8">
      <c r="A2126" s="1056"/>
      <c r="B2126" s="554"/>
      <c r="C2126" s="554"/>
      <c r="D2126" s="554"/>
      <c r="E2126" s="554"/>
      <c r="F2126" s="554"/>
      <c r="G2126" s="1057"/>
      <c r="H2126" s="554"/>
    </row>
    <row r="2127" spans="1:8">
      <c r="A2127" s="1056"/>
      <c r="B2127" s="554"/>
      <c r="C2127" s="554"/>
      <c r="D2127" s="554"/>
      <c r="E2127" s="554"/>
      <c r="F2127" s="554"/>
      <c r="G2127" s="1057"/>
      <c r="H2127" s="554"/>
    </row>
    <row r="2128" spans="1:8">
      <c r="A2128" s="1056"/>
      <c r="B2128" s="554"/>
      <c r="C2128" s="554"/>
      <c r="D2128" s="554"/>
      <c r="E2128" s="554"/>
      <c r="F2128" s="554"/>
      <c r="G2128" s="1057"/>
      <c r="H2128" s="554"/>
    </row>
    <row r="2129" spans="1:8">
      <c r="A2129" s="1056"/>
      <c r="B2129" s="554"/>
      <c r="C2129" s="554"/>
      <c r="D2129" s="554"/>
      <c r="E2129" s="554"/>
      <c r="F2129" s="554"/>
      <c r="G2129" s="1057"/>
      <c r="H2129" s="554"/>
    </row>
    <row r="2130" spans="1:8">
      <c r="A2130" s="1056"/>
      <c r="B2130" s="554"/>
      <c r="C2130" s="554"/>
      <c r="D2130" s="554"/>
      <c r="E2130" s="554"/>
      <c r="F2130" s="554"/>
      <c r="G2130" s="1057"/>
      <c r="H2130" s="554"/>
    </row>
    <row r="2131" spans="1:8">
      <c r="A2131" s="1056"/>
      <c r="B2131" s="554"/>
      <c r="C2131" s="554"/>
      <c r="D2131" s="554"/>
      <c r="E2131" s="554"/>
      <c r="F2131" s="554"/>
      <c r="G2131" s="1057"/>
      <c r="H2131" s="554"/>
    </row>
    <row r="2132" spans="1:8">
      <c r="A2132" s="1056"/>
      <c r="B2132" s="554"/>
      <c r="C2132" s="554"/>
      <c r="D2132" s="554"/>
      <c r="E2132" s="554"/>
      <c r="F2132" s="554"/>
      <c r="G2132" s="1057"/>
      <c r="H2132" s="554"/>
    </row>
    <row r="2133" spans="1:8">
      <c r="A2133" s="1056"/>
      <c r="B2133" s="554"/>
      <c r="C2133" s="554"/>
      <c r="D2133" s="554"/>
      <c r="E2133" s="554"/>
      <c r="F2133" s="554"/>
      <c r="G2133" s="1057"/>
      <c r="H2133" s="554"/>
    </row>
    <row r="2134" spans="1:8">
      <c r="A2134" s="1056"/>
      <c r="B2134" s="554"/>
      <c r="C2134" s="554"/>
      <c r="D2134" s="554"/>
      <c r="E2134" s="554"/>
      <c r="F2134" s="554"/>
      <c r="G2134" s="1057"/>
      <c r="H2134" s="554"/>
    </row>
    <row r="2135" spans="1:8">
      <c r="A2135" s="1056"/>
      <c r="B2135" s="554"/>
      <c r="C2135" s="554"/>
      <c r="D2135" s="554"/>
      <c r="E2135" s="554"/>
      <c r="F2135" s="554"/>
      <c r="G2135" s="1057"/>
      <c r="H2135" s="554"/>
    </row>
    <row r="2136" spans="1:8">
      <c r="A2136" s="1056"/>
      <c r="B2136" s="554"/>
      <c r="C2136" s="554"/>
      <c r="D2136" s="554"/>
      <c r="E2136" s="554"/>
      <c r="F2136" s="554"/>
      <c r="G2136" s="1057"/>
      <c r="H2136" s="554"/>
    </row>
    <row r="2137" spans="1:8">
      <c r="A2137" s="1056"/>
      <c r="B2137" s="554"/>
      <c r="C2137" s="554"/>
      <c r="D2137" s="554"/>
      <c r="E2137" s="554"/>
      <c r="F2137" s="554"/>
      <c r="G2137" s="1057"/>
      <c r="H2137" s="554"/>
    </row>
    <row r="2138" spans="1:8">
      <c r="A2138" s="1056"/>
      <c r="B2138" s="554"/>
      <c r="C2138" s="554"/>
      <c r="D2138" s="554"/>
      <c r="E2138" s="554"/>
      <c r="F2138" s="554"/>
      <c r="G2138" s="1057"/>
      <c r="H2138" s="554"/>
    </row>
    <row r="2139" spans="1:8">
      <c r="A2139" s="1056"/>
      <c r="B2139" s="554"/>
      <c r="C2139" s="554"/>
      <c r="D2139" s="554"/>
      <c r="E2139" s="554"/>
      <c r="F2139" s="554"/>
      <c r="G2139" s="1057"/>
      <c r="H2139" s="554"/>
    </row>
    <row r="2140" spans="1:8">
      <c r="A2140" s="1056"/>
      <c r="B2140" s="554"/>
      <c r="C2140" s="554"/>
      <c r="D2140" s="554"/>
      <c r="E2140" s="554"/>
      <c r="F2140" s="554"/>
      <c r="G2140" s="1057"/>
      <c r="H2140" s="554"/>
    </row>
    <row r="2141" spans="1:8">
      <c r="A2141" s="1056"/>
      <c r="B2141" s="554"/>
      <c r="C2141" s="554"/>
      <c r="D2141" s="554"/>
      <c r="E2141" s="554"/>
      <c r="F2141" s="554"/>
      <c r="G2141" s="1057"/>
      <c r="H2141" s="554"/>
    </row>
    <row r="2142" spans="1:8">
      <c r="A2142" s="1056"/>
      <c r="B2142" s="554"/>
      <c r="C2142" s="554"/>
      <c r="D2142" s="554"/>
      <c r="E2142" s="554"/>
      <c r="F2142" s="554"/>
      <c r="G2142" s="1057"/>
      <c r="H2142" s="554"/>
    </row>
    <row r="2143" spans="1:8">
      <c r="A2143" s="1056"/>
      <c r="B2143" s="554"/>
      <c r="C2143" s="554"/>
      <c r="D2143" s="554"/>
      <c r="E2143" s="554"/>
      <c r="F2143" s="554"/>
      <c r="G2143" s="1057"/>
      <c r="H2143" s="554"/>
    </row>
    <row r="2144" spans="1:8">
      <c r="A2144" s="1056"/>
      <c r="B2144" s="554"/>
      <c r="C2144" s="554"/>
      <c r="D2144" s="554"/>
      <c r="E2144" s="554"/>
      <c r="F2144" s="554"/>
      <c r="G2144" s="1057"/>
      <c r="H2144" s="554"/>
    </row>
    <row r="2145" spans="1:8">
      <c r="A2145" s="1056"/>
      <c r="B2145" s="554"/>
      <c r="C2145" s="554"/>
      <c r="D2145" s="554"/>
      <c r="E2145" s="554"/>
      <c r="F2145" s="554"/>
      <c r="G2145" s="1057"/>
      <c r="H2145" s="554"/>
    </row>
    <row r="2146" spans="1:8">
      <c r="A2146" s="1056"/>
      <c r="B2146" s="554"/>
      <c r="C2146" s="554"/>
      <c r="D2146" s="554"/>
      <c r="E2146" s="554"/>
      <c r="F2146" s="554"/>
      <c r="G2146" s="1057"/>
      <c r="H2146" s="554"/>
    </row>
    <row r="2147" spans="1:8">
      <c r="A2147" s="1056"/>
      <c r="B2147" s="554"/>
      <c r="C2147" s="554"/>
      <c r="D2147" s="554"/>
      <c r="E2147" s="554"/>
      <c r="F2147" s="554"/>
      <c r="G2147" s="1057"/>
      <c r="H2147" s="554"/>
    </row>
    <row r="2148" spans="1:8">
      <c r="A2148" s="1056"/>
      <c r="B2148" s="554"/>
      <c r="C2148" s="554"/>
      <c r="D2148" s="554"/>
      <c r="E2148" s="554"/>
      <c r="F2148" s="554"/>
      <c r="G2148" s="1057"/>
      <c r="H2148" s="554"/>
    </row>
    <row r="2149" spans="1:8">
      <c r="A2149" s="1056"/>
      <c r="B2149" s="554"/>
      <c r="C2149" s="554"/>
      <c r="D2149" s="554"/>
      <c r="E2149" s="554"/>
      <c r="F2149" s="554"/>
      <c r="G2149" s="1057"/>
      <c r="H2149" s="554"/>
    </row>
    <row r="2150" spans="1:8">
      <c r="A2150" s="1056"/>
      <c r="B2150" s="554"/>
      <c r="C2150" s="554"/>
      <c r="D2150" s="554"/>
      <c r="E2150" s="554"/>
      <c r="F2150" s="554"/>
      <c r="G2150" s="1057"/>
      <c r="H2150" s="554"/>
    </row>
    <row r="2151" spans="1:8">
      <c r="A2151" s="1056"/>
      <c r="B2151" s="554"/>
      <c r="C2151" s="554"/>
      <c r="D2151" s="554"/>
      <c r="E2151" s="554"/>
      <c r="F2151" s="554"/>
      <c r="G2151" s="1057"/>
      <c r="H2151" s="554"/>
    </row>
    <row r="2152" spans="1:8">
      <c r="A2152" s="1056"/>
      <c r="B2152" s="554"/>
      <c r="C2152" s="554"/>
      <c r="D2152" s="554"/>
      <c r="E2152" s="554"/>
      <c r="F2152" s="554"/>
      <c r="G2152" s="1057"/>
      <c r="H2152" s="554"/>
    </row>
    <row r="2153" spans="1:8">
      <c r="A2153" s="1056"/>
      <c r="B2153" s="554"/>
      <c r="C2153" s="554"/>
      <c r="D2153" s="554"/>
      <c r="E2153" s="554"/>
      <c r="F2153" s="554"/>
      <c r="G2153" s="1057"/>
      <c r="H2153" s="554"/>
    </row>
    <row r="2154" spans="1:8">
      <c r="A2154" s="1056"/>
      <c r="B2154" s="554"/>
      <c r="C2154" s="554"/>
      <c r="D2154" s="554"/>
      <c r="E2154" s="554"/>
      <c r="F2154" s="554"/>
      <c r="G2154" s="1057"/>
      <c r="H2154" s="554"/>
    </row>
    <row r="2155" spans="1:8">
      <c r="A2155" s="1056"/>
      <c r="B2155" s="554"/>
      <c r="C2155" s="554"/>
      <c r="D2155" s="554"/>
      <c r="E2155" s="554"/>
      <c r="F2155" s="554"/>
      <c r="G2155" s="1057"/>
      <c r="H2155" s="554"/>
    </row>
    <row r="2156" spans="1:8">
      <c r="A2156" s="1056"/>
      <c r="B2156" s="554"/>
      <c r="C2156" s="554"/>
      <c r="D2156" s="554"/>
      <c r="E2156" s="554"/>
      <c r="F2156" s="554"/>
      <c r="G2156" s="1057"/>
      <c r="H2156" s="554"/>
    </row>
    <row r="2157" spans="1:8">
      <c r="A2157" s="1056"/>
      <c r="B2157" s="554"/>
      <c r="C2157" s="554"/>
      <c r="D2157" s="554"/>
      <c r="E2157" s="554"/>
      <c r="F2157" s="554"/>
      <c r="G2157" s="1057"/>
      <c r="H2157" s="554"/>
    </row>
    <row r="2158" spans="1:8">
      <c r="A2158" s="1056"/>
      <c r="B2158" s="554"/>
      <c r="C2158" s="554"/>
      <c r="D2158" s="554"/>
      <c r="E2158" s="554"/>
      <c r="F2158" s="554"/>
      <c r="G2158" s="1057"/>
      <c r="H2158" s="554"/>
    </row>
    <row r="2159" spans="1:8">
      <c r="A2159" s="1056"/>
      <c r="B2159" s="554"/>
      <c r="C2159" s="554"/>
      <c r="D2159" s="554"/>
      <c r="E2159" s="554"/>
      <c r="F2159" s="554"/>
      <c r="G2159" s="1057"/>
      <c r="H2159" s="554"/>
    </row>
    <row r="2160" spans="1:8">
      <c r="A2160" s="1056"/>
      <c r="B2160" s="554"/>
      <c r="C2160" s="554"/>
      <c r="D2160" s="554"/>
      <c r="E2160" s="554"/>
      <c r="F2160" s="554"/>
      <c r="G2160" s="1057"/>
      <c r="H2160" s="554"/>
    </row>
    <row r="2161" spans="1:8">
      <c r="A2161" s="1056"/>
      <c r="B2161" s="554"/>
      <c r="C2161" s="554"/>
      <c r="D2161" s="554"/>
      <c r="E2161" s="554"/>
      <c r="F2161" s="554"/>
      <c r="G2161" s="1057"/>
      <c r="H2161" s="554"/>
    </row>
    <row r="2162" spans="1:8">
      <c r="A2162" s="1056"/>
      <c r="B2162" s="554"/>
      <c r="C2162" s="554"/>
      <c r="D2162" s="554"/>
      <c r="E2162" s="554"/>
      <c r="F2162" s="554"/>
      <c r="G2162" s="1057"/>
      <c r="H2162" s="554"/>
    </row>
    <row r="2163" spans="1:8">
      <c r="A2163" s="1056"/>
      <c r="B2163" s="554"/>
      <c r="C2163" s="554"/>
      <c r="D2163" s="554"/>
      <c r="E2163" s="554"/>
      <c r="F2163" s="554"/>
      <c r="G2163" s="1057"/>
      <c r="H2163" s="554"/>
    </row>
    <row r="2164" spans="1:8">
      <c r="A2164" s="1056"/>
      <c r="B2164" s="554"/>
      <c r="C2164" s="554"/>
      <c r="D2164" s="554"/>
      <c r="E2164" s="554"/>
      <c r="F2164" s="554"/>
      <c r="G2164" s="1057"/>
      <c r="H2164" s="554"/>
    </row>
    <row r="2165" spans="1:8">
      <c r="A2165" s="1056"/>
      <c r="B2165" s="554"/>
      <c r="C2165" s="554"/>
      <c r="D2165" s="554"/>
      <c r="E2165" s="554"/>
      <c r="F2165" s="554"/>
      <c r="G2165" s="1057"/>
      <c r="H2165" s="554"/>
    </row>
    <row r="2166" spans="1:8">
      <c r="A2166" s="1056"/>
      <c r="B2166" s="554"/>
      <c r="C2166" s="554"/>
      <c r="D2166" s="554"/>
      <c r="E2166" s="554"/>
      <c r="F2166" s="554"/>
      <c r="G2166" s="1057"/>
      <c r="H2166" s="554"/>
    </row>
    <row r="2167" spans="1:8">
      <c r="A2167" s="1056"/>
      <c r="B2167" s="554"/>
      <c r="C2167" s="554"/>
      <c r="D2167" s="554"/>
      <c r="E2167" s="554"/>
      <c r="F2167" s="554"/>
      <c r="G2167" s="1057"/>
      <c r="H2167" s="554"/>
    </row>
    <row r="2168" spans="1:8">
      <c r="A2168" s="1056"/>
      <c r="B2168" s="554"/>
      <c r="C2168" s="554"/>
      <c r="D2168" s="554"/>
      <c r="E2168" s="554"/>
      <c r="F2168" s="554"/>
      <c r="G2168" s="1057"/>
      <c r="H2168" s="554"/>
    </row>
    <row r="2169" spans="1:8">
      <c r="A2169" s="1056"/>
      <c r="B2169" s="554"/>
      <c r="C2169" s="554"/>
      <c r="D2169" s="554"/>
      <c r="E2169" s="554"/>
      <c r="F2169" s="554"/>
      <c r="G2169" s="1057"/>
      <c r="H2169" s="554"/>
    </row>
    <row r="2170" spans="1:8">
      <c r="A2170" s="1056"/>
      <c r="B2170" s="554"/>
      <c r="C2170" s="554"/>
      <c r="D2170" s="554"/>
      <c r="E2170" s="554"/>
      <c r="F2170" s="554"/>
      <c r="G2170" s="1057"/>
      <c r="H2170" s="554"/>
    </row>
    <row r="2171" spans="1:8">
      <c r="A2171" s="1056"/>
      <c r="B2171" s="554"/>
      <c r="C2171" s="554"/>
      <c r="D2171" s="554"/>
      <c r="E2171" s="554"/>
      <c r="F2171" s="554"/>
      <c r="G2171" s="1057"/>
      <c r="H2171" s="554"/>
    </row>
    <row r="2172" spans="1:8">
      <c r="A2172" s="1056"/>
      <c r="B2172" s="554"/>
      <c r="C2172" s="554"/>
      <c r="D2172" s="554"/>
      <c r="E2172" s="554"/>
      <c r="F2172" s="554"/>
      <c r="G2172" s="1057"/>
      <c r="H2172" s="554"/>
    </row>
    <row r="2173" spans="1:8">
      <c r="A2173" s="1056"/>
      <c r="B2173" s="554"/>
      <c r="C2173" s="554"/>
      <c r="D2173" s="554"/>
      <c r="E2173" s="554"/>
      <c r="F2173" s="554"/>
      <c r="G2173" s="1057"/>
      <c r="H2173" s="554"/>
    </row>
    <row r="2174" spans="1:8">
      <c r="A2174" s="1056"/>
      <c r="B2174" s="554"/>
      <c r="C2174" s="554"/>
      <c r="D2174" s="554"/>
      <c r="E2174" s="554"/>
      <c r="F2174" s="554"/>
      <c r="G2174" s="1057"/>
      <c r="H2174" s="554"/>
    </row>
    <row r="2175" spans="1:8">
      <c r="A2175" s="1056"/>
      <c r="B2175" s="554"/>
      <c r="C2175" s="554"/>
      <c r="D2175" s="554"/>
      <c r="E2175" s="554"/>
      <c r="F2175" s="554"/>
      <c r="G2175" s="1057"/>
      <c r="H2175" s="554"/>
    </row>
    <row r="2176" spans="1:8">
      <c r="A2176" s="1056"/>
      <c r="B2176" s="554"/>
      <c r="C2176" s="554"/>
      <c r="D2176" s="554"/>
      <c r="E2176" s="554"/>
      <c r="F2176" s="554"/>
      <c r="G2176" s="1057"/>
      <c r="H2176" s="554"/>
    </row>
    <row r="2177" spans="1:8">
      <c r="A2177" s="1056"/>
      <c r="B2177" s="554"/>
      <c r="C2177" s="554"/>
      <c r="D2177" s="554"/>
      <c r="E2177" s="554"/>
      <c r="F2177" s="554"/>
      <c r="G2177" s="1057"/>
      <c r="H2177" s="554"/>
    </row>
    <row r="2178" spans="1:8">
      <c r="A2178" s="1056"/>
      <c r="B2178" s="554"/>
      <c r="C2178" s="554"/>
      <c r="D2178" s="554"/>
      <c r="E2178" s="554"/>
      <c r="F2178" s="554"/>
      <c r="G2178" s="1057"/>
      <c r="H2178" s="554"/>
    </row>
    <row r="2179" spans="1:8">
      <c r="A2179" s="1056"/>
      <c r="B2179" s="554"/>
      <c r="C2179" s="554"/>
      <c r="D2179" s="554"/>
      <c r="E2179" s="554"/>
      <c r="F2179" s="554"/>
      <c r="G2179" s="1057"/>
      <c r="H2179" s="554"/>
    </row>
    <row r="2180" spans="1:8">
      <c r="A2180" s="1056"/>
      <c r="B2180" s="554"/>
      <c r="C2180" s="554"/>
      <c r="D2180" s="554"/>
      <c r="E2180" s="554"/>
      <c r="F2180" s="554"/>
      <c r="G2180" s="1057"/>
      <c r="H2180" s="554"/>
    </row>
    <row r="2181" spans="1:8">
      <c r="A2181" s="1056"/>
      <c r="B2181" s="554"/>
      <c r="C2181" s="554"/>
      <c r="D2181" s="554"/>
      <c r="E2181" s="554"/>
      <c r="F2181" s="554"/>
      <c r="G2181" s="1057"/>
      <c r="H2181" s="554"/>
    </row>
    <row r="2182" spans="1:8">
      <c r="A2182" s="1056"/>
      <c r="B2182" s="554"/>
      <c r="C2182" s="554"/>
      <c r="D2182" s="554"/>
      <c r="E2182" s="554"/>
      <c r="F2182" s="554"/>
      <c r="G2182" s="1057"/>
      <c r="H2182" s="554"/>
    </row>
    <row r="2183" spans="1:8">
      <c r="A2183" s="1056"/>
      <c r="B2183" s="554"/>
      <c r="C2183" s="554"/>
      <c r="D2183" s="554"/>
      <c r="E2183" s="554"/>
      <c r="F2183" s="554"/>
      <c r="G2183" s="1057"/>
      <c r="H2183" s="554"/>
    </row>
    <row r="2184" spans="1:8">
      <c r="A2184" s="1056"/>
      <c r="B2184" s="554"/>
      <c r="C2184" s="554"/>
      <c r="D2184" s="554"/>
      <c r="E2184" s="554"/>
      <c r="F2184" s="554"/>
      <c r="G2184" s="1057"/>
      <c r="H2184" s="554"/>
    </row>
    <row r="2185" spans="1:8">
      <c r="A2185" s="1056"/>
      <c r="B2185" s="554"/>
      <c r="C2185" s="554"/>
      <c r="D2185" s="554"/>
      <c r="E2185" s="554"/>
      <c r="F2185" s="554"/>
      <c r="G2185" s="1057"/>
      <c r="H2185" s="554"/>
    </row>
    <row r="2186" spans="1:8">
      <c r="A2186" s="1056"/>
      <c r="B2186" s="554"/>
      <c r="C2186" s="554"/>
      <c r="D2186" s="554"/>
      <c r="E2186" s="554"/>
      <c r="F2186" s="554"/>
      <c r="G2186" s="1057"/>
      <c r="H2186" s="554"/>
    </row>
    <row r="2187" spans="1:8">
      <c r="A2187" s="1056"/>
      <c r="B2187" s="554"/>
      <c r="C2187" s="554"/>
      <c r="D2187" s="554"/>
      <c r="E2187" s="554"/>
      <c r="F2187" s="554"/>
      <c r="G2187" s="1057"/>
      <c r="H2187" s="554"/>
    </row>
    <row r="2188" spans="1:8">
      <c r="A2188" s="1056"/>
      <c r="B2188" s="554"/>
      <c r="C2188" s="554"/>
      <c r="D2188" s="554"/>
      <c r="E2188" s="554"/>
      <c r="F2188" s="554"/>
      <c r="G2188" s="1057"/>
      <c r="H2188" s="554"/>
    </row>
    <row r="2189" spans="1:8">
      <c r="A2189" s="1056"/>
      <c r="B2189" s="554"/>
      <c r="C2189" s="554"/>
      <c r="D2189" s="554"/>
      <c r="E2189" s="554"/>
      <c r="F2189" s="554"/>
      <c r="G2189" s="1057"/>
      <c r="H2189" s="554"/>
    </row>
    <row r="2190" spans="1:8">
      <c r="A2190" s="1056"/>
      <c r="B2190" s="554"/>
      <c r="C2190" s="554"/>
      <c r="D2190" s="554"/>
      <c r="E2190" s="554"/>
      <c r="F2190" s="554"/>
      <c r="G2190" s="1057"/>
      <c r="H2190" s="554"/>
    </row>
    <row r="2191" spans="1:8">
      <c r="A2191" s="1056"/>
      <c r="B2191" s="554"/>
      <c r="C2191" s="554"/>
      <c r="D2191" s="554"/>
      <c r="E2191" s="554"/>
      <c r="F2191" s="554"/>
      <c r="G2191" s="1057"/>
      <c r="H2191" s="554"/>
    </row>
    <row r="2192" spans="1:8">
      <c r="A2192" s="1056"/>
      <c r="B2192" s="554"/>
      <c r="C2192" s="554"/>
      <c r="D2192" s="554"/>
      <c r="E2192" s="554"/>
      <c r="F2192" s="554"/>
      <c r="G2192" s="1057"/>
      <c r="H2192" s="554"/>
    </row>
    <row r="2193" spans="1:8" ht="42.75" customHeight="1">
      <c r="A2193" s="1056"/>
      <c r="B2193" s="554"/>
      <c r="C2193" s="554"/>
      <c r="D2193" s="554"/>
      <c r="E2193" s="554"/>
      <c r="F2193" s="554"/>
      <c r="G2193" s="1057"/>
      <c r="H2193" s="554"/>
    </row>
    <row r="2194" spans="1:8" ht="18.75">
      <c r="A2194" s="2217" t="s">
        <v>111</v>
      </c>
      <c r="B2194" s="2217"/>
      <c r="C2194" s="2217"/>
      <c r="D2194" s="2217"/>
      <c r="E2194" s="2217"/>
      <c r="F2194" s="2217"/>
      <c r="G2194" s="2217"/>
      <c r="H2194" s="2217"/>
    </row>
    <row r="2195" spans="1:8" ht="18.75">
      <c r="A2195" s="2217" t="s">
        <v>757</v>
      </c>
      <c r="B2195" s="2217"/>
      <c r="C2195" s="2217"/>
      <c r="D2195" s="2217"/>
      <c r="E2195" s="2217"/>
      <c r="F2195" s="2217"/>
      <c r="G2195" s="2217"/>
      <c r="H2195" s="2217"/>
    </row>
    <row r="2196" spans="1:8" ht="18.75">
      <c r="A2196" s="2185" t="s">
        <v>211</v>
      </c>
      <c r="B2196" s="2185"/>
      <c r="C2196" s="2185"/>
      <c r="D2196" s="2185"/>
      <c r="E2196" s="2185"/>
      <c r="F2196" s="2185"/>
      <c r="G2196" s="2185"/>
      <c r="H2196" s="2185"/>
    </row>
    <row r="2197" spans="1:8" ht="18.75">
      <c r="A2197" s="2185" t="s">
        <v>641</v>
      </c>
      <c r="B2197" s="2185"/>
      <c r="C2197" s="2185"/>
      <c r="D2197" s="2185"/>
      <c r="E2197" s="2185"/>
      <c r="F2197" s="2185"/>
      <c r="G2197" s="2185"/>
      <c r="H2197" s="2185"/>
    </row>
    <row r="2198" spans="1:8" ht="18.75">
      <c r="A2198" s="2185" t="s">
        <v>32</v>
      </c>
      <c r="B2198" s="2185"/>
      <c r="C2198" s="2185"/>
      <c r="D2198" s="2185"/>
      <c r="E2198" s="2185"/>
      <c r="F2198" s="2185"/>
      <c r="G2198" s="2185"/>
      <c r="H2198" s="2185"/>
    </row>
    <row r="2199" spans="1:8">
      <c r="A2199" s="850"/>
      <c r="B2199" s="198"/>
      <c r="C2199" s="851"/>
      <c r="D2199" s="41"/>
      <c r="E2199" s="41"/>
      <c r="F2199" s="41"/>
      <c r="G2199" s="21"/>
      <c r="H2199" s="203"/>
    </row>
    <row r="2200" spans="1:8" ht="18.75">
      <c r="A2200" s="2811" t="s">
        <v>49</v>
      </c>
      <c r="B2200" s="2811"/>
      <c r="C2200" s="2811"/>
      <c r="D2200" s="2811"/>
      <c r="E2200" s="2811"/>
      <c r="F2200" s="2811"/>
      <c r="G2200" s="2811"/>
      <c r="H2200" s="2811"/>
    </row>
    <row r="2201" spans="1:8" ht="18.75">
      <c r="A2201" s="2812" t="s">
        <v>981</v>
      </c>
      <c r="B2201" s="2813"/>
      <c r="C2201" s="2813"/>
      <c r="D2201" s="2813"/>
      <c r="E2201" s="2813"/>
      <c r="F2201" s="2813"/>
      <c r="G2201" s="2813"/>
      <c r="H2201" s="2814"/>
    </row>
    <row r="2202" spans="1:8" ht="15.75" thickBot="1">
      <c r="A2202" s="2815" t="s">
        <v>29</v>
      </c>
      <c r="B2202" s="2816"/>
      <c r="C2202" s="2816"/>
      <c r="D2202" s="2816"/>
      <c r="E2202" s="2816"/>
      <c r="F2202" s="2817"/>
      <c r="G2202" s="2818" t="s">
        <v>640</v>
      </c>
      <c r="H2202" s="2820" t="s">
        <v>639</v>
      </c>
    </row>
    <row r="2203" spans="1:8" ht="75.75" thickBot="1">
      <c r="A2203" s="411" t="s">
        <v>39</v>
      </c>
      <c r="B2203" s="412" t="s">
        <v>40</v>
      </c>
      <c r="C2203" s="412" t="s">
        <v>41</v>
      </c>
      <c r="D2203" s="412" t="s">
        <v>45</v>
      </c>
      <c r="E2203" s="413" t="s">
        <v>42</v>
      </c>
      <c r="F2203" s="407" t="s">
        <v>43</v>
      </c>
      <c r="G2203" s="2819"/>
      <c r="H2203" s="2595"/>
    </row>
    <row r="2204" spans="1:8">
      <c r="A2204" s="852" t="s">
        <v>381</v>
      </c>
      <c r="B2204" s="853" t="s">
        <v>69</v>
      </c>
      <c r="C2204" s="853" t="s">
        <v>59</v>
      </c>
      <c r="D2204" s="853" t="s">
        <v>62</v>
      </c>
      <c r="E2204" s="853" t="s">
        <v>65</v>
      </c>
      <c r="F2204" s="414">
        <v>51202</v>
      </c>
      <c r="G2204" s="419" t="s">
        <v>759</v>
      </c>
      <c r="H2204" s="557">
        <v>1300</v>
      </c>
    </row>
    <row r="2205" spans="1:8">
      <c r="A2205" s="852" t="s">
        <v>381</v>
      </c>
      <c r="B2205" s="853" t="s">
        <v>69</v>
      </c>
      <c r="C2205" s="853" t="s">
        <v>59</v>
      </c>
      <c r="D2205" s="853" t="s">
        <v>62</v>
      </c>
      <c r="E2205" s="853" t="s">
        <v>65</v>
      </c>
      <c r="F2205" s="414">
        <v>54111</v>
      </c>
      <c r="G2205" s="419" t="s">
        <v>778</v>
      </c>
      <c r="H2205" s="557">
        <v>2500</v>
      </c>
    </row>
    <row r="2206" spans="1:8">
      <c r="A2206" s="852" t="s">
        <v>381</v>
      </c>
      <c r="B2206" s="853" t="s">
        <v>69</v>
      </c>
      <c r="C2206" s="853" t="s">
        <v>59</v>
      </c>
      <c r="D2206" s="853" t="s">
        <v>62</v>
      </c>
      <c r="E2206" s="853" t="s">
        <v>65</v>
      </c>
      <c r="F2206" s="414">
        <v>54112</v>
      </c>
      <c r="G2206" s="419" t="s">
        <v>779</v>
      </c>
      <c r="H2206" s="557">
        <v>300</v>
      </c>
    </row>
    <row r="2207" spans="1:8">
      <c r="A2207" s="852" t="s">
        <v>381</v>
      </c>
      <c r="B2207" s="853" t="s">
        <v>69</v>
      </c>
      <c r="C2207" s="853" t="s">
        <v>59</v>
      </c>
      <c r="D2207" s="853" t="s">
        <v>62</v>
      </c>
      <c r="E2207" s="853" t="s">
        <v>65</v>
      </c>
      <c r="F2207" s="414">
        <v>54118</v>
      </c>
      <c r="G2207" s="419" t="s">
        <v>746</v>
      </c>
      <c r="H2207" s="557">
        <v>200</v>
      </c>
    </row>
    <row r="2208" spans="1:8">
      <c r="A2208" s="852" t="s">
        <v>381</v>
      </c>
      <c r="B2208" s="853" t="s">
        <v>69</v>
      </c>
      <c r="C2208" s="853" t="s">
        <v>59</v>
      </c>
      <c r="D2208" s="853" t="s">
        <v>62</v>
      </c>
      <c r="E2208" s="853" t="s">
        <v>65</v>
      </c>
      <c r="F2208" s="414">
        <v>54199</v>
      </c>
      <c r="G2208" s="419" t="s">
        <v>658</v>
      </c>
      <c r="H2208" s="557">
        <v>200</v>
      </c>
    </row>
    <row r="2209" spans="1:8">
      <c r="A2209" s="852" t="s">
        <v>381</v>
      </c>
      <c r="B2209" s="853" t="s">
        <v>69</v>
      </c>
      <c r="C2209" s="853" t="s">
        <v>59</v>
      </c>
      <c r="D2209" s="853" t="s">
        <v>62</v>
      </c>
      <c r="E2209" s="853" t="s">
        <v>65</v>
      </c>
      <c r="F2209" s="418" t="s">
        <v>677</v>
      </c>
      <c r="G2209" s="419" t="s">
        <v>678</v>
      </c>
      <c r="H2209" s="557">
        <v>200</v>
      </c>
    </row>
    <row r="2210" spans="1:8">
      <c r="A2210" s="852" t="s">
        <v>381</v>
      </c>
      <c r="B2210" s="853" t="s">
        <v>69</v>
      </c>
      <c r="C2210" s="853" t="s">
        <v>59</v>
      </c>
      <c r="D2210" s="853" t="s">
        <v>62</v>
      </c>
      <c r="E2210" s="853" t="s">
        <v>65</v>
      </c>
      <c r="F2210" s="421">
        <v>61608</v>
      </c>
      <c r="G2210" s="422" t="s">
        <v>780</v>
      </c>
      <c r="H2210" s="558">
        <v>300</v>
      </c>
    </row>
    <row r="2211" spans="1:8" ht="15.75" thickBot="1">
      <c r="A2211" s="1087"/>
      <c r="B2211" s="1088"/>
      <c r="C2211" s="1088"/>
      <c r="D2211" s="1088"/>
      <c r="E2211" s="1089"/>
      <c r="F2211" s="1090"/>
      <c r="G2211" s="1091"/>
      <c r="H2211" s="1102">
        <f>SUM(H2204:H2210)</f>
        <v>5000</v>
      </c>
    </row>
    <row r="2212" spans="1:8" ht="15.75" thickBot="1">
      <c r="A2212" s="200"/>
      <c r="B2212" s="200"/>
      <c r="C2212" s="201"/>
      <c r="D2212" s="202"/>
      <c r="E2212" s="202"/>
      <c r="F2212" s="202"/>
      <c r="G2212" s="21"/>
      <c r="H2212" s="203"/>
    </row>
    <row r="2213" spans="1:8">
      <c r="A2213" s="2541" t="s">
        <v>693</v>
      </c>
      <c r="B2213" s="2542"/>
      <c r="C2213" s="2542"/>
      <c r="D2213" s="2542"/>
      <c r="E2213" s="2542"/>
      <c r="F2213" s="2542"/>
      <c r="G2213" s="2543" t="s">
        <v>715</v>
      </c>
      <c r="H2213" s="2544"/>
    </row>
    <row r="2214" spans="1:8">
      <c r="A2214" s="857"/>
      <c r="B2214" s="47"/>
      <c r="C2214" s="160"/>
      <c r="D2214" s="160"/>
      <c r="E2214" s="160"/>
      <c r="F2214" s="160"/>
      <c r="G2214" s="858"/>
      <c r="H2214" s="859"/>
    </row>
    <row r="2215" spans="1:8" ht="14.25">
      <c r="A2215" s="2551" t="s">
        <v>841</v>
      </c>
      <c r="B2215" s="2598"/>
      <c r="C2215" s="2598"/>
      <c r="D2215" s="2598"/>
      <c r="E2215" s="2598"/>
      <c r="F2215" s="2552"/>
      <c r="G2215" s="2551" t="s">
        <v>694</v>
      </c>
      <c r="H2215" s="2552"/>
    </row>
    <row r="2216" spans="1:8">
      <c r="A2216" s="2553" t="s">
        <v>840</v>
      </c>
      <c r="B2216" s="2554"/>
      <c r="C2216" s="2554"/>
      <c r="D2216" s="2554"/>
      <c r="E2216" s="2554"/>
      <c r="F2216" s="2555"/>
      <c r="G2216" s="858"/>
      <c r="H2216" s="859"/>
    </row>
    <row r="2217" spans="1:8" ht="14.25">
      <c r="A2217" s="2556"/>
      <c r="B2217" s="2557"/>
      <c r="C2217" s="2557"/>
      <c r="D2217" s="2557"/>
      <c r="E2217" s="2557"/>
      <c r="F2217" s="2558"/>
      <c r="G2217" s="2559" t="s">
        <v>695</v>
      </c>
      <c r="H2217" s="2552"/>
    </row>
    <row r="2218" spans="1:8">
      <c r="A2218" s="857"/>
      <c r="B2218" s="47"/>
      <c r="C2218" s="47"/>
      <c r="D2218" s="47"/>
      <c r="E2218" s="47"/>
      <c r="F2218" s="47"/>
      <c r="G2218" s="860"/>
      <c r="H2218" s="859"/>
    </row>
    <row r="2219" spans="1:8" thickBot="1">
      <c r="A2219" s="2560" t="s">
        <v>692</v>
      </c>
      <c r="B2219" s="2561"/>
      <c r="C2219" s="2561"/>
      <c r="D2219" s="2561"/>
      <c r="E2219" s="2561"/>
      <c r="F2219" s="2562"/>
      <c r="G2219" s="2563" t="s">
        <v>696</v>
      </c>
      <c r="H2219" s="2562"/>
    </row>
    <row r="2220" spans="1:8">
      <c r="A2220" s="1056"/>
      <c r="B2220" s="554"/>
      <c r="C2220" s="554"/>
      <c r="D2220" s="554"/>
      <c r="E2220" s="554"/>
      <c r="F2220" s="554"/>
      <c r="G2220" s="1057"/>
      <c r="H2220" s="554"/>
    </row>
    <row r="2221" spans="1:8" ht="18.75">
      <c r="A2221" s="2808" t="s">
        <v>821</v>
      </c>
      <c r="B2221" s="2808"/>
      <c r="C2221" s="2808"/>
      <c r="D2221" s="2808"/>
      <c r="E2221" s="2808"/>
      <c r="F2221" s="2808"/>
      <c r="G2221" s="2808"/>
      <c r="H2221" s="2808"/>
    </row>
    <row r="2222" spans="1:8" ht="18.75">
      <c r="A2222" s="1097"/>
      <c r="B2222" s="1097"/>
      <c r="C2222" s="1097"/>
      <c r="D2222" s="1097"/>
      <c r="E2222" s="1097"/>
      <c r="F2222" s="1097"/>
      <c r="G2222" s="1097"/>
      <c r="H2222" s="1097"/>
    </row>
    <row r="2223" spans="1:8" ht="18.75">
      <c r="A2223" s="1097"/>
      <c r="B2223" s="1097"/>
      <c r="C2223" s="1097"/>
      <c r="D2223" s="1097"/>
      <c r="E2223" s="1097"/>
      <c r="F2223" s="1097"/>
      <c r="G2223" s="1097"/>
      <c r="H2223" s="1097"/>
    </row>
    <row r="2224" spans="1:8" ht="18.75">
      <c r="A2224" s="2217" t="s">
        <v>111</v>
      </c>
      <c r="B2224" s="2217"/>
      <c r="C2224" s="2217"/>
      <c r="D2224" s="2217"/>
      <c r="E2224" s="2217"/>
      <c r="F2224" s="2217"/>
      <c r="G2224" s="2217"/>
      <c r="H2224" s="2217"/>
    </row>
    <row r="2225" spans="1:8" ht="18.75">
      <c r="A2225" s="2217" t="s">
        <v>757</v>
      </c>
      <c r="B2225" s="2217"/>
      <c r="C2225" s="2217"/>
      <c r="D2225" s="2217"/>
      <c r="E2225" s="2217"/>
      <c r="F2225" s="2217"/>
      <c r="G2225" s="2217"/>
      <c r="H2225" s="2217"/>
    </row>
    <row r="2226" spans="1:8" ht="18.75">
      <c r="A2226" s="2185" t="s">
        <v>211</v>
      </c>
      <c r="B2226" s="2185"/>
      <c r="C2226" s="2185"/>
      <c r="D2226" s="2185"/>
      <c r="E2226" s="2185"/>
      <c r="F2226" s="2185"/>
      <c r="G2226" s="2185"/>
      <c r="H2226" s="2185"/>
    </row>
    <row r="2227" spans="1:8" ht="18.75">
      <c r="A2227" s="2185" t="s">
        <v>1006</v>
      </c>
      <c r="B2227" s="2185"/>
      <c r="C2227" s="2185"/>
      <c r="D2227" s="2185"/>
      <c r="E2227" s="2185"/>
      <c r="F2227" s="2185"/>
      <c r="G2227" s="2185"/>
      <c r="H2227" s="2185"/>
    </row>
    <row r="2228" spans="1:8" ht="18.75">
      <c r="A2228" s="2185" t="s">
        <v>32</v>
      </c>
      <c r="B2228" s="2185"/>
      <c r="C2228" s="2185"/>
      <c r="D2228" s="2185"/>
      <c r="E2228" s="2185"/>
      <c r="F2228" s="2185"/>
      <c r="G2228" s="2185"/>
      <c r="H2228" s="2185"/>
    </row>
    <row r="2229" spans="1:8">
      <c r="A2229" s="850"/>
      <c r="B2229" s="198"/>
      <c r="C2229" s="851"/>
      <c r="D2229" s="41"/>
      <c r="E2229" s="41"/>
      <c r="F2229" s="41"/>
      <c r="G2229" s="21"/>
      <c r="H2229" s="203"/>
    </row>
    <row r="2230" spans="1:8" ht="18.75">
      <c r="A2230" s="2613" t="s">
        <v>49</v>
      </c>
      <c r="B2230" s="2613"/>
      <c r="C2230" s="2613"/>
      <c r="D2230" s="2613"/>
      <c r="E2230" s="2613"/>
      <c r="F2230" s="2613"/>
      <c r="G2230" s="2613"/>
      <c r="H2230" s="2613"/>
    </row>
    <row r="2231" spans="1:8" ht="29.25" customHeight="1" thickBot="1">
      <c r="A2231" s="2809" t="s">
        <v>1178</v>
      </c>
      <c r="B2231" s="2810"/>
      <c r="C2231" s="2810"/>
      <c r="D2231" s="2810"/>
      <c r="E2231" s="2810"/>
      <c r="F2231" s="2810"/>
      <c r="G2231" s="2810"/>
      <c r="H2231" s="2810"/>
    </row>
    <row r="2232" spans="1:8" ht="15.75" thickBot="1">
      <c r="A2232" s="2606" t="s">
        <v>29</v>
      </c>
      <c r="B2232" s="2620"/>
      <c r="C2232" s="2620"/>
      <c r="D2232" s="2620"/>
      <c r="E2232" s="2620"/>
      <c r="F2232" s="2621"/>
      <c r="G2232" s="2609" t="s">
        <v>640</v>
      </c>
      <c r="H2232" s="2610" t="s">
        <v>639</v>
      </c>
    </row>
    <row r="2233" spans="1:8" ht="75.75" thickBot="1">
      <c r="A2233" s="411" t="s">
        <v>39</v>
      </c>
      <c r="B2233" s="412" t="s">
        <v>40</v>
      </c>
      <c r="C2233" s="412" t="s">
        <v>41</v>
      </c>
      <c r="D2233" s="412" t="s">
        <v>45</v>
      </c>
      <c r="E2233" s="413" t="s">
        <v>42</v>
      </c>
      <c r="F2233" s="407" t="s">
        <v>43</v>
      </c>
      <c r="G2233" s="2622"/>
      <c r="H2233" s="2595"/>
    </row>
    <row r="2234" spans="1:8">
      <c r="A2234" s="852" t="s">
        <v>381</v>
      </c>
      <c r="B2234" s="853" t="s">
        <v>69</v>
      </c>
      <c r="C2234" s="853" t="s">
        <v>59</v>
      </c>
      <c r="D2234" s="853" t="s">
        <v>62</v>
      </c>
      <c r="E2234" s="853" t="s">
        <v>65</v>
      </c>
      <c r="F2234" s="854" t="s">
        <v>209</v>
      </c>
      <c r="G2234" s="415" t="s">
        <v>724</v>
      </c>
      <c r="H2234" s="491">
        <v>5000</v>
      </c>
    </row>
    <row r="2235" spans="1:8">
      <c r="A2235" s="852" t="s">
        <v>381</v>
      </c>
      <c r="B2235" s="853" t="s">
        <v>69</v>
      </c>
      <c r="C2235" s="853" t="s">
        <v>59</v>
      </c>
      <c r="D2235" s="853" t="s">
        <v>62</v>
      </c>
      <c r="E2235" s="853" t="s">
        <v>65</v>
      </c>
      <c r="F2235" s="856" t="s">
        <v>726</v>
      </c>
      <c r="G2235" s="416" t="s">
        <v>727</v>
      </c>
      <c r="H2235" s="491">
        <f>8000-420.12</f>
        <v>7579.88</v>
      </c>
    </row>
    <row r="2236" spans="1:8">
      <c r="A2236" s="852" t="s">
        <v>381</v>
      </c>
      <c r="B2236" s="853" t="s">
        <v>69</v>
      </c>
      <c r="C2236" s="853" t="s">
        <v>59</v>
      </c>
      <c r="D2236" s="853" t="s">
        <v>62</v>
      </c>
      <c r="E2236" s="853" t="s">
        <v>65</v>
      </c>
      <c r="F2236" s="425">
        <v>54112</v>
      </c>
      <c r="G2236" s="416" t="s">
        <v>728</v>
      </c>
      <c r="H2236" s="492">
        <v>929</v>
      </c>
    </row>
    <row r="2237" spans="1:8">
      <c r="A2237" s="852" t="s">
        <v>381</v>
      </c>
      <c r="B2237" s="853" t="s">
        <v>69</v>
      </c>
      <c r="C2237" s="853" t="s">
        <v>59</v>
      </c>
      <c r="D2237" s="853" t="s">
        <v>62</v>
      </c>
      <c r="E2237" s="853" t="s">
        <v>65</v>
      </c>
      <c r="F2237" s="425">
        <v>54118</v>
      </c>
      <c r="G2237" s="416" t="s">
        <v>729</v>
      </c>
      <c r="H2237" s="492">
        <v>430.97</v>
      </c>
    </row>
    <row r="2238" spans="1:8">
      <c r="A2238" s="852" t="s">
        <v>381</v>
      </c>
      <c r="B2238" s="853" t="s">
        <v>69</v>
      </c>
      <c r="C2238" s="853" t="s">
        <v>59</v>
      </c>
      <c r="D2238" s="853" t="s">
        <v>62</v>
      </c>
      <c r="E2238" s="853" t="s">
        <v>65</v>
      </c>
      <c r="F2238" s="425">
        <v>54199</v>
      </c>
      <c r="G2238" s="419" t="s">
        <v>730</v>
      </c>
      <c r="H2238" s="492">
        <v>300</v>
      </c>
    </row>
    <row r="2239" spans="1:8">
      <c r="A2239" s="852" t="s">
        <v>381</v>
      </c>
      <c r="B2239" s="853" t="s">
        <v>69</v>
      </c>
      <c r="C2239" s="853" t="s">
        <v>59</v>
      </c>
      <c r="D2239" s="853" t="s">
        <v>62</v>
      </c>
      <c r="E2239" s="853" t="s">
        <v>65</v>
      </c>
      <c r="F2239" s="487">
        <v>34304</v>
      </c>
      <c r="G2239" s="419" t="s">
        <v>983</v>
      </c>
      <c r="H2239" s="492">
        <v>200</v>
      </c>
    </row>
    <row r="2240" spans="1:8">
      <c r="A2240" s="852" t="s">
        <v>381</v>
      </c>
      <c r="B2240" s="853" t="s">
        <v>69</v>
      </c>
      <c r="C2240" s="853" t="s">
        <v>59</v>
      </c>
      <c r="D2240" s="853" t="s">
        <v>62</v>
      </c>
      <c r="E2240" s="853" t="s">
        <v>65</v>
      </c>
      <c r="F2240" s="487">
        <v>61608</v>
      </c>
      <c r="G2240" s="419" t="s">
        <v>731</v>
      </c>
      <c r="H2240" s="492">
        <v>750</v>
      </c>
    </row>
    <row r="2241" spans="1:8" ht="15.75" thickBot="1">
      <c r="A2241" s="1058"/>
      <c r="B2241" s="1059"/>
      <c r="C2241" s="1059"/>
      <c r="D2241" s="1059"/>
      <c r="E2241" s="1060"/>
      <c r="F2241" s="1061"/>
      <c r="G2241" s="1062"/>
      <c r="H2241" s="1072">
        <f>SUM(H2234:H2240)</f>
        <v>15189.85</v>
      </c>
    </row>
    <row r="2242" spans="1:8" ht="15.75" thickBot="1">
      <c r="A2242" s="200"/>
      <c r="B2242" s="200"/>
      <c r="C2242" s="201"/>
      <c r="D2242" s="202"/>
      <c r="E2242" s="202"/>
      <c r="F2242" s="202"/>
      <c r="G2242" s="21"/>
      <c r="H2242" s="203"/>
    </row>
    <row r="2243" spans="1:8">
      <c r="A2243" s="2541" t="s">
        <v>732</v>
      </c>
      <c r="B2243" s="2542"/>
      <c r="C2243" s="2542"/>
      <c r="D2243" s="2542"/>
      <c r="E2243" s="2542"/>
      <c r="F2243" s="2542"/>
      <c r="G2243" s="2543" t="s">
        <v>1021</v>
      </c>
      <c r="H2243" s="2544"/>
    </row>
    <row r="2244" spans="1:8">
      <c r="A2244" s="857"/>
      <c r="B2244" s="47"/>
      <c r="C2244" s="160"/>
      <c r="D2244" s="160"/>
      <c r="E2244" s="160"/>
      <c r="F2244" s="160"/>
      <c r="G2244" s="858"/>
      <c r="H2244" s="859"/>
    </row>
    <row r="2245" spans="1:8" ht="14.25">
      <c r="A2245" s="2551" t="s">
        <v>1178</v>
      </c>
      <c r="B2245" s="2598"/>
      <c r="C2245" s="2598"/>
      <c r="D2245" s="2598"/>
      <c r="E2245" s="2598"/>
      <c r="F2245" s="2552"/>
      <c r="G2245" s="2551" t="s">
        <v>734</v>
      </c>
      <c r="H2245" s="2552"/>
    </row>
    <row r="2246" spans="1:8">
      <c r="A2246" s="2553" t="s">
        <v>1179</v>
      </c>
      <c r="B2246" s="2554"/>
      <c r="C2246" s="2554"/>
      <c r="D2246" s="2554"/>
      <c r="E2246" s="2554"/>
      <c r="F2246" s="2555"/>
      <c r="G2246" s="858"/>
      <c r="H2246" s="859"/>
    </row>
    <row r="2247" spans="1:8" ht="14.25">
      <c r="A2247" s="2556"/>
      <c r="B2247" s="2557"/>
      <c r="C2247" s="2557"/>
      <c r="D2247" s="2557"/>
      <c r="E2247" s="2557"/>
      <c r="F2247" s="2558"/>
      <c r="G2247" s="2559" t="s">
        <v>695</v>
      </c>
      <c r="H2247" s="2552"/>
    </row>
    <row r="2248" spans="1:8">
      <c r="A2248" s="857"/>
      <c r="B2248" s="47"/>
      <c r="C2248" s="47"/>
      <c r="D2248" s="47"/>
      <c r="E2248" s="47"/>
      <c r="F2248" s="47"/>
      <c r="G2248" s="860"/>
      <c r="H2248" s="859"/>
    </row>
    <row r="2249" spans="1:8" thickBot="1">
      <c r="A2249" s="2560" t="s">
        <v>692</v>
      </c>
      <c r="B2249" s="2561"/>
      <c r="C2249" s="2561"/>
      <c r="D2249" s="2561"/>
      <c r="E2249" s="2561"/>
      <c r="F2249" s="2562"/>
      <c r="G2249" s="2563" t="s">
        <v>696</v>
      </c>
      <c r="H2249" s="2562"/>
    </row>
    <row r="2250" spans="1:8">
      <c r="A2250" s="1056"/>
      <c r="B2250" s="554"/>
      <c r="C2250" s="554"/>
      <c r="D2250" s="554"/>
      <c r="E2250" s="554"/>
      <c r="F2250" s="554"/>
      <c r="G2250" s="1057"/>
      <c r="H2250" s="554"/>
    </row>
    <row r="2251" spans="1:8">
      <c r="A2251" s="1056"/>
      <c r="B2251" s="554"/>
      <c r="C2251" s="554"/>
      <c r="D2251" s="554"/>
      <c r="E2251" s="554"/>
      <c r="F2251" s="554"/>
      <c r="G2251" s="1057"/>
      <c r="H2251" s="554"/>
    </row>
    <row r="2252" spans="1:8">
      <c r="A2252" s="1056"/>
      <c r="B2252" s="554"/>
      <c r="C2252" s="554"/>
      <c r="D2252" s="554"/>
      <c r="E2252" s="554"/>
      <c r="F2252" s="554"/>
      <c r="G2252" s="1057"/>
      <c r="H2252" s="554"/>
    </row>
    <row r="2253" spans="1:8">
      <c r="A2253" s="1056"/>
      <c r="B2253" s="554"/>
      <c r="C2253" s="554"/>
      <c r="D2253" s="554"/>
      <c r="E2253" s="554"/>
      <c r="F2253" s="554"/>
      <c r="G2253" s="1057"/>
      <c r="H2253" s="554"/>
    </row>
    <row r="2254" spans="1:8">
      <c r="A2254" s="1056"/>
      <c r="B2254" s="554"/>
      <c r="C2254" s="554"/>
      <c r="D2254" s="554"/>
      <c r="E2254" s="554"/>
      <c r="F2254" s="554"/>
      <c r="G2254" s="1057"/>
      <c r="H2254" s="554"/>
    </row>
    <row r="2255" spans="1:8" ht="18.75">
      <c r="A2255" s="2800" t="s">
        <v>801</v>
      </c>
      <c r="B2255" s="2801"/>
      <c r="C2255" s="2801"/>
      <c r="D2255" s="2801"/>
      <c r="E2255" s="2801"/>
      <c r="F2255" s="2801"/>
      <c r="G2255" s="2801"/>
      <c r="H2255" s="2801"/>
    </row>
    <row r="2256" spans="1:8" ht="30.75" customHeight="1">
      <c r="A2256" s="2430" t="s">
        <v>29</v>
      </c>
      <c r="B2256" s="2802"/>
      <c r="C2256" s="2802"/>
      <c r="D2256" s="2802"/>
      <c r="E2256" s="2802"/>
      <c r="F2256" s="2802"/>
      <c r="G2256" s="2803" t="s">
        <v>640</v>
      </c>
      <c r="H2256" s="2804" t="s">
        <v>639</v>
      </c>
    </row>
    <row r="2257" spans="1:12" ht="75">
      <c r="A2257" s="1092" t="s">
        <v>39</v>
      </c>
      <c r="B2257" s="1093" t="s">
        <v>40</v>
      </c>
      <c r="C2257" s="1093" t="s">
        <v>41</v>
      </c>
      <c r="D2257" s="1093" t="s">
        <v>45</v>
      </c>
      <c r="E2257" s="1093" t="s">
        <v>42</v>
      </c>
      <c r="F2257" s="1094" t="s">
        <v>43</v>
      </c>
      <c r="G2257" s="2138"/>
      <c r="H2257" s="2804"/>
    </row>
    <row r="2258" spans="1:12">
      <c r="A2258" s="185" t="s">
        <v>381</v>
      </c>
      <c r="B2258" s="185" t="s">
        <v>69</v>
      </c>
      <c r="C2258" s="185" t="s">
        <v>59</v>
      </c>
      <c r="D2258" s="185" t="s">
        <v>62</v>
      </c>
      <c r="E2258" s="185" t="s">
        <v>65</v>
      </c>
      <c r="F2258" s="470">
        <v>51202</v>
      </c>
      <c r="G2258" s="471" t="s">
        <v>759</v>
      </c>
      <c r="H2258" s="1095">
        <v>800</v>
      </c>
    </row>
    <row r="2259" spans="1:12">
      <c r="A2259" s="185" t="s">
        <v>381</v>
      </c>
      <c r="B2259" s="185" t="s">
        <v>69</v>
      </c>
      <c r="C2259" s="185" t="s">
        <v>59</v>
      </c>
      <c r="D2259" s="185" t="s">
        <v>62</v>
      </c>
      <c r="E2259" s="185" t="s">
        <v>65</v>
      </c>
      <c r="F2259" s="470">
        <v>54111</v>
      </c>
      <c r="G2259" s="471" t="s">
        <v>778</v>
      </c>
      <c r="H2259" s="1095">
        <v>1000</v>
      </c>
    </row>
    <row r="2260" spans="1:12">
      <c r="A2260" s="185" t="s">
        <v>381</v>
      </c>
      <c r="B2260" s="185" t="s">
        <v>69</v>
      </c>
      <c r="C2260" s="185" t="s">
        <v>59</v>
      </c>
      <c r="D2260" s="185" t="s">
        <v>62</v>
      </c>
      <c r="E2260" s="185" t="s">
        <v>65</v>
      </c>
      <c r="F2260" s="470">
        <v>54112</v>
      </c>
      <c r="G2260" s="471" t="s">
        <v>782</v>
      </c>
      <c r="H2260" s="1095">
        <v>800</v>
      </c>
    </row>
    <row r="2261" spans="1:12">
      <c r="A2261" s="185" t="s">
        <v>381</v>
      </c>
      <c r="B2261" s="185" t="s">
        <v>69</v>
      </c>
      <c r="C2261" s="185" t="s">
        <v>59</v>
      </c>
      <c r="D2261" s="185" t="s">
        <v>62</v>
      </c>
      <c r="E2261" s="185" t="s">
        <v>65</v>
      </c>
      <c r="F2261" s="470">
        <v>54118</v>
      </c>
      <c r="G2261" s="471" t="s">
        <v>746</v>
      </c>
      <c r="H2261" s="1095">
        <v>100</v>
      </c>
    </row>
    <row r="2262" spans="1:12">
      <c r="A2262" s="185" t="s">
        <v>381</v>
      </c>
      <c r="B2262" s="185" t="s">
        <v>69</v>
      </c>
      <c r="C2262" s="185" t="s">
        <v>59</v>
      </c>
      <c r="D2262" s="185" t="s">
        <v>62</v>
      </c>
      <c r="E2262" s="185" t="s">
        <v>65</v>
      </c>
      <c r="F2262" s="470">
        <v>54199</v>
      </c>
      <c r="G2262" s="471" t="s">
        <v>658</v>
      </c>
      <c r="H2262" s="1095">
        <v>150</v>
      </c>
    </row>
    <row r="2263" spans="1:12">
      <c r="A2263" s="185" t="s">
        <v>381</v>
      </c>
      <c r="B2263" s="185" t="s">
        <v>69</v>
      </c>
      <c r="C2263" s="185" t="s">
        <v>59</v>
      </c>
      <c r="D2263" s="185" t="s">
        <v>62</v>
      </c>
      <c r="E2263" s="185" t="s">
        <v>65</v>
      </c>
      <c r="F2263" s="472" t="s">
        <v>677</v>
      </c>
      <c r="G2263" s="471" t="s">
        <v>678</v>
      </c>
      <c r="H2263" s="1095">
        <v>150</v>
      </c>
    </row>
    <row r="2264" spans="1:12">
      <c r="A2264" s="185" t="s">
        <v>381</v>
      </c>
      <c r="B2264" s="185" t="s">
        <v>69</v>
      </c>
      <c r="C2264" s="185" t="s">
        <v>59</v>
      </c>
      <c r="D2264" s="185" t="s">
        <v>62</v>
      </c>
      <c r="E2264" s="185" t="s">
        <v>65</v>
      </c>
      <c r="F2264" s="473">
        <v>61608</v>
      </c>
      <c r="G2264" s="474" t="s">
        <v>780</v>
      </c>
      <c r="H2264" s="1096">
        <v>200</v>
      </c>
    </row>
    <row r="2265" spans="1:12">
      <c r="A2265" s="1098"/>
      <c r="B2265" s="1099"/>
      <c r="C2265" s="1099"/>
      <c r="D2265" s="1099"/>
      <c r="E2265" s="1099"/>
      <c r="F2265" s="1099"/>
      <c r="G2265" s="1100"/>
      <c r="H2265" s="1101">
        <f>SUM(H2258:H2264)</f>
        <v>3200</v>
      </c>
    </row>
    <row r="2266" spans="1:12">
      <c r="A2266" s="200"/>
      <c r="B2266" s="200"/>
      <c r="C2266" s="201"/>
      <c r="D2266" s="202"/>
      <c r="E2266" s="202"/>
      <c r="F2266" s="202"/>
      <c r="G2266" s="21"/>
      <c r="H2266" s="203"/>
    </row>
    <row r="2267" spans="1:12">
      <c r="A2267" s="2805" t="s">
        <v>693</v>
      </c>
      <c r="B2267" s="2031"/>
      <c r="C2267" s="2031"/>
      <c r="D2267" s="2031"/>
      <c r="E2267" s="2031"/>
      <c r="F2267" s="2031"/>
      <c r="G2267" s="2806" t="s">
        <v>715</v>
      </c>
      <c r="H2267" s="2806"/>
    </row>
    <row r="2268" spans="1:12">
      <c r="A2268" s="202"/>
      <c r="B2268" s="47"/>
      <c r="C2268" s="160"/>
      <c r="D2268" s="160"/>
      <c r="E2268" s="160"/>
      <c r="F2268" s="160"/>
      <c r="G2268" s="160"/>
      <c r="H2268" s="207"/>
    </row>
    <row r="2269" spans="1:12" ht="14.25">
      <c r="A2269" s="2807" t="s">
        <v>758</v>
      </c>
      <c r="B2269" s="2769"/>
      <c r="C2269" s="2769"/>
      <c r="D2269" s="2769"/>
      <c r="E2269" s="2769"/>
      <c r="F2269" s="2769"/>
      <c r="G2269" s="2807" t="s">
        <v>694</v>
      </c>
      <c r="H2269" s="2769"/>
    </row>
    <row r="2270" spans="1:12">
      <c r="A2270" s="2798" t="s">
        <v>819</v>
      </c>
      <c r="B2270" s="2798"/>
      <c r="C2270" s="2798"/>
      <c r="D2270" s="2798"/>
      <c r="E2270" s="2798"/>
      <c r="F2270" s="2798"/>
      <c r="G2270" s="160"/>
      <c r="H2270" s="207"/>
    </row>
    <row r="2271" spans="1:12" ht="14.25">
      <c r="A2271" s="2798"/>
      <c r="B2271" s="2798"/>
      <c r="C2271" s="2798"/>
      <c r="D2271" s="2798"/>
      <c r="E2271" s="2798"/>
      <c r="F2271" s="2798"/>
      <c r="G2271" s="2806" t="s">
        <v>695</v>
      </c>
      <c r="H2271" s="2769"/>
      <c r="L2271">
        <f>9550*26%</f>
        <v>2483</v>
      </c>
    </row>
    <row r="2272" spans="1:12">
      <c r="A2272" s="202"/>
      <c r="B2272" s="47"/>
      <c r="C2272" s="47"/>
      <c r="D2272" s="47"/>
      <c r="E2272" s="47"/>
      <c r="F2272" s="47"/>
      <c r="G2272" s="47"/>
      <c r="H2272" s="207"/>
    </row>
    <row r="2273" spans="1:8" ht="14.25">
      <c r="A2273" s="2798" t="s">
        <v>692</v>
      </c>
      <c r="B2273" s="2769"/>
      <c r="C2273" s="2769"/>
      <c r="D2273" s="2769"/>
      <c r="E2273" s="2769"/>
      <c r="F2273" s="2769"/>
      <c r="G2273" s="2799" t="s">
        <v>696</v>
      </c>
      <c r="H2273" s="2769"/>
    </row>
    <row r="2274" spans="1:8">
      <c r="A2274" s="200"/>
      <c r="B2274" s="198"/>
      <c r="C2274" s="851"/>
      <c r="D2274" s="41"/>
      <c r="E2274" s="41"/>
      <c r="F2274" s="41"/>
      <c r="G2274" s="21"/>
      <c r="H2274" s="203"/>
    </row>
    <row r="2275" spans="1:8">
      <c r="A2275" s="200"/>
      <c r="B2275" s="198"/>
      <c r="C2275" s="851"/>
      <c r="D2275" s="41"/>
      <c r="E2275" s="41"/>
      <c r="F2275" s="41"/>
      <c r="G2275" s="21"/>
      <c r="H2275" s="203"/>
    </row>
    <row r="2276" spans="1:8">
      <c r="A2276" s="200"/>
      <c r="B2276" s="198"/>
      <c r="C2276" s="851"/>
      <c r="D2276" s="41"/>
      <c r="E2276" s="41"/>
      <c r="F2276" s="41"/>
      <c r="G2276" s="21"/>
      <c r="H2276" s="203"/>
    </row>
    <row r="2277" spans="1:8" ht="18.75">
      <c r="A2277" s="2217" t="s">
        <v>111</v>
      </c>
      <c r="B2277" s="2164"/>
      <c r="C2277" s="2164"/>
      <c r="D2277" s="2164"/>
      <c r="E2277" s="2164"/>
      <c r="F2277" s="2164"/>
      <c r="G2277" s="2164"/>
      <c r="H2277" s="2164"/>
    </row>
    <row r="2278" spans="1:8" ht="18.75">
      <c r="A2278" s="2217" t="s">
        <v>757</v>
      </c>
      <c r="B2278" s="2164"/>
      <c r="C2278" s="2164"/>
      <c r="D2278" s="2164"/>
      <c r="E2278" s="2164"/>
      <c r="F2278" s="2164"/>
      <c r="G2278" s="2164"/>
      <c r="H2278" s="2164"/>
    </row>
    <row r="2279" spans="1:8" ht="18.75">
      <c r="A2279" s="2185" t="s">
        <v>211</v>
      </c>
      <c r="B2279" s="2164"/>
      <c r="C2279" s="2164"/>
      <c r="D2279" s="2164"/>
      <c r="E2279" s="2164"/>
      <c r="F2279" s="2164"/>
      <c r="G2279" s="2164"/>
      <c r="H2279" s="2164"/>
    </row>
    <row r="2280" spans="1:8" ht="18.75">
      <c r="A2280" s="2185" t="s">
        <v>641</v>
      </c>
      <c r="B2280" s="2164"/>
      <c r="C2280" s="2164"/>
      <c r="D2280" s="2164"/>
      <c r="E2280" s="2164"/>
      <c r="F2280" s="2164"/>
      <c r="G2280" s="2164"/>
      <c r="H2280" s="2164"/>
    </row>
    <row r="2281" spans="1:8" ht="18.75">
      <c r="A2281" s="2185" t="s">
        <v>32</v>
      </c>
      <c r="B2281" s="2164"/>
      <c r="C2281" s="2164"/>
      <c r="D2281" s="2164"/>
      <c r="E2281" s="2164"/>
      <c r="F2281" s="2164"/>
      <c r="G2281" s="2164"/>
      <c r="H2281" s="2164"/>
    </row>
    <row r="2282" spans="1:8">
      <c r="A2282" s="850"/>
      <c r="B2282" s="198"/>
      <c r="C2282" s="851"/>
      <c r="D2282" s="41"/>
      <c r="E2282" s="41"/>
      <c r="F2282" s="41"/>
      <c r="G2282" s="21"/>
      <c r="H2282" s="203"/>
    </row>
    <row r="2283" spans="1:8" ht="18.75">
      <c r="A2283" s="2613" t="s">
        <v>49</v>
      </c>
      <c r="B2283" s="2613"/>
      <c r="C2283" s="2613"/>
      <c r="D2283" s="2613"/>
      <c r="E2283" s="2613"/>
      <c r="F2283" s="2613"/>
      <c r="G2283" s="2613"/>
      <c r="H2283" s="2613"/>
    </row>
    <row r="2284" spans="1:8" ht="18.75">
      <c r="A2284" s="2800" t="s">
        <v>802</v>
      </c>
      <c r="B2284" s="2801"/>
      <c r="C2284" s="2801"/>
      <c r="D2284" s="2801"/>
      <c r="E2284" s="2801"/>
      <c r="F2284" s="2801"/>
      <c r="G2284" s="2801"/>
      <c r="H2284" s="2801"/>
    </row>
    <row r="2285" spans="1:8">
      <c r="A2285" s="2430" t="s">
        <v>29</v>
      </c>
      <c r="B2285" s="2802"/>
      <c r="C2285" s="2802"/>
      <c r="D2285" s="2802"/>
      <c r="E2285" s="2802"/>
      <c r="F2285" s="2802"/>
      <c r="G2285" s="2803" t="s">
        <v>640</v>
      </c>
      <c r="H2285" s="2804" t="s">
        <v>639</v>
      </c>
    </row>
    <row r="2286" spans="1:8" ht="75">
      <c r="A2286" s="1092" t="s">
        <v>39</v>
      </c>
      <c r="B2286" s="1093" t="s">
        <v>40</v>
      </c>
      <c r="C2286" s="1093" t="s">
        <v>41</v>
      </c>
      <c r="D2286" s="1093" t="s">
        <v>45</v>
      </c>
      <c r="E2286" s="1093" t="s">
        <v>42</v>
      </c>
      <c r="F2286" s="1094" t="s">
        <v>43</v>
      </c>
      <c r="G2286" s="2138"/>
      <c r="H2286" s="2804"/>
    </row>
    <row r="2287" spans="1:8">
      <c r="A2287" s="185" t="s">
        <v>381</v>
      </c>
      <c r="B2287" s="185" t="s">
        <v>69</v>
      </c>
      <c r="C2287" s="185" t="s">
        <v>59</v>
      </c>
      <c r="D2287" s="185" t="s">
        <v>62</v>
      </c>
      <c r="E2287" s="185" t="s">
        <v>65</v>
      </c>
      <c r="F2287" s="470">
        <v>51202</v>
      </c>
      <c r="G2287" s="471" t="s">
        <v>759</v>
      </c>
      <c r="H2287" s="1095">
        <v>2400</v>
      </c>
    </row>
    <row r="2288" spans="1:8">
      <c r="A2288" s="185" t="s">
        <v>381</v>
      </c>
      <c r="B2288" s="185" t="s">
        <v>69</v>
      </c>
      <c r="C2288" s="185" t="s">
        <v>59</v>
      </c>
      <c r="D2288" s="185" t="s">
        <v>62</v>
      </c>
      <c r="E2288" s="185" t="s">
        <v>65</v>
      </c>
      <c r="F2288" s="470">
        <v>54111</v>
      </c>
      <c r="G2288" s="471" t="s">
        <v>778</v>
      </c>
      <c r="H2288" s="1095">
        <v>5500</v>
      </c>
    </row>
    <row r="2289" spans="1:8">
      <c r="A2289" s="185" t="s">
        <v>381</v>
      </c>
      <c r="B2289" s="185" t="s">
        <v>69</v>
      </c>
      <c r="C2289" s="185" t="s">
        <v>59</v>
      </c>
      <c r="D2289" s="185" t="s">
        <v>62</v>
      </c>
      <c r="E2289" s="185" t="s">
        <v>65</v>
      </c>
      <c r="F2289" s="470">
        <v>54112</v>
      </c>
      <c r="G2289" s="471" t="s">
        <v>782</v>
      </c>
      <c r="H2289" s="1095">
        <v>200</v>
      </c>
    </row>
    <row r="2290" spans="1:8">
      <c r="A2290" s="185" t="s">
        <v>381</v>
      </c>
      <c r="B2290" s="185" t="s">
        <v>69</v>
      </c>
      <c r="C2290" s="185" t="s">
        <v>59</v>
      </c>
      <c r="D2290" s="185" t="s">
        <v>62</v>
      </c>
      <c r="E2290" s="185" t="s">
        <v>65</v>
      </c>
      <c r="F2290" s="470">
        <v>54118</v>
      </c>
      <c r="G2290" s="471" t="s">
        <v>746</v>
      </c>
      <c r="H2290" s="1095">
        <v>200</v>
      </c>
    </row>
    <row r="2291" spans="1:8">
      <c r="A2291" s="185" t="s">
        <v>381</v>
      </c>
      <c r="B2291" s="185" t="s">
        <v>69</v>
      </c>
      <c r="C2291" s="185" t="s">
        <v>59</v>
      </c>
      <c r="D2291" s="185" t="s">
        <v>62</v>
      </c>
      <c r="E2291" s="185" t="s">
        <v>65</v>
      </c>
      <c r="F2291" s="470">
        <v>54199</v>
      </c>
      <c r="G2291" s="471" t="s">
        <v>658</v>
      </c>
      <c r="H2291" s="1095">
        <v>200</v>
      </c>
    </row>
    <row r="2292" spans="1:8">
      <c r="A2292" s="185" t="s">
        <v>381</v>
      </c>
      <c r="B2292" s="185" t="s">
        <v>69</v>
      </c>
      <c r="C2292" s="185" t="s">
        <v>59</v>
      </c>
      <c r="D2292" s="185" t="s">
        <v>62</v>
      </c>
      <c r="E2292" s="185" t="s">
        <v>65</v>
      </c>
      <c r="F2292" s="472" t="s">
        <v>677</v>
      </c>
      <c r="G2292" s="471" t="s">
        <v>678</v>
      </c>
      <c r="H2292" s="1095">
        <v>1000</v>
      </c>
    </row>
    <row r="2293" spans="1:8">
      <c r="A2293" s="185" t="s">
        <v>381</v>
      </c>
      <c r="B2293" s="185" t="s">
        <v>69</v>
      </c>
      <c r="C2293" s="185" t="s">
        <v>59</v>
      </c>
      <c r="D2293" s="185" t="s">
        <v>62</v>
      </c>
      <c r="E2293" s="185" t="s">
        <v>65</v>
      </c>
      <c r="F2293" s="473">
        <v>61608</v>
      </c>
      <c r="G2293" s="474" t="s">
        <v>780</v>
      </c>
      <c r="H2293" s="1095">
        <v>500</v>
      </c>
    </row>
    <row r="2294" spans="1:8">
      <c r="A2294" s="1098"/>
      <c r="B2294" s="1099"/>
      <c r="C2294" s="1099"/>
      <c r="D2294" s="1099"/>
      <c r="E2294" s="1099"/>
      <c r="F2294" s="1099"/>
      <c r="G2294" s="1100"/>
      <c r="H2294" s="1101">
        <f>SUM(H2287:H2293)</f>
        <v>10000</v>
      </c>
    </row>
    <row r="2295" spans="1:8">
      <c r="A2295" s="200"/>
      <c r="B2295" s="200"/>
      <c r="C2295" s="201"/>
      <c r="D2295" s="202"/>
      <c r="E2295" s="202"/>
      <c r="F2295" s="202"/>
      <c r="G2295" s="21"/>
      <c r="H2295" s="203"/>
    </row>
    <row r="2296" spans="1:8">
      <c r="A2296" s="2805" t="s">
        <v>693</v>
      </c>
      <c r="B2296" s="2031"/>
      <c r="C2296" s="2031"/>
      <c r="D2296" s="2031"/>
      <c r="E2296" s="2031"/>
      <c r="F2296" s="2031"/>
      <c r="G2296" s="2806" t="s">
        <v>715</v>
      </c>
      <c r="H2296" s="2806"/>
    </row>
    <row r="2297" spans="1:8">
      <c r="A2297" s="202"/>
      <c r="B2297" s="47"/>
      <c r="C2297" s="160"/>
      <c r="D2297" s="160"/>
      <c r="E2297" s="160"/>
      <c r="F2297" s="160"/>
      <c r="G2297" s="160"/>
      <c r="H2297" s="207"/>
    </row>
    <row r="2298" spans="1:8" ht="14.25">
      <c r="A2298" s="2807" t="s">
        <v>804</v>
      </c>
      <c r="B2298" s="2769"/>
      <c r="C2298" s="2769"/>
      <c r="D2298" s="2769"/>
      <c r="E2298" s="2769"/>
      <c r="F2298" s="2769"/>
      <c r="G2298" s="2807" t="s">
        <v>694</v>
      </c>
      <c r="H2298" s="2769"/>
    </row>
    <row r="2299" spans="1:8">
      <c r="A2299" s="2798" t="s">
        <v>781</v>
      </c>
      <c r="B2299" s="2798"/>
      <c r="C2299" s="2798"/>
      <c r="D2299" s="2798"/>
      <c r="E2299" s="2798"/>
      <c r="F2299" s="2798"/>
      <c r="G2299" s="160"/>
      <c r="H2299" s="207"/>
    </row>
    <row r="2300" spans="1:8" ht="14.25">
      <c r="A2300" s="2798"/>
      <c r="B2300" s="2798"/>
      <c r="C2300" s="2798"/>
      <c r="D2300" s="2798"/>
      <c r="E2300" s="2798"/>
      <c r="F2300" s="2798"/>
      <c r="G2300" s="2806" t="s">
        <v>695</v>
      </c>
      <c r="H2300" s="2769"/>
    </row>
    <row r="2301" spans="1:8">
      <c r="A2301" s="202"/>
      <c r="B2301" s="47"/>
      <c r="C2301" s="47"/>
      <c r="D2301" s="47"/>
      <c r="E2301" s="47"/>
      <c r="F2301" s="47"/>
      <c r="G2301" s="47"/>
      <c r="H2301" s="207"/>
    </row>
    <row r="2302" spans="1:8" ht="14.25">
      <c r="A2302" s="2798" t="s">
        <v>692</v>
      </c>
      <c r="B2302" s="2769"/>
      <c r="C2302" s="2769"/>
      <c r="D2302" s="2769"/>
      <c r="E2302" s="2769"/>
      <c r="F2302" s="2769"/>
      <c r="G2302" s="2799" t="s">
        <v>696</v>
      </c>
      <c r="H2302" s="2769"/>
    </row>
    <row r="2303" spans="1:8">
      <c r="A2303" s="200"/>
      <c r="B2303" s="198"/>
      <c r="C2303" s="851"/>
      <c r="D2303" s="41"/>
      <c r="E2303" s="41"/>
      <c r="F2303" s="41"/>
      <c r="G2303" s="21"/>
      <c r="H2303" s="203"/>
    </row>
    <row r="2304" spans="1:8">
      <c r="A2304" s="200"/>
      <c r="B2304" s="198"/>
      <c r="C2304" s="851"/>
      <c r="D2304" s="41"/>
      <c r="E2304" s="41"/>
      <c r="F2304" s="41"/>
      <c r="G2304" s="21"/>
      <c r="H2304" s="203"/>
    </row>
    <row r="2305" spans="1:8" ht="18.75">
      <c r="A2305" s="2217" t="s">
        <v>111</v>
      </c>
      <c r="B2305" s="2217"/>
      <c r="C2305" s="2217"/>
      <c r="D2305" s="2217"/>
      <c r="E2305" s="2217"/>
      <c r="F2305" s="2217"/>
      <c r="G2305" s="2217"/>
      <c r="H2305" s="2217"/>
    </row>
    <row r="2306" spans="1:8" ht="18.75">
      <c r="A2306" s="2217" t="s">
        <v>757</v>
      </c>
      <c r="B2306" s="2217"/>
      <c r="C2306" s="2217"/>
      <c r="D2306" s="2217"/>
      <c r="E2306" s="2217"/>
      <c r="F2306" s="2217"/>
      <c r="G2306" s="2217"/>
      <c r="H2306" s="2217"/>
    </row>
    <row r="2307" spans="1:8" ht="18.75">
      <c r="A2307" s="2185" t="s">
        <v>211</v>
      </c>
      <c r="B2307" s="2185"/>
      <c r="C2307" s="2185"/>
      <c r="D2307" s="2185"/>
      <c r="E2307" s="2185"/>
      <c r="F2307" s="2185"/>
      <c r="G2307" s="2185"/>
      <c r="H2307" s="2185"/>
    </row>
    <row r="2308" spans="1:8" ht="18.75">
      <c r="A2308" s="2185" t="s">
        <v>1006</v>
      </c>
      <c r="B2308" s="2185"/>
      <c r="C2308" s="2185"/>
      <c r="D2308" s="2185"/>
      <c r="E2308" s="2185"/>
      <c r="F2308" s="2185"/>
      <c r="G2308" s="2185"/>
      <c r="H2308" s="2185"/>
    </row>
    <row r="2309" spans="1:8" ht="18.75">
      <c r="A2309" s="2185" t="s">
        <v>32</v>
      </c>
      <c r="B2309" s="2185"/>
      <c r="C2309" s="2185"/>
      <c r="D2309" s="2185"/>
      <c r="E2309" s="2185"/>
      <c r="F2309" s="2185"/>
      <c r="G2309" s="2185"/>
      <c r="H2309" s="2185"/>
    </row>
    <row r="2310" spans="1:8">
      <c r="A2310" s="850"/>
      <c r="B2310" s="198"/>
      <c r="C2310" s="851"/>
      <c r="D2310" s="41"/>
      <c r="E2310" s="41"/>
      <c r="F2310" s="41"/>
      <c r="G2310" s="21"/>
      <c r="H2310" s="203"/>
    </row>
    <row r="2311" spans="1:8" ht="18.75">
      <c r="A2311" s="2613" t="s">
        <v>49</v>
      </c>
      <c r="B2311" s="2613"/>
      <c r="C2311" s="2613"/>
      <c r="D2311" s="2613"/>
      <c r="E2311" s="2613"/>
      <c r="F2311" s="2613"/>
      <c r="G2311" s="2613"/>
      <c r="H2311" s="2613"/>
    </row>
    <row r="2312" spans="1:8" ht="33" customHeight="1" thickBot="1">
      <c r="A2312" s="2809" t="s">
        <v>1180</v>
      </c>
      <c r="B2312" s="2810"/>
      <c r="C2312" s="2810"/>
      <c r="D2312" s="2810"/>
      <c r="E2312" s="2810"/>
      <c r="F2312" s="2810"/>
      <c r="G2312" s="2810"/>
      <c r="H2312" s="2810"/>
    </row>
    <row r="2313" spans="1:8" ht="15.75" thickBot="1">
      <c r="A2313" s="2606" t="s">
        <v>29</v>
      </c>
      <c r="B2313" s="2620"/>
      <c r="C2313" s="2620"/>
      <c r="D2313" s="2620"/>
      <c r="E2313" s="2620"/>
      <c r="F2313" s="2621"/>
      <c r="G2313" s="2609" t="s">
        <v>640</v>
      </c>
      <c r="H2313" s="2610" t="s">
        <v>639</v>
      </c>
    </row>
    <row r="2314" spans="1:8" ht="75.75" thickBot="1">
      <c r="A2314" s="411" t="s">
        <v>39</v>
      </c>
      <c r="B2314" s="412" t="s">
        <v>40</v>
      </c>
      <c r="C2314" s="412" t="s">
        <v>41</v>
      </c>
      <c r="D2314" s="412" t="s">
        <v>45</v>
      </c>
      <c r="E2314" s="413" t="s">
        <v>42</v>
      </c>
      <c r="F2314" s="407" t="s">
        <v>43</v>
      </c>
      <c r="G2314" s="2622"/>
      <c r="H2314" s="2595"/>
    </row>
    <row r="2315" spans="1:8">
      <c r="A2315" s="852" t="s">
        <v>381</v>
      </c>
      <c r="B2315" s="853" t="s">
        <v>69</v>
      </c>
      <c r="C2315" s="853" t="s">
        <v>59</v>
      </c>
      <c r="D2315" s="853" t="s">
        <v>62</v>
      </c>
      <c r="E2315" s="853" t="s">
        <v>65</v>
      </c>
      <c r="F2315" s="854" t="s">
        <v>209</v>
      </c>
      <c r="G2315" s="415" t="s">
        <v>724</v>
      </c>
      <c r="H2315" s="491">
        <v>3300</v>
      </c>
    </row>
    <row r="2316" spans="1:8">
      <c r="A2316" s="852" t="s">
        <v>381</v>
      </c>
      <c r="B2316" s="853" t="s">
        <v>69</v>
      </c>
      <c r="C2316" s="853" t="s">
        <v>59</v>
      </c>
      <c r="D2316" s="853" t="s">
        <v>62</v>
      </c>
      <c r="E2316" s="853" t="s">
        <v>65</v>
      </c>
      <c r="F2316" s="856" t="s">
        <v>726</v>
      </c>
      <c r="G2316" s="416" t="s">
        <v>727</v>
      </c>
      <c r="H2316" s="491">
        <v>5000</v>
      </c>
    </row>
    <row r="2317" spans="1:8">
      <c r="A2317" s="852" t="s">
        <v>381</v>
      </c>
      <c r="B2317" s="853" t="s">
        <v>69</v>
      </c>
      <c r="C2317" s="853" t="s">
        <v>59</v>
      </c>
      <c r="D2317" s="853" t="s">
        <v>62</v>
      </c>
      <c r="E2317" s="853" t="s">
        <v>65</v>
      </c>
      <c r="F2317" s="425">
        <v>54112</v>
      </c>
      <c r="G2317" s="416" t="s">
        <v>728</v>
      </c>
      <c r="H2317" s="492">
        <v>500</v>
      </c>
    </row>
    <row r="2318" spans="1:8">
      <c r="A2318" s="852" t="s">
        <v>381</v>
      </c>
      <c r="B2318" s="853" t="s">
        <v>69</v>
      </c>
      <c r="C2318" s="853" t="s">
        <v>59</v>
      </c>
      <c r="D2318" s="853" t="s">
        <v>62</v>
      </c>
      <c r="E2318" s="853" t="s">
        <v>65</v>
      </c>
      <c r="F2318" s="425">
        <v>54118</v>
      </c>
      <c r="G2318" s="416" t="s">
        <v>729</v>
      </c>
      <c r="H2318" s="492">
        <v>300</v>
      </c>
    </row>
    <row r="2319" spans="1:8">
      <c r="A2319" s="852" t="s">
        <v>381</v>
      </c>
      <c r="B2319" s="853" t="s">
        <v>69</v>
      </c>
      <c r="C2319" s="853" t="s">
        <v>59</v>
      </c>
      <c r="D2319" s="853" t="s">
        <v>62</v>
      </c>
      <c r="E2319" s="853" t="s">
        <v>65</v>
      </c>
      <c r="F2319" s="425">
        <v>54199</v>
      </c>
      <c r="G2319" s="419" t="s">
        <v>730</v>
      </c>
      <c r="H2319" s="492">
        <v>200</v>
      </c>
    </row>
    <row r="2320" spans="1:8">
      <c r="A2320" s="852" t="s">
        <v>381</v>
      </c>
      <c r="B2320" s="853" t="s">
        <v>69</v>
      </c>
      <c r="C2320" s="853" t="s">
        <v>59</v>
      </c>
      <c r="D2320" s="853" t="s">
        <v>62</v>
      </c>
      <c r="E2320" s="853" t="s">
        <v>65</v>
      </c>
      <c r="F2320" s="487">
        <v>34304</v>
      </c>
      <c r="G2320" s="419" t="s">
        <v>983</v>
      </c>
      <c r="H2320" s="492">
        <v>200</v>
      </c>
    </row>
    <row r="2321" spans="1:8">
      <c r="A2321" s="852" t="s">
        <v>381</v>
      </c>
      <c r="B2321" s="853" t="s">
        <v>69</v>
      </c>
      <c r="C2321" s="853" t="s">
        <v>59</v>
      </c>
      <c r="D2321" s="853" t="s">
        <v>62</v>
      </c>
      <c r="E2321" s="853" t="s">
        <v>65</v>
      </c>
      <c r="F2321" s="487">
        <v>61608</v>
      </c>
      <c r="G2321" s="419" t="s">
        <v>731</v>
      </c>
      <c r="H2321" s="492">
        <v>500</v>
      </c>
    </row>
    <row r="2322" spans="1:8" ht="15.75" thickBot="1">
      <c r="A2322" s="1058"/>
      <c r="B2322" s="1059"/>
      <c r="C2322" s="1059"/>
      <c r="D2322" s="1059"/>
      <c r="E2322" s="1060"/>
      <c r="F2322" s="1061"/>
      <c r="G2322" s="1062"/>
      <c r="H2322" s="1072">
        <f>SUM(H2315:H2321)</f>
        <v>10000</v>
      </c>
    </row>
    <row r="2323" spans="1:8" ht="15.75" thickBot="1">
      <c r="A2323" s="200"/>
      <c r="B2323" s="200"/>
      <c r="C2323" s="201"/>
      <c r="D2323" s="202"/>
      <c r="E2323" s="202"/>
      <c r="F2323" s="202"/>
      <c r="G2323" s="21"/>
      <c r="H2323" s="203"/>
    </row>
    <row r="2324" spans="1:8">
      <c r="A2324" s="2541" t="s">
        <v>732</v>
      </c>
      <c r="B2324" s="2542"/>
      <c r="C2324" s="2542"/>
      <c r="D2324" s="2542"/>
      <c r="E2324" s="2542"/>
      <c r="F2324" s="2542"/>
      <c r="G2324" s="2543" t="s">
        <v>1021</v>
      </c>
      <c r="H2324" s="2544"/>
    </row>
    <row r="2325" spans="1:8">
      <c r="A2325" s="857"/>
      <c r="B2325" s="47"/>
      <c r="C2325" s="160"/>
      <c r="D2325" s="160"/>
      <c r="E2325" s="160"/>
      <c r="F2325" s="160"/>
      <c r="G2325" s="858"/>
      <c r="H2325" s="859"/>
    </row>
    <row r="2326" spans="1:8" ht="33.75" customHeight="1">
      <c r="A2326" s="2551" t="s">
        <v>1180</v>
      </c>
      <c r="B2326" s="2598"/>
      <c r="C2326" s="2598"/>
      <c r="D2326" s="2598"/>
      <c r="E2326" s="2598"/>
      <c r="F2326" s="2552"/>
      <c r="G2326" s="2551" t="s">
        <v>734</v>
      </c>
      <c r="H2326" s="2552"/>
    </row>
    <row r="2327" spans="1:8">
      <c r="A2327" s="2553" t="s">
        <v>1181</v>
      </c>
      <c r="B2327" s="2554"/>
      <c r="C2327" s="2554"/>
      <c r="D2327" s="2554"/>
      <c r="E2327" s="2554"/>
      <c r="F2327" s="2555"/>
      <c r="G2327" s="858"/>
      <c r="H2327" s="859"/>
    </row>
    <row r="2328" spans="1:8" ht="14.25">
      <c r="A2328" s="2556"/>
      <c r="B2328" s="2557"/>
      <c r="C2328" s="2557"/>
      <c r="D2328" s="2557"/>
      <c r="E2328" s="2557"/>
      <c r="F2328" s="2558"/>
      <c r="G2328" s="2559" t="s">
        <v>695</v>
      </c>
      <c r="H2328" s="2552"/>
    </row>
    <row r="2329" spans="1:8">
      <c r="A2329" s="857"/>
      <c r="B2329" s="47"/>
      <c r="C2329" s="47"/>
      <c r="D2329" s="47"/>
      <c r="E2329" s="47"/>
      <c r="F2329" s="47"/>
      <c r="G2329" s="860"/>
      <c r="H2329" s="859"/>
    </row>
    <row r="2330" spans="1:8" thickBot="1">
      <c r="A2330" s="2560" t="s">
        <v>692</v>
      </c>
      <c r="B2330" s="2561"/>
      <c r="C2330" s="2561"/>
      <c r="D2330" s="2561"/>
      <c r="E2330" s="2561"/>
      <c r="F2330" s="2562"/>
      <c r="G2330" s="2563" t="s">
        <v>696</v>
      </c>
      <c r="H2330" s="2562"/>
    </row>
    <row r="2331" spans="1:8">
      <c r="A2331" s="1056"/>
      <c r="B2331" s="554"/>
      <c r="C2331" s="554"/>
      <c r="D2331" s="554"/>
      <c r="E2331" s="554"/>
      <c r="F2331" s="554"/>
      <c r="G2331" s="1057"/>
      <c r="H2331" s="554"/>
    </row>
    <row r="2332" spans="1:8">
      <c r="A2332" s="200"/>
      <c r="B2332" s="198"/>
      <c r="C2332" s="851"/>
      <c r="D2332" s="41"/>
      <c r="E2332" s="41"/>
      <c r="F2332" s="41"/>
      <c r="G2332" s="21"/>
      <c r="H2332" s="203"/>
    </row>
    <row r="2333" spans="1:8">
      <c r="A2333" s="200"/>
      <c r="B2333" s="198"/>
      <c r="C2333" s="851"/>
      <c r="D2333" s="41"/>
      <c r="E2333" s="41"/>
      <c r="F2333" s="41"/>
      <c r="G2333" s="21"/>
      <c r="H2333" s="203"/>
    </row>
    <row r="2334" spans="1:8">
      <c r="A2334" s="200"/>
      <c r="B2334" s="198"/>
      <c r="C2334" s="851"/>
      <c r="D2334" s="41"/>
      <c r="E2334" s="41"/>
      <c r="F2334" s="41"/>
      <c r="G2334" s="21"/>
      <c r="H2334" s="203"/>
    </row>
    <row r="2335" spans="1:8">
      <c r="A2335" s="200"/>
      <c r="B2335" s="198"/>
      <c r="C2335" s="851"/>
      <c r="D2335" s="41"/>
      <c r="E2335" s="41"/>
      <c r="F2335" s="41"/>
      <c r="G2335" s="21"/>
      <c r="H2335" s="203"/>
    </row>
    <row r="2336" spans="1:8">
      <c r="A2336" s="200"/>
      <c r="B2336" s="198"/>
      <c r="C2336" s="851"/>
      <c r="D2336" s="41"/>
      <c r="E2336" s="41"/>
      <c r="F2336" s="41"/>
      <c r="G2336" s="21"/>
      <c r="H2336" s="203"/>
    </row>
    <row r="2337" spans="1:8">
      <c r="A2337" s="200"/>
      <c r="B2337" s="198"/>
      <c r="C2337" s="851"/>
      <c r="D2337" s="41"/>
      <c r="E2337" s="41"/>
      <c r="F2337" s="41"/>
      <c r="G2337" s="21"/>
      <c r="H2337" s="203"/>
    </row>
    <row r="2338" spans="1:8">
      <c r="A2338" s="200"/>
      <c r="B2338" s="198"/>
      <c r="C2338" s="851"/>
      <c r="D2338" s="41"/>
      <c r="E2338" s="41"/>
      <c r="F2338" s="41"/>
      <c r="G2338" s="21"/>
      <c r="H2338" s="203"/>
    </row>
    <row r="2339" spans="1:8">
      <c r="A2339" s="200"/>
      <c r="B2339" s="198"/>
      <c r="C2339" s="851"/>
      <c r="D2339" s="41"/>
      <c r="E2339" s="41"/>
      <c r="F2339" s="41"/>
      <c r="G2339" s="21"/>
      <c r="H2339" s="203"/>
    </row>
    <row r="2340" spans="1:8">
      <c r="A2340" s="200"/>
      <c r="B2340" s="198"/>
      <c r="C2340" s="851"/>
      <c r="D2340" s="41"/>
      <c r="E2340" s="41"/>
      <c r="F2340" s="41"/>
      <c r="G2340" s="21"/>
      <c r="H2340" s="203"/>
    </row>
    <row r="2341" spans="1:8">
      <c r="A2341" s="200"/>
      <c r="B2341" s="198"/>
      <c r="C2341" s="851"/>
      <c r="D2341" s="41"/>
      <c r="E2341" s="41"/>
      <c r="F2341" s="41"/>
      <c r="G2341" s="21"/>
      <c r="H2341" s="203"/>
    </row>
    <row r="2342" spans="1:8">
      <c r="A2342" s="200"/>
      <c r="B2342" s="198"/>
      <c r="C2342" s="851"/>
      <c r="D2342" s="41"/>
      <c r="E2342" s="41"/>
      <c r="F2342" s="41"/>
      <c r="G2342" s="21"/>
      <c r="H2342" s="203"/>
    </row>
    <row r="2343" spans="1:8">
      <c r="A2343" s="200"/>
      <c r="B2343" s="198"/>
      <c r="C2343" s="851"/>
      <c r="D2343" s="41"/>
      <c r="E2343" s="41"/>
      <c r="F2343" s="41"/>
      <c r="G2343" s="21"/>
      <c r="H2343" s="203"/>
    </row>
    <row r="2344" spans="1:8">
      <c r="A2344" s="200"/>
      <c r="B2344" s="198"/>
      <c r="C2344" s="851"/>
      <c r="D2344" s="41"/>
      <c r="E2344" s="41"/>
      <c r="F2344" s="41"/>
      <c r="G2344" s="21"/>
      <c r="H2344" s="203"/>
    </row>
    <row r="2345" spans="1:8">
      <c r="A2345" s="200"/>
      <c r="B2345" s="198"/>
      <c r="C2345" s="851"/>
      <c r="D2345" s="41"/>
      <c r="E2345" s="41"/>
      <c r="F2345" s="41"/>
      <c r="G2345" s="21"/>
      <c r="H2345" s="203"/>
    </row>
    <row r="2346" spans="1:8">
      <c r="A2346" s="200"/>
      <c r="B2346" s="198"/>
      <c r="C2346" s="851"/>
      <c r="D2346" s="41"/>
      <c r="E2346" s="41"/>
      <c r="F2346" s="41"/>
      <c r="G2346" s="21"/>
      <c r="H2346" s="203"/>
    </row>
    <row r="2347" spans="1:8">
      <c r="A2347" s="200"/>
      <c r="B2347" s="198"/>
      <c r="C2347" s="851"/>
      <c r="D2347" s="41"/>
      <c r="E2347" s="41"/>
      <c r="F2347" s="41"/>
      <c r="G2347" s="21"/>
      <c r="H2347" s="203"/>
    </row>
    <row r="2348" spans="1:8">
      <c r="A2348" s="200"/>
      <c r="B2348" s="198"/>
      <c r="C2348" s="851"/>
      <c r="D2348" s="41"/>
      <c r="E2348" s="41"/>
      <c r="F2348" s="41"/>
      <c r="G2348" s="21"/>
      <c r="H2348" s="203"/>
    </row>
    <row r="2349" spans="1:8">
      <c r="A2349" s="200"/>
      <c r="B2349" s="198"/>
      <c r="C2349" s="851"/>
      <c r="D2349" s="41"/>
      <c r="E2349" s="41"/>
      <c r="F2349" s="41"/>
      <c r="G2349" s="21"/>
      <c r="H2349" s="203"/>
    </row>
    <row r="2350" spans="1:8">
      <c r="A2350" s="200"/>
      <c r="B2350" s="198"/>
      <c r="C2350" s="851"/>
      <c r="D2350" s="41"/>
      <c r="E2350" s="41"/>
      <c r="F2350" s="41"/>
      <c r="G2350" s="21"/>
      <c r="H2350" s="203"/>
    </row>
    <row r="2351" spans="1:8">
      <c r="A2351" s="200"/>
      <c r="B2351" s="198"/>
      <c r="C2351" s="851"/>
      <c r="D2351" s="41"/>
      <c r="E2351" s="41"/>
      <c r="F2351" s="41"/>
      <c r="G2351" s="21"/>
      <c r="H2351" s="203"/>
    </row>
    <row r="2352" spans="1:8">
      <c r="A2352" s="200"/>
      <c r="B2352" s="198"/>
      <c r="C2352" s="851"/>
      <c r="D2352" s="41"/>
      <c r="E2352" s="41"/>
      <c r="F2352" s="41"/>
      <c r="G2352" s="21"/>
      <c r="H2352" s="203"/>
    </row>
    <row r="2353" spans="1:8">
      <c r="A2353" s="200"/>
      <c r="B2353" s="198"/>
      <c r="C2353" s="851"/>
      <c r="D2353" s="41"/>
      <c r="E2353" s="41"/>
      <c r="F2353" s="41"/>
      <c r="G2353" s="21"/>
      <c r="H2353" s="203"/>
    </row>
    <row r="2354" spans="1:8">
      <c r="A2354" s="200"/>
      <c r="B2354" s="198"/>
      <c r="C2354" s="851"/>
      <c r="D2354" s="41"/>
      <c r="E2354" s="41"/>
      <c r="F2354" s="41"/>
      <c r="G2354" s="21"/>
      <c r="H2354" s="203"/>
    </row>
    <row r="2355" spans="1:8">
      <c r="A2355" s="200"/>
      <c r="B2355" s="198"/>
      <c r="C2355" s="851"/>
      <c r="D2355" s="41"/>
      <c r="E2355" s="41"/>
      <c r="F2355" s="41"/>
      <c r="G2355" s="21"/>
      <c r="H2355" s="203"/>
    </row>
    <row r="2356" spans="1:8">
      <c r="A2356" s="200"/>
      <c r="B2356" s="198"/>
      <c r="C2356" s="851"/>
      <c r="D2356" s="41"/>
      <c r="E2356" s="41"/>
      <c r="F2356" s="41"/>
      <c r="G2356" s="21"/>
      <c r="H2356" s="203"/>
    </row>
    <row r="2357" spans="1:8">
      <c r="A2357" s="200"/>
      <c r="B2357" s="198"/>
      <c r="C2357" s="851"/>
      <c r="D2357" s="41"/>
      <c r="E2357" s="41"/>
      <c r="F2357" s="41"/>
      <c r="G2357" s="21"/>
      <c r="H2357" s="203"/>
    </row>
    <row r="2358" spans="1:8">
      <c r="A2358" s="200"/>
      <c r="B2358" s="198"/>
      <c r="C2358" s="851"/>
      <c r="D2358" s="41"/>
      <c r="E2358" s="41"/>
      <c r="F2358" s="41"/>
      <c r="G2358" s="21"/>
      <c r="H2358" s="203"/>
    </row>
    <row r="2359" spans="1:8">
      <c r="A2359" s="200"/>
      <c r="B2359" s="198"/>
      <c r="C2359" s="851"/>
      <c r="D2359" s="41"/>
      <c r="E2359" s="41"/>
      <c r="F2359" s="41"/>
      <c r="G2359" s="21"/>
      <c r="H2359" s="203"/>
    </row>
    <row r="2360" spans="1:8">
      <c r="A2360" s="200"/>
      <c r="B2360" s="198"/>
      <c r="C2360" s="851"/>
      <c r="D2360" s="41"/>
      <c r="E2360" s="41"/>
      <c r="F2360" s="41"/>
      <c r="G2360" s="21"/>
      <c r="H2360" s="203"/>
    </row>
    <row r="2361" spans="1:8">
      <c r="A2361" s="200"/>
      <c r="B2361" s="198"/>
      <c r="C2361" s="851"/>
      <c r="D2361" s="41"/>
      <c r="E2361" s="41"/>
      <c r="F2361" s="41"/>
      <c r="G2361" s="21"/>
      <c r="H2361" s="203"/>
    </row>
    <row r="2362" spans="1:8">
      <c r="A2362" s="200"/>
      <c r="B2362" s="198"/>
      <c r="C2362" s="851"/>
      <c r="D2362" s="41"/>
      <c r="E2362" s="41"/>
      <c r="F2362" s="41"/>
      <c r="G2362" s="21"/>
      <c r="H2362" s="203"/>
    </row>
    <row r="2363" spans="1:8">
      <c r="A2363" s="200"/>
      <c r="B2363" s="198"/>
      <c r="C2363" s="851"/>
      <c r="D2363" s="41"/>
      <c r="E2363" s="41"/>
      <c r="F2363" s="41"/>
      <c r="G2363" s="21"/>
      <c r="H2363" s="203"/>
    </row>
    <row r="2364" spans="1:8">
      <c r="A2364" s="200"/>
      <c r="B2364" s="198"/>
      <c r="C2364" s="851"/>
      <c r="D2364" s="41"/>
      <c r="E2364" s="41"/>
      <c r="F2364" s="41"/>
      <c r="G2364" s="21"/>
      <c r="H2364" s="203"/>
    </row>
    <row r="2365" spans="1:8">
      <c r="A2365" s="200"/>
      <c r="B2365" s="198"/>
      <c r="C2365" s="851"/>
      <c r="D2365" s="41"/>
      <c r="E2365" s="41"/>
      <c r="F2365" s="41"/>
      <c r="G2365" s="21"/>
      <c r="H2365" s="203"/>
    </row>
    <row r="2366" spans="1:8">
      <c r="A2366" s="200"/>
      <c r="B2366" s="198"/>
      <c r="C2366" s="851"/>
      <c r="D2366" s="41"/>
      <c r="E2366" s="41"/>
      <c r="F2366" s="41"/>
      <c r="G2366" s="21"/>
      <c r="H2366" s="203"/>
    </row>
    <row r="2367" spans="1:8">
      <c r="A2367" s="200"/>
      <c r="B2367" s="198"/>
      <c r="C2367" s="851"/>
      <c r="D2367" s="41"/>
      <c r="E2367" s="41"/>
      <c r="F2367" s="41"/>
      <c r="G2367" s="21"/>
      <c r="H2367" s="203"/>
    </row>
    <row r="2368" spans="1:8">
      <c r="A2368" s="200"/>
      <c r="B2368" s="198"/>
      <c r="C2368" s="851"/>
      <c r="D2368" s="41"/>
      <c r="E2368" s="41"/>
      <c r="F2368" s="41"/>
      <c r="G2368" s="21"/>
      <c r="H2368" s="203"/>
    </row>
    <row r="2369" spans="1:8">
      <c r="A2369" s="200"/>
      <c r="B2369" s="198"/>
      <c r="C2369" s="851"/>
      <c r="D2369" s="41"/>
      <c r="E2369" s="41"/>
      <c r="F2369" s="41"/>
      <c r="G2369" s="21"/>
      <c r="H2369" s="203"/>
    </row>
    <row r="2370" spans="1:8">
      <c r="A2370" s="200"/>
      <c r="B2370" s="198"/>
      <c r="C2370" s="851"/>
      <c r="D2370" s="41"/>
      <c r="E2370" s="41"/>
      <c r="F2370" s="41"/>
      <c r="G2370" s="21"/>
      <c r="H2370" s="203"/>
    </row>
    <row r="2371" spans="1:8">
      <c r="A2371" s="200"/>
      <c r="B2371" s="198"/>
      <c r="C2371" s="851"/>
      <c r="D2371" s="41"/>
      <c r="E2371" s="41"/>
      <c r="F2371" s="41"/>
      <c r="G2371" s="21"/>
      <c r="H2371" s="203"/>
    </row>
    <row r="2372" spans="1:8">
      <c r="A2372" s="200"/>
      <c r="B2372" s="198"/>
      <c r="C2372" s="851"/>
      <c r="D2372" s="41"/>
      <c r="E2372" s="41"/>
      <c r="F2372" s="41"/>
      <c r="G2372" s="21"/>
      <c r="H2372" s="203"/>
    </row>
    <row r="2373" spans="1:8">
      <c r="A2373" s="200"/>
      <c r="B2373" s="198"/>
      <c r="C2373" s="851"/>
      <c r="D2373" s="41"/>
      <c r="E2373" s="41"/>
      <c r="F2373" s="41"/>
      <c r="G2373" s="21"/>
      <c r="H2373" s="203"/>
    </row>
    <row r="2374" spans="1:8">
      <c r="A2374" s="200"/>
      <c r="B2374" s="198"/>
      <c r="C2374" s="851"/>
      <c r="D2374" s="41"/>
      <c r="E2374" s="41"/>
      <c r="F2374" s="41"/>
      <c r="G2374" s="21"/>
      <c r="H2374" s="203"/>
    </row>
    <row r="2375" spans="1:8">
      <c r="A2375" s="200"/>
      <c r="B2375" s="198"/>
      <c r="C2375" s="851"/>
      <c r="D2375" s="41"/>
      <c r="E2375" s="41"/>
      <c r="F2375" s="41"/>
      <c r="G2375" s="21"/>
      <c r="H2375" s="203"/>
    </row>
    <row r="2376" spans="1:8">
      <c r="A2376" s="200"/>
      <c r="B2376" s="198"/>
      <c r="C2376" s="851"/>
      <c r="D2376" s="41"/>
      <c r="E2376" s="41"/>
      <c r="F2376" s="41"/>
      <c r="G2376" s="21"/>
      <c r="H2376" s="203"/>
    </row>
    <row r="2377" spans="1:8">
      <c r="A2377" s="200"/>
      <c r="B2377" s="198"/>
      <c r="C2377" s="851"/>
      <c r="D2377" s="41"/>
      <c r="E2377" s="41"/>
      <c r="F2377" s="41"/>
      <c r="G2377" s="21"/>
      <c r="H2377" s="203"/>
    </row>
    <row r="2378" spans="1:8">
      <c r="A2378" s="200"/>
      <c r="B2378" s="198"/>
      <c r="C2378" s="851"/>
      <c r="D2378" s="41"/>
      <c r="E2378" s="41"/>
      <c r="F2378" s="41"/>
      <c r="G2378" s="21"/>
      <c r="H2378" s="203"/>
    </row>
    <row r="2379" spans="1:8">
      <c r="A2379" s="200"/>
      <c r="B2379" s="198"/>
      <c r="C2379" s="851"/>
      <c r="D2379" s="41"/>
      <c r="E2379" s="41"/>
      <c r="F2379" s="41"/>
      <c r="G2379" s="21"/>
      <c r="H2379" s="203"/>
    </row>
    <row r="2380" spans="1:8">
      <c r="A2380" s="200"/>
      <c r="B2380" s="198"/>
      <c r="C2380" s="851"/>
      <c r="D2380" s="41"/>
      <c r="E2380" s="41"/>
      <c r="F2380" s="41"/>
      <c r="G2380" s="21"/>
      <c r="H2380" s="203"/>
    </row>
    <row r="2381" spans="1:8">
      <c r="A2381" s="200"/>
      <c r="B2381" s="198"/>
      <c r="C2381" s="851"/>
      <c r="D2381" s="41"/>
      <c r="E2381" s="41"/>
      <c r="F2381" s="41"/>
      <c r="G2381" s="21"/>
      <c r="H2381" s="203"/>
    </row>
    <row r="2382" spans="1:8">
      <c r="A2382" s="200"/>
      <c r="B2382" s="198"/>
      <c r="C2382" s="851"/>
      <c r="D2382" s="41"/>
      <c r="E2382" s="41"/>
      <c r="F2382" s="41"/>
      <c r="G2382" s="21"/>
      <c r="H2382" s="203"/>
    </row>
    <row r="2383" spans="1:8">
      <c r="A2383" s="200"/>
      <c r="B2383" s="198"/>
      <c r="C2383" s="851"/>
      <c r="D2383" s="41"/>
      <c r="E2383" s="41"/>
      <c r="F2383" s="41"/>
      <c r="G2383" s="21"/>
      <c r="H2383" s="203"/>
    </row>
    <row r="2384" spans="1:8">
      <c r="A2384" s="200"/>
      <c r="B2384" s="198"/>
      <c r="C2384" s="851"/>
      <c r="D2384" s="41"/>
      <c r="E2384" s="41"/>
      <c r="F2384" s="41"/>
      <c r="G2384" s="21"/>
      <c r="H2384" s="203"/>
    </row>
    <row r="2385" spans="1:8">
      <c r="A2385" s="200"/>
      <c r="B2385" s="198"/>
      <c r="C2385" s="851"/>
      <c r="D2385" s="41"/>
      <c r="E2385" s="41"/>
      <c r="F2385" s="41"/>
      <c r="G2385" s="21"/>
      <c r="H2385" s="203"/>
    </row>
    <row r="2386" spans="1:8">
      <c r="A2386" s="200"/>
      <c r="B2386" s="198"/>
      <c r="C2386" s="851"/>
      <c r="D2386" s="41"/>
      <c r="E2386" s="41"/>
      <c r="F2386" s="41"/>
      <c r="G2386" s="21"/>
      <c r="H2386" s="203"/>
    </row>
    <row r="2387" spans="1:8">
      <c r="A2387" s="200"/>
      <c r="B2387" s="198"/>
      <c r="C2387" s="851"/>
      <c r="D2387" s="41"/>
      <c r="E2387" s="41"/>
      <c r="F2387" s="41"/>
      <c r="G2387" s="21"/>
      <c r="H2387" s="203"/>
    </row>
    <row r="2388" spans="1:8">
      <c r="A2388" s="200"/>
      <c r="B2388" s="198"/>
      <c r="C2388" s="851"/>
      <c r="D2388" s="41"/>
      <c r="E2388" s="41"/>
      <c r="F2388" s="41"/>
      <c r="G2388" s="21"/>
      <c r="H2388" s="203"/>
    </row>
    <row r="2389" spans="1:8">
      <c r="A2389" s="200"/>
      <c r="B2389" s="198"/>
      <c r="C2389" s="851"/>
      <c r="D2389" s="41"/>
      <c r="E2389" s="41"/>
      <c r="F2389" s="41"/>
      <c r="G2389" s="21"/>
      <c r="H2389" s="203"/>
    </row>
    <row r="2390" spans="1:8">
      <c r="A2390" s="200"/>
      <c r="B2390" s="198"/>
      <c r="C2390" s="851"/>
      <c r="D2390" s="41"/>
      <c r="E2390" s="41"/>
      <c r="F2390" s="41"/>
      <c r="G2390" s="21"/>
      <c r="H2390" s="203"/>
    </row>
    <row r="2391" spans="1:8">
      <c r="A2391" s="200"/>
      <c r="B2391" s="198"/>
      <c r="C2391" s="851"/>
      <c r="D2391" s="41"/>
      <c r="E2391" s="41"/>
      <c r="F2391" s="41"/>
      <c r="G2391" s="21"/>
      <c r="H2391" s="203"/>
    </row>
    <row r="2392" spans="1:8">
      <c r="A2392" s="200"/>
      <c r="B2392" s="198"/>
      <c r="C2392" s="851"/>
      <c r="D2392" s="41"/>
      <c r="E2392" s="41"/>
      <c r="F2392" s="41"/>
      <c r="G2392" s="21"/>
      <c r="H2392" s="203"/>
    </row>
    <row r="2393" spans="1:8">
      <c r="A2393" s="200"/>
      <c r="B2393" s="198"/>
      <c r="C2393" s="851"/>
      <c r="D2393" s="41"/>
      <c r="E2393" s="41"/>
      <c r="F2393" s="41"/>
      <c r="G2393" s="21"/>
      <c r="H2393" s="203"/>
    </row>
    <row r="2394" spans="1:8">
      <c r="A2394" s="200"/>
      <c r="B2394" s="198"/>
      <c r="C2394" s="851"/>
      <c r="D2394" s="41"/>
      <c r="E2394" s="41"/>
      <c r="F2394" s="41"/>
      <c r="G2394" s="21"/>
      <c r="H2394" s="203"/>
    </row>
    <row r="2395" spans="1:8">
      <c r="A2395" s="200"/>
      <c r="B2395" s="198"/>
      <c r="C2395" s="851"/>
      <c r="D2395" s="41"/>
      <c r="E2395" s="41"/>
      <c r="F2395" s="41"/>
      <c r="G2395" s="21"/>
      <c r="H2395" s="203"/>
    </row>
    <row r="2396" spans="1:8">
      <c r="A2396" s="200"/>
      <c r="B2396" s="198"/>
      <c r="C2396" s="851"/>
      <c r="D2396" s="41"/>
      <c r="E2396" s="41"/>
      <c r="F2396" s="41"/>
      <c r="G2396" s="21"/>
      <c r="H2396" s="203"/>
    </row>
    <row r="2397" spans="1:8">
      <c r="A2397" s="200"/>
      <c r="B2397" s="198"/>
      <c r="C2397" s="851"/>
      <c r="D2397" s="41"/>
      <c r="E2397" s="41"/>
      <c r="F2397" s="41"/>
      <c r="G2397" s="21"/>
      <c r="H2397" s="203"/>
    </row>
    <row r="2398" spans="1:8">
      <c r="A2398" s="200"/>
      <c r="B2398" s="198"/>
      <c r="C2398" s="851"/>
      <c r="D2398" s="41"/>
      <c r="E2398" s="41"/>
      <c r="F2398" s="41"/>
      <c r="G2398" s="21"/>
      <c r="H2398" s="203"/>
    </row>
    <row r="2399" spans="1:8">
      <c r="A2399" s="200"/>
      <c r="B2399" s="198"/>
      <c r="C2399" s="851"/>
      <c r="D2399" s="41"/>
      <c r="E2399" s="41"/>
      <c r="F2399" s="41"/>
      <c r="G2399" s="21"/>
      <c r="H2399" s="203"/>
    </row>
    <row r="2400" spans="1:8">
      <c r="A2400" s="200"/>
      <c r="B2400" s="198"/>
      <c r="C2400" s="851"/>
      <c r="D2400" s="41"/>
      <c r="E2400" s="41"/>
      <c r="F2400" s="41"/>
      <c r="G2400" s="21"/>
      <c r="H2400" s="203"/>
    </row>
    <row r="2401" spans="1:8">
      <c r="A2401" s="200"/>
      <c r="B2401" s="198"/>
      <c r="C2401" s="851"/>
      <c r="D2401" s="41"/>
      <c r="E2401" s="41"/>
      <c r="F2401" s="41"/>
      <c r="G2401" s="21"/>
      <c r="H2401" s="203"/>
    </row>
    <row r="2402" spans="1:8">
      <c r="A2402" s="200"/>
      <c r="B2402" s="198"/>
      <c r="C2402" s="851"/>
      <c r="D2402" s="41"/>
      <c r="E2402" s="41"/>
      <c r="F2402" s="41"/>
      <c r="G2402" s="21"/>
      <c r="H2402" s="203"/>
    </row>
    <row r="2403" spans="1:8">
      <c r="A2403" s="200"/>
      <c r="B2403" s="198"/>
      <c r="C2403" s="851"/>
      <c r="D2403" s="41"/>
      <c r="E2403" s="41"/>
      <c r="F2403" s="41"/>
      <c r="G2403" s="21"/>
      <c r="H2403" s="203"/>
    </row>
    <row r="2404" spans="1:8">
      <c r="A2404" s="200"/>
      <c r="B2404" s="198"/>
      <c r="C2404" s="851"/>
      <c r="D2404" s="41"/>
      <c r="E2404" s="41"/>
      <c r="F2404" s="41"/>
      <c r="G2404" s="21"/>
      <c r="H2404" s="203"/>
    </row>
    <row r="2405" spans="1:8">
      <c r="A2405" s="200"/>
      <c r="B2405" s="198"/>
      <c r="C2405" s="851"/>
      <c r="D2405" s="41"/>
      <c r="E2405" s="41"/>
      <c r="F2405" s="41"/>
      <c r="G2405" s="21"/>
      <c r="H2405" s="203"/>
    </row>
    <row r="2406" spans="1:8">
      <c r="A2406" s="200"/>
      <c r="B2406" s="198"/>
      <c r="C2406" s="851"/>
      <c r="D2406" s="41"/>
      <c r="E2406" s="41"/>
      <c r="F2406" s="41"/>
      <c r="G2406" s="21"/>
      <c r="H2406" s="203"/>
    </row>
    <row r="2407" spans="1:8">
      <c r="A2407" s="200"/>
      <c r="B2407" s="198"/>
      <c r="C2407" s="851"/>
      <c r="D2407" s="41"/>
      <c r="E2407" s="41"/>
      <c r="F2407" s="41"/>
      <c r="G2407" s="21"/>
      <c r="H2407" s="203"/>
    </row>
    <row r="2408" spans="1:8">
      <c r="A2408" s="200"/>
      <c r="B2408" s="198"/>
      <c r="C2408" s="851"/>
      <c r="D2408" s="41"/>
      <c r="E2408" s="41"/>
      <c r="F2408" s="41"/>
      <c r="G2408" s="21"/>
      <c r="H2408" s="203"/>
    </row>
    <row r="2409" spans="1:8">
      <c r="A2409" s="200"/>
      <c r="B2409" s="198"/>
      <c r="C2409" s="851"/>
      <c r="D2409" s="41"/>
      <c r="E2409" s="41"/>
      <c r="F2409" s="41"/>
      <c r="G2409" s="21"/>
      <c r="H2409" s="203"/>
    </row>
    <row r="2410" spans="1:8">
      <c r="A2410" s="200"/>
      <c r="B2410" s="198"/>
      <c r="C2410" s="851"/>
      <c r="D2410" s="41"/>
      <c r="E2410" s="41"/>
      <c r="F2410" s="41"/>
      <c r="G2410" s="21"/>
      <c r="H2410" s="203"/>
    </row>
    <row r="2411" spans="1:8">
      <c r="A2411" s="200"/>
      <c r="B2411" s="198"/>
      <c r="C2411" s="851"/>
      <c r="D2411" s="41"/>
      <c r="E2411" s="41"/>
      <c r="F2411" s="41"/>
      <c r="G2411" s="21"/>
      <c r="H2411" s="203"/>
    </row>
    <row r="2412" spans="1:8">
      <c r="A2412" s="200"/>
      <c r="B2412" s="198"/>
      <c r="C2412" s="851"/>
      <c r="D2412" s="41"/>
      <c r="E2412" s="41"/>
      <c r="F2412" s="41"/>
      <c r="G2412" s="21"/>
      <c r="H2412" s="203"/>
    </row>
    <row r="2413" spans="1:8">
      <c r="A2413" s="200"/>
      <c r="B2413" s="198"/>
      <c r="C2413" s="851"/>
      <c r="D2413" s="41"/>
      <c r="E2413" s="41"/>
      <c r="F2413" s="41"/>
      <c r="G2413" s="21"/>
      <c r="H2413" s="203"/>
    </row>
    <row r="2414" spans="1:8">
      <c r="A2414" s="200"/>
      <c r="B2414" s="198"/>
      <c r="C2414" s="851"/>
      <c r="D2414" s="41"/>
      <c r="E2414" s="41"/>
      <c r="F2414" s="41"/>
      <c r="G2414" s="21"/>
      <c r="H2414" s="203"/>
    </row>
    <row r="2415" spans="1:8">
      <c r="A2415" s="200"/>
      <c r="B2415" s="198"/>
      <c r="C2415" s="851"/>
      <c r="D2415" s="41"/>
      <c r="E2415" s="41"/>
      <c r="F2415" s="41"/>
      <c r="G2415" s="21"/>
      <c r="H2415" s="203"/>
    </row>
    <row r="2416" spans="1:8">
      <c r="A2416" s="200"/>
      <c r="B2416" s="198"/>
      <c r="C2416" s="851"/>
      <c r="D2416" s="41"/>
      <c r="E2416" s="41"/>
      <c r="F2416" s="41"/>
      <c r="G2416" s="21"/>
      <c r="H2416" s="203"/>
    </row>
    <row r="2417" spans="1:8">
      <c r="A2417" s="200"/>
      <c r="B2417" s="198"/>
      <c r="C2417" s="851"/>
      <c r="D2417" s="41"/>
      <c r="E2417" s="41"/>
      <c r="F2417" s="41"/>
      <c r="G2417" s="21"/>
      <c r="H2417" s="203"/>
    </row>
    <row r="2418" spans="1:8">
      <c r="A2418" s="200"/>
      <c r="B2418" s="198"/>
      <c r="C2418" s="851"/>
      <c r="D2418" s="41"/>
      <c r="E2418" s="41"/>
      <c r="F2418" s="41"/>
      <c r="G2418" s="21"/>
      <c r="H2418" s="203"/>
    </row>
    <row r="2419" spans="1:8">
      <c r="A2419" s="200"/>
      <c r="B2419" s="198"/>
      <c r="C2419" s="851"/>
      <c r="D2419" s="41"/>
      <c r="E2419" s="41"/>
      <c r="F2419" s="41"/>
      <c r="G2419" s="21"/>
      <c r="H2419" s="203"/>
    </row>
    <row r="2420" spans="1:8">
      <c r="A2420" s="200"/>
      <c r="B2420" s="198"/>
      <c r="C2420" s="851"/>
      <c r="D2420" s="41"/>
      <c r="E2420" s="41"/>
      <c r="F2420" s="41"/>
      <c r="G2420" s="21"/>
      <c r="H2420" s="203"/>
    </row>
    <row r="2421" spans="1:8">
      <c r="A2421" s="200"/>
      <c r="B2421" s="198"/>
      <c r="C2421" s="851"/>
      <c r="D2421" s="41"/>
      <c r="E2421" s="41"/>
      <c r="F2421" s="41"/>
      <c r="G2421" s="21"/>
      <c r="H2421" s="203"/>
    </row>
    <row r="2422" spans="1:8">
      <c r="A2422" s="200"/>
      <c r="B2422" s="198"/>
      <c r="C2422" s="851"/>
      <c r="D2422" s="41"/>
      <c r="E2422" s="41"/>
      <c r="F2422" s="41"/>
      <c r="G2422" s="21"/>
      <c r="H2422" s="203"/>
    </row>
    <row r="2423" spans="1:8">
      <c r="A2423" s="200"/>
      <c r="B2423" s="198"/>
      <c r="C2423" s="851"/>
      <c r="D2423" s="41"/>
      <c r="E2423" s="41"/>
      <c r="F2423" s="41"/>
      <c r="G2423" s="21"/>
      <c r="H2423" s="203"/>
    </row>
    <row r="2424" spans="1:8">
      <c r="A2424" s="200"/>
      <c r="B2424" s="198"/>
      <c r="C2424" s="851"/>
      <c r="D2424" s="41"/>
      <c r="E2424" s="41"/>
      <c r="F2424" s="41"/>
      <c r="G2424" s="21"/>
      <c r="H2424" s="203"/>
    </row>
    <row r="2425" spans="1:8">
      <c r="A2425" s="200"/>
      <c r="B2425" s="198"/>
      <c r="C2425" s="851"/>
      <c r="D2425" s="41"/>
      <c r="E2425" s="41"/>
      <c r="F2425" s="41"/>
      <c r="G2425" s="21"/>
      <c r="H2425" s="203"/>
    </row>
    <row r="2426" spans="1:8">
      <c r="A2426" s="200"/>
      <c r="B2426" s="198"/>
      <c r="C2426" s="851"/>
      <c r="D2426" s="41"/>
      <c r="E2426" s="41"/>
      <c r="F2426" s="41"/>
      <c r="G2426" s="21"/>
      <c r="H2426" s="203"/>
    </row>
    <row r="2427" spans="1:8">
      <c r="A2427" s="200"/>
      <c r="B2427" s="198"/>
      <c r="C2427" s="851"/>
      <c r="D2427" s="41"/>
      <c r="E2427" s="41"/>
      <c r="F2427" s="41"/>
      <c r="G2427" s="21"/>
      <c r="H2427" s="203"/>
    </row>
    <row r="2428" spans="1:8">
      <c r="A2428" s="200"/>
      <c r="B2428" s="198"/>
      <c r="C2428" s="851"/>
      <c r="D2428" s="41"/>
      <c r="E2428" s="41"/>
      <c r="F2428" s="41"/>
      <c r="G2428" s="21"/>
      <c r="H2428" s="203"/>
    </row>
    <row r="2429" spans="1:8">
      <c r="A2429" s="200"/>
      <c r="B2429" s="198"/>
      <c r="C2429" s="851"/>
      <c r="D2429" s="41"/>
      <c r="E2429" s="41"/>
      <c r="F2429" s="41"/>
      <c r="G2429" s="21"/>
      <c r="H2429" s="203"/>
    </row>
    <row r="2430" spans="1:8">
      <c r="A2430" s="200"/>
      <c r="B2430" s="198"/>
      <c r="C2430" s="851"/>
      <c r="D2430" s="41"/>
      <c r="E2430" s="41"/>
      <c r="F2430" s="41"/>
      <c r="G2430" s="21"/>
      <c r="H2430" s="203"/>
    </row>
    <row r="2431" spans="1:8">
      <c r="A2431" s="200"/>
      <c r="B2431" s="198"/>
      <c r="C2431" s="851"/>
      <c r="D2431" s="41"/>
      <c r="E2431" s="41"/>
      <c r="F2431" s="41"/>
      <c r="G2431" s="21"/>
      <c r="H2431" s="203"/>
    </row>
    <row r="2432" spans="1:8">
      <c r="A2432" s="200"/>
      <c r="B2432" s="198"/>
      <c r="C2432" s="851"/>
      <c r="D2432" s="41"/>
      <c r="E2432" s="41"/>
      <c r="F2432" s="41"/>
      <c r="G2432" s="21"/>
      <c r="H2432" s="203"/>
    </row>
    <row r="2433" spans="1:8">
      <c r="A2433" s="200"/>
      <c r="B2433" s="198"/>
      <c r="C2433" s="851"/>
      <c r="D2433" s="41"/>
      <c r="E2433" s="41"/>
      <c r="F2433" s="41"/>
      <c r="G2433" s="21"/>
      <c r="H2433" s="203"/>
    </row>
    <row r="2434" spans="1:8">
      <c r="A2434" s="200"/>
      <c r="B2434" s="198"/>
      <c r="C2434" s="851"/>
      <c r="D2434" s="41"/>
      <c r="E2434" s="41"/>
      <c r="F2434" s="41"/>
      <c r="G2434" s="21"/>
      <c r="H2434" s="203"/>
    </row>
    <row r="2435" spans="1:8">
      <c r="A2435" s="200"/>
      <c r="B2435" s="198"/>
      <c r="C2435" s="851"/>
      <c r="D2435" s="41"/>
      <c r="E2435" s="41"/>
      <c r="F2435" s="41"/>
      <c r="G2435" s="21"/>
      <c r="H2435" s="203"/>
    </row>
    <row r="2436" spans="1:8">
      <c r="A2436" s="200"/>
      <c r="B2436" s="198"/>
      <c r="C2436" s="851"/>
      <c r="D2436" s="41"/>
      <c r="E2436" s="41"/>
      <c r="F2436" s="41"/>
      <c r="G2436" s="21"/>
      <c r="H2436" s="203"/>
    </row>
    <row r="2437" spans="1:8">
      <c r="A2437" s="200"/>
      <c r="B2437" s="198"/>
      <c r="C2437" s="851"/>
      <c r="D2437" s="41"/>
      <c r="E2437" s="41"/>
      <c r="F2437" s="41"/>
      <c r="G2437" s="21"/>
      <c r="H2437" s="203"/>
    </row>
    <row r="2438" spans="1:8">
      <c r="A2438" s="200"/>
      <c r="B2438" s="198"/>
      <c r="C2438" s="851"/>
      <c r="D2438" s="41"/>
      <c r="E2438" s="41"/>
      <c r="F2438" s="41"/>
      <c r="G2438" s="21"/>
      <c r="H2438" s="203"/>
    </row>
    <row r="2439" spans="1:8">
      <c r="A2439" s="200"/>
      <c r="B2439" s="198"/>
      <c r="C2439" s="851"/>
      <c r="D2439" s="41"/>
      <c r="E2439" s="41"/>
      <c r="F2439" s="41"/>
      <c r="G2439" s="21"/>
      <c r="H2439" s="203"/>
    </row>
    <row r="2440" spans="1:8">
      <c r="A2440" s="200"/>
      <c r="B2440" s="198"/>
      <c r="C2440" s="851"/>
      <c r="D2440" s="41"/>
      <c r="E2440" s="41"/>
      <c r="F2440" s="41"/>
      <c r="G2440" s="21"/>
      <c r="H2440" s="203"/>
    </row>
    <row r="2441" spans="1:8">
      <c r="A2441" s="200"/>
      <c r="B2441" s="198"/>
      <c r="C2441" s="851"/>
      <c r="D2441" s="41"/>
      <c r="E2441" s="41"/>
      <c r="F2441" s="41"/>
      <c r="G2441" s="21"/>
      <c r="H2441" s="203"/>
    </row>
    <row r="2442" spans="1:8">
      <c r="A2442" s="200"/>
      <c r="B2442" s="198"/>
      <c r="C2442" s="851"/>
      <c r="D2442" s="41"/>
      <c r="E2442" s="41"/>
      <c r="F2442" s="41"/>
      <c r="G2442" s="21"/>
      <c r="H2442" s="203"/>
    </row>
    <row r="2443" spans="1:8">
      <c r="A2443" s="200"/>
      <c r="B2443" s="198"/>
      <c r="C2443" s="851"/>
      <c r="D2443" s="41"/>
      <c r="E2443" s="41"/>
      <c r="F2443" s="41"/>
      <c r="G2443" s="21"/>
      <c r="H2443" s="203"/>
    </row>
    <row r="2444" spans="1:8">
      <c r="A2444" s="200"/>
      <c r="B2444" s="198"/>
      <c r="C2444" s="851"/>
      <c r="D2444" s="41"/>
      <c r="E2444" s="41"/>
      <c r="F2444" s="41"/>
      <c r="G2444" s="21"/>
      <c r="H2444" s="203"/>
    </row>
    <row r="2445" spans="1:8">
      <c r="A2445" s="200"/>
      <c r="B2445" s="198"/>
      <c r="C2445" s="851"/>
      <c r="D2445" s="41"/>
      <c r="E2445" s="41"/>
      <c r="F2445" s="41"/>
      <c r="G2445" s="21"/>
      <c r="H2445" s="203"/>
    </row>
    <row r="2446" spans="1:8">
      <c r="A2446" s="200"/>
      <c r="B2446" s="198"/>
      <c r="C2446" s="851"/>
      <c r="D2446" s="41"/>
      <c r="E2446" s="41"/>
      <c r="F2446" s="41"/>
      <c r="G2446" s="21"/>
      <c r="H2446" s="203"/>
    </row>
    <row r="2447" spans="1:8">
      <c r="A2447" s="200"/>
      <c r="B2447" s="198"/>
      <c r="C2447" s="851"/>
      <c r="D2447" s="41"/>
      <c r="E2447" s="41"/>
      <c r="F2447" s="41"/>
      <c r="G2447" s="21"/>
      <c r="H2447" s="203"/>
    </row>
    <row r="2448" spans="1:8">
      <c r="A2448" s="200"/>
      <c r="B2448" s="198"/>
      <c r="C2448" s="851"/>
      <c r="D2448" s="41"/>
      <c r="E2448" s="41"/>
      <c r="F2448" s="41"/>
      <c r="G2448" s="21"/>
      <c r="H2448" s="203"/>
    </row>
    <row r="2449" spans="1:8">
      <c r="A2449" s="200"/>
      <c r="B2449" s="198"/>
      <c r="C2449" s="851"/>
      <c r="D2449" s="41"/>
      <c r="E2449" s="41"/>
      <c r="F2449" s="41"/>
      <c r="G2449" s="21"/>
      <c r="H2449" s="203"/>
    </row>
    <row r="2450" spans="1:8">
      <c r="A2450" s="200"/>
      <c r="B2450" s="198"/>
      <c r="C2450" s="851"/>
      <c r="D2450" s="41"/>
      <c r="E2450" s="41"/>
      <c r="F2450" s="41"/>
      <c r="G2450" s="21"/>
      <c r="H2450" s="203"/>
    </row>
    <row r="2451" spans="1:8">
      <c r="A2451" s="200"/>
      <c r="B2451" s="198"/>
      <c r="C2451" s="851"/>
      <c r="D2451" s="41"/>
      <c r="E2451" s="41"/>
      <c r="F2451" s="41"/>
      <c r="G2451" s="21"/>
      <c r="H2451" s="203"/>
    </row>
    <row r="2452" spans="1:8">
      <c r="A2452" s="200"/>
      <c r="B2452" s="198"/>
      <c r="C2452" s="851"/>
      <c r="D2452" s="41"/>
      <c r="E2452" s="41"/>
      <c r="F2452" s="41"/>
      <c r="G2452" s="21"/>
      <c r="H2452" s="203"/>
    </row>
    <row r="2453" spans="1:8">
      <c r="A2453" s="200"/>
      <c r="B2453" s="198"/>
      <c r="C2453" s="851"/>
      <c r="D2453" s="41"/>
      <c r="E2453" s="41"/>
      <c r="F2453" s="41"/>
      <c r="G2453" s="21"/>
      <c r="H2453" s="203"/>
    </row>
    <row r="2454" spans="1:8">
      <c r="A2454" s="200"/>
      <c r="B2454" s="198"/>
      <c r="C2454" s="851"/>
      <c r="D2454" s="41"/>
      <c r="E2454" s="41"/>
      <c r="F2454" s="41"/>
      <c r="G2454" s="21"/>
      <c r="H2454" s="203"/>
    </row>
    <row r="2455" spans="1:8">
      <c r="A2455" s="200"/>
      <c r="B2455" s="198"/>
      <c r="C2455" s="851"/>
      <c r="D2455" s="41"/>
      <c r="E2455" s="41"/>
      <c r="F2455" s="41"/>
      <c r="G2455" s="21"/>
      <c r="H2455" s="203"/>
    </row>
    <row r="2456" spans="1:8">
      <c r="A2456" s="200"/>
      <c r="B2456" s="198"/>
      <c r="C2456" s="851"/>
      <c r="D2456" s="41"/>
      <c r="E2456" s="41"/>
      <c r="F2456" s="41"/>
      <c r="G2456" s="21"/>
      <c r="H2456" s="203"/>
    </row>
    <row r="2457" spans="1:8">
      <c r="A2457" s="200"/>
      <c r="B2457" s="198"/>
      <c r="C2457" s="851"/>
      <c r="D2457" s="41"/>
      <c r="E2457" s="41"/>
      <c r="F2457" s="41"/>
      <c r="G2457" s="21"/>
      <c r="H2457" s="203"/>
    </row>
    <row r="2458" spans="1:8">
      <c r="A2458" s="200"/>
      <c r="B2458" s="198"/>
      <c r="C2458" s="851"/>
      <c r="D2458" s="41"/>
      <c r="E2458" s="41"/>
      <c r="F2458" s="41"/>
      <c r="G2458" s="21"/>
      <c r="H2458" s="203"/>
    </row>
    <row r="2459" spans="1:8">
      <c r="A2459" s="200"/>
      <c r="B2459" s="198"/>
      <c r="C2459" s="851"/>
      <c r="D2459" s="41"/>
      <c r="E2459" s="41"/>
      <c r="F2459" s="41"/>
      <c r="G2459" s="21"/>
      <c r="H2459" s="203"/>
    </row>
    <row r="2460" spans="1:8">
      <c r="A2460" s="200"/>
      <c r="B2460" s="198"/>
      <c r="C2460" s="851"/>
      <c r="D2460" s="41"/>
      <c r="E2460" s="41"/>
      <c r="F2460" s="41"/>
      <c r="G2460" s="21"/>
      <c r="H2460" s="203"/>
    </row>
    <row r="2461" spans="1:8">
      <c r="A2461" s="200"/>
      <c r="B2461" s="198"/>
      <c r="C2461" s="851"/>
      <c r="D2461" s="41"/>
      <c r="E2461" s="41"/>
      <c r="F2461" s="41"/>
      <c r="G2461" s="21"/>
      <c r="H2461" s="203"/>
    </row>
    <row r="2462" spans="1:8">
      <c r="A2462" s="200"/>
      <c r="B2462" s="198"/>
      <c r="C2462" s="851"/>
      <c r="D2462" s="41"/>
      <c r="E2462" s="41"/>
      <c r="F2462" s="41"/>
      <c r="G2462" s="21"/>
      <c r="H2462" s="203"/>
    </row>
    <row r="2463" spans="1:8">
      <c r="A2463" s="200"/>
      <c r="B2463" s="198"/>
      <c r="C2463" s="851"/>
      <c r="D2463" s="41"/>
      <c r="E2463" s="41"/>
      <c r="F2463" s="41"/>
      <c r="G2463" s="21"/>
      <c r="H2463" s="203"/>
    </row>
    <row r="2464" spans="1:8">
      <c r="A2464" s="200"/>
      <c r="B2464" s="198"/>
      <c r="C2464" s="851"/>
      <c r="D2464" s="41"/>
      <c r="E2464" s="41"/>
      <c r="F2464" s="41"/>
      <c r="G2464" s="21"/>
      <c r="H2464" s="203"/>
    </row>
    <row r="2465" spans="1:8">
      <c r="A2465" s="200"/>
      <c r="B2465" s="198"/>
      <c r="C2465" s="851"/>
      <c r="D2465" s="41"/>
      <c r="E2465" s="41"/>
      <c r="F2465" s="41"/>
      <c r="G2465" s="21"/>
      <c r="H2465" s="203"/>
    </row>
    <row r="2466" spans="1:8">
      <c r="A2466" s="200"/>
      <c r="B2466" s="198"/>
      <c r="C2466" s="851"/>
      <c r="D2466" s="41"/>
      <c r="E2466" s="41"/>
      <c r="F2466" s="41"/>
      <c r="G2466" s="21"/>
      <c r="H2466" s="203"/>
    </row>
    <row r="2467" spans="1:8">
      <c r="A2467" s="200"/>
      <c r="B2467" s="198"/>
      <c r="C2467" s="851"/>
      <c r="D2467" s="41"/>
      <c r="E2467" s="41"/>
      <c r="F2467" s="41"/>
      <c r="G2467" s="21"/>
      <c r="H2467" s="203"/>
    </row>
    <row r="2468" spans="1:8">
      <c r="A2468" s="200"/>
      <c r="B2468" s="198"/>
      <c r="C2468" s="851"/>
      <c r="D2468" s="41"/>
      <c r="E2468" s="41"/>
      <c r="F2468" s="41"/>
      <c r="G2468" s="21"/>
      <c r="H2468" s="203"/>
    </row>
    <row r="2469" spans="1:8">
      <c r="A2469" s="200"/>
      <c r="B2469" s="198"/>
      <c r="C2469" s="851"/>
      <c r="D2469" s="41"/>
      <c r="E2469" s="41"/>
      <c r="F2469" s="41"/>
      <c r="G2469" s="21"/>
      <c r="H2469" s="203"/>
    </row>
    <row r="2470" spans="1:8">
      <c r="A2470" s="200"/>
      <c r="B2470" s="198"/>
      <c r="C2470" s="851"/>
      <c r="D2470" s="41"/>
      <c r="E2470" s="41"/>
      <c r="F2470" s="41"/>
      <c r="G2470" s="21"/>
      <c r="H2470" s="203"/>
    </row>
    <row r="2471" spans="1:8">
      <c r="A2471" s="200"/>
      <c r="B2471" s="198"/>
      <c r="C2471" s="851"/>
      <c r="D2471" s="41"/>
      <c r="E2471" s="41"/>
      <c r="F2471" s="41"/>
      <c r="G2471" s="21"/>
      <c r="H2471" s="203"/>
    </row>
    <row r="2472" spans="1:8">
      <c r="A2472" s="200"/>
      <c r="B2472" s="198"/>
      <c r="C2472" s="851"/>
      <c r="D2472" s="41"/>
      <c r="E2472" s="41"/>
      <c r="F2472" s="41"/>
      <c r="G2472" s="21"/>
      <c r="H2472" s="203"/>
    </row>
    <row r="2473" spans="1:8">
      <c r="A2473" s="200"/>
      <c r="B2473" s="198"/>
      <c r="C2473" s="851"/>
      <c r="D2473" s="41"/>
      <c r="E2473" s="41"/>
      <c r="F2473" s="41"/>
      <c r="G2473" s="21"/>
      <c r="H2473" s="203"/>
    </row>
    <row r="2474" spans="1:8">
      <c r="A2474" s="200"/>
      <c r="B2474" s="198"/>
      <c r="C2474" s="851"/>
      <c r="D2474" s="41"/>
      <c r="E2474" s="41"/>
      <c r="F2474" s="41"/>
      <c r="G2474" s="21"/>
      <c r="H2474" s="203"/>
    </row>
    <row r="2475" spans="1:8">
      <c r="A2475" s="200"/>
      <c r="B2475" s="198"/>
      <c r="C2475" s="851"/>
      <c r="D2475" s="41"/>
      <c r="E2475" s="41"/>
      <c r="F2475" s="41"/>
      <c r="G2475" s="21"/>
      <c r="H2475" s="203"/>
    </row>
    <row r="2476" spans="1:8">
      <c r="A2476" s="200"/>
      <c r="B2476" s="198"/>
      <c r="C2476" s="851"/>
      <c r="D2476" s="41"/>
      <c r="E2476" s="41"/>
      <c r="F2476" s="41"/>
      <c r="G2476" s="21"/>
      <c r="H2476" s="203"/>
    </row>
    <row r="2477" spans="1:8">
      <c r="A2477" s="200"/>
      <c r="B2477" s="198"/>
      <c r="C2477" s="851"/>
      <c r="D2477" s="41"/>
      <c r="E2477" s="41"/>
      <c r="F2477" s="41"/>
      <c r="G2477" s="21"/>
      <c r="H2477" s="203"/>
    </row>
    <row r="2478" spans="1:8">
      <c r="A2478" s="200"/>
      <c r="B2478" s="198"/>
      <c r="C2478" s="851"/>
      <c r="D2478" s="41"/>
      <c r="E2478" s="41"/>
      <c r="F2478" s="41"/>
      <c r="G2478" s="21"/>
      <c r="H2478" s="203"/>
    </row>
    <row r="2479" spans="1:8">
      <c r="A2479" s="200"/>
      <c r="B2479" s="198"/>
      <c r="C2479" s="851"/>
      <c r="D2479" s="41"/>
      <c r="E2479" s="41"/>
      <c r="F2479" s="41"/>
      <c r="G2479" s="21"/>
      <c r="H2479" s="203"/>
    </row>
    <row r="2480" spans="1:8">
      <c r="A2480" s="200"/>
      <c r="B2480" s="198"/>
      <c r="C2480" s="851"/>
      <c r="D2480" s="41"/>
      <c r="E2480" s="41"/>
      <c r="F2480" s="41"/>
      <c r="G2480" s="21"/>
      <c r="H2480" s="203"/>
    </row>
    <row r="2481" spans="1:8">
      <c r="A2481" s="200"/>
      <c r="B2481" s="198"/>
      <c r="C2481" s="851"/>
      <c r="D2481" s="41"/>
      <c r="E2481" s="41"/>
      <c r="F2481" s="41"/>
      <c r="G2481" s="21"/>
      <c r="H2481" s="203"/>
    </row>
    <row r="2482" spans="1:8">
      <c r="A2482" s="200"/>
      <c r="B2482" s="198"/>
      <c r="C2482" s="851"/>
      <c r="D2482" s="41"/>
      <c r="E2482" s="41"/>
      <c r="F2482" s="41"/>
      <c r="G2482" s="21"/>
      <c r="H2482" s="203"/>
    </row>
    <row r="2483" spans="1:8">
      <c r="A2483" s="200"/>
      <c r="B2483" s="198"/>
      <c r="C2483" s="851"/>
      <c r="D2483" s="41"/>
      <c r="E2483" s="41"/>
      <c r="F2483" s="41"/>
      <c r="G2483" s="21"/>
      <c r="H2483" s="203"/>
    </row>
    <row r="2484" spans="1:8">
      <c r="A2484" s="200"/>
      <c r="B2484" s="198"/>
      <c r="C2484" s="851"/>
      <c r="D2484" s="41"/>
      <c r="E2484" s="41"/>
      <c r="F2484" s="41"/>
      <c r="G2484" s="21"/>
      <c r="H2484" s="203"/>
    </row>
    <row r="2485" spans="1:8">
      <c r="A2485" s="200"/>
      <c r="B2485" s="198"/>
      <c r="C2485" s="851"/>
      <c r="D2485" s="41"/>
      <c r="E2485" s="41"/>
      <c r="F2485" s="41"/>
      <c r="G2485" s="21"/>
      <c r="H2485" s="203"/>
    </row>
    <row r="2486" spans="1:8">
      <c r="A2486" s="200"/>
      <c r="B2486" s="198"/>
      <c r="C2486" s="851"/>
      <c r="D2486" s="41"/>
      <c r="E2486" s="41"/>
      <c r="F2486" s="41"/>
      <c r="G2486" s="21"/>
      <c r="H2486" s="203"/>
    </row>
    <row r="2487" spans="1:8">
      <c r="A2487" s="200"/>
      <c r="B2487" s="198"/>
      <c r="C2487" s="851"/>
      <c r="D2487" s="41"/>
      <c r="E2487" s="41"/>
      <c r="F2487" s="41"/>
      <c r="G2487" s="21"/>
      <c r="H2487" s="203"/>
    </row>
    <row r="2488" spans="1:8">
      <c r="A2488" s="200"/>
      <c r="B2488" s="198"/>
      <c r="C2488" s="851"/>
      <c r="D2488" s="41"/>
      <c r="E2488" s="41"/>
      <c r="F2488" s="41"/>
      <c r="G2488" s="21"/>
      <c r="H2488" s="203"/>
    </row>
    <row r="2489" spans="1:8">
      <c r="A2489" s="200"/>
      <c r="B2489" s="198"/>
      <c r="C2489" s="851"/>
      <c r="D2489" s="41"/>
      <c r="E2489" s="41"/>
      <c r="F2489" s="41"/>
      <c r="G2489" s="21"/>
      <c r="H2489" s="203"/>
    </row>
    <row r="2490" spans="1:8">
      <c r="A2490" s="200"/>
      <c r="B2490" s="198"/>
      <c r="C2490" s="851"/>
      <c r="D2490" s="41"/>
      <c r="E2490" s="41"/>
      <c r="F2490" s="41"/>
      <c r="G2490" s="21"/>
      <c r="H2490" s="203"/>
    </row>
    <row r="2491" spans="1:8">
      <c r="A2491" s="200"/>
      <c r="B2491" s="198"/>
      <c r="C2491" s="851"/>
      <c r="D2491" s="41"/>
      <c r="E2491" s="41"/>
      <c r="F2491" s="41"/>
      <c r="G2491" s="21"/>
      <c r="H2491" s="203"/>
    </row>
    <row r="2492" spans="1:8">
      <c r="A2492" s="200"/>
      <c r="B2492" s="198"/>
      <c r="C2492" s="851"/>
      <c r="D2492" s="41"/>
      <c r="E2492" s="41"/>
      <c r="F2492" s="41"/>
      <c r="G2492" s="21"/>
      <c r="H2492" s="203"/>
    </row>
    <row r="2493" spans="1:8">
      <c r="A2493" s="200"/>
      <c r="B2493" s="198"/>
      <c r="C2493" s="851"/>
      <c r="D2493" s="41"/>
      <c r="E2493" s="41"/>
      <c r="F2493" s="41"/>
      <c r="G2493" s="21"/>
      <c r="H2493" s="203"/>
    </row>
    <row r="2494" spans="1:8">
      <c r="A2494" s="200"/>
      <c r="B2494" s="198"/>
      <c r="C2494" s="851"/>
      <c r="D2494" s="41"/>
      <c r="E2494" s="41"/>
      <c r="F2494" s="41"/>
      <c r="G2494" s="21"/>
      <c r="H2494" s="203"/>
    </row>
    <row r="2495" spans="1:8">
      <c r="A2495" s="200"/>
      <c r="B2495" s="198"/>
      <c r="C2495" s="851"/>
      <c r="D2495" s="41"/>
      <c r="E2495" s="41"/>
      <c r="F2495" s="41"/>
      <c r="G2495" s="21"/>
      <c r="H2495" s="203"/>
    </row>
    <row r="2496" spans="1:8">
      <c r="A2496" s="200"/>
      <c r="B2496" s="198"/>
      <c r="C2496" s="851"/>
      <c r="D2496" s="41"/>
      <c r="E2496" s="41"/>
      <c r="F2496" s="41"/>
      <c r="G2496" s="21"/>
      <c r="H2496" s="203"/>
    </row>
    <row r="2497" spans="1:8">
      <c r="A2497" s="200"/>
      <c r="B2497" s="198"/>
      <c r="C2497" s="851"/>
      <c r="D2497" s="41"/>
      <c r="E2497" s="41"/>
      <c r="F2497" s="41"/>
      <c r="G2497" s="21"/>
      <c r="H2497" s="203"/>
    </row>
    <row r="2498" spans="1:8">
      <c r="A2498" s="200"/>
      <c r="B2498" s="198"/>
      <c r="C2498" s="851"/>
      <c r="D2498" s="41"/>
      <c r="E2498" s="41"/>
      <c r="F2498" s="41"/>
      <c r="G2498" s="21"/>
      <c r="H2498" s="203"/>
    </row>
    <row r="2499" spans="1:8">
      <c r="A2499" s="200"/>
      <c r="B2499" s="198"/>
      <c r="C2499" s="851"/>
      <c r="D2499" s="41"/>
      <c r="E2499" s="41"/>
      <c r="F2499" s="41"/>
      <c r="G2499" s="21"/>
      <c r="H2499" s="203"/>
    </row>
    <row r="2500" spans="1:8">
      <c r="A2500" s="200"/>
      <c r="B2500" s="198"/>
      <c r="C2500" s="851"/>
      <c r="D2500" s="41"/>
      <c r="E2500" s="41"/>
      <c r="F2500" s="41"/>
      <c r="G2500" s="21"/>
      <c r="H2500" s="203"/>
    </row>
    <row r="2501" spans="1:8">
      <c r="A2501" s="200"/>
      <c r="B2501" s="198"/>
      <c r="C2501" s="851"/>
      <c r="D2501" s="41"/>
      <c r="E2501" s="41"/>
      <c r="F2501" s="41"/>
      <c r="G2501" s="21"/>
      <c r="H2501" s="203"/>
    </row>
    <row r="2502" spans="1:8">
      <c r="A2502" s="200"/>
      <c r="B2502" s="198"/>
      <c r="C2502" s="851"/>
      <c r="D2502" s="41"/>
      <c r="E2502" s="41"/>
      <c r="F2502" s="41"/>
      <c r="G2502" s="21"/>
      <c r="H2502" s="203"/>
    </row>
    <row r="2503" spans="1:8">
      <c r="A2503" s="200"/>
      <c r="B2503" s="198"/>
      <c r="C2503" s="851"/>
      <c r="D2503" s="41"/>
      <c r="E2503" s="41"/>
      <c r="F2503" s="41"/>
      <c r="G2503" s="21"/>
      <c r="H2503" s="203"/>
    </row>
    <row r="2504" spans="1:8">
      <c r="A2504" s="200"/>
      <c r="B2504" s="198"/>
      <c r="C2504" s="851"/>
      <c r="D2504" s="41"/>
      <c r="E2504" s="41"/>
      <c r="F2504" s="41"/>
      <c r="G2504" s="21"/>
      <c r="H2504" s="203"/>
    </row>
    <row r="2505" spans="1:8">
      <c r="A2505" s="200"/>
      <c r="B2505" s="198"/>
      <c r="C2505" s="851"/>
      <c r="D2505" s="41"/>
      <c r="E2505" s="41"/>
      <c r="F2505" s="41"/>
      <c r="G2505" s="21"/>
      <c r="H2505" s="203"/>
    </row>
    <row r="2506" spans="1:8">
      <c r="A2506" s="200"/>
      <c r="B2506" s="198"/>
      <c r="C2506" s="851"/>
      <c r="D2506" s="41"/>
      <c r="E2506" s="41"/>
      <c r="F2506" s="41"/>
      <c r="G2506" s="21"/>
      <c r="H2506" s="203"/>
    </row>
    <row r="2507" spans="1:8">
      <c r="A2507" s="200"/>
      <c r="B2507" s="198"/>
      <c r="C2507" s="851"/>
      <c r="D2507" s="41"/>
      <c r="E2507" s="41"/>
      <c r="F2507" s="41"/>
      <c r="G2507" s="21"/>
      <c r="H2507" s="203"/>
    </row>
    <row r="2508" spans="1:8">
      <c r="A2508" s="200"/>
      <c r="B2508" s="198"/>
      <c r="C2508" s="851"/>
      <c r="D2508" s="41"/>
      <c r="E2508" s="41"/>
      <c r="F2508" s="41"/>
      <c r="G2508" s="21"/>
      <c r="H2508" s="203"/>
    </row>
    <row r="2509" spans="1:8">
      <c r="A2509" s="200"/>
      <c r="B2509" s="198"/>
      <c r="C2509" s="851"/>
      <c r="D2509" s="41"/>
      <c r="E2509" s="41"/>
      <c r="F2509" s="41"/>
      <c r="G2509" s="21"/>
      <c r="H2509" s="203"/>
    </row>
    <row r="2510" spans="1:8">
      <c r="A2510" s="200"/>
      <c r="B2510" s="198"/>
      <c r="C2510" s="851"/>
      <c r="D2510" s="41"/>
      <c r="E2510" s="41"/>
      <c r="F2510" s="41"/>
      <c r="G2510" s="21"/>
      <c r="H2510" s="203"/>
    </row>
    <row r="2511" spans="1:8">
      <c r="A2511" s="200"/>
      <c r="B2511" s="198"/>
      <c r="C2511" s="851"/>
      <c r="D2511" s="41"/>
      <c r="E2511" s="41"/>
      <c r="F2511" s="41"/>
      <c r="G2511" s="21"/>
      <c r="H2511" s="203"/>
    </row>
    <row r="2512" spans="1:8">
      <c r="A2512" s="200"/>
      <c r="B2512" s="198"/>
      <c r="C2512" s="851"/>
      <c r="D2512" s="41"/>
      <c r="E2512" s="41"/>
      <c r="F2512" s="41"/>
      <c r="G2512" s="21"/>
      <c r="H2512" s="203"/>
    </row>
    <row r="2513" spans="1:8">
      <c r="A2513" s="200"/>
      <c r="B2513" s="198"/>
      <c r="C2513" s="851"/>
      <c r="D2513" s="41"/>
      <c r="E2513" s="41"/>
      <c r="F2513" s="41"/>
      <c r="G2513" s="21"/>
      <c r="H2513" s="203"/>
    </row>
    <row r="2514" spans="1:8">
      <c r="A2514" s="200"/>
      <c r="B2514" s="198"/>
      <c r="C2514" s="851"/>
      <c r="D2514" s="41"/>
      <c r="E2514" s="41"/>
      <c r="F2514" s="41"/>
      <c r="G2514" s="21"/>
      <c r="H2514" s="203"/>
    </row>
    <row r="2515" spans="1:8">
      <c r="A2515" s="200"/>
      <c r="B2515" s="198"/>
      <c r="C2515" s="851"/>
      <c r="D2515" s="41"/>
      <c r="E2515" s="41"/>
      <c r="F2515" s="41"/>
      <c r="G2515" s="21"/>
      <c r="H2515" s="203"/>
    </row>
    <row r="2516" spans="1:8">
      <c r="A2516" s="200"/>
      <c r="B2516" s="198"/>
      <c r="C2516" s="851"/>
      <c r="D2516" s="41"/>
      <c r="E2516" s="41"/>
      <c r="F2516" s="41"/>
      <c r="G2516" s="21"/>
      <c r="H2516" s="203"/>
    </row>
    <row r="2517" spans="1:8">
      <c r="A2517" s="200"/>
      <c r="B2517" s="198"/>
      <c r="C2517" s="851"/>
      <c r="D2517" s="41"/>
      <c r="E2517" s="41"/>
      <c r="F2517" s="41"/>
      <c r="G2517" s="21"/>
      <c r="H2517" s="203"/>
    </row>
    <row r="2518" spans="1:8">
      <c r="A2518" s="200"/>
      <c r="B2518" s="198"/>
      <c r="C2518" s="851"/>
      <c r="D2518" s="41"/>
      <c r="E2518" s="41"/>
      <c r="F2518" s="41"/>
      <c r="G2518" s="21"/>
      <c r="H2518" s="203"/>
    </row>
    <row r="2519" spans="1:8">
      <c r="A2519" s="200"/>
      <c r="B2519" s="198"/>
      <c r="C2519" s="851"/>
      <c r="D2519" s="41"/>
      <c r="E2519" s="41"/>
      <c r="F2519" s="41"/>
      <c r="G2519" s="21"/>
      <c r="H2519" s="203"/>
    </row>
    <row r="2520" spans="1:8">
      <c r="A2520" s="200"/>
      <c r="B2520" s="198"/>
      <c r="C2520" s="851"/>
      <c r="D2520" s="41"/>
      <c r="E2520" s="41"/>
      <c r="F2520" s="41"/>
      <c r="G2520" s="21"/>
      <c r="H2520" s="203"/>
    </row>
    <row r="2521" spans="1:8">
      <c r="A2521" s="200"/>
      <c r="B2521" s="198"/>
      <c r="C2521" s="851"/>
      <c r="D2521" s="41"/>
      <c r="E2521" s="41"/>
      <c r="F2521" s="41"/>
      <c r="G2521" s="21"/>
      <c r="H2521" s="203"/>
    </row>
    <row r="2522" spans="1:8">
      <c r="A2522" s="200"/>
      <c r="B2522" s="198"/>
      <c r="C2522" s="851"/>
      <c r="D2522" s="41"/>
      <c r="E2522" s="41"/>
      <c r="F2522" s="41"/>
      <c r="G2522" s="21"/>
      <c r="H2522" s="203"/>
    </row>
    <row r="2523" spans="1:8">
      <c r="A2523" s="200"/>
      <c r="B2523" s="198"/>
      <c r="C2523" s="851"/>
      <c r="D2523" s="41"/>
      <c r="E2523" s="41"/>
      <c r="F2523" s="41"/>
      <c r="G2523" s="21"/>
      <c r="H2523" s="203"/>
    </row>
    <row r="2524" spans="1:8">
      <c r="A2524" s="200"/>
      <c r="B2524" s="198"/>
      <c r="C2524" s="851"/>
      <c r="D2524" s="41"/>
      <c r="E2524" s="41"/>
      <c r="F2524" s="41"/>
      <c r="G2524" s="21"/>
      <c r="H2524" s="203"/>
    </row>
    <row r="2525" spans="1:8">
      <c r="A2525" s="200"/>
      <c r="B2525" s="198"/>
      <c r="C2525" s="851"/>
      <c r="D2525" s="41"/>
      <c r="E2525" s="41"/>
      <c r="F2525" s="41"/>
      <c r="G2525" s="21"/>
      <c r="H2525" s="203"/>
    </row>
    <row r="2526" spans="1:8">
      <c r="A2526" s="200"/>
      <c r="B2526" s="198"/>
      <c r="C2526" s="851"/>
      <c r="D2526" s="41"/>
      <c r="E2526" s="41"/>
      <c r="F2526" s="41"/>
      <c r="G2526" s="21"/>
      <c r="H2526" s="203"/>
    </row>
    <row r="2527" spans="1:8">
      <c r="A2527" s="200"/>
      <c r="B2527" s="198"/>
      <c r="C2527" s="851"/>
      <c r="D2527" s="41"/>
      <c r="E2527" s="41"/>
      <c r="F2527" s="41"/>
      <c r="G2527" s="21"/>
      <c r="H2527" s="203"/>
    </row>
    <row r="2528" spans="1:8">
      <c r="A2528" s="200"/>
      <c r="B2528" s="198"/>
      <c r="C2528" s="851"/>
      <c r="D2528" s="41"/>
      <c r="E2528" s="41"/>
      <c r="F2528" s="41"/>
      <c r="G2528" s="21"/>
      <c r="H2528" s="203"/>
    </row>
    <row r="2529" spans="1:8">
      <c r="A2529" s="200"/>
      <c r="B2529" s="198"/>
      <c r="C2529" s="851"/>
      <c r="D2529" s="41"/>
      <c r="E2529" s="41"/>
      <c r="F2529" s="41"/>
      <c r="G2529" s="21"/>
      <c r="H2529" s="203"/>
    </row>
    <row r="2530" spans="1:8">
      <c r="A2530" s="200"/>
      <c r="B2530" s="198"/>
      <c r="C2530" s="851"/>
      <c r="D2530" s="41"/>
      <c r="E2530" s="41"/>
      <c r="F2530" s="41"/>
      <c r="G2530" s="21"/>
      <c r="H2530" s="203"/>
    </row>
    <row r="2531" spans="1:8">
      <c r="A2531" s="200"/>
      <c r="B2531" s="198"/>
      <c r="C2531" s="851"/>
      <c r="D2531" s="41"/>
      <c r="E2531" s="41"/>
      <c r="F2531" s="41"/>
      <c r="G2531" s="21"/>
      <c r="H2531" s="203"/>
    </row>
    <row r="2532" spans="1:8">
      <c r="A2532" s="200"/>
      <c r="B2532" s="198"/>
      <c r="C2532" s="851"/>
      <c r="D2532" s="41"/>
      <c r="E2532" s="41"/>
      <c r="F2532" s="41"/>
      <c r="G2532" s="21"/>
      <c r="H2532" s="203"/>
    </row>
    <row r="2533" spans="1:8">
      <c r="A2533" s="200"/>
      <c r="B2533" s="198"/>
      <c r="C2533" s="851"/>
      <c r="D2533" s="41"/>
      <c r="E2533" s="41"/>
      <c r="F2533" s="41"/>
      <c r="G2533" s="21"/>
      <c r="H2533" s="203"/>
    </row>
    <row r="2534" spans="1:8">
      <c r="A2534" s="200"/>
      <c r="B2534" s="198"/>
      <c r="C2534" s="851"/>
      <c r="D2534" s="41"/>
      <c r="E2534" s="41"/>
      <c r="F2534" s="41"/>
      <c r="G2534" s="21"/>
      <c r="H2534" s="203"/>
    </row>
    <row r="2535" spans="1:8">
      <c r="A2535" s="200"/>
      <c r="B2535" s="198"/>
      <c r="C2535" s="851"/>
      <c r="D2535" s="41"/>
      <c r="E2535" s="41"/>
      <c r="F2535" s="41"/>
      <c r="G2535" s="21"/>
      <c r="H2535" s="203"/>
    </row>
    <row r="2536" spans="1:8">
      <c r="A2536" s="200"/>
      <c r="B2536" s="198"/>
      <c r="C2536" s="851"/>
      <c r="D2536" s="41"/>
      <c r="E2536" s="41"/>
      <c r="F2536" s="41"/>
      <c r="G2536" s="21"/>
      <c r="H2536" s="203"/>
    </row>
    <row r="2537" spans="1:8">
      <c r="A2537" s="200"/>
      <c r="B2537" s="198"/>
      <c r="C2537" s="851"/>
      <c r="D2537" s="41"/>
      <c r="E2537" s="41"/>
      <c r="F2537" s="41"/>
      <c r="G2537" s="21"/>
      <c r="H2537" s="203"/>
    </row>
    <row r="2538" spans="1:8">
      <c r="A2538" s="200"/>
      <c r="B2538" s="198"/>
      <c r="C2538" s="851"/>
      <c r="D2538" s="41"/>
      <c r="E2538" s="41"/>
      <c r="F2538" s="41"/>
      <c r="G2538" s="21"/>
      <c r="H2538" s="203"/>
    </row>
    <row r="2539" spans="1:8">
      <c r="A2539" s="200"/>
      <c r="B2539" s="198"/>
      <c r="C2539" s="851"/>
      <c r="D2539" s="41"/>
      <c r="E2539" s="41"/>
      <c r="F2539" s="41"/>
      <c r="G2539" s="21"/>
      <c r="H2539" s="203"/>
    </row>
    <row r="2540" spans="1:8">
      <c r="A2540" s="200"/>
      <c r="B2540" s="198"/>
      <c r="C2540" s="851"/>
      <c r="D2540" s="41"/>
      <c r="E2540" s="41"/>
      <c r="F2540" s="41"/>
      <c r="G2540" s="21"/>
      <c r="H2540" s="203"/>
    </row>
    <row r="2541" spans="1:8">
      <c r="A2541" s="200"/>
      <c r="B2541" s="198"/>
      <c r="C2541" s="851"/>
      <c r="D2541" s="41"/>
      <c r="E2541" s="41"/>
      <c r="F2541" s="41"/>
      <c r="G2541" s="21"/>
      <c r="H2541" s="203"/>
    </row>
    <row r="2542" spans="1:8">
      <c r="A2542" s="200"/>
      <c r="B2542" s="198"/>
      <c r="C2542" s="851"/>
      <c r="D2542" s="41"/>
      <c r="E2542" s="41"/>
      <c r="F2542" s="41"/>
      <c r="G2542" s="21"/>
      <c r="H2542" s="203"/>
    </row>
    <row r="2543" spans="1:8">
      <c r="A2543" s="200"/>
      <c r="B2543" s="198"/>
      <c r="C2543" s="851"/>
      <c r="D2543" s="41"/>
      <c r="E2543" s="41"/>
      <c r="F2543" s="41"/>
      <c r="G2543" s="21"/>
      <c r="H2543" s="203"/>
    </row>
    <row r="2544" spans="1:8">
      <c r="A2544" s="200"/>
      <c r="B2544" s="198"/>
      <c r="C2544" s="851"/>
      <c r="D2544" s="41"/>
      <c r="E2544" s="41"/>
      <c r="F2544" s="41"/>
      <c r="G2544" s="21"/>
      <c r="H2544" s="203"/>
    </row>
    <row r="2545" spans="1:8">
      <c r="A2545" s="200"/>
      <c r="B2545" s="198"/>
      <c r="C2545" s="851"/>
      <c r="D2545" s="41"/>
      <c r="E2545" s="41"/>
      <c r="F2545" s="41"/>
      <c r="G2545" s="21"/>
      <c r="H2545" s="203"/>
    </row>
    <row r="2546" spans="1:8">
      <c r="A2546" s="200"/>
      <c r="B2546" s="198"/>
      <c r="C2546" s="851"/>
      <c r="D2546" s="41"/>
      <c r="E2546" s="41"/>
      <c r="F2546" s="41"/>
      <c r="G2546" s="21"/>
      <c r="H2546" s="203"/>
    </row>
    <row r="2547" spans="1:8">
      <c r="A2547" s="200"/>
      <c r="B2547" s="198"/>
      <c r="C2547" s="851"/>
      <c r="D2547" s="41"/>
      <c r="E2547" s="41"/>
      <c r="F2547" s="41"/>
      <c r="G2547" s="21"/>
      <c r="H2547" s="203"/>
    </row>
    <row r="2548" spans="1:8">
      <c r="A2548" s="200"/>
      <c r="B2548" s="198"/>
      <c r="C2548" s="851"/>
      <c r="D2548" s="41"/>
      <c r="E2548" s="41"/>
      <c r="F2548" s="41"/>
      <c r="G2548" s="21"/>
      <c r="H2548" s="203"/>
    </row>
    <row r="2549" spans="1:8">
      <c r="A2549" s="200"/>
      <c r="B2549" s="198"/>
      <c r="C2549" s="851"/>
      <c r="D2549" s="41"/>
      <c r="E2549" s="41"/>
      <c r="F2549" s="41"/>
      <c r="G2549" s="21"/>
      <c r="H2549" s="203"/>
    </row>
    <row r="2550" spans="1:8">
      <c r="A2550" s="200"/>
      <c r="B2550" s="198"/>
      <c r="C2550" s="851"/>
      <c r="D2550" s="41"/>
      <c r="E2550" s="41"/>
      <c r="F2550" s="41"/>
      <c r="G2550" s="21"/>
      <c r="H2550" s="203"/>
    </row>
    <row r="2551" spans="1:8">
      <c r="A2551" s="200"/>
      <c r="B2551" s="198"/>
      <c r="C2551" s="851"/>
      <c r="D2551" s="41"/>
      <c r="E2551" s="41"/>
      <c r="F2551" s="41"/>
      <c r="G2551" s="21"/>
      <c r="H2551" s="203"/>
    </row>
    <row r="2552" spans="1:8">
      <c r="A2552" s="200"/>
      <c r="B2552" s="198"/>
      <c r="C2552" s="851"/>
      <c r="D2552" s="41"/>
      <c r="E2552" s="41"/>
      <c r="F2552" s="41"/>
      <c r="G2552" s="21"/>
      <c r="H2552" s="203"/>
    </row>
    <row r="2553" spans="1:8">
      <c r="A2553" s="200"/>
      <c r="B2553" s="198"/>
      <c r="C2553" s="851"/>
      <c r="D2553" s="41"/>
      <c r="E2553" s="41"/>
      <c r="F2553" s="41"/>
      <c r="G2553" s="21"/>
      <c r="H2553" s="203"/>
    </row>
    <row r="2554" spans="1:8">
      <c r="A2554" s="200"/>
      <c r="B2554" s="198"/>
      <c r="C2554" s="851"/>
      <c r="D2554" s="41"/>
      <c r="E2554" s="41"/>
      <c r="F2554" s="41"/>
      <c r="G2554" s="21"/>
      <c r="H2554" s="203"/>
    </row>
    <row r="2555" spans="1:8">
      <c r="A2555" s="200"/>
      <c r="B2555" s="198"/>
      <c r="C2555" s="851"/>
      <c r="D2555" s="41"/>
      <c r="E2555" s="41"/>
      <c r="F2555" s="41"/>
      <c r="G2555" s="21"/>
      <c r="H2555" s="203"/>
    </row>
    <row r="2556" spans="1:8">
      <c r="A2556" s="200"/>
      <c r="B2556" s="198"/>
      <c r="C2556" s="851"/>
      <c r="D2556" s="41"/>
      <c r="E2556" s="41"/>
      <c r="F2556" s="41"/>
      <c r="G2556" s="21"/>
      <c r="H2556" s="203"/>
    </row>
    <row r="2557" spans="1:8">
      <c r="A2557" s="200"/>
      <c r="B2557" s="198"/>
      <c r="C2557" s="851"/>
      <c r="D2557" s="41"/>
      <c r="E2557" s="41"/>
      <c r="F2557" s="41"/>
      <c r="G2557" s="21"/>
      <c r="H2557" s="203"/>
    </row>
    <row r="2558" spans="1:8">
      <c r="A2558" s="200"/>
      <c r="B2558" s="198"/>
      <c r="C2558" s="851"/>
      <c r="D2558" s="41"/>
      <c r="E2558" s="41"/>
      <c r="F2558" s="41"/>
      <c r="G2558" s="21"/>
      <c r="H2558" s="203"/>
    </row>
    <row r="2559" spans="1:8">
      <c r="A2559" s="200"/>
      <c r="B2559" s="198"/>
      <c r="C2559" s="851"/>
      <c r="D2559" s="41"/>
      <c r="E2559" s="41"/>
      <c r="F2559" s="41"/>
      <c r="G2559" s="21"/>
      <c r="H2559" s="203"/>
    </row>
    <row r="2560" spans="1:8">
      <c r="A2560" s="200"/>
      <c r="B2560" s="198"/>
      <c r="C2560" s="851"/>
      <c r="D2560" s="41"/>
      <c r="E2560" s="41"/>
      <c r="F2560" s="41"/>
      <c r="G2560" s="21"/>
      <c r="H2560" s="203"/>
    </row>
    <row r="2561" spans="1:8">
      <c r="A2561" s="200"/>
      <c r="B2561" s="198"/>
      <c r="C2561" s="851"/>
      <c r="D2561" s="41"/>
      <c r="E2561" s="41"/>
      <c r="F2561" s="41"/>
      <c r="G2561" s="21"/>
      <c r="H2561" s="203"/>
    </row>
    <row r="2562" spans="1:8">
      <c r="A2562" s="200"/>
      <c r="B2562" s="198"/>
      <c r="C2562" s="851"/>
      <c r="D2562" s="41"/>
      <c r="E2562" s="41"/>
      <c r="F2562" s="41"/>
      <c r="G2562" s="21"/>
      <c r="H2562" s="203"/>
    </row>
    <row r="2563" spans="1:8">
      <c r="A2563" s="200"/>
      <c r="B2563" s="198"/>
      <c r="C2563" s="851"/>
      <c r="D2563" s="41"/>
      <c r="E2563" s="41"/>
      <c r="F2563" s="41"/>
      <c r="G2563" s="21"/>
      <c r="H2563" s="203"/>
    </row>
    <row r="2564" spans="1:8">
      <c r="A2564" s="200"/>
      <c r="B2564" s="198"/>
      <c r="C2564" s="851"/>
      <c r="D2564" s="41"/>
      <c r="E2564" s="41"/>
      <c r="F2564" s="41"/>
      <c r="G2564" s="21"/>
      <c r="H2564" s="203"/>
    </row>
    <row r="2565" spans="1:8">
      <c r="A2565" s="200"/>
      <c r="B2565" s="198"/>
      <c r="C2565" s="851"/>
      <c r="D2565" s="41"/>
      <c r="E2565" s="41"/>
      <c r="F2565" s="41"/>
      <c r="G2565" s="21"/>
      <c r="H2565" s="203"/>
    </row>
    <row r="2566" spans="1:8">
      <c r="A2566" s="200"/>
      <c r="B2566" s="198"/>
      <c r="C2566" s="851"/>
      <c r="D2566" s="41"/>
      <c r="E2566" s="41"/>
      <c r="F2566" s="41"/>
      <c r="G2566" s="21"/>
      <c r="H2566" s="203"/>
    </row>
    <row r="2567" spans="1:8">
      <c r="A2567" s="200"/>
      <c r="B2567" s="198"/>
      <c r="C2567" s="851"/>
      <c r="D2567" s="41"/>
      <c r="E2567" s="41"/>
      <c r="F2567" s="41"/>
      <c r="G2567" s="21"/>
      <c r="H2567" s="203"/>
    </row>
    <row r="2568" spans="1:8">
      <c r="A2568" s="200"/>
      <c r="B2568" s="198"/>
      <c r="C2568" s="851"/>
      <c r="D2568" s="41"/>
      <c r="E2568" s="41"/>
      <c r="F2568" s="41"/>
      <c r="G2568" s="21"/>
      <c r="H2568" s="203"/>
    </row>
    <row r="2569" spans="1:8">
      <c r="A2569" s="200"/>
      <c r="B2569" s="198"/>
      <c r="C2569" s="851"/>
      <c r="D2569" s="41"/>
      <c r="E2569" s="41"/>
      <c r="F2569" s="41"/>
      <c r="G2569" s="21"/>
      <c r="H2569" s="203"/>
    </row>
    <row r="2570" spans="1:8">
      <c r="A2570" s="200"/>
      <c r="B2570" s="198"/>
      <c r="C2570" s="851"/>
      <c r="D2570" s="41"/>
      <c r="E2570" s="41"/>
      <c r="F2570" s="41"/>
      <c r="G2570" s="21"/>
      <c r="H2570" s="203"/>
    </row>
    <row r="2571" spans="1:8">
      <c r="A2571" s="200"/>
      <c r="B2571" s="198"/>
      <c r="C2571" s="851"/>
      <c r="D2571" s="41"/>
      <c r="E2571" s="41"/>
      <c r="F2571" s="41"/>
      <c r="G2571" s="21"/>
      <c r="H2571" s="203"/>
    </row>
    <row r="2572" spans="1:8">
      <c r="A2572" s="200"/>
      <c r="B2572" s="198"/>
      <c r="C2572" s="851"/>
      <c r="D2572" s="41"/>
      <c r="E2572" s="41"/>
      <c r="F2572" s="41"/>
      <c r="G2572" s="21"/>
      <c r="H2572" s="203"/>
    </row>
    <row r="2573" spans="1:8">
      <c r="A2573" s="200"/>
      <c r="B2573" s="198"/>
      <c r="C2573" s="851"/>
      <c r="D2573" s="41"/>
      <c r="E2573" s="41"/>
      <c r="F2573" s="41"/>
      <c r="G2573" s="21"/>
      <c r="H2573" s="203"/>
    </row>
    <row r="2574" spans="1:8">
      <c r="A2574" s="200"/>
      <c r="B2574" s="198"/>
      <c r="C2574" s="851"/>
      <c r="D2574" s="41"/>
      <c r="E2574" s="41"/>
      <c r="F2574" s="41"/>
      <c r="G2574" s="21"/>
      <c r="H2574" s="203"/>
    </row>
    <row r="2575" spans="1:8">
      <c r="A2575" s="200"/>
      <c r="B2575" s="198"/>
      <c r="C2575" s="851"/>
      <c r="D2575" s="41"/>
      <c r="E2575" s="41"/>
      <c r="F2575" s="41"/>
      <c r="G2575" s="21"/>
      <c r="H2575" s="203"/>
    </row>
    <row r="2576" spans="1:8">
      <c r="A2576" s="200"/>
      <c r="B2576" s="198"/>
      <c r="C2576" s="851"/>
      <c r="D2576" s="41"/>
      <c r="E2576" s="41"/>
      <c r="F2576" s="41"/>
      <c r="G2576" s="21"/>
      <c r="H2576" s="203"/>
    </row>
    <row r="2577" spans="1:8">
      <c r="A2577" s="200"/>
      <c r="B2577" s="198"/>
      <c r="C2577" s="851"/>
      <c r="D2577" s="41"/>
      <c r="E2577" s="41"/>
      <c r="F2577" s="41"/>
      <c r="G2577" s="21"/>
      <c r="H2577" s="203"/>
    </row>
    <row r="2578" spans="1:8">
      <c r="A2578" s="200"/>
      <c r="B2578" s="198"/>
      <c r="C2578" s="851"/>
      <c r="D2578" s="41"/>
      <c r="E2578" s="41"/>
      <c r="F2578" s="41"/>
      <c r="G2578" s="21"/>
      <c r="H2578" s="203"/>
    </row>
    <row r="2579" spans="1:8">
      <c r="A2579" s="200"/>
      <c r="B2579" s="198"/>
      <c r="C2579" s="851"/>
      <c r="D2579" s="41"/>
      <c r="E2579" s="41"/>
      <c r="F2579" s="41"/>
      <c r="G2579" s="21"/>
      <c r="H2579" s="203"/>
    </row>
    <row r="2580" spans="1:8">
      <c r="A2580" s="200"/>
      <c r="B2580" s="198"/>
      <c r="C2580" s="851"/>
      <c r="D2580" s="41"/>
      <c r="E2580" s="41"/>
      <c r="F2580" s="41"/>
      <c r="G2580" s="21"/>
      <c r="H2580" s="203"/>
    </row>
    <row r="2581" spans="1:8">
      <c r="A2581" s="200"/>
      <c r="B2581" s="198"/>
      <c r="C2581" s="851"/>
      <c r="D2581" s="41"/>
      <c r="E2581" s="41"/>
      <c r="F2581" s="41"/>
      <c r="G2581" s="21"/>
      <c r="H2581" s="203"/>
    </row>
    <row r="2582" spans="1:8">
      <c r="A2582" s="200"/>
      <c r="B2582" s="198"/>
      <c r="C2582" s="851"/>
      <c r="D2582" s="41"/>
      <c r="E2582" s="41"/>
      <c r="F2582" s="41"/>
      <c r="G2582" s="21"/>
      <c r="H2582" s="203"/>
    </row>
    <row r="2583" spans="1:8">
      <c r="A2583" s="200"/>
      <c r="B2583" s="198"/>
      <c r="C2583" s="851"/>
      <c r="D2583" s="41"/>
      <c r="E2583" s="41"/>
      <c r="F2583" s="41"/>
      <c r="G2583" s="21"/>
      <c r="H2583" s="203"/>
    </row>
    <row r="2584" spans="1:8">
      <c r="A2584" s="200"/>
      <c r="B2584" s="198"/>
      <c r="C2584" s="851"/>
      <c r="D2584" s="41"/>
      <c r="E2584" s="41"/>
      <c r="F2584" s="41"/>
      <c r="G2584" s="21"/>
      <c r="H2584" s="203"/>
    </row>
    <row r="2585" spans="1:8">
      <c r="A2585" s="200"/>
      <c r="B2585" s="198"/>
      <c r="C2585" s="851"/>
      <c r="D2585" s="41"/>
      <c r="E2585" s="41"/>
      <c r="F2585" s="41"/>
      <c r="G2585" s="21"/>
      <c r="H2585" s="203"/>
    </row>
    <row r="2586" spans="1:8">
      <c r="A2586" s="200"/>
      <c r="B2586" s="198"/>
      <c r="C2586" s="851"/>
      <c r="D2586" s="41"/>
      <c r="E2586" s="41"/>
      <c r="F2586" s="41"/>
      <c r="G2586" s="21"/>
      <c r="H2586" s="203"/>
    </row>
    <row r="2587" spans="1:8">
      <c r="A2587" s="200"/>
      <c r="B2587" s="198"/>
      <c r="C2587" s="851"/>
      <c r="D2587" s="41"/>
      <c r="E2587" s="41"/>
      <c r="F2587" s="41"/>
      <c r="G2587" s="21"/>
      <c r="H2587" s="203"/>
    </row>
    <row r="2588" spans="1:8">
      <c r="A2588" s="200"/>
      <c r="B2588" s="198"/>
      <c r="C2588" s="851"/>
      <c r="D2588" s="41"/>
      <c r="E2588" s="41"/>
      <c r="F2588" s="41"/>
      <c r="G2588" s="21"/>
      <c r="H2588" s="203"/>
    </row>
    <row r="2589" spans="1:8">
      <c r="A2589" s="200"/>
      <c r="B2589" s="198"/>
      <c r="C2589" s="851"/>
      <c r="D2589" s="41"/>
      <c r="E2589" s="41"/>
      <c r="F2589" s="41"/>
      <c r="G2589" s="21"/>
      <c r="H2589" s="203"/>
    </row>
    <row r="2590" spans="1:8">
      <c r="A2590" s="200"/>
      <c r="B2590" s="198"/>
      <c r="C2590" s="851"/>
      <c r="D2590" s="41"/>
      <c r="E2590" s="41"/>
      <c r="F2590" s="41"/>
      <c r="G2590" s="21"/>
      <c r="H2590" s="203"/>
    </row>
    <row r="2591" spans="1:8">
      <c r="A2591" s="200"/>
      <c r="B2591" s="198"/>
      <c r="C2591" s="851"/>
      <c r="D2591" s="41"/>
      <c r="E2591" s="41"/>
      <c r="F2591" s="41"/>
      <c r="G2591" s="21"/>
      <c r="H2591" s="203"/>
    </row>
    <row r="2592" spans="1:8">
      <c r="A2592" s="200"/>
      <c r="B2592" s="198"/>
      <c r="C2592" s="851"/>
      <c r="D2592" s="41"/>
      <c r="E2592" s="41"/>
      <c r="F2592" s="41"/>
      <c r="G2592" s="21"/>
      <c r="H2592" s="203"/>
    </row>
    <row r="2593" spans="1:8">
      <c r="A2593" s="200"/>
      <c r="B2593" s="198"/>
      <c r="C2593" s="851"/>
      <c r="D2593" s="41"/>
      <c r="E2593" s="41"/>
      <c r="F2593" s="41"/>
      <c r="G2593" s="21"/>
      <c r="H2593" s="203"/>
    </row>
    <row r="2594" spans="1:8">
      <c r="A2594" s="200"/>
      <c r="B2594" s="198"/>
      <c r="C2594" s="851"/>
      <c r="D2594" s="41"/>
      <c r="E2594" s="41"/>
      <c r="F2594" s="41"/>
      <c r="G2594" s="21"/>
      <c r="H2594" s="203"/>
    </row>
    <row r="2595" spans="1:8">
      <c r="A2595" s="200"/>
      <c r="B2595" s="198"/>
      <c r="C2595" s="851"/>
      <c r="D2595" s="41"/>
      <c r="E2595" s="41"/>
      <c r="F2595" s="41"/>
      <c r="G2595" s="21"/>
      <c r="H2595" s="203"/>
    </row>
    <row r="2596" spans="1:8">
      <c r="A2596" s="200"/>
      <c r="B2596" s="198"/>
      <c r="C2596" s="851"/>
      <c r="D2596" s="41"/>
      <c r="E2596" s="41"/>
      <c r="F2596" s="41"/>
      <c r="G2596" s="21"/>
      <c r="H2596" s="203"/>
    </row>
    <row r="2597" spans="1:8">
      <c r="A2597" s="200"/>
      <c r="B2597" s="198"/>
      <c r="C2597" s="851"/>
      <c r="D2597" s="41"/>
      <c r="E2597" s="41"/>
      <c r="F2597" s="41"/>
      <c r="G2597" s="21"/>
      <c r="H2597" s="203"/>
    </row>
    <row r="2598" spans="1:8">
      <c r="A2598" s="200"/>
      <c r="B2598" s="198"/>
      <c r="C2598" s="851"/>
      <c r="D2598" s="41"/>
      <c r="E2598" s="41"/>
      <c r="F2598" s="41"/>
      <c r="G2598" s="21"/>
      <c r="H2598" s="203"/>
    </row>
    <row r="2599" spans="1:8">
      <c r="A2599" s="200"/>
      <c r="B2599" s="198"/>
      <c r="C2599" s="851"/>
      <c r="D2599" s="41"/>
      <c r="E2599" s="41"/>
      <c r="F2599" s="41"/>
      <c r="G2599" s="21"/>
      <c r="H2599" s="203"/>
    </row>
    <row r="2600" spans="1:8">
      <c r="A2600" s="200"/>
      <c r="B2600" s="198"/>
      <c r="C2600" s="851"/>
      <c r="D2600" s="41"/>
      <c r="E2600" s="41"/>
      <c r="F2600" s="41"/>
      <c r="G2600" s="21"/>
      <c r="H2600" s="203"/>
    </row>
    <row r="2601" spans="1:8">
      <c r="A2601" s="200"/>
      <c r="B2601" s="198"/>
      <c r="C2601" s="851"/>
      <c r="D2601" s="41"/>
      <c r="E2601" s="41"/>
      <c r="F2601" s="41"/>
      <c r="G2601" s="21"/>
      <c r="H2601" s="203"/>
    </row>
    <row r="2602" spans="1:8">
      <c r="A2602" s="200"/>
      <c r="B2602" s="198"/>
      <c r="C2602" s="851"/>
      <c r="D2602" s="41"/>
      <c r="E2602" s="41"/>
      <c r="F2602" s="41"/>
      <c r="G2602" s="21"/>
      <c r="H2602" s="203"/>
    </row>
    <row r="2603" spans="1:8">
      <c r="A2603" s="200"/>
      <c r="B2603" s="198"/>
      <c r="C2603" s="851"/>
      <c r="D2603" s="41"/>
      <c r="E2603" s="41"/>
      <c r="F2603" s="41"/>
      <c r="G2603" s="21"/>
      <c r="H2603" s="203"/>
    </row>
    <row r="2604" spans="1:8">
      <c r="A2604" s="200"/>
      <c r="B2604" s="198"/>
      <c r="C2604" s="851"/>
      <c r="D2604" s="41"/>
      <c r="E2604" s="41"/>
      <c r="F2604" s="41"/>
      <c r="G2604" s="21"/>
      <c r="H2604" s="203"/>
    </row>
    <row r="2605" spans="1:8">
      <c r="A2605" s="200"/>
      <c r="B2605" s="198"/>
      <c r="C2605" s="851"/>
      <c r="D2605" s="41"/>
      <c r="E2605" s="41"/>
      <c r="F2605" s="41"/>
      <c r="G2605" s="21"/>
      <c r="H2605" s="203"/>
    </row>
    <row r="2606" spans="1:8">
      <c r="A2606" s="200"/>
      <c r="B2606" s="198"/>
      <c r="C2606" s="851"/>
      <c r="D2606" s="41"/>
      <c r="E2606" s="41"/>
      <c r="F2606" s="41"/>
      <c r="G2606" s="21"/>
      <c r="H2606" s="203"/>
    </row>
    <row r="2607" spans="1:8">
      <c r="A2607" s="200"/>
      <c r="B2607" s="198"/>
      <c r="C2607" s="851"/>
      <c r="D2607" s="41"/>
      <c r="E2607" s="41"/>
      <c r="F2607" s="41"/>
      <c r="G2607" s="21"/>
      <c r="H2607" s="203"/>
    </row>
    <row r="2608" spans="1:8">
      <c r="A2608" s="200"/>
      <c r="B2608" s="198"/>
      <c r="C2608" s="851"/>
      <c r="D2608" s="41"/>
      <c r="E2608" s="41"/>
      <c r="F2608" s="41"/>
      <c r="G2608" s="21"/>
      <c r="H2608" s="203"/>
    </row>
    <row r="2609" spans="1:8">
      <c r="A2609" s="200"/>
      <c r="B2609" s="198"/>
      <c r="C2609" s="851"/>
      <c r="D2609" s="41"/>
      <c r="E2609" s="41"/>
      <c r="F2609" s="41"/>
      <c r="G2609" s="21"/>
      <c r="H2609" s="203"/>
    </row>
    <row r="2610" spans="1:8">
      <c r="A2610" s="200"/>
      <c r="B2610" s="198"/>
      <c r="C2610" s="851"/>
      <c r="D2610" s="41"/>
      <c r="E2610" s="41"/>
      <c r="F2610" s="41"/>
      <c r="G2610" s="21"/>
      <c r="H2610" s="203"/>
    </row>
    <row r="2611" spans="1:8">
      <c r="A2611" s="200"/>
      <c r="B2611" s="198"/>
      <c r="C2611" s="851"/>
      <c r="D2611" s="41"/>
      <c r="E2611" s="41"/>
      <c r="F2611" s="41"/>
      <c r="G2611" s="21"/>
      <c r="H2611" s="203"/>
    </row>
    <row r="2612" spans="1:8">
      <c r="A2612" s="200"/>
      <c r="B2612" s="198"/>
      <c r="C2612" s="851"/>
      <c r="D2612" s="41"/>
      <c r="E2612" s="41"/>
      <c r="F2612" s="41"/>
      <c r="G2612" s="21"/>
      <c r="H2612" s="203"/>
    </row>
    <row r="2613" spans="1:8">
      <c r="A2613" s="200"/>
      <c r="B2613" s="198"/>
      <c r="C2613" s="851"/>
      <c r="D2613" s="41"/>
      <c r="E2613" s="41"/>
      <c r="F2613" s="41"/>
      <c r="G2613" s="21"/>
      <c r="H2613" s="203"/>
    </row>
    <row r="2614" spans="1:8">
      <c r="A2614" s="200"/>
      <c r="B2614" s="198"/>
      <c r="C2614" s="851"/>
      <c r="D2614" s="41"/>
      <c r="E2614" s="41"/>
      <c r="F2614" s="41"/>
      <c r="G2614" s="21"/>
      <c r="H2614" s="203"/>
    </row>
    <row r="2615" spans="1:8">
      <c r="A2615" s="200"/>
      <c r="B2615" s="198"/>
      <c r="C2615" s="851"/>
      <c r="D2615" s="41"/>
      <c r="E2615" s="41"/>
      <c r="F2615" s="41"/>
      <c r="G2615" s="21"/>
      <c r="H2615" s="203"/>
    </row>
    <row r="2616" spans="1:8">
      <c r="A2616" s="200"/>
      <c r="B2616" s="198"/>
      <c r="C2616" s="851"/>
      <c r="D2616" s="41"/>
      <c r="E2616" s="41"/>
      <c r="F2616" s="41"/>
      <c r="G2616" s="21"/>
      <c r="H2616" s="203"/>
    </row>
    <row r="2617" spans="1:8">
      <c r="A2617" s="200"/>
      <c r="B2617" s="198"/>
      <c r="C2617" s="851"/>
      <c r="D2617" s="41"/>
      <c r="E2617" s="41"/>
      <c r="F2617" s="41"/>
      <c r="G2617" s="21"/>
      <c r="H2617" s="203"/>
    </row>
    <row r="2618" spans="1:8">
      <c r="A2618" s="200"/>
      <c r="B2618" s="198"/>
      <c r="C2618" s="851"/>
      <c r="D2618" s="41"/>
      <c r="E2618" s="41"/>
      <c r="F2618" s="41"/>
      <c r="G2618" s="21"/>
      <c r="H2618" s="203"/>
    </row>
    <row r="2619" spans="1:8">
      <c r="A2619" s="200"/>
      <c r="B2619" s="198"/>
      <c r="C2619" s="851"/>
      <c r="D2619" s="41"/>
      <c r="E2619" s="41"/>
      <c r="F2619" s="41"/>
      <c r="G2619" s="21"/>
      <c r="H2619" s="203"/>
    </row>
    <row r="2620" spans="1:8">
      <c r="A2620" s="200"/>
      <c r="B2620" s="198"/>
      <c r="C2620" s="851"/>
      <c r="D2620" s="41"/>
      <c r="E2620" s="41"/>
      <c r="F2620" s="41"/>
      <c r="G2620" s="21"/>
      <c r="H2620" s="203"/>
    </row>
    <row r="2621" spans="1:8">
      <c r="A2621" s="200"/>
      <c r="B2621" s="198"/>
      <c r="C2621" s="851"/>
      <c r="D2621" s="41"/>
      <c r="E2621" s="41"/>
      <c r="F2621" s="41"/>
      <c r="G2621" s="21"/>
      <c r="H2621" s="203"/>
    </row>
    <row r="2622" spans="1:8">
      <c r="A2622" s="200"/>
      <c r="B2622" s="198"/>
      <c r="C2622" s="851"/>
      <c r="D2622" s="41"/>
      <c r="E2622" s="41"/>
      <c r="F2622" s="41"/>
      <c r="G2622" s="21"/>
      <c r="H2622" s="203"/>
    </row>
    <row r="2623" spans="1:8">
      <c r="A2623" s="200"/>
      <c r="B2623" s="198"/>
      <c r="C2623" s="851"/>
      <c r="D2623" s="41"/>
      <c r="E2623" s="41"/>
      <c r="F2623" s="41"/>
      <c r="G2623" s="21"/>
      <c r="H2623" s="203"/>
    </row>
    <row r="2624" spans="1:8">
      <c r="A2624" s="200"/>
      <c r="B2624" s="198"/>
      <c r="C2624" s="851"/>
      <c r="D2624" s="41"/>
      <c r="E2624" s="41"/>
      <c r="F2624" s="41"/>
      <c r="G2624" s="21"/>
      <c r="H2624" s="203"/>
    </row>
    <row r="2625" spans="1:8">
      <c r="A2625" s="200"/>
      <c r="B2625" s="198"/>
      <c r="C2625" s="851"/>
      <c r="D2625" s="41"/>
      <c r="E2625" s="41"/>
      <c r="F2625" s="41"/>
      <c r="G2625" s="21"/>
      <c r="H2625" s="203"/>
    </row>
    <row r="2626" spans="1:8">
      <c r="A2626" s="200"/>
      <c r="B2626" s="198"/>
      <c r="C2626" s="851"/>
      <c r="D2626" s="41"/>
      <c r="E2626" s="41"/>
      <c r="F2626" s="41"/>
      <c r="G2626" s="21"/>
      <c r="H2626" s="203"/>
    </row>
    <row r="2627" spans="1:8">
      <c r="A2627" s="200"/>
      <c r="B2627" s="198"/>
      <c r="C2627" s="851"/>
      <c r="D2627" s="41"/>
      <c r="E2627" s="41"/>
      <c r="F2627" s="41"/>
      <c r="G2627" s="21"/>
      <c r="H2627" s="203"/>
    </row>
    <row r="2628" spans="1:8">
      <c r="A2628" s="200"/>
      <c r="B2628" s="198"/>
      <c r="C2628" s="851"/>
      <c r="D2628" s="41"/>
      <c r="E2628" s="41"/>
      <c r="F2628" s="41"/>
      <c r="G2628" s="21"/>
      <c r="H2628" s="203"/>
    </row>
    <row r="2629" spans="1:8">
      <c r="A2629" s="200"/>
      <c r="B2629" s="198"/>
      <c r="C2629" s="851"/>
      <c r="D2629" s="41"/>
      <c r="E2629" s="41"/>
      <c r="F2629" s="41"/>
      <c r="G2629" s="21"/>
      <c r="H2629" s="203"/>
    </row>
    <row r="2630" spans="1:8">
      <c r="A2630" s="200"/>
      <c r="B2630" s="198"/>
      <c r="C2630" s="851"/>
      <c r="D2630" s="41"/>
      <c r="E2630" s="41"/>
      <c r="F2630" s="41"/>
      <c r="G2630" s="21"/>
      <c r="H2630" s="203"/>
    </row>
    <row r="2631" spans="1:8">
      <c r="A2631" s="200"/>
      <c r="B2631" s="198"/>
      <c r="C2631" s="851"/>
      <c r="D2631" s="41"/>
      <c r="E2631" s="41"/>
      <c r="F2631" s="41"/>
      <c r="G2631" s="21"/>
      <c r="H2631" s="203"/>
    </row>
    <row r="2632" spans="1:8">
      <c r="A2632" s="200"/>
      <c r="B2632" s="198"/>
      <c r="C2632" s="851"/>
      <c r="D2632" s="41"/>
      <c r="E2632" s="41"/>
      <c r="F2632" s="41"/>
      <c r="G2632" s="21"/>
      <c r="H2632" s="203"/>
    </row>
    <row r="2633" spans="1:8">
      <c r="A2633" s="200"/>
      <c r="B2633" s="198"/>
      <c r="C2633" s="851"/>
      <c r="D2633" s="41"/>
      <c r="E2633" s="41"/>
      <c r="F2633" s="41"/>
      <c r="G2633" s="21"/>
      <c r="H2633" s="203"/>
    </row>
    <row r="2634" spans="1:8">
      <c r="A2634" s="200"/>
      <c r="B2634" s="198"/>
      <c r="C2634" s="851"/>
      <c r="D2634" s="41"/>
      <c r="E2634" s="41"/>
      <c r="F2634" s="41"/>
      <c r="G2634" s="21"/>
      <c r="H2634" s="203"/>
    </row>
    <row r="2635" spans="1:8">
      <c r="A2635" s="200"/>
      <c r="B2635" s="198"/>
      <c r="C2635" s="851"/>
      <c r="D2635" s="41"/>
      <c r="E2635" s="41"/>
      <c r="F2635" s="41"/>
      <c r="G2635" s="21"/>
      <c r="H2635" s="203"/>
    </row>
    <row r="2636" spans="1:8">
      <c r="A2636" s="200"/>
      <c r="B2636" s="198"/>
      <c r="C2636" s="851"/>
      <c r="D2636" s="41"/>
      <c r="E2636" s="41"/>
      <c r="F2636" s="41"/>
      <c r="G2636" s="21"/>
      <c r="H2636" s="203"/>
    </row>
    <row r="2637" spans="1:8">
      <c r="A2637" s="200"/>
      <c r="B2637" s="198"/>
      <c r="C2637" s="851"/>
      <c r="D2637" s="41"/>
      <c r="E2637" s="41"/>
      <c r="F2637" s="41"/>
      <c r="G2637" s="21"/>
      <c r="H2637" s="203"/>
    </row>
    <row r="2638" spans="1:8">
      <c r="A2638" s="200"/>
      <c r="B2638" s="198"/>
      <c r="C2638" s="851"/>
      <c r="D2638" s="41"/>
      <c r="E2638" s="41"/>
      <c r="F2638" s="41"/>
      <c r="G2638" s="21"/>
      <c r="H2638" s="203"/>
    </row>
    <row r="2639" spans="1:8">
      <c r="A2639" s="200"/>
      <c r="B2639" s="198"/>
      <c r="C2639" s="851"/>
      <c r="D2639" s="41"/>
      <c r="E2639" s="41"/>
      <c r="F2639" s="41"/>
      <c r="G2639" s="21"/>
      <c r="H2639" s="203"/>
    </row>
    <row r="2640" spans="1:8">
      <c r="A2640" s="200"/>
      <c r="B2640" s="198"/>
      <c r="C2640" s="851"/>
      <c r="D2640" s="41"/>
      <c r="E2640" s="41"/>
      <c r="F2640" s="41"/>
      <c r="G2640" s="21"/>
      <c r="H2640" s="203"/>
    </row>
    <row r="2641" spans="1:8">
      <c r="A2641" s="200"/>
      <c r="B2641" s="198"/>
      <c r="C2641" s="851"/>
      <c r="D2641" s="41"/>
      <c r="E2641" s="41"/>
      <c r="F2641" s="41"/>
      <c r="G2641" s="21"/>
      <c r="H2641" s="203"/>
    </row>
    <row r="2642" spans="1:8">
      <c r="A2642" s="200"/>
      <c r="B2642" s="198"/>
      <c r="C2642" s="851"/>
      <c r="D2642" s="41"/>
      <c r="E2642" s="41"/>
      <c r="F2642" s="41"/>
      <c r="G2642" s="21"/>
      <c r="H2642" s="203"/>
    </row>
    <row r="2643" spans="1:8">
      <c r="A2643" s="200"/>
      <c r="B2643" s="198"/>
      <c r="C2643" s="851"/>
      <c r="D2643" s="41"/>
      <c r="E2643" s="41"/>
      <c r="F2643" s="41"/>
      <c r="G2643" s="21"/>
      <c r="H2643" s="203"/>
    </row>
    <row r="2644" spans="1:8">
      <c r="A2644" s="200"/>
      <c r="B2644" s="198"/>
      <c r="C2644" s="851"/>
      <c r="D2644" s="41"/>
      <c r="E2644" s="41"/>
      <c r="F2644" s="41"/>
      <c r="G2644" s="21"/>
      <c r="H2644" s="203"/>
    </row>
    <row r="2645" spans="1:8">
      <c r="A2645" s="200"/>
      <c r="B2645" s="198"/>
      <c r="C2645" s="851"/>
      <c r="D2645" s="41"/>
      <c r="E2645" s="41"/>
      <c r="F2645" s="41"/>
      <c r="G2645" s="21"/>
      <c r="H2645" s="203"/>
    </row>
    <row r="2646" spans="1:8">
      <c r="A2646" s="200"/>
      <c r="B2646" s="198"/>
      <c r="C2646" s="851"/>
      <c r="D2646" s="41"/>
      <c r="E2646" s="41"/>
      <c r="F2646" s="41"/>
      <c r="G2646" s="21"/>
      <c r="H2646" s="203"/>
    </row>
    <row r="2647" spans="1:8">
      <c r="A2647" s="200"/>
      <c r="B2647" s="198"/>
      <c r="C2647" s="851"/>
      <c r="D2647" s="41"/>
      <c r="E2647" s="41"/>
      <c r="F2647" s="41"/>
      <c r="G2647" s="21"/>
      <c r="H2647" s="203"/>
    </row>
    <row r="2648" spans="1:8">
      <c r="A2648" s="200"/>
      <c r="B2648" s="198"/>
      <c r="C2648" s="851"/>
      <c r="D2648" s="41"/>
      <c r="E2648" s="41"/>
      <c r="F2648" s="41"/>
      <c r="G2648" s="21"/>
      <c r="H2648" s="203"/>
    </row>
    <row r="2649" spans="1:8">
      <c r="A2649" s="200"/>
      <c r="B2649" s="198"/>
      <c r="C2649" s="851"/>
      <c r="D2649" s="41"/>
      <c r="E2649" s="41"/>
      <c r="F2649" s="41"/>
      <c r="G2649" s="21"/>
      <c r="H2649" s="203"/>
    </row>
    <row r="2650" spans="1:8">
      <c r="A2650" s="200"/>
      <c r="B2650" s="198"/>
      <c r="C2650" s="851"/>
      <c r="D2650" s="41"/>
      <c r="E2650" s="41"/>
      <c r="F2650" s="41"/>
      <c r="G2650" s="21"/>
      <c r="H2650" s="203"/>
    </row>
    <row r="2651" spans="1:8">
      <c r="A2651" s="200"/>
      <c r="B2651" s="198"/>
      <c r="C2651" s="851"/>
      <c r="D2651" s="41"/>
      <c r="E2651" s="41"/>
      <c r="F2651" s="41"/>
      <c r="G2651" s="21"/>
      <c r="H2651" s="203"/>
    </row>
    <row r="2652" spans="1:8">
      <c r="A2652" s="200"/>
      <c r="B2652" s="198"/>
      <c r="C2652" s="851"/>
      <c r="D2652" s="41"/>
      <c r="E2652" s="41"/>
      <c r="F2652" s="41"/>
      <c r="G2652" s="21"/>
      <c r="H2652" s="203"/>
    </row>
    <row r="2653" spans="1:8">
      <c r="A2653" s="200"/>
      <c r="B2653" s="198"/>
      <c r="C2653" s="851"/>
      <c r="D2653" s="41"/>
      <c r="E2653" s="41"/>
      <c r="F2653" s="41"/>
      <c r="G2653" s="21"/>
      <c r="H2653" s="203"/>
    </row>
    <row r="2654" spans="1:8">
      <c r="A2654" s="200"/>
      <c r="B2654" s="198"/>
      <c r="C2654" s="851"/>
      <c r="D2654" s="41"/>
      <c r="E2654" s="41"/>
      <c r="F2654" s="41"/>
      <c r="G2654" s="21"/>
      <c r="H2654" s="203"/>
    </row>
    <row r="2655" spans="1:8">
      <c r="A2655" s="200"/>
      <c r="B2655" s="198"/>
      <c r="C2655" s="851"/>
      <c r="D2655" s="41"/>
      <c r="E2655" s="41"/>
      <c r="F2655" s="41"/>
      <c r="G2655" s="21"/>
      <c r="H2655" s="203"/>
    </row>
    <row r="2656" spans="1:8">
      <c r="A2656" s="200"/>
      <c r="B2656" s="198"/>
      <c r="C2656" s="851"/>
      <c r="D2656" s="41"/>
      <c r="E2656" s="41"/>
      <c r="F2656" s="41"/>
      <c r="G2656" s="21"/>
      <c r="H2656" s="203"/>
    </row>
    <row r="2657" spans="1:8">
      <c r="A2657" s="200"/>
      <c r="B2657" s="198"/>
      <c r="C2657" s="851"/>
      <c r="D2657" s="41"/>
      <c r="E2657" s="41"/>
      <c r="F2657" s="41"/>
      <c r="G2657" s="21"/>
      <c r="H2657" s="203"/>
    </row>
    <row r="2658" spans="1:8">
      <c r="A2658" s="200"/>
      <c r="B2658" s="198"/>
      <c r="C2658" s="851"/>
      <c r="D2658" s="41"/>
      <c r="E2658" s="41"/>
      <c r="F2658" s="41"/>
      <c r="G2658" s="21"/>
      <c r="H2658" s="203"/>
    </row>
    <row r="2659" spans="1:8">
      <c r="A2659" s="200"/>
      <c r="B2659" s="198"/>
      <c r="C2659" s="851"/>
      <c r="D2659" s="41"/>
      <c r="E2659" s="41"/>
      <c r="F2659" s="41"/>
      <c r="G2659" s="21"/>
      <c r="H2659" s="203"/>
    </row>
    <row r="2660" spans="1:8">
      <c r="A2660" s="200"/>
      <c r="B2660" s="198"/>
      <c r="C2660" s="851"/>
      <c r="D2660" s="41"/>
      <c r="E2660" s="41"/>
      <c r="F2660" s="41"/>
      <c r="G2660" s="21"/>
      <c r="H2660" s="203"/>
    </row>
    <row r="2661" spans="1:8">
      <c r="A2661" s="200"/>
      <c r="B2661" s="198"/>
      <c r="C2661" s="851"/>
      <c r="D2661" s="41"/>
      <c r="E2661" s="41"/>
      <c r="F2661" s="41"/>
      <c r="G2661" s="21"/>
      <c r="H2661" s="203"/>
    </row>
    <row r="2662" spans="1:8">
      <c r="A2662" s="200"/>
      <c r="B2662" s="198"/>
      <c r="C2662" s="851"/>
      <c r="D2662" s="41"/>
      <c r="E2662" s="41"/>
      <c r="F2662" s="41"/>
      <c r="G2662" s="21"/>
      <c r="H2662" s="203"/>
    </row>
    <row r="2663" spans="1:8">
      <c r="A2663" s="200"/>
      <c r="B2663" s="198"/>
      <c r="C2663" s="851"/>
      <c r="D2663" s="41"/>
      <c r="E2663" s="41"/>
      <c r="F2663" s="41"/>
      <c r="G2663" s="21"/>
      <c r="H2663" s="203"/>
    </row>
    <row r="2664" spans="1:8">
      <c r="A2664" s="200"/>
      <c r="B2664" s="198"/>
      <c r="C2664" s="851"/>
      <c r="D2664" s="41"/>
      <c r="E2664" s="41"/>
      <c r="F2664" s="41"/>
      <c r="G2664" s="21"/>
      <c r="H2664" s="203"/>
    </row>
    <row r="2665" spans="1:8">
      <c r="A2665" s="200"/>
      <c r="B2665" s="198"/>
      <c r="C2665" s="851"/>
      <c r="D2665" s="41"/>
      <c r="E2665" s="41"/>
      <c r="F2665" s="41"/>
      <c r="G2665" s="21"/>
      <c r="H2665" s="203"/>
    </row>
    <row r="2666" spans="1:8">
      <c r="A2666" s="200"/>
      <c r="B2666" s="198"/>
      <c r="C2666" s="851"/>
      <c r="D2666" s="41"/>
      <c r="E2666" s="41"/>
      <c r="F2666" s="41"/>
      <c r="G2666" s="21"/>
      <c r="H2666" s="203"/>
    </row>
    <row r="2667" spans="1:8">
      <c r="A2667" s="200"/>
      <c r="B2667" s="198"/>
      <c r="C2667" s="851"/>
      <c r="D2667" s="41"/>
      <c r="E2667" s="41"/>
      <c r="F2667" s="41"/>
      <c r="G2667" s="21"/>
      <c r="H2667" s="203"/>
    </row>
    <row r="2668" spans="1:8">
      <c r="A2668" s="200"/>
      <c r="B2668" s="198"/>
      <c r="C2668" s="851"/>
      <c r="D2668" s="41"/>
      <c r="E2668" s="41"/>
      <c r="F2668" s="41"/>
      <c r="G2668" s="21"/>
      <c r="H2668" s="203"/>
    </row>
    <row r="2669" spans="1:8">
      <c r="A2669" s="200"/>
      <c r="B2669" s="198"/>
      <c r="C2669" s="851"/>
      <c r="D2669" s="41"/>
      <c r="E2669" s="41"/>
      <c r="F2669" s="41"/>
      <c r="G2669" s="21"/>
      <c r="H2669" s="203"/>
    </row>
    <row r="2670" spans="1:8">
      <c r="A2670" s="200"/>
      <c r="B2670" s="198"/>
      <c r="C2670" s="851"/>
      <c r="D2670" s="41"/>
      <c r="E2670" s="41"/>
      <c r="F2670" s="41"/>
      <c r="G2670" s="21"/>
      <c r="H2670" s="203"/>
    </row>
    <row r="2671" spans="1:8">
      <c r="A2671" s="200"/>
      <c r="B2671" s="198"/>
      <c r="C2671" s="851"/>
      <c r="D2671" s="41"/>
      <c r="E2671" s="41"/>
      <c r="F2671" s="41"/>
      <c r="G2671" s="21"/>
      <c r="H2671" s="203"/>
    </row>
    <row r="2672" spans="1:8">
      <c r="A2672" s="200"/>
      <c r="B2672" s="198"/>
      <c r="C2672" s="851"/>
      <c r="D2672" s="41"/>
      <c r="E2672" s="41"/>
      <c r="F2672" s="41"/>
      <c r="G2672" s="21"/>
      <c r="H2672" s="203"/>
    </row>
    <row r="2673" spans="1:8">
      <c r="A2673" s="200"/>
      <c r="B2673" s="198"/>
      <c r="C2673" s="851"/>
      <c r="D2673" s="41"/>
      <c r="E2673" s="41"/>
      <c r="F2673" s="41"/>
      <c r="G2673" s="21"/>
      <c r="H2673" s="203"/>
    </row>
    <row r="2674" spans="1:8">
      <c r="A2674" s="200"/>
      <c r="B2674" s="198"/>
      <c r="C2674" s="851"/>
      <c r="D2674" s="41"/>
      <c r="E2674" s="41"/>
      <c r="F2674" s="41"/>
      <c r="G2674" s="21"/>
      <c r="H2674" s="203"/>
    </row>
    <row r="2675" spans="1:8">
      <c r="A2675" s="200"/>
      <c r="B2675" s="198"/>
      <c r="C2675" s="851"/>
      <c r="D2675" s="41"/>
      <c r="E2675" s="41"/>
      <c r="F2675" s="41"/>
      <c r="G2675" s="21"/>
      <c r="H2675" s="203"/>
    </row>
    <row r="2676" spans="1:8">
      <c r="A2676" s="200"/>
      <c r="B2676" s="198"/>
      <c r="C2676" s="851"/>
      <c r="D2676" s="41"/>
      <c r="E2676" s="41"/>
      <c r="F2676" s="41"/>
      <c r="G2676" s="21"/>
      <c r="H2676" s="203"/>
    </row>
    <row r="2677" spans="1:8">
      <c r="A2677" s="200"/>
      <c r="B2677" s="198"/>
      <c r="C2677" s="851"/>
      <c r="D2677" s="41"/>
      <c r="E2677" s="41"/>
      <c r="F2677" s="41"/>
      <c r="G2677" s="21"/>
      <c r="H2677" s="203"/>
    </row>
    <row r="2678" spans="1:8">
      <c r="A2678" s="200"/>
      <c r="B2678" s="198"/>
      <c r="C2678" s="851"/>
      <c r="D2678" s="41"/>
      <c r="E2678" s="41"/>
      <c r="F2678" s="41"/>
      <c r="G2678" s="21"/>
      <c r="H2678" s="203"/>
    </row>
    <row r="2679" spans="1:8">
      <c r="A2679" s="200"/>
      <c r="B2679" s="198"/>
      <c r="C2679" s="851"/>
      <c r="D2679" s="41"/>
      <c r="E2679" s="41"/>
      <c r="F2679" s="41"/>
      <c r="G2679" s="21"/>
      <c r="H2679" s="203"/>
    </row>
    <row r="2680" spans="1:8">
      <c r="A2680" s="200"/>
      <c r="B2680" s="198"/>
      <c r="C2680" s="851"/>
      <c r="D2680" s="41"/>
      <c r="E2680" s="41"/>
      <c r="F2680" s="41"/>
      <c r="G2680" s="21"/>
      <c r="H2680" s="203"/>
    </row>
    <row r="2681" spans="1:8">
      <c r="A2681" s="200"/>
      <c r="B2681" s="198"/>
      <c r="C2681" s="851"/>
      <c r="D2681" s="41"/>
      <c r="E2681" s="41"/>
      <c r="F2681" s="41"/>
      <c r="G2681" s="21"/>
      <c r="H2681" s="203"/>
    </row>
    <row r="2682" spans="1:8">
      <c r="A2682" s="200"/>
      <c r="B2682" s="198"/>
      <c r="C2682" s="851"/>
      <c r="D2682" s="41"/>
      <c r="E2682" s="41"/>
      <c r="F2682" s="41"/>
      <c r="G2682" s="21"/>
      <c r="H2682" s="203"/>
    </row>
    <row r="2683" spans="1:8">
      <c r="A2683" s="200"/>
      <c r="B2683" s="198"/>
      <c r="C2683" s="851"/>
      <c r="D2683" s="41"/>
      <c r="E2683" s="41"/>
      <c r="F2683" s="41"/>
      <c r="G2683" s="21"/>
      <c r="H2683" s="203"/>
    </row>
    <row r="2684" spans="1:8">
      <c r="A2684" s="200"/>
      <c r="B2684" s="198"/>
      <c r="C2684" s="851"/>
      <c r="D2684" s="41"/>
      <c r="E2684" s="41"/>
      <c r="F2684" s="41"/>
      <c r="G2684" s="21"/>
      <c r="H2684" s="203"/>
    </row>
    <row r="2685" spans="1:8">
      <c r="A2685" s="200"/>
      <c r="B2685" s="198"/>
      <c r="C2685" s="851"/>
      <c r="D2685" s="41"/>
      <c r="E2685" s="41"/>
      <c r="F2685" s="41"/>
      <c r="G2685" s="21"/>
      <c r="H2685" s="203"/>
    </row>
    <row r="2686" spans="1:8">
      <c r="A2686" s="200"/>
      <c r="B2686" s="198"/>
      <c r="C2686" s="851"/>
      <c r="D2686" s="41"/>
      <c r="E2686" s="41"/>
      <c r="F2686" s="41"/>
      <c r="G2686" s="21"/>
      <c r="H2686" s="203"/>
    </row>
    <row r="2687" spans="1:8">
      <c r="A2687" s="200"/>
      <c r="B2687" s="198"/>
      <c r="C2687" s="851"/>
      <c r="D2687" s="41"/>
      <c r="E2687" s="41"/>
      <c r="F2687" s="41"/>
      <c r="G2687" s="21"/>
      <c r="H2687" s="203"/>
    </row>
    <row r="2688" spans="1:8">
      <c r="A2688" s="200"/>
      <c r="B2688" s="198"/>
      <c r="C2688" s="851"/>
      <c r="D2688" s="41"/>
      <c r="E2688" s="41"/>
      <c r="F2688" s="41"/>
      <c r="G2688" s="21"/>
      <c r="H2688" s="203"/>
    </row>
    <row r="2689" spans="1:8">
      <c r="A2689" s="200"/>
      <c r="B2689" s="198"/>
      <c r="C2689" s="851"/>
      <c r="D2689" s="41"/>
      <c r="E2689" s="41"/>
      <c r="F2689" s="41"/>
      <c r="G2689" s="21"/>
      <c r="H2689" s="203"/>
    </row>
    <row r="2690" spans="1:8">
      <c r="A2690" s="200"/>
      <c r="B2690" s="198"/>
      <c r="C2690" s="851"/>
      <c r="D2690" s="41"/>
      <c r="E2690" s="41"/>
      <c r="F2690" s="41"/>
      <c r="G2690" s="21"/>
      <c r="H2690" s="203"/>
    </row>
    <row r="2691" spans="1:8">
      <c r="A2691" s="200"/>
      <c r="B2691" s="198"/>
      <c r="C2691" s="851"/>
      <c r="D2691" s="41"/>
      <c r="E2691" s="41"/>
      <c r="F2691" s="41"/>
      <c r="G2691" s="21"/>
      <c r="H2691" s="203"/>
    </row>
    <row r="2692" spans="1:8">
      <c r="A2692" s="200"/>
      <c r="B2692" s="198"/>
      <c r="C2692" s="851"/>
      <c r="D2692" s="41"/>
      <c r="E2692" s="41"/>
      <c r="F2692" s="41"/>
      <c r="G2692" s="21"/>
      <c r="H2692" s="203"/>
    </row>
    <row r="2693" spans="1:8">
      <c r="A2693" s="200"/>
      <c r="B2693" s="198"/>
      <c r="C2693" s="851"/>
      <c r="D2693" s="41"/>
      <c r="E2693" s="41"/>
      <c r="F2693" s="41"/>
      <c r="G2693" s="21"/>
      <c r="H2693" s="203"/>
    </row>
    <row r="2694" spans="1:8">
      <c r="A2694" s="200"/>
      <c r="B2694" s="198"/>
      <c r="C2694" s="851"/>
      <c r="D2694" s="41"/>
      <c r="E2694" s="41"/>
      <c r="F2694" s="41"/>
      <c r="G2694" s="21"/>
      <c r="H2694" s="203"/>
    </row>
    <row r="2695" spans="1:8">
      <c r="A2695" s="200"/>
      <c r="B2695" s="198"/>
      <c r="C2695" s="851"/>
      <c r="D2695" s="41"/>
      <c r="E2695" s="41"/>
      <c r="F2695" s="41"/>
      <c r="G2695" s="21"/>
      <c r="H2695" s="203"/>
    </row>
    <row r="2696" spans="1:8">
      <c r="A2696" s="200"/>
      <c r="B2696" s="198"/>
      <c r="C2696" s="851"/>
      <c r="D2696" s="41"/>
      <c r="E2696" s="41"/>
      <c r="F2696" s="41"/>
      <c r="G2696" s="21"/>
      <c r="H2696" s="203"/>
    </row>
    <row r="2697" spans="1:8">
      <c r="A2697" s="200"/>
      <c r="B2697" s="198"/>
      <c r="C2697" s="851"/>
      <c r="D2697" s="41"/>
      <c r="E2697" s="41"/>
      <c r="F2697" s="41"/>
      <c r="G2697" s="21"/>
      <c r="H2697" s="203"/>
    </row>
    <row r="2698" spans="1:8">
      <c r="A2698" s="200"/>
      <c r="B2698" s="198"/>
      <c r="C2698" s="851"/>
      <c r="D2698" s="41"/>
      <c r="E2698" s="41"/>
      <c r="F2698" s="41"/>
      <c r="G2698" s="21"/>
      <c r="H2698" s="203"/>
    </row>
    <row r="2699" spans="1:8">
      <c r="A2699" s="200"/>
      <c r="B2699" s="198"/>
      <c r="C2699" s="851"/>
      <c r="D2699" s="41"/>
      <c r="E2699" s="41"/>
      <c r="F2699" s="41"/>
      <c r="G2699" s="21"/>
      <c r="H2699" s="203"/>
    </row>
    <row r="2700" spans="1:8">
      <c r="A2700" s="200"/>
      <c r="B2700" s="198"/>
      <c r="C2700" s="851"/>
      <c r="D2700" s="41"/>
      <c r="E2700" s="41"/>
      <c r="F2700" s="41"/>
      <c r="G2700" s="21"/>
      <c r="H2700" s="203"/>
    </row>
    <row r="2701" spans="1:8">
      <c r="A2701" s="200"/>
      <c r="B2701" s="198"/>
      <c r="C2701" s="851"/>
      <c r="D2701" s="41"/>
      <c r="E2701" s="41"/>
      <c r="F2701" s="41"/>
      <c r="G2701" s="21"/>
      <c r="H2701" s="203"/>
    </row>
    <row r="2702" spans="1:8">
      <c r="A2702" s="200"/>
      <c r="B2702" s="198"/>
      <c r="C2702" s="851"/>
      <c r="D2702" s="41"/>
      <c r="E2702" s="41"/>
      <c r="F2702" s="41"/>
      <c r="G2702" s="21"/>
      <c r="H2702" s="203"/>
    </row>
    <row r="2703" spans="1:8">
      <c r="A2703" s="200"/>
      <c r="B2703" s="198"/>
      <c r="C2703" s="851"/>
      <c r="D2703" s="41"/>
      <c r="E2703" s="41"/>
      <c r="F2703" s="41"/>
      <c r="G2703" s="21"/>
      <c r="H2703" s="203"/>
    </row>
    <row r="2704" spans="1:8">
      <c r="A2704" s="200"/>
      <c r="B2704" s="198"/>
      <c r="C2704" s="851"/>
      <c r="D2704" s="41"/>
      <c r="E2704" s="41"/>
      <c r="F2704" s="41"/>
      <c r="G2704" s="21"/>
      <c r="H2704" s="203"/>
    </row>
    <row r="2705" spans="1:8">
      <c r="A2705" s="200"/>
      <c r="B2705" s="198"/>
      <c r="C2705" s="851"/>
      <c r="D2705" s="41"/>
      <c r="E2705" s="41"/>
      <c r="F2705" s="41"/>
      <c r="G2705" s="21"/>
      <c r="H2705" s="203"/>
    </row>
    <row r="2706" spans="1:8">
      <c r="A2706" s="200"/>
      <c r="B2706" s="198"/>
      <c r="C2706" s="851"/>
      <c r="D2706" s="41"/>
      <c r="E2706" s="41"/>
      <c r="F2706" s="41"/>
      <c r="G2706" s="21"/>
      <c r="H2706" s="203"/>
    </row>
    <row r="2707" spans="1:8">
      <c r="A2707" s="200"/>
      <c r="B2707" s="198"/>
      <c r="C2707" s="851"/>
      <c r="D2707" s="41"/>
      <c r="E2707" s="41"/>
      <c r="F2707" s="41"/>
      <c r="G2707" s="21"/>
      <c r="H2707" s="203"/>
    </row>
    <row r="2708" spans="1:8">
      <c r="A2708" s="200"/>
      <c r="B2708" s="198"/>
      <c r="C2708" s="851"/>
      <c r="D2708" s="41"/>
      <c r="E2708" s="41"/>
      <c r="F2708" s="41"/>
      <c r="G2708" s="21"/>
      <c r="H2708" s="203"/>
    </row>
    <row r="2709" spans="1:8">
      <c r="A2709" s="200"/>
      <c r="B2709" s="198"/>
      <c r="C2709" s="851"/>
      <c r="D2709" s="41"/>
      <c r="E2709" s="41"/>
      <c r="F2709" s="41"/>
      <c r="G2709" s="21"/>
      <c r="H2709" s="203"/>
    </row>
    <row r="2710" spans="1:8">
      <c r="A2710" s="200"/>
      <c r="B2710" s="198"/>
      <c r="C2710" s="851"/>
      <c r="D2710" s="41"/>
      <c r="E2710" s="41"/>
      <c r="F2710" s="41"/>
      <c r="G2710" s="21"/>
      <c r="H2710" s="203"/>
    </row>
    <row r="2711" spans="1:8">
      <c r="A2711" s="200"/>
      <c r="B2711" s="198"/>
      <c r="C2711" s="851"/>
      <c r="D2711" s="41"/>
      <c r="E2711" s="41"/>
      <c r="F2711" s="41"/>
      <c r="G2711" s="21"/>
      <c r="H2711" s="203"/>
    </row>
    <row r="2712" spans="1:8">
      <c r="A2712" s="200"/>
      <c r="B2712" s="198"/>
      <c r="C2712" s="851"/>
      <c r="D2712" s="41"/>
      <c r="E2712" s="41"/>
      <c r="F2712" s="41"/>
      <c r="G2712" s="21"/>
      <c r="H2712" s="203"/>
    </row>
    <row r="2713" spans="1:8">
      <c r="A2713" s="200"/>
      <c r="B2713" s="198"/>
      <c r="C2713" s="851"/>
      <c r="D2713" s="41"/>
      <c r="E2713" s="41"/>
      <c r="F2713" s="41"/>
      <c r="G2713" s="21"/>
      <c r="H2713" s="203"/>
    </row>
    <row r="2714" spans="1:8">
      <c r="A2714" s="200"/>
      <c r="B2714" s="198"/>
      <c r="C2714" s="851"/>
      <c r="D2714" s="41"/>
      <c r="E2714" s="41"/>
      <c r="F2714" s="41"/>
      <c r="G2714" s="21"/>
      <c r="H2714" s="203"/>
    </row>
    <row r="2715" spans="1:8">
      <c r="A2715" s="200"/>
      <c r="B2715" s="198"/>
      <c r="C2715" s="851"/>
      <c r="D2715" s="41"/>
      <c r="E2715" s="41"/>
      <c r="F2715" s="41"/>
      <c r="G2715" s="21"/>
      <c r="H2715" s="203"/>
    </row>
    <row r="2716" spans="1:8">
      <c r="A2716" s="200"/>
      <c r="B2716" s="198"/>
      <c r="C2716" s="851"/>
      <c r="D2716" s="41"/>
      <c r="E2716" s="41"/>
      <c r="F2716" s="41"/>
      <c r="G2716" s="21"/>
      <c r="H2716" s="203"/>
    </row>
    <row r="2717" spans="1:8">
      <c r="A2717" s="200"/>
      <c r="B2717" s="198"/>
      <c r="C2717" s="851"/>
      <c r="D2717" s="41"/>
      <c r="E2717" s="41"/>
      <c r="F2717" s="41"/>
      <c r="G2717" s="21"/>
      <c r="H2717" s="203"/>
    </row>
    <row r="2718" spans="1:8">
      <c r="A2718" s="200"/>
      <c r="B2718" s="198"/>
      <c r="C2718" s="851"/>
      <c r="D2718" s="41"/>
      <c r="E2718" s="41"/>
      <c r="F2718" s="41"/>
      <c r="G2718" s="21"/>
      <c r="H2718" s="203"/>
    </row>
    <row r="2719" spans="1:8">
      <c r="A2719" s="200"/>
      <c r="B2719" s="198"/>
      <c r="C2719" s="851"/>
      <c r="D2719" s="41"/>
      <c r="E2719" s="41"/>
      <c r="F2719" s="41"/>
      <c r="G2719" s="21"/>
      <c r="H2719" s="203"/>
    </row>
    <row r="2720" spans="1:8">
      <c r="A2720" s="200"/>
      <c r="B2720" s="198"/>
      <c r="C2720" s="851"/>
      <c r="D2720" s="41"/>
      <c r="E2720" s="41"/>
      <c r="F2720" s="41"/>
      <c r="G2720" s="21"/>
      <c r="H2720" s="203"/>
    </row>
    <row r="2721" spans="1:8">
      <c r="A2721" s="200"/>
      <c r="B2721" s="198"/>
      <c r="C2721" s="851"/>
      <c r="D2721" s="41"/>
      <c r="E2721" s="41"/>
      <c r="F2721" s="41"/>
      <c r="G2721" s="21"/>
      <c r="H2721" s="203"/>
    </row>
    <row r="2722" spans="1:8">
      <c r="A2722" s="200"/>
      <c r="B2722" s="198"/>
      <c r="C2722" s="851"/>
      <c r="D2722" s="41"/>
      <c r="E2722" s="41"/>
      <c r="F2722" s="41"/>
      <c r="G2722" s="21"/>
      <c r="H2722" s="203"/>
    </row>
    <row r="2723" spans="1:8">
      <c r="A2723" s="200"/>
      <c r="B2723" s="198"/>
      <c r="C2723" s="851"/>
      <c r="D2723" s="41"/>
      <c r="E2723" s="41"/>
      <c r="F2723" s="41"/>
      <c r="G2723" s="21"/>
      <c r="H2723" s="203"/>
    </row>
    <row r="2724" spans="1:8">
      <c r="A2724" s="200"/>
      <c r="B2724" s="198"/>
      <c r="C2724" s="851"/>
      <c r="D2724" s="41"/>
      <c r="E2724" s="41"/>
      <c r="F2724" s="41"/>
      <c r="G2724" s="21"/>
      <c r="H2724" s="203"/>
    </row>
    <row r="2725" spans="1:8">
      <c r="A2725" s="200"/>
      <c r="B2725" s="198"/>
      <c r="C2725" s="851"/>
      <c r="D2725" s="41"/>
      <c r="E2725" s="41"/>
      <c r="F2725" s="41"/>
      <c r="G2725" s="21"/>
      <c r="H2725" s="203"/>
    </row>
    <row r="2726" spans="1:8">
      <c r="A2726" s="200"/>
      <c r="B2726" s="198"/>
      <c r="C2726" s="851"/>
      <c r="D2726" s="41"/>
      <c r="E2726" s="41"/>
      <c r="F2726" s="41"/>
      <c r="G2726" s="21"/>
      <c r="H2726" s="203"/>
    </row>
    <row r="2727" spans="1:8">
      <c r="A2727" s="200"/>
      <c r="B2727" s="198"/>
      <c r="C2727" s="851"/>
      <c r="D2727" s="41"/>
      <c r="E2727" s="41"/>
      <c r="F2727" s="41"/>
      <c r="G2727" s="21"/>
      <c r="H2727" s="203"/>
    </row>
    <row r="2728" spans="1:8">
      <c r="A2728" s="200"/>
      <c r="B2728" s="198"/>
      <c r="C2728" s="851"/>
      <c r="D2728" s="41"/>
      <c r="E2728" s="41"/>
      <c r="F2728" s="41"/>
      <c r="G2728" s="21"/>
      <c r="H2728" s="203"/>
    </row>
    <row r="2729" spans="1:8">
      <c r="A2729" s="200"/>
      <c r="B2729" s="198"/>
      <c r="C2729" s="851"/>
      <c r="D2729" s="41"/>
      <c r="E2729" s="41"/>
      <c r="F2729" s="41"/>
      <c r="G2729" s="21"/>
      <c r="H2729" s="203"/>
    </row>
    <row r="2730" spans="1:8">
      <c r="A2730" s="200"/>
      <c r="B2730" s="198"/>
      <c r="C2730" s="851"/>
      <c r="D2730" s="41"/>
      <c r="E2730" s="41"/>
      <c r="F2730" s="41"/>
      <c r="G2730" s="21"/>
      <c r="H2730" s="203"/>
    </row>
    <row r="2731" spans="1:8">
      <c r="A2731" s="200"/>
      <c r="B2731" s="198"/>
      <c r="C2731" s="851"/>
      <c r="D2731" s="41"/>
      <c r="E2731" s="41"/>
      <c r="F2731" s="41"/>
      <c r="G2731" s="21"/>
      <c r="H2731" s="203"/>
    </row>
    <row r="2732" spans="1:8">
      <c r="A2732" s="200"/>
      <c r="B2732" s="198"/>
      <c r="C2732" s="851"/>
      <c r="D2732" s="41"/>
      <c r="E2732" s="41"/>
      <c r="F2732" s="41"/>
      <c r="G2732" s="21"/>
      <c r="H2732" s="203"/>
    </row>
    <row r="2733" spans="1:8">
      <c r="A2733" s="200"/>
      <c r="B2733" s="198"/>
      <c r="C2733" s="851"/>
      <c r="D2733" s="41"/>
      <c r="E2733" s="41"/>
      <c r="F2733" s="41"/>
      <c r="G2733" s="21"/>
      <c r="H2733" s="203"/>
    </row>
    <row r="2734" spans="1:8">
      <c r="A2734" s="200"/>
      <c r="B2734" s="198"/>
      <c r="C2734" s="851"/>
      <c r="D2734" s="41"/>
      <c r="E2734" s="41"/>
      <c r="F2734" s="41"/>
      <c r="G2734" s="21"/>
      <c r="H2734" s="203"/>
    </row>
    <row r="2735" spans="1:8">
      <c r="A2735" s="200"/>
      <c r="B2735" s="198"/>
      <c r="C2735" s="851"/>
      <c r="D2735" s="41"/>
      <c r="E2735" s="41"/>
      <c r="F2735" s="41"/>
      <c r="G2735" s="21"/>
      <c r="H2735" s="203"/>
    </row>
    <row r="2736" spans="1:8">
      <c r="A2736" s="200"/>
      <c r="B2736" s="198"/>
      <c r="C2736" s="851"/>
      <c r="D2736" s="41"/>
      <c r="E2736" s="41"/>
      <c r="F2736" s="41"/>
      <c r="G2736" s="21"/>
      <c r="H2736" s="203"/>
    </row>
    <row r="2737" spans="1:8">
      <c r="A2737" s="200"/>
      <c r="B2737" s="198"/>
      <c r="C2737" s="851"/>
      <c r="D2737" s="41"/>
      <c r="E2737" s="41"/>
      <c r="F2737" s="41"/>
      <c r="G2737" s="21"/>
      <c r="H2737" s="203"/>
    </row>
    <row r="2738" spans="1:8">
      <c r="A2738" s="200"/>
      <c r="B2738" s="198"/>
      <c r="C2738" s="851"/>
      <c r="D2738" s="41"/>
      <c r="E2738" s="41"/>
      <c r="F2738" s="41"/>
      <c r="G2738" s="21"/>
      <c r="H2738" s="203"/>
    </row>
    <row r="2739" spans="1:8">
      <c r="A2739" s="200"/>
      <c r="B2739" s="198"/>
      <c r="C2739" s="851"/>
      <c r="D2739" s="41"/>
      <c r="E2739" s="41"/>
      <c r="F2739" s="41"/>
      <c r="G2739" s="21"/>
      <c r="H2739" s="203"/>
    </row>
    <row r="2740" spans="1:8">
      <c r="A2740" s="200"/>
      <c r="B2740" s="198"/>
      <c r="C2740" s="851"/>
      <c r="D2740" s="41"/>
      <c r="E2740" s="41"/>
      <c r="F2740" s="41"/>
      <c r="G2740" s="21"/>
      <c r="H2740" s="203"/>
    </row>
    <row r="2741" spans="1:8">
      <c r="A2741" s="200"/>
      <c r="B2741" s="198"/>
      <c r="C2741" s="851"/>
      <c r="D2741" s="41"/>
      <c r="E2741" s="41"/>
      <c r="F2741" s="41"/>
      <c r="G2741" s="21"/>
      <c r="H2741" s="203"/>
    </row>
    <row r="2742" spans="1:8">
      <c r="A2742" s="200"/>
      <c r="B2742" s="198"/>
      <c r="C2742" s="851"/>
      <c r="D2742" s="41"/>
      <c r="E2742" s="41"/>
      <c r="F2742" s="41"/>
      <c r="G2742" s="21"/>
      <c r="H2742" s="203"/>
    </row>
    <row r="2743" spans="1:8">
      <c r="A2743" s="200"/>
      <c r="B2743" s="198"/>
      <c r="C2743" s="851"/>
      <c r="D2743" s="41"/>
      <c r="E2743" s="41"/>
      <c r="F2743" s="41"/>
      <c r="G2743" s="21"/>
      <c r="H2743" s="203"/>
    </row>
    <row r="2744" spans="1:8">
      <c r="A2744" s="200"/>
      <c r="B2744" s="198"/>
      <c r="C2744" s="851"/>
      <c r="D2744" s="41"/>
      <c r="E2744" s="41"/>
      <c r="F2744" s="41"/>
      <c r="G2744" s="21"/>
      <c r="H2744" s="203"/>
    </row>
    <row r="2745" spans="1:8">
      <c r="A2745" s="200"/>
      <c r="B2745" s="198"/>
      <c r="C2745" s="851"/>
      <c r="D2745" s="41"/>
      <c r="E2745" s="41"/>
      <c r="F2745" s="41"/>
      <c r="G2745" s="21"/>
      <c r="H2745" s="203"/>
    </row>
    <row r="2746" spans="1:8">
      <c r="A2746" s="200"/>
      <c r="B2746" s="198"/>
      <c r="C2746" s="851"/>
      <c r="D2746" s="41"/>
      <c r="E2746" s="41"/>
      <c r="F2746" s="41"/>
      <c r="G2746" s="21"/>
      <c r="H2746" s="203"/>
    </row>
    <row r="2747" spans="1:8">
      <c r="A2747" s="200"/>
      <c r="B2747" s="198"/>
      <c r="C2747" s="851"/>
      <c r="D2747" s="41"/>
      <c r="E2747" s="41"/>
      <c r="F2747" s="41"/>
      <c r="G2747" s="21"/>
      <c r="H2747" s="203"/>
    </row>
    <row r="2748" spans="1:8">
      <c r="A2748" s="200"/>
      <c r="B2748" s="198"/>
      <c r="C2748" s="851"/>
      <c r="D2748" s="41"/>
      <c r="E2748" s="41"/>
      <c r="F2748" s="41"/>
      <c r="G2748" s="21"/>
      <c r="H2748" s="203"/>
    </row>
    <row r="2749" spans="1:8">
      <c r="A2749" s="200"/>
      <c r="B2749" s="198"/>
      <c r="C2749" s="851"/>
      <c r="D2749" s="41"/>
      <c r="E2749" s="41"/>
      <c r="F2749" s="41"/>
      <c r="G2749" s="21"/>
      <c r="H2749" s="203"/>
    </row>
    <row r="2750" spans="1:8">
      <c r="A2750" s="200"/>
      <c r="B2750" s="198"/>
      <c r="C2750" s="851"/>
      <c r="D2750" s="41"/>
      <c r="E2750" s="41"/>
      <c r="F2750" s="41"/>
      <c r="G2750" s="21"/>
      <c r="H2750" s="203"/>
    </row>
    <row r="2751" spans="1:8">
      <c r="A2751" s="200"/>
      <c r="B2751" s="198"/>
      <c r="C2751" s="851"/>
      <c r="D2751" s="41"/>
      <c r="E2751" s="41"/>
      <c r="F2751" s="41"/>
      <c r="G2751" s="21"/>
      <c r="H2751" s="203"/>
    </row>
    <row r="2752" spans="1:8">
      <c r="A2752" s="200"/>
      <c r="B2752" s="198"/>
      <c r="C2752" s="851"/>
      <c r="D2752" s="41"/>
      <c r="E2752" s="41"/>
      <c r="F2752" s="41"/>
      <c r="G2752" s="21"/>
      <c r="H2752" s="203"/>
    </row>
    <row r="2753" spans="1:8">
      <c r="A2753" s="200"/>
      <c r="B2753" s="198"/>
      <c r="C2753" s="851"/>
      <c r="D2753" s="41"/>
      <c r="E2753" s="41"/>
      <c r="F2753" s="41"/>
      <c r="G2753" s="21"/>
      <c r="H2753" s="203"/>
    </row>
    <row r="2754" spans="1:8">
      <c r="A2754" s="200"/>
      <c r="B2754" s="198"/>
      <c r="C2754" s="851"/>
      <c r="D2754" s="41"/>
      <c r="E2754" s="41"/>
      <c r="F2754" s="41"/>
      <c r="G2754" s="21"/>
      <c r="H2754" s="203"/>
    </row>
    <row r="2755" spans="1:8">
      <c r="A2755" s="200"/>
      <c r="B2755" s="198"/>
      <c r="C2755" s="851"/>
      <c r="D2755" s="41"/>
      <c r="E2755" s="41"/>
      <c r="F2755" s="41"/>
      <c r="G2755" s="21"/>
      <c r="H2755" s="203"/>
    </row>
    <row r="2756" spans="1:8">
      <c r="A2756" s="200"/>
      <c r="B2756" s="198"/>
      <c r="C2756" s="851"/>
      <c r="D2756" s="41"/>
      <c r="E2756" s="41"/>
      <c r="F2756" s="41"/>
      <c r="G2756" s="21"/>
      <c r="H2756" s="203"/>
    </row>
    <row r="2757" spans="1:8">
      <c r="A2757" s="200"/>
      <c r="B2757" s="198"/>
      <c r="C2757" s="851"/>
      <c r="D2757" s="41"/>
      <c r="E2757" s="41"/>
      <c r="F2757" s="41"/>
      <c r="G2757" s="21"/>
      <c r="H2757" s="203"/>
    </row>
    <row r="2758" spans="1:8">
      <c r="A2758" s="200"/>
      <c r="B2758" s="198"/>
      <c r="C2758" s="851"/>
      <c r="D2758" s="41"/>
      <c r="E2758" s="41"/>
      <c r="F2758" s="41"/>
      <c r="G2758" s="21"/>
      <c r="H2758" s="203"/>
    </row>
    <row r="2759" spans="1:8">
      <c r="A2759" s="200"/>
      <c r="B2759" s="198"/>
      <c r="C2759" s="851"/>
      <c r="D2759" s="41"/>
      <c r="E2759" s="41"/>
      <c r="F2759" s="41"/>
      <c r="G2759" s="21"/>
      <c r="H2759" s="203"/>
    </row>
    <row r="2760" spans="1:8">
      <c r="A2760" s="200"/>
      <c r="B2760" s="198"/>
      <c r="C2760" s="851"/>
      <c r="D2760" s="41"/>
      <c r="E2760" s="41"/>
      <c r="F2760" s="41"/>
      <c r="G2760" s="21"/>
      <c r="H2760" s="203"/>
    </row>
    <row r="2761" spans="1:8">
      <c r="A2761" s="200"/>
      <c r="B2761" s="198"/>
      <c r="C2761" s="851"/>
      <c r="D2761" s="41"/>
      <c r="E2761" s="41"/>
      <c r="F2761" s="41"/>
      <c r="G2761" s="21"/>
      <c r="H2761" s="203"/>
    </row>
    <row r="2762" spans="1:8">
      <c r="A2762" s="200"/>
      <c r="B2762" s="198"/>
      <c r="C2762" s="851"/>
      <c r="D2762" s="41"/>
      <c r="E2762" s="41"/>
      <c r="F2762" s="41"/>
      <c r="G2762" s="21"/>
      <c r="H2762" s="203"/>
    </row>
    <row r="2763" spans="1:8">
      <c r="A2763" s="200"/>
      <c r="B2763" s="198"/>
      <c r="C2763" s="851"/>
      <c r="D2763" s="41"/>
      <c r="E2763" s="41"/>
      <c r="F2763" s="41"/>
      <c r="G2763" s="21"/>
      <c r="H2763" s="203"/>
    </row>
    <row r="2764" spans="1:8">
      <c r="A2764" s="200"/>
      <c r="B2764" s="198"/>
      <c r="C2764" s="851"/>
      <c r="D2764" s="41"/>
      <c r="E2764" s="41"/>
      <c r="F2764" s="41"/>
      <c r="G2764" s="21"/>
      <c r="H2764" s="203"/>
    </row>
    <row r="2765" spans="1:8">
      <c r="A2765" s="200"/>
      <c r="B2765" s="198"/>
      <c r="C2765" s="851"/>
      <c r="D2765" s="41"/>
      <c r="E2765" s="41"/>
      <c r="F2765" s="41"/>
      <c r="G2765" s="21"/>
      <c r="H2765" s="203"/>
    </row>
    <row r="2766" spans="1:8">
      <c r="A2766" s="200"/>
      <c r="B2766" s="198"/>
      <c r="C2766" s="851"/>
      <c r="D2766" s="41"/>
      <c r="E2766" s="41"/>
      <c r="F2766" s="41"/>
      <c r="G2766" s="21"/>
      <c r="H2766" s="203"/>
    </row>
    <row r="2767" spans="1:8">
      <c r="A2767" s="200"/>
      <c r="B2767" s="198"/>
      <c r="C2767" s="851"/>
      <c r="D2767" s="41"/>
      <c r="E2767" s="41"/>
      <c r="F2767" s="41"/>
      <c r="G2767" s="21"/>
      <c r="H2767" s="203"/>
    </row>
    <row r="2768" spans="1:8">
      <c r="A2768" s="200"/>
      <c r="B2768" s="198"/>
      <c r="C2768" s="851"/>
      <c r="D2768" s="41"/>
      <c r="E2768" s="41"/>
      <c r="F2768" s="41"/>
      <c r="G2768" s="21"/>
      <c r="H2768" s="203"/>
    </row>
    <row r="2769" spans="1:8">
      <c r="A2769" s="200"/>
      <c r="B2769" s="198"/>
      <c r="C2769" s="851"/>
      <c r="D2769" s="41"/>
      <c r="E2769" s="41"/>
      <c r="F2769" s="41"/>
      <c r="G2769" s="21"/>
      <c r="H2769" s="203"/>
    </row>
    <row r="2770" spans="1:8">
      <c r="A2770" s="200"/>
      <c r="B2770" s="198"/>
      <c r="C2770" s="851"/>
      <c r="D2770" s="41"/>
      <c r="E2770" s="41"/>
      <c r="F2770" s="41"/>
      <c r="G2770" s="21"/>
      <c r="H2770" s="203"/>
    </row>
    <row r="2771" spans="1:8">
      <c r="A2771" s="200"/>
      <c r="B2771" s="198"/>
      <c r="C2771" s="851"/>
      <c r="D2771" s="41"/>
      <c r="E2771" s="41"/>
      <c r="F2771" s="41"/>
      <c r="G2771" s="21"/>
      <c r="H2771" s="203"/>
    </row>
    <row r="2772" spans="1:8">
      <c r="A2772" s="200"/>
      <c r="B2772" s="198"/>
      <c r="C2772" s="851"/>
      <c r="D2772" s="41"/>
      <c r="E2772" s="41"/>
      <c r="F2772" s="41"/>
      <c r="G2772" s="21"/>
      <c r="H2772" s="203"/>
    </row>
    <row r="2773" spans="1:8">
      <c r="A2773" s="200"/>
      <c r="B2773" s="198"/>
      <c r="C2773" s="851"/>
      <c r="D2773" s="41"/>
      <c r="E2773" s="41"/>
      <c r="F2773" s="41"/>
      <c r="G2773" s="21"/>
      <c r="H2773" s="203"/>
    </row>
    <row r="2774" spans="1:8">
      <c r="A2774" s="200"/>
      <c r="B2774" s="198"/>
      <c r="C2774" s="851"/>
      <c r="D2774" s="41"/>
      <c r="E2774" s="41"/>
      <c r="F2774" s="41"/>
      <c r="G2774" s="21"/>
      <c r="H2774" s="203"/>
    </row>
    <row r="2775" spans="1:8">
      <c r="A2775" s="200"/>
      <c r="B2775" s="198"/>
      <c r="C2775" s="851"/>
      <c r="D2775" s="41"/>
      <c r="E2775" s="41"/>
      <c r="F2775" s="41"/>
      <c r="G2775" s="21"/>
      <c r="H2775" s="203"/>
    </row>
    <row r="2776" spans="1:8">
      <c r="A2776" s="200"/>
      <c r="B2776" s="198"/>
      <c r="C2776" s="851"/>
      <c r="D2776" s="41"/>
      <c r="E2776" s="41"/>
      <c r="F2776" s="41"/>
      <c r="G2776" s="21"/>
      <c r="H2776" s="203"/>
    </row>
    <row r="2777" spans="1:8">
      <c r="A2777" s="200"/>
      <c r="B2777" s="198"/>
      <c r="C2777" s="851"/>
      <c r="D2777" s="41"/>
      <c r="E2777" s="41"/>
      <c r="F2777" s="41"/>
      <c r="G2777" s="21"/>
      <c r="H2777" s="203"/>
    </row>
    <row r="2778" spans="1:8">
      <c r="A2778" s="200"/>
      <c r="B2778" s="198"/>
      <c r="C2778" s="851"/>
      <c r="D2778" s="41"/>
      <c r="E2778" s="41"/>
      <c r="F2778" s="41"/>
      <c r="G2778" s="21"/>
      <c r="H2778" s="203"/>
    </row>
    <row r="2779" spans="1:8">
      <c r="A2779" s="200"/>
      <c r="B2779" s="198"/>
      <c r="C2779" s="851"/>
      <c r="D2779" s="41"/>
      <c r="E2779" s="41"/>
      <c r="F2779" s="41"/>
      <c r="G2779" s="21"/>
      <c r="H2779" s="203"/>
    </row>
    <row r="2780" spans="1:8">
      <c r="A2780" s="200"/>
      <c r="B2780" s="198"/>
      <c r="C2780" s="851"/>
      <c r="D2780" s="41"/>
      <c r="E2780" s="41"/>
      <c r="F2780" s="41"/>
      <c r="G2780" s="21"/>
      <c r="H2780" s="203"/>
    </row>
    <row r="2781" spans="1:8">
      <c r="A2781" s="200"/>
      <c r="B2781" s="198"/>
      <c r="C2781" s="851"/>
      <c r="D2781" s="41"/>
      <c r="E2781" s="41"/>
      <c r="F2781" s="41"/>
      <c r="G2781" s="21"/>
      <c r="H2781" s="203"/>
    </row>
    <row r="2782" spans="1:8">
      <c r="A2782" s="200"/>
      <c r="B2782" s="198"/>
      <c r="C2782" s="851"/>
      <c r="D2782" s="41"/>
      <c r="E2782" s="41"/>
      <c r="F2782" s="41"/>
      <c r="G2782" s="21"/>
      <c r="H2782" s="203"/>
    </row>
    <row r="2783" spans="1:8">
      <c r="A2783" s="200"/>
      <c r="B2783" s="198"/>
      <c r="C2783" s="851"/>
      <c r="D2783" s="41"/>
      <c r="E2783" s="41"/>
      <c r="F2783" s="41"/>
      <c r="G2783" s="21"/>
      <c r="H2783" s="203"/>
    </row>
    <row r="2784" spans="1:8">
      <c r="A2784" s="200"/>
      <c r="B2784" s="198"/>
      <c r="C2784" s="851"/>
      <c r="D2784" s="41"/>
      <c r="E2784" s="41"/>
      <c r="F2784" s="41"/>
      <c r="G2784" s="21"/>
      <c r="H2784" s="203"/>
    </row>
    <row r="2785" spans="1:8">
      <c r="A2785" s="200"/>
      <c r="B2785" s="198"/>
      <c r="C2785" s="851"/>
      <c r="D2785" s="41"/>
      <c r="E2785" s="41"/>
      <c r="F2785" s="41"/>
      <c r="G2785" s="21"/>
      <c r="H2785" s="203"/>
    </row>
    <row r="2786" spans="1:8">
      <c r="A2786" s="200"/>
      <c r="B2786" s="198"/>
      <c r="C2786" s="851"/>
      <c r="D2786" s="41"/>
      <c r="E2786" s="41"/>
      <c r="F2786" s="41"/>
      <c r="G2786" s="21"/>
      <c r="H2786" s="203"/>
    </row>
    <row r="2787" spans="1:8">
      <c r="A2787" s="200"/>
      <c r="B2787" s="198"/>
      <c r="C2787" s="851"/>
      <c r="D2787" s="41"/>
      <c r="E2787" s="41"/>
      <c r="F2787" s="41"/>
      <c r="G2787" s="21"/>
      <c r="H2787" s="203"/>
    </row>
    <row r="2788" spans="1:8">
      <c r="A2788" s="200"/>
      <c r="B2788" s="198"/>
      <c r="C2788" s="851"/>
      <c r="D2788" s="41"/>
      <c r="E2788" s="41"/>
      <c r="F2788" s="41"/>
      <c r="G2788" s="21"/>
      <c r="H2788" s="203"/>
    </row>
    <row r="2789" spans="1:8">
      <c r="A2789" s="200"/>
      <c r="B2789" s="198"/>
      <c r="C2789" s="851"/>
      <c r="D2789" s="41"/>
      <c r="E2789" s="41"/>
      <c r="F2789" s="41"/>
      <c r="G2789" s="21"/>
      <c r="H2789" s="203"/>
    </row>
    <row r="2790" spans="1:8">
      <c r="A2790" s="200"/>
      <c r="B2790" s="198"/>
      <c r="C2790" s="851"/>
      <c r="D2790" s="41"/>
      <c r="E2790" s="41"/>
      <c r="F2790" s="41"/>
      <c r="G2790" s="21"/>
      <c r="H2790" s="203"/>
    </row>
    <row r="2791" spans="1:8">
      <c r="A2791" s="200"/>
      <c r="B2791" s="198"/>
      <c r="C2791" s="851"/>
      <c r="D2791" s="41"/>
      <c r="E2791" s="41"/>
      <c r="F2791" s="41"/>
      <c r="G2791" s="21"/>
      <c r="H2791" s="203"/>
    </row>
    <row r="2792" spans="1:8">
      <c r="A2792" s="200"/>
      <c r="B2792" s="198"/>
      <c r="C2792" s="851"/>
      <c r="D2792" s="41"/>
      <c r="E2792" s="41"/>
      <c r="F2792" s="41"/>
      <c r="G2792" s="21"/>
      <c r="H2792" s="203"/>
    </row>
    <row r="2793" spans="1:8">
      <c r="A2793" s="200"/>
      <c r="B2793" s="198"/>
      <c r="C2793" s="851"/>
      <c r="D2793" s="41"/>
      <c r="E2793" s="41"/>
      <c r="F2793" s="41"/>
      <c r="G2793" s="21"/>
      <c r="H2793" s="203"/>
    </row>
    <row r="2794" spans="1:8">
      <c r="A2794" s="200"/>
      <c r="B2794" s="198"/>
      <c r="C2794" s="851"/>
      <c r="D2794" s="41"/>
      <c r="E2794" s="41"/>
      <c r="F2794" s="41"/>
      <c r="G2794" s="21"/>
      <c r="H2794" s="203"/>
    </row>
    <row r="2795" spans="1:8">
      <c r="A2795" s="200"/>
      <c r="B2795" s="198"/>
      <c r="C2795" s="851"/>
      <c r="D2795" s="41"/>
      <c r="E2795" s="41"/>
      <c r="F2795" s="41"/>
      <c r="G2795" s="21"/>
      <c r="H2795" s="203"/>
    </row>
    <row r="2796" spans="1:8">
      <c r="A2796" s="200"/>
      <c r="B2796" s="198"/>
      <c r="C2796" s="851"/>
      <c r="D2796" s="41"/>
      <c r="E2796" s="41"/>
      <c r="F2796" s="41"/>
      <c r="G2796" s="21"/>
      <c r="H2796" s="203"/>
    </row>
    <row r="2797" spans="1:8">
      <c r="A2797" s="200"/>
      <c r="B2797" s="198"/>
      <c r="C2797" s="851"/>
      <c r="D2797" s="41"/>
      <c r="E2797" s="41"/>
      <c r="F2797" s="41"/>
      <c r="G2797" s="21"/>
      <c r="H2797" s="203"/>
    </row>
    <row r="2798" spans="1:8">
      <c r="A2798" s="200"/>
      <c r="B2798" s="198"/>
      <c r="C2798" s="851"/>
      <c r="D2798" s="41"/>
      <c r="E2798" s="41"/>
      <c r="F2798" s="41"/>
      <c r="G2798" s="21"/>
      <c r="H2798" s="203"/>
    </row>
    <row r="2799" spans="1:8">
      <c r="A2799" s="200"/>
      <c r="B2799" s="198"/>
      <c r="C2799" s="851"/>
      <c r="D2799" s="41"/>
      <c r="E2799" s="41"/>
      <c r="F2799" s="41"/>
      <c r="G2799" s="21"/>
      <c r="H2799" s="203"/>
    </row>
    <row r="2800" spans="1:8">
      <c r="A2800" s="200"/>
      <c r="B2800" s="198"/>
      <c r="C2800" s="851"/>
      <c r="D2800" s="41"/>
      <c r="E2800" s="41"/>
      <c r="F2800" s="41"/>
      <c r="G2800" s="21"/>
      <c r="H2800" s="203"/>
    </row>
    <row r="2801" spans="1:8">
      <c r="A2801" s="200"/>
      <c r="B2801" s="198"/>
      <c r="C2801" s="851"/>
      <c r="D2801" s="41"/>
      <c r="E2801" s="41"/>
      <c r="F2801" s="41"/>
      <c r="G2801" s="21"/>
      <c r="H2801" s="203"/>
    </row>
    <row r="2802" spans="1:8">
      <c r="A2802" s="200"/>
      <c r="B2802" s="198"/>
      <c r="C2802" s="851"/>
      <c r="D2802" s="41"/>
      <c r="E2802" s="41"/>
      <c r="F2802" s="41"/>
      <c r="G2802" s="21"/>
      <c r="H2802" s="203"/>
    </row>
    <row r="2803" spans="1:8">
      <c r="A2803" s="200"/>
      <c r="B2803" s="198"/>
      <c r="C2803" s="851"/>
      <c r="D2803" s="41"/>
      <c r="E2803" s="41"/>
      <c r="F2803" s="41"/>
      <c r="G2803" s="21"/>
      <c r="H2803" s="203"/>
    </row>
    <row r="2804" spans="1:8">
      <c r="A2804" s="200"/>
      <c r="B2804" s="198"/>
      <c r="C2804" s="851"/>
      <c r="D2804" s="41"/>
      <c r="E2804" s="41"/>
      <c r="F2804" s="41"/>
      <c r="G2804" s="21"/>
      <c r="H2804" s="203"/>
    </row>
    <row r="2805" spans="1:8">
      <c r="A2805" s="200"/>
      <c r="B2805" s="198"/>
      <c r="C2805" s="851"/>
      <c r="D2805" s="41"/>
      <c r="E2805" s="41"/>
      <c r="F2805" s="41"/>
      <c r="G2805" s="21"/>
      <c r="H2805" s="203"/>
    </row>
    <row r="2806" spans="1:8">
      <c r="A2806" s="200"/>
      <c r="B2806" s="198"/>
      <c r="C2806" s="851"/>
      <c r="D2806" s="41"/>
      <c r="E2806" s="41"/>
      <c r="F2806" s="41"/>
      <c r="G2806" s="21"/>
      <c r="H2806" s="203"/>
    </row>
    <row r="2807" spans="1:8">
      <c r="A2807" s="200"/>
      <c r="B2807" s="198"/>
      <c r="C2807" s="851"/>
      <c r="D2807" s="41"/>
      <c r="E2807" s="41"/>
      <c r="F2807" s="41"/>
      <c r="G2807" s="21"/>
      <c r="H2807" s="203"/>
    </row>
    <row r="2808" spans="1:8">
      <c r="A2808" s="200"/>
      <c r="B2808" s="198"/>
      <c r="C2808" s="851"/>
      <c r="D2808" s="41"/>
      <c r="E2808" s="41"/>
      <c r="F2808" s="41"/>
      <c r="G2808" s="21"/>
      <c r="H2808" s="203"/>
    </row>
    <row r="2809" spans="1:8">
      <c r="A2809" s="200"/>
      <c r="B2809" s="198"/>
      <c r="C2809" s="851"/>
      <c r="D2809" s="41"/>
      <c r="E2809" s="41"/>
      <c r="F2809" s="41"/>
      <c r="G2809" s="21"/>
      <c r="H2809" s="203"/>
    </row>
    <row r="2810" spans="1:8">
      <c r="A2810" s="200"/>
      <c r="B2810" s="198"/>
      <c r="C2810" s="851"/>
      <c r="D2810" s="41"/>
      <c r="E2810" s="41"/>
      <c r="F2810" s="41"/>
      <c r="G2810" s="21"/>
      <c r="H2810" s="203"/>
    </row>
    <row r="2811" spans="1:8">
      <c r="A2811" s="200"/>
      <c r="B2811" s="198"/>
      <c r="C2811" s="851"/>
      <c r="D2811" s="41"/>
      <c r="E2811" s="41"/>
      <c r="F2811" s="41"/>
      <c r="G2811" s="21"/>
      <c r="H2811" s="203"/>
    </row>
    <row r="2812" spans="1:8">
      <c r="A2812" s="200"/>
      <c r="B2812" s="198"/>
      <c r="C2812" s="851"/>
      <c r="D2812" s="41"/>
      <c r="E2812" s="41"/>
      <c r="F2812" s="41"/>
      <c r="G2812" s="21"/>
      <c r="H2812" s="203"/>
    </row>
    <row r="2813" spans="1:8">
      <c r="A2813" s="200"/>
      <c r="B2813" s="198"/>
      <c r="C2813" s="851"/>
      <c r="D2813" s="41"/>
      <c r="E2813" s="41"/>
      <c r="F2813" s="41"/>
      <c r="G2813" s="21"/>
      <c r="H2813" s="203"/>
    </row>
    <row r="2814" spans="1:8">
      <c r="A2814" s="200"/>
      <c r="B2814" s="198"/>
      <c r="C2814" s="851"/>
      <c r="D2814" s="41"/>
      <c r="E2814" s="41"/>
      <c r="F2814" s="41"/>
      <c r="G2814" s="21"/>
      <c r="H2814" s="203"/>
    </row>
    <row r="2815" spans="1:8">
      <c r="A2815" s="200"/>
      <c r="B2815" s="198"/>
      <c r="C2815" s="851"/>
      <c r="D2815" s="41"/>
      <c r="E2815" s="41"/>
      <c r="F2815" s="41"/>
      <c r="G2815" s="21"/>
      <c r="H2815" s="203"/>
    </row>
    <row r="2816" spans="1:8">
      <c r="A2816" s="200"/>
      <c r="B2816" s="198"/>
      <c r="C2816" s="851"/>
      <c r="D2816" s="41"/>
      <c r="E2816" s="41"/>
      <c r="F2816" s="41"/>
      <c r="G2816" s="21"/>
      <c r="H2816" s="203"/>
    </row>
    <row r="2817" spans="1:8">
      <c r="A2817" s="200"/>
      <c r="B2817" s="198"/>
      <c r="C2817" s="851"/>
      <c r="D2817" s="41"/>
      <c r="E2817" s="41"/>
      <c r="F2817" s="41"/>
      <c r="G2817" s="21"/>
      <c r="H2817" s="203"/>
    </row>
    <row r="2818" spans="1:8">
      <c r="A2818" s="200"/>
      <c r="B2818" s="198"/>
      <c r="C2818" s="851"/>
      <c r="D2818" s="41"/>
      <c r="E2818" s="41"/>
      <c r="F2818" s="41"/>
      <c r="G2818" s="21"/>
      <c r="H2818" s="203"/>
    </row>
    <row r="2819" spans="1:8">
      <c r="A2819" s="200"/>
      <c r="B2819" s="198"/>
      <c r="C2819" s="851"/>
      <c r="D2819" s="41"/>
      <c r="E2819" s="41"/>
      <c r="F2819" s="41"/>
      <c r="G2819" s="21"/>
      <c r="H2819" s="203"/>
    </row>
    <row r="2820" spans="1:8">
      <c r="A2820" s="200"/>
      <c r="B2820" s="198"/>
      <c r="C2820" s="851"/>
      <c r="D2820" s="41"/>
      <c r="E2820" s="41"/>
      <c r="F2820" s="41"/>
      <c r="G2820" s="21"/>
      <c r="H2820" s="203"/>
    </row>
    <row r="2821" spans="1:8">
      <c r="A2821" s="200"/>
      <c r="B2821" s="198"/>
      <c r="C2821" s="851"/>
      <c r="D2821" s="41"/>
      <c r="E2821" s="41"/>
      <c r="F2821" s="41"/>
      <c r="G2821" s="21"/>
      <c r="H2821" s="203"/>
    </row>
    <row r="2822" spans="1:8">
      <c r="A2822" s="200"/>
      <c r="B2822" s="198"/>
      <c r="C2822" s="851"/>
      <c r="D2822" s="41"/>
      <c r="E2822" s="41"/>
      <c r="F2822" s="41"/>
      <c r="G2822" s="21"/>
      <c r="H2822" s="203"/>
    </row>
    <row r="2823" spans="1:8">
      <c r="A2823" s="200"/>
      <c r="B2823" s="198"/>
      <c r="C2823" s="851"/>
      <c r="D2823" s="41"/>
      <c r="E2823" s="41"/>
      <c r="F2823" s="41"/>
      <c r="G2823" s="21"/>
      <c r="H2823" s="203"/>
    </row>
    <row r="2824" spans="1:8">
      <c r="A2824" s="200"/>
      <c r="B2824" s="198"/>
      <c r="C2824" s="851"/>
      <c r="D2824" s="41"/>
      <c r="E2824" s="41"/>
      <c r="F2824" s="41"/>
      <c r="G2824" s="21"/>
      <c r="H2824" s="203"/>
    </row>
    <row r="2825" spans="1:8">
      <c r="A2825" s="200"/>
      <c r="B2825" s="198"/>
      <c r="C2825" s="851"/>
      <c r="D2825" s="41"/>
      <c r="E2825" s="41"/>
      <c r="F2825" s="41"/>
      <c r="G2825" s="21"/>
      <c r="H2825" s="203"/>
    </row>
    <row r="2826" spans="1:8">
      <c r="A2826" s="200"/>
      <c r="B2826" s="198"/>
      <c r="C2826" s="851"/>
      <c r="D2826" s="41"/>
      <c r="E2826" s="41"/>
      <c r="F2826" s="41"/>
      <c r="G2826" s="21"/>
      <c r="H2826" s="203"/>
    </row>
    <row r="2827" spans="1:8">
      <c r="A2827" s="200"/>
      <c r="B2827" s="198"/>
      <c r="C2827" s="851"/>
      <c r="D2827" s="41"/>
      <c r="E2827" s="41"/>
      <c r="F2827" s="41"/>
      <c r="G2827" s="21"/>
      <c r="H2827" s="203"/>
    </row>
    <row r="2828" spans="1:8">
      <c r="A2828" s="200"/>
      <c r="B2828" s="198"/>
      <c r="C2828" s="851"/>
      <c r="D2828" s="41"/>
      <c r="E2828" s="41"/>
      <c r="F2828" s="41"/>
      <c r="G2828" s="21"/>
      <c r="H2828" s="203"/>
    </row>
    <row r="2829" spans="1:8">
      <c r="A2829" s="200"/>
      <c r="B2829" s="198"/>
      <c r="C2829" s="851"/>
      <c r="D2829" s="41"/>
      <c r="E2829" s="41"/>
      <c r="F2829" s="41"/>
      <c r="G2829" s="21"/>
      <c r="H2829" s="203"/>
    </row>
    <row r="2830" spans="1:8">
      <c r="A2830" s="200"/>
      <c r="B2830" s="198"/>
      <c r="C2830" s="851"/>
      <c r="D2830" s="41"/>
      <c r="E2830" s="41"/>
      <c r="F2830" s="41"/>
      <c r="G2830" s="21"/>
      <c r="H2830" s="203"/>
    </row>
    <row r="2831" spans="1:8">
      <c r="A2831" s="200"/>
      <c r="B2831" s="198"/>
      <c r="C2831" s="851"/>
      <c r="D2831" s="41"/>
      <c r="E2831" s="41"/>
      <c r="F2831" s="41"/>
      <c r="G2831" s="21"/>
      <c r="H2831" s="203"/>
    </row>
    <row r="2832" spans="1:8">
      <c r="A2832" s="200"/>
      <c r="B2832" s="198"/>
      <c r="C2832" s="851"/>
      <c r="D2832" s="41"/>
      <c r="E2832" s="41"/>
      <c r="F2832" s="41"/>
      <c r="G2832" s="21"/>
      <c r="H2832" s="203"/>
    </row>
    <row r="2833" spans="1:8">
      <c r="A2833" s="200"/>
      <c r="B2833" s="198"/>
      <c r="C2833" s="851"/>
      <c r="D2833" s="41"/>
      <c r="E2833" s="41"/>
      <c r="F2833" s="41"/>
      <c r="G2833" s="21"/>
      <c r="H2833" s="203"/>
    </row>
    <row r="2834" spans="1:8">
      <c r="A2834" s="200"/>
      <c r="B2834" s="198"/>
      <c r="C2834" s="851"/>
      <c r="D2834" s="41"/>
      <c r="E2834" s="41"/>
      <c r="F2834" s="41"/>
      <c r="G2834" s="21"/>
      <c r="H2834" s="203"/>
    </row>
    <row r="2835" spans="1:8">
      <c r="A2835" s="200"/>
      <c r="B2835" s="198"/>
      <c r="C2835" s="851"/>
      <c r="D2835" s="41"/>
      <c r="E2835" s="41"/>
      <c r="F2835" s="41"/>
      <c r="G2835" s="21"/>
      <c r="H2835" s="203"/>
    </row>
    <row r="2836" spans="1:8">
      <c r="A2836" s="200"/>
      <c r="B2836" s="198"/>
      <c r="C2836" s="851"/>
      <c r="D2836" s="41"/>
      <c r="E2836" s="41"/>
      <c r="F2836" s="41"/>
      <c r="G2836" s="21"/>
      <c r="H2836" s="203"/>
    </row>
    <row r="2837" spans="1:8">
      <c r="A2837" s="200"/>
      <c r="B2837" s="198"/>
      <c r="C2837" s="851"/>
      <c r="D2837" s="41"/>
      <c r="E2837" s="41"/>
      <c r="F2837" s="41"/>
      <c r="G2837" s="21"/>
      <c r="H2837" s="203"/>
    </row>
    <row r="2838" spans="1:8">
      <c r="A2838" s="200"/>
      <c r="B2838" s="198"/>
      <c r="C2838" s="851"/>
      <c r="D2838" s="41"/>
      <c r="E2838" s="41"/>
      <c r="F2838" s="41"/>
      <c r="G2838" s="21"/>
      <c r="H2838" s="203"/>
    </row>
    <row r="2839" spans="1:8">
      <c r="A2839" s="200"/>
      <c r="B2839" s="198"/>
      <c r="C2839" s="851"/>
      <c r="D2839" s="41"/>
      <c r="E2839" s="41"/>
      <c r="F2839" s="41"/>
      <c r="G2839" s="21"/>
      <c r="H2839" s="203"/>
    </row>
    <row r="2840" spans="1:8">
      <c r="A2840" s="200"/>
      <c r="B2840" s="198"/>
      <c r="C2840" s="851"/>
      <c r="D2840" s="41"/>
      <c r="E2840" s="41"/>
      <c r="F2840" s="41"/>
      <c r="G2840" s="21"/>
      <c r="H2840" s="203"/>
    </row>
    <row r="2841" spans="1:8">
      <c r="A2841" s="200"/>
      <c r="B2841" s="198"/>
      <c r="C2841" s="851"/>
      <c r="D2841" s="41"/>
      <c r="E2841" s="41"/>
      <c r="F2841" s="41"/>
      <c r="G2841" s="21"/>
      <c r="H2841" s="203"/>
    </row>
    <row r="2842" spans="1:8">
      <c r="A2842" s="200"/>
      <c r="B2842" s="198"/>
      <c r="C2842" s="851"/>
      <c r="D2842" s="41"/>
      <c r="E2842" s="41"/>
      <c r="F2842" s="41"/>
      <c r="G2842" s="21"/>
      <c r="H2842" s="203"/>
    </row>
    <row r="2843" spans="1:8">
      <c r="A2843" s="200"/>
      <c r="B2843" s="198"/>
      <c r="C2843" s="851"/>
      <c r="D2843" s="41"/>
      <c r="E2843" s="41"/>
      <c r="F2843" s="41"/>
      <c r="G2843" s="21"/>
      <c r="H2843" s="203"/>
    </row>
    <row r="2844" spans="1:8">
      <c r="A2844" s="200"/>
      <c r="B2844" s="198"/>
      <c r="C2844" s="851"/>
      <c r="D2844" s="41"/>
      <c r="E2844" s="41"/>
      <c r="F2844" s="41"/>
      <c r="G2844" s="21"/>
      <c r="H2844" s="203"/>
    </row>
    <row r="2845" spans="1:8">
      <c r="A2845" s="200"/>
      <c r="B2845" s="198"/>
      <c r="C2845" s="851"/>
      <c r="D2845" s="41"/>
      <c r="E2845" s="41"/>
      <c r="F2845" s="41"/>
      <c r="G2845" s="21"/>
      <c r="H2845" s="203"/>
    </row>
    <row r="2846" spans="1:8">
      <c r="A2846" s="200"/>
      <c r="B2846" s="198"/>
      <c r="C2846" s="851"/>
      <c r="D2846" s="41"/>
      <c r="E2846" s="41"/>
      <c r="F2846" s="41"/>
      <c r="G2846" s="21"/>
      <c r="H2846" s="203"/>
    </row>
    <row r="2847" spans="1:8">
      <c r="A2847" s="200"/>
      <c r="B2847" s="198"/>
      <c r="C2847" s="851"/>
      <c r="D2847" s="41"/>
      <c r="E2847" s="41"/>
      <c r="F2847" s="41"/>
      <c r="G2847" s="21"/>
      <c r="H2847" s="203"/>
    </row>
    <row r="2848" spans="1:8">
      <c r="A2848" s="200"/>
      <c r="B2848" s="198"/>
      <c r="C2848" s="851"/>
      <c r="D2848" s="41"/>
      <c r="E2848" s="41"/>
      <c r="F2848" s="41"/>
      <c r="G2848" s="21"/>
      <c r="H2848" s="203"/>
    </row>
    <row r="2849" spans="1:8">
      <c r="A2849" s="200"/>
      <c r="B2849" s="198"/>
      <c r="C2849" s="851"/>
      <c r="D2849" s="41"/>
      <c r="E2849" s="41"/>
      <c r="F2849" s="41"/>
      <c r="G2849" s="21"/>
      <c r="H2849" s="203"/>
    </row>
    <row r="2850" spans="1:8">
      <c r="A2850" s="200"/>
      <c r="B2850" s="198"/>
      <c r="C2850" s="851"/>
      <c r="D2850" s="41"/>
      <c r="E2850" s="41"/>
      <c r="F2850" s="41"/>
      <c r="G2850" s="21"/>
      <c r="H2850" s="203"/>
    </row>
    <row r="2851" spans="1:8">
      <c r="A2851" s="200"/>
      <c r="B2851" s="198"/>
      <c r="C2851" s="851"/>
      <c r="D2851" s="41"/>
      <c r="E2851" s="41"/>
      <c r="F2851" s="41"/>
      <c r="G2851" s="21"/>
      <c r="H2851" s="203"/>
    </row>
    <row r="2852" spans="1:8">
      <c r="A2852" s="200"/>
      <c r="B2852" s="198"/>
      <c r="C2852" s="851"/>
      <c r="D2852" s="41"/>
      <c r="E2852" s="41"/>
      <c r="F2852" s="41"/>
      <c r="G2852" s="21"/>
      <c r="H2852" s="203"/>
    </row>
    <row r="2853" spans="1:8">
      <c r="A2853" s="200"/>
      <c r="B2853" s="198"/>
      <c r="C2853" s="851"/>
      <c r="D2853" s="41"/>
      <c r="E2853" s="41"/>
      <c r="F2853" s="41"/>
      <c r="G2853" s="21"/>
      <c r="H2853" s="203"/>
    </row>
    <row r="2854" spans="1:8">
      <c r="A2854" s="200"/>
      <c r="B2854" s="198"/>
      <c r="C2854" s="851"/>
      <c r="D2854" s="41"/>
      <c r="E2854" s="41"/>
      <c r="F2854" s="41"/>
      <c r="G2854" s="21"/>
      <c r="H2854" s="203"/>
    </row>
    <row r="2855" spans="1:8">
      <c r="A2855" s="200"/>
      <c r="B2855" s="198"/>
      <c r="C2855" s="851"/>
      <c r="D2855" s="41"/>
      <c r="E2855" s="41"/>
      <c r="F2855" s="41"/>
      <c r="G2855" s="21"/>
      <c r="H2855" s="203"/>
    </row>
    <row r="2856" spans="1:8">
      <c r="A2856" s="200"/>
      <c r="B2856" s="198"/>
      <c r="C2856" s="851"/>
      <c r="D2856" s="41"/>
      <c r="E2856" s="41"/>
      <c r="F2856" s="41"/>
      <c r="G2856" s="21"/>
      <c r="H2856" s="203"/>
    </row>
    <row r="2857" spans="1:8">
      <c r="A2857" s="200"/>
      <c r="B2857" s="198"/>
      <c r="C2857" s="851"/>
      <c r="D2857" s="41"/>
      <c r="E2857" s="41"/>
      <c r="F2857" s="41"/>
      <c r="G2857" s="21"/>
      <c r="H2857" s="203"/>
    </row>
    <row r="2858" spans="1:8">
      <c r="A2858" s="200"/>
      <c r="B2858" s="198"/>
      <c r="C2858" s="851"/>
      <c r="D2858" s="41"/>
      <c r="E2858" s="41"/>
      <c r="F2858" s="41"/>
      <c r="G2858" s="21"/>
      <c r="H2858" s="203"/>
    </row>
    <row r="2859" spans="1:8">
      <c r="A2859" s="200"/>
      <c r="B2859" s="198"/>
      <c r="C2859" s="851"/>
      <c r="D2859" s="41"/>
      <c r="E2859" s="41"/>
      <c r="F2859" s="41"/>
      <c r="G2859" s="21"/>
      <c r="H2859" s="203"/>
    </row>
    <row r="2860" spans="1:8">
      <c r="A2860" s="200"/>
      <c r="B2860" s="198"/>
      <c r="C2860" s="851"/>
      <c r="D2860" s="41"/>
      <c r="E2860" s="41"/>
      <c r="F2860" s="41"/>
      <c r="G2860" s="21"/>
      <c r="H2860" s="203"/>
    </row>
    <row r="2861" spans="1:8">
      <c r="A2861" s="200"/>
      <c r="B2861" s="198"/>
      <c r="C2861" s="851"/>
      <c r="D2861" s="41"/>
      <c r="E2861" s="41"/>
      <c r="F2861" s="41"/>
      <c r="G2861" s="21"/>
      <c r="H2861" s="203"/>
    </row>
    <row r="2862" spans="1:8">
      <c r="A2862" s="200"/>
      <c r="B2862" s="198"/>
      <c r="C2862" s="851"/>
      <c r="D2862" s="41"/>
      <c r="E2862" s="41"/>
      <c r="F2862" s="41"/>
      <c r="G2862" s="21"/>
      <c r="H2862" s="203"/>
    </row>
    <row r="2863" spans="1:8">
      <c r="A2863" s="200"/>
      <c r="B2863" s="198"/>
      <c r="C2863" s="851"/>
      <c r="D2863" s="41"/>
      <c r="E2863" s="41"/>
      <c r="F2863" s="41"/>
      <c r="G2863" s="21"/>
      <c r="H2863" s="203"/>
    </row>
    <row r="2864" spans="1:8">
      <c r="A2864" s="200"/>
      <c r="B2864" s="198"/>
      <c r="C2864" s="851"/>
      <c r="D2864" s="41"/>
      <c r="E2864" s="41"/>
      <c r="F2864" s="41"/>
      <c r="G2864" s="21"/>
      <c r="H2864" s="203"/>
    </row>
    <row r="2865" spans="1:8">
      <c r="A2865" s="200"/>
      <c r="B2865" s="198"/>
      <c r="C2865" s="851"/>
      <c r="D2865" s="41"/>
      <c r="E2865" s="41"/>
      <c r="F2865" s="41"/>
      <c r="G2865" s="21"/>
      <c r="H2865" s="203"/>
    </row>
    <row r="2866" spans="1:8">
      <c r="A2866" s="200"/>
      <c r="B2866" s="198"/>
      <c r="C2866" s="851"/>
      <c r="D2866" s="41"/>
      <c r="E2866" s="41"/>
      <c r="F2866" s="41"/>
      <c r="G2866" s="21"/>
      <c r="H2866" s="203"/>
    </row>
    <row r="2867" spans="1:8">
      <c r="A2867" s="200"/>
      <c r="B2867" s="198"/>
      <c r="C2867" s="851"/>
      <c r="D2867" s="41"/>
      <c r="E2867" s="41"/>
      <c r="F2867" s="41"/>
      <c r="G2867" s="21"/>
      <c r="H2867" s="203"/>
    </row>
    <row r="2868" spans="1:8">
      <c r="A2868" s="200"/>
      <c r="B2868" s="198"/>
      <c r="C2868" s="851"/>
      <c r="D2868" s="41"/>
      <c r="E2868" s="41"/>
      <c r="F2868" s="41"/>
      <c r="G2868" s="21"/>
      <c r="H2868" s="203"/>
    </row>
    <row r="2869" spans="1:8">
      <c r="A2869" s="200"/>
      <c r="B2869" s="198"/>
      <c r="C2869" s="851"/>
      <c r="D2869" s="41"/>
      <c r="E2869" s="41"/>
      <c r="F2869" s="41"/>
      <c r="G2869" s="21"/>
      <c r="H2869" s="203"/>
    </row>
    <row r="2870" spans="1:8">
      <c r="A2870" s="200"/>
      <c r="B2870" s="198"/>
      <c r="C2870" s="851"/>
      <c r="D2870" s="41"/>
      <c r="E2870" s="41"/>
      <c r="F2870" s="41"/>
      <c r="G2870" s="21"/>
      <c r="H2870" s="203"/>
    </row>
    <row r="2871" spans="1:8">
      <c r="A2871" s="200"/>
      <c r="B2871" s="198"/>
      <c r="C2871" s="851"/>
      <c r="D2871" s="41"/>
      <c r="E2871" s="41"/>
      <c r="F2871" s="41"/>
      <c r="G2871" s="21"/>
      <c r="H2871" s="203"/>
    </row>
    <row r="2872" spans="1:8">
      <c r="A2872" s="200"/>
      <c r="B2872" s="198"/>
      <c r="C2872" s="851"/>
      <c r="D2872" s="41"/>
      <c r="E2872" s="41"/>
      <c r="F2872" s="41"/>
      <c r="G2872" s="21"/>
      <c r="H2872" s="203"/>
    </row>
    <row r="2873" spans="1:8">
      <c r="A2873" s="200"/>
      <c r="B2873" s="198"/>
      <c r="C2873" s="851"/>
      <c r="D2873" s="41"/>
      <c r="E2873" s="41"/>
      <c r="F2873" s="41"/>
      <c r="G2873" s="21"/>
      <c r="H2873" s="203"/>
    </row>
    <row r="2874" spans="1:8">
      <c r="A2874" s="200"/>
      <c r="B2874" s="198"/>
      <c r="C2874" s="851"/>
      <c r="D2874" s="41"/>
      <c r="E2874" s="41"/>
      <c r="F2874" s="41"/>
      <c r="G2874" s="21"/>
      <c r="H2874" s="203"/>
    </row>
    <row r="2875" spans="1:8">
      <c r="A2875" s="200"/>
      <c r="B2875" s="198"/>
      <c r="C2875" s="851"/>
      <c r="D2875" s="41"/>
      <c r="E2875" s="41"/>
      <c r="F2875" s="41"/>
      <c r="G2875" s="21"/>
      <c r="H2875" s="203"/>
    </row>
    <row r="2876" spans="1:8">
      <c r="A2876" s="200"/>
      <c r="B2876" s="198"/>
      <c r="C2876" s="851"/>
      <c r="D2876" s="41"/>
      <c r="E2876" s="41"/>
      <c r="F2876" s="41"/>
      <c r="G2876" s="21"/>
      <c r="H2876" s="203"/>
    </row>
    <row r="2877" spans="1:8">
      <c r="A2877" s="200"/>
      <c r="B2877" s="198"/>
      <c r="C2877" s="851"/>
      <c r="D2877" s="41"/>
      <c r="E2877" s="41"/>
      <c r="F2877" s="41"/>
      <c r="G2877" s="21"/>
      <c r="H2877" s="203"/>
    </row>
    <row r="2878" spans="1:8">
      <c r="A2878" s="200"/>
      <c r="B2878" s="198"/>
      <c r="C2878" s="851"/>
      <c r="D2878" s="41"/>
      <c r="E2878" s="41"/>
      <c r="F2878" s="41"/>
      <c r="G2878" s="21"/>
      <c r="H2878" s="203"/>
    </row>
    <row r="2879" spans="1:8">
      <c r="A2879" s="200"/>
      <c r="B2879" s="198"/>
      <c r="C2879" s="851"/>
      <c r="D2879" s="41"/>
      <c r="E2879" s="41"/>
      <c r="F2879" s="41"/>
      <c r="G2879" s="21"/>
      <c r="H2879" s="203"/>
    </row>
    <row r="2880" spans="1:8">
      <c r="A2880" s="200"/>
      <c r="B2880" s="198"/>
      <c r="C2880" s="851"/>
      <c r="D2880" s="41"/>
      <c r="E2880" s="41"/>
      <c r="F2880" s="41"/>
      <c r="G2880" s="21"/>
      <c r="H2880" s="203"/>
    </row>
    <row r="2881" spans="1:8">
      <c r="A2881" s="200"/>
      <c r="B2881" s="198"/>
      <c r="C2881" s="851"/>
      <c r="D2881" s="41"/>
      <c r="E2881" s="41"/>
      <c r="F2881" s="41"/>
      <c r="G2881" s="21"/>
      <c r="H2881" s="203"/>
    </row>
    <row r="2882" spans="1:8">
      <c r="A2882" s="200"/>
      <c r="B2882" s="198"/>
      <c r="C2882" s="851"/>
      <c r="D2882" s="41"/>
      <c r="E2882" s="41"/>
      <c r="F2882" s="41"/>
      <c r="G2882" s="21"/>
      <c r="H2882" s="203"/>
    </row>
    <row r="2883" spans="1:8">
      <c r="A2883" s="200"/>
      <c r="B2883" s="198"/>
      <c r="C2883" s="851"/>
      <c r="D2883" s="41"/>
      <c r="E2883" s="41"/>
      <c r="F2883" s="41"/>
      <c r="G2883" s="21"/>
      <c r="H2883" s="203"/>
    </row>
    <row r="2884" spans="1:8">
      <c r="A2884" s="200"/>
      <c r="B2884" s="198"/>
      <c r="C2884" s="851"/>
      <c r="D2884" s="41"/>
      <c r="E2884" s="41"/>
      <c r="F2884" s="41"/>
      <c r="G2884" s="21"/>
      <c r="H2884" s="203"/>
    </row>
    <row r="2885" spans="1:8">
      <c r="A2885" s="200"/>
      <c r="B2885" s="198"/>
      <c r="C2885" s="851"/>
      <c r="D2885" s="41"/>
      <c r="E2885" s="41"/>
      <c r="F2885" s="41"/>
      <c r="G2885" s="21"/>
      <c r="H2885" s="203"/>
    </row>
    <row r="2886" spans="1:8">
      <c r="A2886" s="200"/>
      <c r="B2886" s="198"/>
      <c r="C2886" s="851"/>
      <c r="D2886" s="41"/>
      <c r="E2886" s="41"/>
      <c r="F2886" s="41"/>
      <c r="G2886" s="21"/>
      <c r="H2886" s="203"/>
    </row>
    <row r="2887" spans="1:8">
      <c r="A2887" s="200"/>
      <c r="B2887" s="198"/>
      <c r="C2887" s="851"/>
      <c r="D2887" s="41"/>
      <c r="E2887" s="41"/>
      <c r="F2887" s="41"/>
      <c r="G2887" s="21"/>
      <c r="H2887" s="203"/>
    </row>
    <row r="2888" spans="1:8">
      <c r="A2888" s="200"/>
      <c r="B2888" s="198"/>
      <c r="C2888" s="851"/>
      <c r="D2888" s="41"/>
      <c r="E2888" s="41"/>
      <c r="F2888" s="41"/>
      <c r="G2888" s="21"/>
      <c r="H2888" s="203"/>
    </row>
    <row r="2889" spans="1:8">
      <c r="A2889" s="200"/>
      <c r="B2889" s="198"/>
      <c r="C2889" s="851"/>
      <c r="D2889" s="41"/>
      <c r="E2889" s="41"/>
      <c r="F2889" s="41"/>
      <c r="G2889" s="21"/>
      <c r="H2889" s="203"/>
    </row>
    <row r="2890" spans="1:8">
      <c r="A2890" s="200"/>
      <c r="B2890" s="198"/>
      <c r="C2890" s="851"/>
      <c r="D2890" s="41"/>
      <c r="E2890" s="41"/>
      <c r="F2890" s="41"/>
      <c r="G2890" s="21"/>
      <c r="H2890" s="203"/>
    </row>
    <row r="2891" spans="1:8">
      <c r="A2891" s="200"/>
      <c r="B2891" s="198"/>
      <c r="C2891" s="851"/>
      <c r="D2891" s="41"/>
      <c r="E2891" s="41"/>
      <c r="F2891" s="41"/>
      <c r="G2891" s="21"/>
      <c r="H2891" s="203"/>
    </row>
    <row r="2892" spans="1:8">
      <c r="A2892" s="200"/>
      <c r="B2892" s="198"/>
      <c r="C2892" s="851"/>
      <c r="D2892" s="41"/>
      <c r="E2892" s="41"/>
      <c r="F2892" s="41"/>
      <c r="G2892" s="21"/>
      <c r="H2892" s="203"/>
    </row>
    <row r="2893" spans="1:8">
      <c r="A2893" s="200"/>
      <c r="B2893" s="198"/>
      <c r="C2893" s="851"/>
      <c r="D2893" s="41"/>
      <c r="E2893" s="41"/>
      <c r="F2893" s="41"/>
      <c r="G2893" s="21"/>
      <c r="H2893" s="203"/>
    </row>
    <row r="2894" spans="1:8">
      <c r="A2894" s="200"/>
      <c r="B2894" s="198"/>
      <c r="C2894" s="851"/>
      <c r="D2894" s="41"/>
      <c r="E2894" s="41"/>
      <c r="F2894" s="41"/>
      <c r="G2894" s="21"/>
      <c r="H2894" s="203"/>
    </row>
    <row r="2895" spans="1:8">
      <c r="A2895" s="200"/>
      <c r="B2895" s="198"/>
      <c r="C2895" s="851"/>
      <c r="D2895" s="41"/>
      <c r="E2895" s="41"/>
      <c r="F2895" s="41"/>
      <c r="G2895" s="21"/>
      <c r="H2895" s="203"/>
    </row>
    <row r="2896" spans="1:8">
      <c r="A2896" s="200"/>
      <c r="B2896" s="198"/>
      <c r="C2896" s="851"/>
      <c r="D2896" s="41"/>
      <c r="E2896" s="41"/>
      <c r="F2896" s="41"/>
      <c r="G2896" s="21"/>
      <c r="H2896" s="203"/>
    </row>
    <row r="2897" spans="1:8">
      <c r="A2897" s="200"/>
      <c r="B2897" s="198"/>
      <c r="C2897" s="851"/>
      <c r="D2897" s="41"/>
      <c r="E2897" s="41"/>
      <c r="F2897" s="41"/>
      <c r="G2897" s="21"/>
      <c r="H2897" s="203"/>
    </row>
    <row r="2898" spans="1:8">
      <c r="A2898" s="200"/>
      <c r="B2898" s="198"/>
      <c r="C2898" s="851"/>
      <c r="D2898" s="41"/>
      <c r="E2898" s="41"/>
      <c r="F2898" s="41"/>
      <c r="G2898" s="21"/>
      <c r="H2898" s="203"/>
    </row>
    <row r="2899" spans="1:8">
      <c r="A2899" s="200"/>
      <c r="B2899" s="198"/>
      <c r="C2899" s="851"/>
      <c r="D2899" s="41"/>
      <c r="E2899" s="41"/>
      <c r="F2899" s="41"/>
      <c r="G2899" s="21"/>
      <c r="H2899" s="203"/>
    </row>
    <row r="2900" spans="1:8">
      <c r="A2900" s="200"/>
      <c r="B2900" s="198"/>
      <c r="C2900" s="851"/>
      <c r="D2900" s="41"/>
      <c r="E2900" s="41"/>
      <c r="F2900" s="41"/>
      <c r="G2900" s="21"/>
      <c r="H2900" s="203"/>
    </row>
    <row r="2901" spans="1:8">
      <c r="A2901" s="200"/>
      <c r="B2901" s="198"/>
      <c r="C2901" s="851"/>
      <c r="D2901" s="41"/>
      <c r="E2901" s="41"/>
      <c r="F2901" s="41"/>
      <c r="G2901" s="21"/>
      <c r="H2901" s="203"/>
    </row>
    <row r="2902" spans="1:8">
      <c r="A2902" s="200"/>
      <c r="B2902" s="198"/>
      <c r="C2902" s="851"/>
      <c r="D2902" s="41"/>
      <c r="E2902" s="41"/>
      <c r="F2902" s="41"/>
      <c r="G2902" s="21"/>
      <c r="H2902" s="203"/>
    </row>
    <row r="2903" spans="1:8">
      <c r="A2903" s="200"/>
      <c r="B2903" s="198"/>
      <c r="C2903" s="851"/>
      <c r="D2903" s="41"/>
      <c r="E2903" s="41"/>
      <c r="F2903" s="41"/>
      <c r="G2903" s="21"/>
      <c r="H2903" s="203"/>
    </row>
    <row r="2904" spans="1:8">
      <c r="A2904" s="200"/>
      <c r="B2904" s="198"/>
      <c r="C2904" s="851"/>
      <c r="D2904" s="41"/>
      <c r="E2904" s="41"/>
      <c r="F2904" s="41"/>
      <c r="G2904" s="21"/>
      <c r="H2904" s="203"/>
    </row>
    <row r="2905" spans="1:8">
      <c r="A2905" s="200"/>
      <c r="B2905" s="198"/>
      <c r="C2905" s="851"/>
      <c r="D2905" s="41"/>
      <c r="E2905" s="41"/>
      <c r="F2905" s="41"/>
      <c r="G2905" s="21"/>
      <c r="H2905" s="203"/>
    </row>
    <row r="2906" spans="1:8">
      <c r="A2906" s="200"/>
      <c r="B2906" s="198"/>
      <c r="C2906" s="851"/>
      <c r="D2906" s="41"/>
      <c r="E2906" s="41"/>
      <c r="F2906" s="41"/>
      <c r="G2906" s="21"/>
      <c r="H2906" s="203"/>
    </row>
    <row r="2907" spans="1:8">
      <c r="A2907" s="200"/>
      <c r="B2907" s="198"/>
      <c r="C2907" s="851"/>
      <c r="D2907" s="41"/>
      <c r="E2907" s="41"/>
      <c r="F2907" s="41"/>
      <c r="G2907" s="21"/>
      <c r="H2907" s="203"/>
    </row>
    <row r="2908" spans="1:8">
      <c r="A2908" s="200"/>
      <c r="B2908" s="198"/>
      <c r="C2908" s="851"/>
      <c r="D2908" s="41"/>
      <c r="E2908" s="41"/>
      <c r="F2908" s="41"/>
      <c r="G2908" s="21"/>
      <c r="H2908" s="203"/>
    </row>
    <row r="2909" spans="1:8">
      <c r="A2909" s="200"/>
      <c r="B2909" s="198"/>
      <c r="C2909" s="851"/>
      <c r="D2909" s="41"/>
      <c r="E2909" s="41"/>
      <c r="F2909" s="41"/>
      <c r="G2909" s="21"/>
      <c r="H2909" s="203"/>
    </row>
    <row r="2910" spans="1:8">
      <c r="A2910" s="200"/>
      <c r="B2910" s="198"/>
      <c r="C2910" s="851"/>
      <c r="D2910" s="41"/>
      <c r="E2910" s="41"/>
      <c r="F2910" s="41"/>
      <c r="G2910" s="21"/>
      <c r="H2910" s="203"/>
    </row>
    <row r="2911" spans="1:8">
      <c r="A2911" s="200"/>
      <c r="B2911" s="198"/>
      <c r="C2911" s="851"/>
      <c r="D2911" s="41"/>
      <c r="E2911" s="41"/>
      <c r="F2911" s="41"/>
      <c r="G2911" s="21"/>
      <c r="H2911" s="203"/>
    </row>
    <row r="2912" spans="1:8">
      <c r="A2912" s="200"/>
      <c r="B2912" s="198"/>
      <c r="C2912" s="851"/>
      <c r="D2912" s="41"/>
      <c r="E2912" s="41"/>
      <c r="F2912" s="41"/>
      <c r="G2912" s="21"/>
      <c r="H2912" s="203"/>
    </row>
    <row r="2913" spans="1:8">
      <c r="A2913" s="200"/>
      <c r="B2913" s="198"/>
      <c r="C2913" s="851"/>
      <c r="D2913" s="41"/>
      <c r="E2913" s="41"/>
      <c r="F2913" s="41"/>
      <c r="G2913" s="21"/>
      <c r="H2913" s="203"/>
    </row>
    <row r="2914" spans="1:8">
      <c r="A2914" s="200"/>
      <c r="B2914" s="198"/>
      <c r="C2914" s="851"/>
      <c r="D2914" s="41"/>
      <c r="E2914" s="41"/>
      <c r="F2914" s="41"/>
      <c r="G2914" s="21"/>
      <c r="H2914" s="203"/>
    </row>
    <row r="2915" spans="1:8">
      <c r="A2915" s="200"/>
      <c r="B2915" s="198"/>
      <c r="C2915" s="851"/>
      <c r="D2915" s="41"/>
      <c r="E2915" s="41"/>
      <c r="F2915" s="41"/>
      <c r="G2915" s="21"/>
      <c r="H2915" s="203"/>
    </row>
    <row r="2916" spans="1:8">
      <c r="A2916" s="200"/>
      <c r="B2916" s="198"/>
      <c r="C2916" s="851"/>
      <c r="D2916" s="41"/>
      <c r="E2916" s="41"/>
      <c r="F2916" s="41"/>
      <c r="G2916" s="21"/>
      <c r="H2916" s="203"/>
    </row>
    <row r="2917" spans="1:8">
      <c r="A2917" s="200"/>
      <c r="B2917" s="198"/>
      <c r="C2917" s="851"/>
      <c r="D2917" s="41"/>
      <c r="E2917" s="41"/>
      <c r="F2917" s="41"/>
      <c r="G2917" s="21"/>
      <c r="H2917" s="203"/>
    </row>
    <row r="2918" spans="1:8">
      <c r="A2918" s="200"/>
      <c r="B2918" s="198"/>
      <c r="C2918" s="851"/>
      <c r="D2918" s="41"/>
      <c r="E2918" s="41"/>
      <c r="F2918" s="41"/>
      <c r="G2918" s="21"/>
      <c r="H2918" s="203"/>
    </row>
    <row r="2919" spans="1:8">
      <c r="A2919" s="200"/>
      <c r="B2919" s="198"/>
      <c r="C2919" s="851"/>
      <c r="D2919" s="41"/>
      <c r="E2919" s="41"/>
      <c r="F2919" s="41"/>
      <c r="G2919" s="21"/>
      <c r="H2919" s="203"/>
    </row>
    <row r="2920" spans="1:8">
      <c r="A2920" s="200"/>
      <c r="B2920" s="198"/>
      <c r="C2920" s="851"/>
      <c r="D2920" s="41"/>
      <c r="E2920" s="41"/>
      <c r="F2920" s="41"/>
      <c r="G2920" s="21"/>
      <c r="H2920" s="203"/>
    </row>
    <row r="2921" spans="1:8">
      <c r="A2921" s="200"/>
      <c r="B2921" s="198"/>
      <c r="C2921" s="851"/>
      <c r="D2921" s="41"/>
      <c r="E2921" s="41"/>
      <c r="F2921" s="41"/>
      <c r="G2921" s="21"/>
      <c r="H2921" s="203"/>
    </row>
    <row r="2922" spans="1:8">
      <c r="A2922" s="200"/>
      <c r="B2922" s="198"/>
      <c r="C2922" s="851"/>
      <c r="D2922" s="41"/>
      <c r="E2922" s="41"/>
      <c r="F2922" s="41"/>
      <c r="G2922" s="21"/>
      <c r="H2922" s="203"/>
    </row>
    <row r="2923" spans="1:8">
      <c r="A2923" s="200"/>
      <c r="B2923" s="198"/>
      <c r="C2923" s="851"/>
      <c r="D2923" s="41"/>
      <c r="E2923" s="41"/>
      <c r="F2923" s="41"/>
      <c r="G2923" s="21"/>
      <c r="H2923" s="203"/>
    </row>
    <row r="2924" spans="1:8">
      <c r="A2924" s="200"/>
      <c r="B2924" s="198"/>
      <c r="C2924" s="851"/>
      <c r="D2924" s="41"/>
      <c r="E2924" s="41"/>
      <c r="F2924" s="41"/>
      <c r="G2924" s="21"/>
      <c r="H2924" s="203"/>
    </row>
    <row r="2925" spans="1:8">
      <c r="A2925" s="200"/>
      <c r="B2925" s="198"/>
      <c r="C2925" s="851"/>
      <c r="D2925" s="41"/>
      <c r="E2925" s="41"/>
      <c r="F2925" s="41"/>
      <c r="G2925" s="21"/>
      <c r="H2925" s="203"/>
    </row>
    <row r="2926" spans="1:8">
      <c r="A2926" s="200"/>
      <c r="B2926" s="198"/>
      <c r="C2926" s="851"/>
      <c r="D2926" s="41"/>
      <c r="E2926" s="41"/>
      <c r="F2926" s="41"/>
      <c r="G2926" s="21"/>
      <c r="H2926" s="203"/>
    </row>
    <row r="2927" spans="1:8">
      <c r="A2927" s="200"/>
      <c r="B2927" s="198"/>
      <c r="C2927" s="851"/>
      <c r="D2927" s="41"/>
      <c r="E2927" s="41"/>
      <c r="F2927" s="41"/>
      <c r="G2927" s="21"/>
      <c r="H2927" s="203"/>
    </row>
    <row r="2928" spans="1:8">
      <c r="A2928" s="200"/>
      <c r="B2928" s="198"/>
      <c r="C2928" s="851"/>
      <c r="D2928" s="41"/>
      <c r="E2928" s="41"/>
      <c r="F2928" s="41"/>
      <c r="G2928" s="21"/>
      <c r="H2928" s="203"/>
    </row>
    <row r="2929" spans="1:8">
      <c r="A2929" s="200"/>
      <c r="B2929" s="198"/>
      <c r="C2929" s="851"/>
      <c r="D2929" s="41"/>
      <c r="E2929" s="41"/>
      <c r="F2929" s="41"/>
      <c r="G2929" s="21"/>
      <c r="H2929" s="203"/>
    </row>
    <row r="2930" spans="1:8">
      <c r="A2930" s="200"/>
      <c r="B2930" s="198"/>
      <c r="C2930" s="851"/>
      <c r="D2930" s="41"/>
      <c r="E2930" s="41"/>
      <c r="F2930" s="41"/>
      <c r="G2930" s="21"/>
      <c r="H2930" s="203"/>
    </row>
    <row r="2931" spans="1:8">
      <c r="A2931" s="200"/>
      <c r="B2931" s="198"/>
      <c r="C2931" s="851"/>
      <c r="D2931" s="41"/>
      <c r="E2931" s="41"/>
      <c r="F2931" s="41"/>
      <c r="G2931" s="21"/>
      <c r="H2931" s="203"/>
    </row>
    <row r="2932" spans="1:8">
      <c r="A2932" s="200"/>
      <c r="B2932" s="198"/>
      <c r="C2932" s="851"/>
      <c r="D2932" s="41"/>
      <c r="E2932" s="41"/>
      <c r="F2932" s="41"/>
      <c r="G2932" s="21"/>
      <c r="H2932" s="203"/>
    </row>
    <row r="2933" spans="1:8">
      <c r="A2933" s="200"/>
      <c r="B2933" s="198"/>
      <c r="C2933" s="851"/>
      <c r="D2933" s="41"/>
      <c r="E2933" s="41"/>
      <c r="F2933" s="41"/>
      <c r="G2933" s="21"/>
      <c r="H2933" s="203"/>
    </row>
    <row r="2934" spans="1:8">
      <c r="A2934" s="200"/>
      <c r="B2934" s="198"/>
      <c r="C2934" s="851"/>
      <c r="D2934" s="41"/>
      <c r="E2934" s="41"/>
      <c r="F2934" s="41"/>
      <c r="G2934" s="21"/>
      <c r="H2934" s="203"/>
    </row>
    <row r="2935" spans="1:8">
      <c r="A2935" s="200"/>
      <c r="B2935" s="198"/>
      <c r="C2935" s="851"/>
      <c r="D2935" s="41"/>
      <c r="E2935" s="41"/>
      <c r="F2935" s="41"/>
      <c r="G2935" s="21"/>
      <c r="H2935" s="203"/>
    </row>
    <row r="2936" spans="1:8">
      <c r="A2936" s="200"/>
      <c r="B2936" s="198"/>
      <c r="C2936" s="851"/>
      <c r="D2936" s="41"/>
      <c r="E2936" s="41"/>
      <c r="F2936" s="41"/>
      <c r="G2936" s="21"/>
      <c r="H2936" s="203"/>
    </row>
    <row r="2937" spans="1:8">
      <c r="A2937" s="200"/>
      <c r="B2937" s="198"/>
      <c r="C2937" s="851"/>
      <c r="D2937" s="41"/>
      <c r="E2937" s="41"/>
      <c r="F2937" s="41"/>
      <c r="G2937" s="21"/>
      <c r="H2937" s="203"/>
    </row>
    <row r="2938" spans="1:8">
      <c r="A2938" s="200"/>
      <c r="B2938" s="198"/>
      <c r="C2938" s="851"/>
      <c r="D2938" s="41"/>
      <c r="E2938" s="41"/>
      <c r="F2938" s="41"/>
      <c r="G2938" s="21"/>
      <c r="H2938" s="203"/>
    </row>
    <row r="2939" spans="1:8">
      <c r="A2939" s="200"/>
      <c r="B2939" s="198"/>
      <c r="C2939" s="851"/>
      <c r="D2939" s="41"/>
      <c r="E2939" s="41"/>
      <c r="F2939" s="41"/>
      <c r="G2939" s="21"/>
      <c r="H2939" s="203"/>
    </row>
    <row r="2940" spans="1:8">
      <c r="A2940" s="200"/>
      <c r="B2940" s="198"/>
      <c r="C2940" s="851"/>
      <c r="D2940" s="41"/>
      <c r="E2940" s="41"/>
      <c r="F2940" s="41"/>
      <c r="G2940" s="21"/>
      <c r="H2940" s="203"/>
    </row>
    <row r="2941" spans="1:8">
      <c r="A2941" s="200"/>
      <c r="B2941" s="198"/>
      <c r="C2941" s="851"/>
      <c r="D2941" s="41"/>
      <c r="E2941" s="41"/>
      <c r="F2941" s="41"/>
      <c r="G2941" s="21"/>
      <c r="H2941" s="203"/>
    </row>
    <row r="2942" spans="1:8">
      <c r="A2942" s="200"/>
      <c r="B2942" s="198"/>
      <c r="C2942" s="851"/>
      <c r="D2942" s="41"/>
      <c r="E2942" s="41"/>
      <c r="F2942" s="41"/>
      <c r="G2942" s="21"/>
      <c r="H2942" s="203"/>
    </row>
    <row r="2943" spans="1:8">
      <c r="A2943" s="200"/>
      <c r="B2943" s="198"/>
      <c r="C2943" s="851"/>
      <c r="D2943" s="41"/>
      <c r="E2943" s="41"/>
      <c r="F2943" s="41"/>
      <c r="G2943" s="21"/>
      <c r="H2943" s="203"/>
    </row>
    <row r="2944" spans="1:8">
      <c r="A2944" s="200"/>
      <c r="B2944" s="198"/>
      <c r="C2944" s="851"/>
      <c r="D2944" s="41"/>
      <c r="E2944" s="41"/>
      <c r="F2944" s="41"/>
      <c r="G2944" s="21"/>
      <c r="H2944" s="203"/>
    </row>
    <row r="2945" spans="1:8">
      <c r="A2945" s="200"/>
      <c r="B2945" s="198"/>
      <c r="C2945" s="851"/>
      <c r="D2945" s="41"/>
      <c r="E2945" s="41"/>
      <c r="F2945" s="41"/>
      <c r="G2945" s="21"/>
      <c r="H2945" s="203"/>
    </row>
    <row r="2946" spans="1:8">
      <c r="A2946" s="200"/>
      <c r="B2946" s="198"/>
      <c r="C2946" s="851"/>
      <c r="D2946" s="41"/>
      <c r="E2946" s="41"/>
      <c r="F2946" s="41"/>
      <c r="G2946" s="21"/>
      <c r="H2946" s="203"/>
    </row>
    <row r="2947" spans="1:8">
      <c r="A2947" s="200"/>
      <c r="B2947" s="198"/>
      <c r="C2947" s="851"/>
      <c r="D2947" s="41"/>
      <c r="E2947" s="41"/>
      <c r="F2947" s="41"/>
      <c r="G2947" s="21"/>
      <c r="H2947" s="203"/>
    </row>
    <row r="2948" spans="1:8">
      <c r="A2948" s="200"/>
      <c r="B2948" s="198"/>
      <c r="C2948" s="851"/>
      <c r="D2948" s="41"/>
      <c r="E2948" s="41"/>
      <c r="F2948" s="41"/>
      <c r="G2948" s="21"/>
      <c r="H2948" s="203"/>
    </row>
    <row r="2949" spans="1:8">
      <c r="A2949" s="200"/>
      <c r="B2949" s="198"/>
      <c r="C2949" s="851"/>
      <c r="D2949" s="41"/>
      <c r="E2949" s="41"/>
      <c r="F2949" s="41"/>
      <c r="G2949" s="21"/>
      <c r="H2949" s="203"/>
    </row>
    <row r="2950" spans="1:8">
      <c r="A2950" s="200"/>
      <c r="B2950" s="198"/>
      <c r="C2950" s="851"/>
      <c r="D2950" s="41"/>
      <c r="E2950" s="41"/>
      <c r="F2950" s="41"/>
      <c r="G2950" s="21"/>
      <c r="H2950" s="203"/>
    </row>
    <row r="2951" spans="1:8">
      <c r="A2951" s="200"/>
      <c r="B2951" s="198"/>
      <c r="C2951" s="851"/>
      <c r="D2951" s="41"/>
      <c r="E2951" s="41"/>
      <c r="F2951" s="41"/>
      <c r="G2951" s="21"/>
      <c r="H2951" s="203"/>
    </row>
    <row r="2952" spans="1:8">
      <c r="A2952" s="200"/>
      <c r="B2952" s="198"/>
      <c r="C2952" s="851"/>
      <c r="D2952" s="41"/>
      <c r="E2952" s="41"/>
      <c r="F2952" s="41"/>
      <c r="G2952" s="21"/>
      <c r="H2952" s="203"/>
    </row>
    <row r="2953" spans="1:8">
      <c r="A2953" s="200"/>
      <c r="B2953" s="198"/>
      <c r="C2953" s="851"/>
      <c r="D2953" s="41"/>
      <c r="E2953" s="41"/>
      <c r="F2953" s="41"/>
      <c r="G2953" s="21"/>
      <c r="H2953" s="203"/>
    </row>
    <row r="2954" spans="1:8">
      <c r="A2954" s="200"/>
      <c r="B2954" s="198"/>
      <c r="C2954" s="851"/>
      <c r="D2954" s="41"/>
      <c r="E2954" s="41"/>
      <c r="F2954" s="41"/>
      <c r="G2954" s="21"/>
      <c r="H2954" s="203"/>
    </row>
    <row r="2955" spans="1:8">
      <c r="A2955" s="200"/>
      <c r="B2955" s="198"/>
      <c r="C2955" s="851"/>
      <c r="D2955" s="41"/>
      <c r="E2955" s="41"/>
      <c r="F2955" s="41"/>
      <c r="G2955" s="21"/>
      <c r="H2955" s="203"/>
    </row>
    <row r="2956" spans="1:8">
      <c r="A2956" s="200"/>
      <c r="B2956" s="198"/>
      <c r="C2956" s="851"/>
      <c r="D2956" s="41"/>
      <c r="E2956" s="41"/>
      <c r="F2956" s="41"/>
      <c r="G2956" s="21"/>
      <c r="H2956" s="203"/>
    </row>
    <row r="2957" spans="1:8">
      <c r="A2957" s="200"/>
      <c r="B2957" s="198"/>
      <c r="C2957" s="851"/>
      <c r="D2957" s="41"/>
      <c r="E2957" s="41"/>
      <c r="F2957" s="41"/>
      <c r="G2957" s="21"/>
      <c r="H2957" s="203"/>
    </row>
    <row r="2958" spans="1:8">
      <c r="A2958" s="200"/>
      <c r="B2958" s="198"/>
      <c r="C2958" s="851"/>
      <c r="D2958" s="41"/>
      <c r="E2958" s="41"/>
      <c r="F2958" s="41"/>
      <c r="G2958" s="21"/>
      <c r="H2958" s="203"/>
    </row>
    <row r="2959" spans="1:8">
      <c r="A2959" s="200"/>
      <c r="B2959" s="198"/>
      <c r="C2959" s="851"/>
      <c r="D2959" s="41"/>
      <c r="E2959" s="41"/>
      <c r="F2959" s="41"/>
      <c r="G2959" s="21"/>
      <c r="H2959" s="203"/>
    </row>
    <row r="2960" spans="1:8">
      <c r="A2960" s="200"/>
      <c r="B2960" s="198"/>
      <c r="C2960" s="851"/>
      <c r="D2960" s="41"/>
      <c r="E2960" s="41"/>
      <c r="F2960" s="41"/>
      <c r="G2960" s="21"/>
      <c r="H2960" s="203"/>
    </row>
    <row r="2961" spans="1:8">
      <c r="A2961" s="200"/>
      <c r="B2961" s="198"/>
      <c r="C2961" s="851"/>
      <c r="D2961" s="41"/>
      <c r="E2961" s="41"/>
      <c r="F2961" s="41"/>
      <c r="G2961" s="21"/>
      <c r="H2961" s="203"/>
    </row>
    <row r="2962" spans="1:8">
      <c r="A2962" s="200"/>
      <c r="B2962" s="198"/>
      <c r="C2962" s="851"/>
      <c r="D2962" s="41"/>
      <c r="E2962" s="41"/>
      <c r="F2962" s="41"/>
      <c r="G2962" s="21"/>
      <c r="H2962" s="203"/>
    </row>
    <row r="2963" spans="1:8">
      <c r="A2963" s="200"/>
      <c r="B2963" s="198"/>
      <c r="C2963" s="851"/>
      <c r="D2963" s="41"/>
      <c r="E2963" s="41"/>
      <c r="F2963" s="41"/>
      <c r="G2963" s="21"/>
      <c r="H2963" s="203"/>
    </row>
    <row r="2964" spans="1:8">
      <c r="A2964" s="200"/>
      <c r="B2964" s="198"/>
      <c r="C2964" s="851"/>
      <c r="D2964" s="41"/>
      <c r="E2964" s="41"/>
      <c r="F2964" s="41"/>
      <c r="G2964" s="21"/>
      <c r="H2964" s="203"/>
    </row>
    <row r="2965" spans="1:8">
      <c r="A2965" s="200"/>
      <c r="B2965" s="198"/>
      <c r="C2965" s="851"/>
      <c r="D2965" s="41"/>
      <c r="E2965" s="41"/>
      <c r="F2965" s="41"/>
      <c r="G2965" s="21"/>
      <c r="H2965" s="203"/>
    </row>
    <row r="2966" spans="1:8">
      <c r="A2966" s="200"/>
      <c r="B2966" s="198"/>
      <c r="C2966" s="851"/>
      <c r="D2966" s="41"/>
      <c r="E2966" s="41"/>
      <c r="F2966" s="41"/>
      <c r="G2966" s="21"/>
      <c r="H2966" s="203"/>
    </row>
    <row r="2967" spans="1:8">
      <c r="A2967" s="200"/>
      <c r="B2967" s="198"/>
      <c r="C2967" s="851"/>
      <c r="D2967" s="41"/>
      <c r="E2967" s="41"/>
      <c r="F2967" s="41"/>
      <c r="G2967" s="21"/>
      <c r="H2967" s="203"/>
    </row>
    <row r="2968" spans="1:8">
      <c r="A2968" s="200"/>
      <c r="B2968" s="198"/>
      <c r="C2968" s="851"/>
      <c r="D2968" s="41"/>
      <c r="E2968" s="41"/>
      <c r="F2968" s="41"/>
      <c r="G2968" s="21"/>
      <c r="H2968" s="203"/>
    </row>
    <row r="2969" spans="1:8">
      <c r="A2969" s="200"/>
      <c r="B2969" s="198"/>
      <c r="C2969" s="851"/>
      <c r="D2969" s="41"/>
      <c r="E2969" s="41"/>
      <c r="F2969" s="41"/>
      <c r="G2969" s="21"/>
      <c r="H2969" s="203"/>
    </row>
    <row r="2970" spans="1:8">
      <c r="A2970" s="200"/>
      <c r="B2970" s="198"/>
      <c r="C2970" s="851"/>
      <c r="D2970" s="41"/>
      <c r="E2970" s="41"/>
      <c r="F2970" s="41"/>
      <c r="G2970" s="21"/>
      <c r="H2970" s="203"/>
    </row>
    <row r="2971" spans="1:8">
      <c r="A2971" s="200"/>
      <c r="B2971" s="198"/>
      <c r="C2971" s="851"/>
      <c r="D2971" s="41"/>
      <c r="E2971" s="41"/>
      <c r="F2971" s="41"/>
      <c r="G2971" s="21"/>
      <c r="H2971" s="203"/>
    </row>
    <row r="2972" spans="1:8">
      <c r="A2972" s="200"/>
      <c r="B2972" s="198"/>
      <c r="C2972" s="851"/>
      <c r="D2972" s="41"/>
      <c r="E2972" s="41"/>
      <c r="F2972" s="41"/>
      <c r="G2972" s="21"/>
      <c r="H2972" s="203"/>
    </row>
    <row r="2973" spans="1:8">
      <c r="A2973" s="200"/>
      <c r="B2973" s="198"/>
      <c r="C2973" s="851"/>
      <c r="D2973" s="41"/>
      <c r="E2973" s="41"/>
      <c r="F2973" s="41"/>
      <c r="G2973" s="21"/>
      <c r="H2973" s="203"/>
    </row>
    <row r="2974" spans="1:8">
      <c r="A2974" s="200"/>
      <c r="B2974" s="198"/>
      <c r="C2974" s="851"/>
      <c r="D2974" s="41"/>
      <c r="E2974" s="41"/>
      <c r="F2974" s="41"/>
      <c r="G2974" s="21"/>
      <c r="H2974" s="203"/>
    </row>
    <row r="2975" spans="1:8">
      <c r="A2975" s="200"/>
      <c r="B2975" s="198"/>
      <c r="C2975" s="851"/>
      <c r="D2975" s="41"/>
      <c r="E2975" s="41"/>
      <c r="F2975" s="41"/>
      <c r="G2975" s="21"/>
      <c r="H2975" s="203"/>
    </row>
    <row r="2976" spans="1:8">
      <c r="A2976" s="200"/>
      <c r="B2976" s="198"/>
      <c r="C2976" s="851"/>
      <c r="D2976" s="41"/>
      <c r="E2976" s="41"/>
      <c r="F2976" s="41"/>
      <c r="G2976" s="21"/>
      <c r="H2976" s="203"/>
    </row>
    <row r="2977" spans="1:8">
      <c r="A2977" s="200"/>
      <c r="B2977" s="198"/>
      <c r="C2977" s="851"/>
      <c r="D2977" s="41"/>
      <c r="E2977" s="41"/>
      <c r="F2977" s="41"/>
      <c r="G2977" s="21"/>
      <c r="H2977" s="203"/>
    </row>
    <row r="2978" spans="1:8">
      <c r="A2978" s="200"/>
      <c r="B2978" s="198"/>
      <c r="C2978" s="851"/>
      <c r="D2978" s="41"/>
      <c r="E2978" s="41"/>
      <c r="F2978" s="41"/>
      <c r="G2978" s="21"/>
      <c r="H2978" s="203"/>
    </row>
    <row r="2979" spans="1:8">
      <c r="A2979" s="200"/>
      <c r="B2979" s="198"/>
      <c r="C2979" s="851"/>
      <c r="D2979" s="41"/>
      <c r="E2979" s="41"/>
      <c r="F2979" s="41"/>
      <c r="G2979" s="21"/>
      <c r="H2979" s="203"/>
    </row>
    <row r="2980" spans="1:8">
      <c r="A2980" s="200"/>
      <c r="B2980" s="198"/>
      <c r="C2980" s="851"/>
      <c r="D2980" s="41"/>
      <c r="E2980" s="41"/>
      <c r="F2980" s="41"/>
      <c r="G2980" s="21"/>
      <c r="H2980" s="203"/>
    </row>
    <row r="2981" spans="1:8">
      <c r="A2981" s="200"/>
      <c r="B2981" s="198"/>
      <c r="C2981" s="851"/>
      <c r="D2981" s="41"/>
      <c r="E2981" s="41"/>
      <c r="F2981" s="41"/>
      <c r="G2981" s="21"/>
      <c r="H2981" s="203"/>
    </row>
    <row r="2982" spans="1:8">
      <c r="A2982" s="200"/>
      <c r="B2982" s="198"/>
      <c r="C2982" s="851"/>
      <c r="D2982" s="41"/>
      <c r="E2982" s="41"/>
      <c r="F2982" s="41"/>
      <c r="G2982" s="21"/>
      <c r="H2982" s="203"/>
    </row>
    <row r="2983" spans="1:8">
      <c r="A2983" s="200"/>
      <c r="B2983" s="198"/>
      <c r="C2983" s="851"/>
      <c r="D2983" s="41"/>
      <c r="E2983" s="41"/>
      <c r="F2983" s="41"/>
      <c r="G2983" s="21"/>
      <c r="H2983" s="203"/>
    </row>
    <row r="2984" spans="1:8">
      <c r="A2984" s="200"/>
      <c r="B2984" s="198"/>
      <c r="C2984" s="851"/>
      <c r="D2984" s="41"/>
      <c r="E2984" s="41"/>
      <c r="F2984" s="41"/>
      <c r="G2984" s="21"/>
      <c r="H2984" s="203"/>
    </row>
    <row r="2985" spans="1:8">
      <c r="A2985" s="200"/>
      <c r="B2985" s="198"/>
      <c r="C2985" s="851"/>
      <c r="D2985" s="41"/>
      <c r="E2985" s="41"/>
      <c r="F2985" s="41"/>
      <c r="G2985" s="21"/>
      <c r="H2985" s="203"/>
    </row>
    <row r="2986" spans="1:8">
      <c r="A2986" s="200"/>
      <c r="B2986" s="198"/>
      <c r="C2986" s="851"/>
      <c r="D2986" s="41"/>
      <c r="E2986" s="41"/>
      <c r="F2986" s="41"/>
      <c r="G2986" s="21"/>
      <c r="H2986" s="203"/>
    </row>
    <row r="2987" spans="1:8">
      <c r="A2987" s="200"/>
      <c r="B2987" s="198"/>
      <c r="C2987" s="851"/>
      <c r="D2987" s="41"/>
      <c r="E2987" s="41"/>
      <c r="F2987" s="41"/>
      <c r="G2987" s="21"/>
      <c r="H2987" s="203"/>
    </row>
    <row r="2988" spans="1:8">
      <c r="A2988" s="200"/>
      <c r="B2988" s="198"/>
      <c r="C2988" s="851"/>
      <c r="D2988" s="41"/>
      <c r="E2988" s="41"/>
      <c r="F2988" s="41"/>
      <c r="G2988" s="21"/>
      <c r="H2988" s="203"/>
    </row>
    <row r="2989" spans="1:8">
      <c r="A2989" s="200"/>
      <c r="B2989" s="198"/>
      <c r="C2989" s="851"/>
      <c r="D2989" s="41"/>
      <c r="E2989" s="41"/>
      <c r="F2989" s="41"/>
      <c r="G2989" s="21"/>
      <c r="H2989" s="203"/>
    </row>
    <row r="2990" spans="1:8">
      <c r="A2990" s="200"/>
      <c r="B2990" s="198"/>
      <c r="C2990" s="851"/>
      <c r="D2990" s="41"/>
      <c r="E2990" s="41"/>
      <c r="F2990" s="41"/>
      <c r="G2990" s="21"/>
      <c r="H2990" s="203"/>
    </row>
    <row r="2991" spans="1:8">
      <c r="A2991" s="200"/>
      <c r="B2991" s="198"/>
      <c r="C2991" s="851"/>
      <c r="D2991" s="41"/>
      <c r="E2991" s="41"/>
      <c r="F2991" s="41"/>
      <c r="G2991" s="21"/>
      <c r="H2991" s="203"/>
    </row>
    <row r="2992" spans="1:8">
      <c r="A2992" s="200"/>
      <c r="B2992" s="198"/>
      <c r="C2992" s="851"/>
      <c r="D2992" s="41"/>
      <c r="E2992" s="41"/>
      <c r="F2992" s="41"/>
      <c r="G2992" s="21"/>
      <c r="H2992" s="203"/>
    </row>
    <row r="2993" spans="1:8">
      <c r="A2993" s="200"/>
      <c r="B2993" s="198"/>
      <c r="C2993" s="851"/>
      <c r="D2993" s="41"/>
      <c r="E2993" s="41"/>
      <c r="F2993" s="41"/>
      <c r="G2993" s="21"/>
      <c r="H2993" s="203"/>
    </row>
    <row r="2994" spans="1:8">
      <c r="A2994" s="200"/>
      <c r="B2994" s="198"/>
      <c r="C2994" s="851"/>
      <c r="D2994" s="41"/>
      <c r="E2994" s="41"/>
      <c r="F2994" s="41"/>
      <c r="G2994" s="21"/>
      <c r="H2994" s="203"/>
    </row>
    <row r="2995" spans="1:8">
      <c r="A2995" s="200"/>
      <c r="B2995" s="198"/>
      <c r="C2995" s="851"/>
      <c r="D2995" s="41"/>
      <c r="E2995" s="41"/>
      <c r="F2995" s="41"/>
      <c r="G2995" s="21"/>
      <c r="H2995" s="203"/>
    </row>
    <row r="2996" spans="1:8">
      <c r="A2996" s="200"/>
      <c r="B2996" s="198"/>
      <c r="C2996" s="851"/>
      <c r="D2996" s="41"/>
      <c r="E2996" s="41"/>
      <c r="F2996" s="41"/>
      <c r="G2996" s="21"/>
      <c r="H2996" s="203"/>
    </row>
    <row r="2997" spans="1:8">
      <c r="A2997" s="200"/>
      <c r="B2997" s="198"/>
      <c r="C2997" s="851"/>
      <c r="D2997" s="41"/>
      <c r="E2997" s="41"/>
      <c r="F2997" s="41"/>
      <c r="G2997" s="21"/>
      <c r="H2997" s="203"/>
    </row>
    <row r="2998" spans="1:8">
      <c r="A2998" s="200"/>
      <c r="B2998" s="198"/>
      <c r="C2998" s="851"/>
      <c r="D2998" s="41"/>
      <c r="E2998" s="41"/>
      <c r="F2998" s="41"/>
      <c r="G2998" s="21"/>
      <c r="H2998" s="203"/>
    </row>
    <row r="2999" spans="1:8">
      <c r="A2999" s="200"/>
      <c r="B2999" s="198"/>
      <c r="C2999" s="851"/>
      <c r="D2999" s="41"/>
      <c r="E2999" s="41"/>
      <c r="F2999" s="41"/>
      <c r="G2999" s="21"/>
      <c r="H2999" s="203"/>
    </row>
    <row r="3000" spans="1:8">
      <c r="A3000" s="200"/>
      <c r="B3000" s="198"/>
      <c r="C3000" s="851"/>
      <c r="D3000" s="41"/>
      <c r="E3000" s="41"/>
      <c r="F3000" s="41"/>
      <c r="G3000" s="21"/>
      <c r="H3000" s="203"/>
    </row>
    <row r="3001" spans="1:8">
      <c r="A3001" s="200"/>
      <c r="B3001" s="198"/>
      <c r="C3001" s="851"/>
      <c r="D3001" s="41"/>
      <c r="E3001" s="41"/>
      <c r="F3001" s="41"/>
      <c r="G3001" s="21"/>
      <c r="H3001" s="203"/>
    </row>
    <row r="3002" spans="1:8">
      <c r="A3002" s="200"/>
      <c r="B3002" s="198"/>
      <c r="C3002" s="851"/>
      <c r="D3002" s="41"/>
      <c r="E3002" s="41"/>
      <c r="F3002" s="41"/>
      <c r="G3002" s="21"/>
      <c r="H3002" s="203"/>
    </row>
    <row r="3003" spans="1:8">
      <c r="A3003" s="200"/>
      <c r="B3003" s="198"/>
      <c r="C3003" s="851"/>
      <c r="D3003" s="41"/>
      <c r="E3003" s="41"/>
      <c r="F3003" s="41"/>
      <c r="G3003" s="21"/>
      <c r="H3003" s="203"/>
    </row>
    <row r="3004" spans="1:8">
      <c r="A3004" s="200"/>
      <c r="B3004" s="198"/>
      <c r="C3004" s="851"/>
      <c r="D3004" s="41"/>
      <c r="E3004" s="41"/>
      <c r="F3004" s="41"/>
      <c r="G3004" s="21"/>
      <c r="H3004" s="203"/>
    </row>
    <row r="3005" spans="1:8">
      <c r="A3005" s="200"/>
      <c r="B3005" s="198"/>
      <c r="C3005" s="851"/>
      <c r="D3005" s="41"/>
      <c r="E3005" s="41"/>
      <c r="F3005" s="41"/>
      <c r="G3005" s="21"/>
      <c r="H3005" s="203"/>
    </row>
    <row r="3006" spans="1:8">
      <c r="A3006" s="200"/>
      <c r="B3006" s="198"/>
      <c r="C3006" s="851"/>
      <c r="D3006" s="41"/>
      <c r="E3006" s="41"/>
      <c r="F3006" s="41"/>
      <c r="G3006" s="21"/>
      <c r="H3006" s="203"/>
    </row>
    <row r="3007" spans="1:8">
      <c r="A3007" s="200"/>
      <c r="B3007" s="198"/>
      <c r="C3007" s="851"/>
      <c r="D3007" s="41"/>
      <c r="E3007" s="41"/>
      <c r="F3007" s="41"/>
      <c r="G3007" s="21"/>
      <c r="H3007" s="203"/>
    </row>
    <row r="3008" spans="1:8">
      <c r="A3008" s="200"/>
      <c r="B3008" s="198"/>
      <c r="C3008" s="851"/>
      <c r="D3008" s="41"/>
      <c r="E3008" s="41"/>
      <c r="F3008" s="41"/>
      <c r="G3008" s="21"/>
      <c r="H3008" s="203"/>
    </row>
    <row r="3009" spans="1:8">
      <c r="A3009" s="200"/>
      <c r="B3009" s="198"/>
      <c r="C3009" s="851"/>
      <c r="D3009" s="41"/>
      <c r="E3009" s="41"/>
      <c r="F3009" s="41"/>
      <c r="G3009" s="21"/>
      <c r="H3009" s="203"/>
    </row>
    <row r="3010" spans="1:8">
      <c r="A3010" s="200"/>
      <c r="B3010" s="198"/>
      <c r="C3010" s="851"/>
      <c r="D3010" s="41"/>
      <c r="E3010" s="41"/>
      <c r="F3010" s="41"/>
      <c r="G3010" s="21"/>
      <c r="H3010" s="203"/>
    </row>
    <row r="3011" spans="1:8">
      <c r="A3011" s="200"/>
      <c r="B3011" s="198"/>
      <c r="C3011" s="851"/>
      <c r="D3011" s="41"/>
      <c r="E3011" s="41"/>
      <c r="F3011" s="41"/>
      <c r="G3011" s="21"/>
      <c r="H3011" s="203"/>
    </row>
    <row r="3012" spans="1:8">
      <c r="A3012" s="200"/>
      <c r="B3012" s="198"/>
      <c r="C3012" s="851"/>
      <c r="D3012" s="41"/>
      <c r="E3012" s="41"/>
      <c r="F3012" s="41"/>
      <c r="G3012" s="21"/>
      <c r="H3012" s="203"/>
    </row>
    <row r="3013" spans="1:8">
      <c r="A3013" s="200"/>
      <c r="B3013" s="198"/>
      <c r="C3013" s="851"/>
      <c r="D3013" s="41"/>
      <c r="E3013" s="41"/>
      <c r="F3013" s="41"/>
      <c r="G3013" s="21"/>
      <c r="H3013" s="203"/>
    </row>
    <row r="3014" spans="1:8">
      <c r="A3014" s="200"/>
      <c r="B3014" s="198"/>
      <c r="C3014" s="851"/>
      <c r="D3014" s="41"/>
      <c r="E3014" s="41"/>
      <c r="F3014" s="41"/>
      <c r="G3014" s="21"/>
      <c r="H3014" s="203"/>
    </row>
    <row r="3015" spans="1:8">
      <c r="A3015" s="200"/>
      <c r="B3015" s="198"/>
      <c r="C3015" s="851"/>
      <c r="D3015" s="41"/>
      <c r="E3015" s="41"/>
      <c r="F3015" s="41"/>
      <c r="G3015" s="21"/>
      <c r="H3015" s="203"/>
    </row>
    <row r="3016" spans="1:8">
      <c r="A3016" s="200"/>
      <c r="B3016" s="198"/>
      <c r="C3016" s="851"/>
      <c r="D3016" s="41"/>
      <c r="E3016" s="41"/>
      <c r="F3016" s="41"/>
      <c r="G3016" s="21"/>
      <c r="H3016" s="203"/>
    </row>
    <row r="3017" spans="1:8">
      <c r="A3017" s="200"/>
      <c r="B3017" s="198"/>
      <c r="C3017" s="851"/>
      <c r="D3017" s="41"/>
      <c r="E3017" s="41"/>
      <c r="F3017" s="41"/>
      <c r="G3017" s="21"/>
      <c r="H3017" s="203"/>
    </row>
    <row r="3018" spans="1:8">
      <c r="A3018" s="200"/>
      <c r="B3018" s="198"/>
      <c r="C3018" s="851"/>
      <c r="D3018" s="41"/>
      <c r="E3018" s="41"/>
      <c r="F3018" s="41"/>
      <c r="G3018" s="21"/>
      <c r="H3018" s="203"/>
    </row>
    <row r="3019" spans="1:8">
      <c r="A3019" s="200"/>
      <c r="B3019" s="198"/>
      <c r="C3019" s="851"/>
      <c r="D3019" s="41"/>
      <c r="E3019" s="41"/>
      <c r="F3019" s="41"/>
      <c r="G3019" s="21"/>
      <c r="H3019" s="203"/>
    </row>
    <row r="3020" spans="1:8">
      <c r="A3020" s="200"/>
      <c r="B3020" s="198"/>
      <c r="C3020" s="851"/>
      <c r="D3020" s="41"/>
      <c r="E3020" s="41"/>
      <c r="F3020" s="41"/>
      <c r="G3020" s="21"/>
      <c r="H3020" s="203"/>
    </row>
    <row r="3021" spans="1:8">
      <c r="A3021" s="200"/>
      <c r="B3021" s="198"/>
      <c r="C3021" s="851"/>
      <c r="D3021" s="41"/>
      <c r="E3021" s="41"/>
      <c r="F3021" s="41"/>
      <c r="G3021" s="21"/>
      <c r="H3021" s="203"/>
    </row>
    <row r="3022" spans="1:8">
      <c r="A3022" s="200"/>
      <c r="B3022" s="198"/>
      <c r="C3022" s="851"/>
      <c r="D3022" s="41"/>
      <c r="E3022" s="41"/>
      <c r="F3022" s="41"/>
      <c r="G3022" s="21"/>
      <c r="H3022" s="203"/>
    </row>
    <row r="3023" spans="1:8">
      <c r="A3023" s="200"/>
      <c r="B3023" s="198"/>
      <c r="C3023" s="851"/>
      <c r="D3023" s="41"/>
      <c r="E3023" s="41"/>
      <c r="F3023" s="41"/>
      <c r="G3023" s="21"/>
      <c r="H3023" s="203"/>
    </row>
    <row r="3024" spans="1:8">
      <c r="A3024" s="200"/>
      <c r="B3024" s="198"/>
      <c r="C3024" s="851"/>
      <c r="D3024" s="41"/>
      <c r="E3024" s="41"/>
      <c r="F3024" s="41"/>
      <c r="G3024" s="21"/>
      <c r="H3024" s="203"/>
    </row>
    <row r="3025" spans="1:8">
      <c r="A3025" s="200"/>
      <c r="B3025" s="198"/>
      <c r="C3025" s="851"/>
      <c r="D3025" s="41"/>
      <c r="E3025" s="41"/>
      <c r="F3025" s="41"/>
      <c r="G3025" s="21"/>
      <c r="H3025" s="203"/>
    </row>
    <row r="3026" spans="1:8">
      <c r="A3026" s="200"/>
      <c r="B3026" s="198"/>
      <c r="C3026" s="851"/>
      <c r="D3026" s="41"/>
      <c r="E3026" s="41"/>
      <c r="F3026" s="41"/>
      <c r="G3026" s="21"/>
      <c r="H3026" s="203"/>
    </row>
    <row r="3027" spans="1:8">
      <c r="A3027" s="200"/>
      <c r="B3027" s="198"/>
      <c r="C3027" s="851"/>
      <c r="D3027" s="41"/>
      <c r="E3027" s="41"/>
      <c r="F3027" s="41"/>
      <c r="G3027" s="21"/>
      <c r="H3027" s="203"/>
    </row>
    <row r="3028" spans="1:8">
      <c r="A3028" s="200"/>
      <c r="B3028" s="198"/>
      <c r="C3028" s="851"/>
      <c r="D3028" s="41"/>
      <c r="E3028" s="41"/>
      <c r="F3028" s="41"/>
      <c r="G3028" s="21"/>
      <c r="H3028" s="203"/>
    </row>
    <row r="3029" spans="1:8">
      <c r="A3029" s="200"/>
      <c r="B3029" s="198"/>
      <c r="C3029" s="851"/>
      <c r="D3029" s="41"/>
      <c r="E3029" s="41"/>
      <c r="F3029" s="41"/>
      <c r="G3029" s="21"/>
      <c r="H3029" s="203"/>
    </row>
    <row r="3030" spans="1:8">
      <c r="A3030" s="200"/>
      <c r="B3030" s="198"/>
      <c r="C3030" s="851"/>
      <c r="D3030" s="41"/>
      <c r="E3030" s="41"/>
      <c r="F3030" s="41"/>
      <c r="G3030" s="21"/>
      <c r="H3030" s="203"/>
    </row>
    <row r="3031" spans="1:8">
      <c r="A3031" s="200"/>
      <c r="B3031" s="198"/>
      <c r="C3031" s="851"/>
      <c r="D3031" s="41"/>
      <c r="E3031" s="41"/>
      <c r="F3031" s="41"/>
      <c r="G3031" s="21"/>
      <c r="H3031" s="203"/>
    </row>
    <row r="3032" spans="1:8">
      <c r="A3032" s="200"/>
      <c r="B3032" s="198"/>
      <c r="C3032" s="851"/>
      <c r="D3032" s="41"/>
      <c r="E3032" s="41"/>
      <c r="F3032" s="41"/>
      <c r="G3032" s="21"/>
      <c r="H3032" s="203"/>
    </row>
    <row r="3033" spans="1:8">
      <c r="A3033" s="200"/>
      <c r="B3033" s="198"/>
      <c r="C3033" s="851"/>
      <c r="D3033" s="41"/>
      <c r="E3033" s="41"/>
      <c r="F3033" s="41"/>
      <c r="G3033" s="21"/>
      <c r="H3033" s="203"/>
    </row>
    <row r="3034" spans="1:8">
      <c r="A3034" s="200"/>
      <c r="B3034" s="198"/>
      <c r="C3034" s="851"/>
      <c r="D3034" s="41"/>
      <c r="E3034" s="41"/>
      <c r="F3034" s="41"/>
      <c r="G3034" s="21"/>
      <c r="H3034" s="203"/>
    </row>
    <row r="3035" spans="1:8">
      <c r="A3035" s="200"/>
      <c r="B3035" s="198"/>
      <c r="C3035" s="851"/>
      <c r="D3035" s="41"/>
      <c r="E3035" s="41"/>
      <c r="F3035" s="41"/>
      <c r="G3035" s="21"/>
      <c r="H3035" s="203"/>
    </row>
    <row r="3036" spans="1:8">
      <c r="A3036" s="200"/>
      <c r="B3036" s="198"/>
      <c r="C3036" s="851"/>
      <c r="D3036" s="41"/>
      <c r="E3036" s="41"/>
      <c r="F3036" s="41"/>
      <c r="G3036" s="21"/>
      <c r="H3036" s="203"/>
    </row>
    <row r="3037" spans="1:8">
      <c r="A3037" s="200"/>
      <c r="B3037" s="198"/>
      <c r="C3037" s="851"/>
      <c r="D3037" s="41"/>
      <c r="E3037" s="41"/>
      <c r="F3037" s="41"/>
      <c r="G3037" s="21"/>
      <c r="H3037" s="203"/>
    </row>
    <row r="3038" spans="1:8">
      <c r="A3038" s="200"/>
      <c r="B3038" s="198"/>
      <c r="C3038" s="851"/>
      <c r="D3038" s="41"/>
      <c r="E3038" s="41"/>
      <c r="F3038" s="41"/>
      <c r="G3038" s="21"/>
      <c r="H3038" s="203"/>
    </row>
    <row r="3039" spans="1:8">
      <c r="A3039" s="200"/>
      <c r="B3039" s="198"/>
      <c r="C3039" s="851"/>
      <c r="D3039" s="41"/>
      <c r="E3039" s="41"/>
      <c r="F3039" s="41"/>
      <c r="G3039" s="21"/>
      <c r="H3039" s="203"/>
    </row>
    <row r="3040" spans="1:8">
      <c r="A3040" s="200"/>
      <c r="B3040" s="198"/>
      <c r="C3040" s="851"/>
      <c r="D3040" s="41"/>
      <c r="E3040" s="41"/>
      <c r="F3040" s="41"/>
      <c r="G3040" s="21"/>
      <c r="H3040" s="203"/>
    </row>
    <row r="3041" spans="1:8">
      <c r="A3041" s="200"/>
      <c r="B3041" s="198"/>
      <c r="C3041" s="851"/>
      <c r="D3041" s="41"/>
      <c r="E3041" s="41"/>
      <c r="F3041" s="41"/>
      <c r="G3041" s="21"/>
      <c r="H3041" s="203"/>
    </row>
    <row r="3042" spans="1:8">
      <c r="A3042" s="200"/>
      <c r="B3042" s="198"/>
      <c r="C3042" s="851"/>
      <c r="D3042" s="41"/>
      <c r="E3042" s="41"/>
      <c r="F3042" s="41"/>
      <c r="G3042" s="21"/>
      <c r="H3042" s="203"/>
    </row>
    <row r="3043" spans="1:8">
      <c r="A3043" s="200"/>
      <c r="B3043" s="198"/>
      <c r="C3043" s="851"/>
      <c r="D3043" s="41"/>
      <c r="E3043" s="41"/>
      <c r="F3043" s="41"/>
      <c r="G3043" s="21"/>
      <c r="H3043" s="203"/>
    </row>
    <row r="3044" spans="1:8">
      <c r="A3044" s="200"/>
      <c r="B3044" s="198"/>
      <c r="C3044" s="851"/>
      <c r="D3044" s="41"/>
      <c r="E3044" s="41"/>
      <c r="F3044" s="41"/>
      <c r="G3044" s="21"/>
      <c r="H3044" s="203"/>
    </row>
    <row r="3045" spans="1:8">
      <c r="A3045" s="200"/>
      <c r="B3045" s="198"/>
      <c r="C3045" s="851"/>
      <c r="D3045" s="41"/>
      <c r="E3045" s="41"/>
      <c r="F3045" s="41"/>
      <c r="G3045" s="21"/>
      <c r="H3045" s="203"/>
    </row>
    <row r="3046" spans="1:8">
      <c r="A3046" s="200"/>
      <c r="B3046" s="198"/>
      <c r="C3046" s="851"/>
      <c r="D3046" s="41"/>
      <c r="E3046" s="41"/>
      <c r="F3046" s="41"/>
      <c r="G3046" s="21"/>
      <c r="H3046" s="203"/>
    </row>
    <row r="3047" spans="1:8">
      <c r="A3047" s="200"/>
      <c r="B3047" s="198"/>
      <c r="C3047" s="851"/>
      <c r="D3047" s="41"/>
      <c r="E3047" s="41"/>
      <c r="F3047" s="41"/>
      <c r="G3047" s="21"/>
      <c r="H3047" s="203"/>
    </row>
    <row r="3048" spans="1:8">
      <c r="A3048" s="200"/>
      <c r="B3048" s="198"/>
      <c r="C3048" s="851"/>
      <c r="D3048" s="41"/>
      <c r="E3048" s="41"/>
      <c r="F3048" s="41"/>
      <c r="G3048" s="21"/>
      <c r="H3048" s="203"/>
    </row>
    <row r="3049" spans="1:8">
      <c r="A3049" s="200"/>
      <c r="B3049" s="198"/>
      <c r="C3049" s="851"/>
      <c r="D3049" s="41"/>
      <c r="E3049" s="41"/>
      <c r="F3049" s="41"/>
      <c r="G3049" s="21"/>
      <c r="H3049" s="203"/>
    </row>
    <row r="3050" spans="1:8">
      <c r="A3050" s="200"/>
      <c r="B3050" s="198"/>
      <c r="C3050" s="851"/>
      <c r="D3050" s="41"/>
      <c r="E3050" s="41"/>
      <c r="F3050" s="41"/>
      <c r="G3050" s="21"/>
      <c r="H3050" s="203"/>
    </row>
    <row r="3051" spans="1:8">
      <c r="A3051" s="200"/>
      <c r="B3051" s="198"/>
      <c r="C3051" s="851"/>
      <c r="D3051" s="41"/>
      <c r="E3051" s="41"/>
      <c r="F3051" s="41"/>
      <c r="G3051" s="21"/>
      <c r="H3051" s="203"/>
    </row>
    <row r="3052" spans="1:8">
      <c r="A3052" s="200"/>
      <c r="B3052" s="198"/>
      <c r="C3052" s="851"/>
      <c r="D3052" s="41"/>
      <c r="E3052" s="41"/>
      <c r="F3052" s="41"/>
      <c r="G3052" s="21"/>
      <c r="H3052" s="203"/>
    </row>
    <row r="3053" spans="1:8">
      <c r="A3053" s="200"/>
      <c r="B3053" s="198"/>
      <c r="C3053" s="851"/>
      <c r="D3053" s="41"/>
      <c r="E3053" s="41"/>
      <c r="F3053" s="41"/>
      <c r="G3053" s="21"/>
      <c r="H3053" s="203"/>
    </row>
    <row r="3054" spans="1:8">
      <c r="A3054" s="200"/>
      <c r="B3054" s="198"/>
      <c r="C3054" s="851"/>
      <c r="D3054" s="41"/>
      <c r="E3054" s="41"/>
      <c r="F3054" s="41"/>
      <c r="G3054" s="21"/>
      <c r="H3054" s="203"/>
    </row>
    <row r="3055" spans="1:8">
      <c r="A3055" s="200"/>
      <c r="B3055" s="198"/>
      <c r="C3055" s="851"/>
      <c r="D3055" s="41"/>
      <c r="E3055" s="41"/>
      <c r="F3055" s="41"/>
      <c r="G3055" s="21"/>
      <c r="H3055" s="203"/>
    </row>
    <row r="3056" spans="1:8">
      <c r="A3056" s="200"/>
      <c r="B3056" s="198"/>
      <c r="C3056" s="851"/>
      <c r="D3056" s="41"/>
      <c r="E3056" s="41"/>
      <c r="F3056" s="41"/>
      <c r="G3056" s="21"/>
      <c r="H3056" s="203"/>
    </row>
    <row r="3057" spans="1:8">
      <c r="A3057" s="200"/>
      <c r="B3057" s="198"/>
      <c r="C3057" s="851"/>
      <c r="D3057" s="41"/>
      <c r="E3057" s="41"/>
      <c r="F3057" s="41"/>
      <c r="G3057" s="21"/>
      <c r="H3057" s="203"/>
    </row>
    <row r="3058" spans="1:8">
      <c r="A3058" s="200"/>
      <c r="B3058" s="198"/>
      <c r="C3058" s="851"/>
      <c r="D3058" s="41"/>
      <c r="E3058" s="41"/>
      <c r="F3058" s="41"/>
      <c r="G3058" s="21"/>
      <c r="H3058" s="203"/>
    </row>
    <row r="3059" spans="1:8">
      <c r="A3059" s="200"/>
      <c r="B3059" s="198"/>
      <c r="C3059" s="851"/>
      <c r="D3059" s="41"/>
      <c r="E3059" s="41"/>
      <c r="F3059" s="41"/>
      <c r="G3059" s="21"/>
      <c r="H3059" s="203"/>
    </row>
    <row r="3060" spans="1:8">
      <c r="A3060" s="200"/>
      <c r="B3060" s="198"/>
      <c r="C3060" s="851"/>
      <c r="D3060" s="41"/>
      <c r="E3060" s="41"/>
      <c r="F3060" s="41"/>
      <c r="G3060" s="21"/>
      <c r="H3060" s="203"/>
    </row>
    <row r="3061" spans="1:8">
      <c r="A3061" s="200"/>
      <c r="B3061" s="198"/>
      <c r="C3061" s="851"/>
      <c r="D3061" s="41"/>
      <c r="E3061" s="41"/>
      <c r="F3061" s="41"/>
      <c r="G3061" s="21"/>
      <c r="H3061" s="203"/>
    </row>
    <row r="3062" spans="1:8">
      <c r="A3062" s="200"/>
      <c r="B3062" s="198"/>
      <c r="C3062" s="851"/>
      <c r="D3062" s="41"/>
      <c r="E3062" s="41"/>
      <c r="F3062" s="41"/>
      <c r="G3062" s="21"/>
      <c r="H3062" s="203"/>
    </row>
    <row r="3063" spans="1:8">
      <c r="A3063" s="200"/>
      <c r="B3063" s="198"/>
      <c r="C3063" s="851"/>
      <c r="D3063" s="41"/>
      <c r="E3063" s="41"/>
      <c r="F3063" s="41"/>
      <c r="G3063" s="21"/>
      <c r="H3063" s="203"/>
    </row>
    <row r="3064" spans="1:8">
      <c r="A3064" s="200"/>
      <c r="B3064" s="198"/>
      <c r="C3064" s="851"/>
      <c r="D3064" s="41"/>
      <c r="E3064" s="41"/>
      <c r="F3064" s="41"/>
      <c r="G3064" s="21"/>
      <c r="H3064" s="203"/>
    </row>
    <row r="3065" spans="1:8">
      <c r="A3065" s="200"/>
      <c r="B3065" s="198"/>
      <c r="C3065" s="851"/>
      <c r="D3065" s="41"/>
      <c r="E3065" s="41"/>
      <c r="F3065" s="41"/>
      <c r="G3065" s="21"/>
      <c r="H3065" s="203"/>
    </row>
    <row r="3066" spans="1:8">
      <c r="A3066" s="200"/>
      <c r="B3066" s="198"/>
      <c r="C3066" s="851"/>
      <c r="D3066" s="41"/>
      <c r="E3066" s="41"/>
      <c r="F3066" s="41"/>
      <c r="G3066" s="21"/>
      <c r="H3066" s="203"/>
    </row>
    <row r="3067" spans="1:8">
      <c r="A3067" s="200"/>
      <c r="B3067" s="198"/>
      <c r="C3067" s="851"/>
      <c r="D3067" s="41"/>
      <c r="E3067" s="41"/>
      <c r="F3067" s="41"/>
      <c r="G3067" s="21"/>
      <c r="H3067" s="203"/>
    </row>
    <row r="3068" spans="1:8">
      <c r="A3068" s="200"/>
      <c r="B3068" s="198"/>
      <c r="C3068" s="851"/>
      <c r="D3068" s="41"/>
      <c r="E3068" s="41"/>
      <c r="F3068" s="41"/>
      <c r="G3068" s="21"/>
      <c r="H3068" s="203"/>
    </row>
    <row r="3069" spans="1:8">
      <c r="A3069" s="200"/>
      <c r="B3069" s="198"/>
      <c r="C3069" s="851"/>
      <c r="D3069" s="41"/>
      <c r="E3069" s="41"/>
      <c r="F3069" s="41"/>
      <c r="G3069" s="21"/>
      <c r="H3069" s="203"/>
    </row>
    <row r="3070" spans="1:8">
      <c r="A3070" s="200"/>
      <c r="B3070" s="198"/>
      <c r="C3070" s="851"/>
      <c r="D3070" s="41"/>
      <c r="E3070" s="41"/>
      <c r="F3070" s="41"/>
      <c r="G3070" s="21"/>
      <c r="H3070" s="203"/>
    </row>
    <row r="3071" spans="1:8">
      <c r="A3071" s="200"/>
      <c r="B3071" s="198"/>
      <c r="C3071" s="851"/>
      <c r="D3071" s="41"/>
      <c r="E3071" s="41"/>
      <c r="F3071" s="41"/>
      <c r="G3071" s="21"/>
      <c r="H3071" s="203"/>
    </row>
    <row r="3072" spans="1:8">
      <c r="A3072" s="200"/>
      <c r="B3072" s="198"/>
      <c r="C3072" s="851"/>
      <c r="D3072" s="41"/>
      <c r="E3072" s="41"/>
      <c r="F3072" s="41"/>
      <c r="G3072" s="21"/>
      <c r="H3072" s="203"/>
    </row>
    <row r="3073" spans="1:8">
      <c r="A3073" s="200"/>
      <c r="B3073" s="198"/>
      <c r="C3073" s="851"/>
      <c r="D3073" s="41"/>
      <c r="E3073" s="41"/>
      <c r="F3073" s="41"/>
      <c r="G3073" s="21"/>
      <c r="H3073" s="203"/>
    </row>
    <row r="3074" spans="1:8">
      <c r="A3074" s="200"/>
      <c r="B3074" s="198"/>
      <c r="C3074" s="851"/>
      <c r="D3074" s="41"/>
      <c r="E3074" s="41"/>
      <c r="F3074" s="41"/>
      <c r="G3074" s="21"/>
      <c r="H3074" s="203"/>
    </row>
    <row r="3075" spans="1:8">
      <c r="A3075" s="200"/>
      <c r="B3075" s="198"/>
      <c r="C3075" s="851"/>
      <c r="D3075" s="41"/>
      <c r="E3075" s="41"/>
      <c r="F3075" s="41"/>
      <c r="G3075" s="21"/>
      <c r="H3075" s="203"/>
    </row>
    <row r="3076" spans="1:8">
      <c r="A3076" s="200"/>
      <c r="B3076" s="198"/>
      <c r="C3076" s="851"/>
      <c r="D3076" s="41"/>
      <c r="E3076" s="41"/>
      <c r="F3076" s="41"/>
      <c r="G3076" s="21"/>
      <c r="H3076" s="203"/>
    </row>
    <row r="3077" spans="1:8">
      <c r="A3077" s="200"/>
      <c r="B3077" s="198"/>
      <c r="C3077" s="851"/>
      <c r="D3077" s="41"/>
      <c r="E3077" s="41"/>
      <c r="F3077" s="41"/>
      <c r="G3077" s="21"/>
      <c r="H3077" s="203"/>
    </row>
    <row r="3078" spans="1:8">
      <c r="A3078" s="200"/>
      <c r="B3078" s="198"/>
      <c r="C3078" s="851"/>
      <c r="D3078" s="41"/>
      <c r="E3078" s="41"/>
      <c r="F3078" s="41"/>
      <c r="G3078" s="21"/>
      <c r="H3078" s="203"/>
    </row>
    <row r="3079" spans="1:8">
      <c r="A3079" s="200"/>
      <c r="B3079" s="198"/>
      <c r="C3079" s="851"/>
      <c r="D3079" s="41"/>
      <c r="E3079" s="41"/>
      <c r="F3079" s="41"/>
      <c r="G3079" s="21"/>
      <c r="H3079" s="203"/>
    </row>
    <row r="3080" spans="1:8">
      <c r="A3080" s="200"/>
      <c r="B3080" s="198"/>
      <c r="C3080" s="851"/>
      <c r="D3080" s="41"/>
      <c r="E3080" s="41"/>
      <c r="F3080" s="41"/>
      <c r="G3080" s="21"/>
      <c r="H3080" s="203"/>
    </row>
    <row r="3081" spans="1:8">
      <c r="A3081" s="200"/>
      <c r="B3081" s="198"/>
      <c r="C3081" s="851"/>
      <c r="D3081" s="41"/>
      <c r="E3081" s="41"/>
      <c r="F3081" s="41"/>
      <c r="G3081" s="21"/>
      <c r="H3081" s="203"/>
    </row>
    <row r="3082" spans="1:8">
      <c r="A3082" s="200"/>
      <c r="B3082" s="198"/>
      <c r="C3082" s="851"/>
      <c r="D3082" s="41"/>
      <c r="E3082" s="41"/>
      <c r="F3082" s="41"/>
      <c r="G3082" s="21"/>
      <c r="H3082" s="203"/>
    </row>
    <row r="3083" spans="1:8">
      <c r="A3083" s="200"/>
      <c r="B3083" s="198"/>
      <c r="C3083" s="851"/>
      <c r="D3083" s="41"/>
      <c r="E3083" s="41"/>
      <c r="F3083" s="41"/>
      <c r="G3083" s="21"/>
      <c r="H3083" s="203"/>
    </row>
    <row r="3084" spans="1:8">
      <c r="A3084" s="200"/>
      <c r="B3084" s="198"/>
      <c r="C3084" s="851"/>
      <c r="D3084" s="41"/>
      <c r="E3084" s="41"/>
      <c r="F3084" s="41"/>
      <c r="G3084" s="21"/>
      <c r="H3084" s="203"/>
    </row>
    <row r="3085" spans="1:8">
      <c r="A3085" s="200"/>
      <c r="B3085" s="198"/>
      <c r="C3085" s="851"/>
      <c r="D3085" s="41"/>
      <c r="E3085" s="41"/>
      <c r="F3085" s="41"/>
      <c r="G3085" s="21"/>
      <c r="H3085" s="203"/>
    </row>
    <row r="3086" spans="1:8">
      <c r="A3086" s="200"/>
      <c r="B3086" s="198"/>
      <c r="C3086" s="851"/>
      <c r="D3086" s="41"/>
      <c r="E3086" s="41"/>
      <c r="F3086" s="41"/>
      <c r="G3086" s="21"/>
      <c r="H3086" s="203"/>
    </row>
    <row r="3087" spans="1:8">
      <c r="A3087" s="200"/>
      <c r="B3087" s="198"/>
      <c r="C3087" s="851"/>
      <c r="D3087" s="41"/>
      <c r="E3087" s="41"/>
      <c r="F3087" s="41"/>
      <c r="G3087" s="21"/>
      <c r="H3087" s="203"/>
    </row>
    <row r="3088" spans="1:8">
      <c r="A3088" s="200"/>
      <c r="B3088" s="198"/>
      <c r="C3088" s="851"/>
      <c r="D3088" s="41"/>
      <c r="E3088" s="41"/>
      <c r="F3088" s="41"/>
      <c r="G3088" s="21"/>
      <c r="H3088" s="203"/>
    </row>
    <row r="3089" spans="1:8">
      <c r="A3089" s="200"/>
      <c r="B3089" s="198"/>
      <c r="C3089" s="851"/>
      <c r="D3089" s="41"/>
      <c r="E3089" s="41"/>
      <c r="F3089" s="41"/>
      <c r="G3089" s="21"/>
      <c r="H3089" s="203"/>
    </row>
    <row r="3090" spans="1:8">
      <c r="A3090" s="200"/>
      <c r="B3090" s="198"/>
      <c r="C3090" s="851"/>
      <c r="D3090" s="41"/>
      <c r="E3090" s="41"/>
      <c r="F3090" s="41"/>
      <c r="G3090" s="21"/>
      <c r="H3090" s="203"/>
    </row>
    <row r="3091" spans="1:8">
      <c r="A3091" s="200"/>
      <c r="B3091" s="198"/>
      <c r="C3091" s="851"/>
      <c r="D3091" s="41"/>
      <c r="E3091" s="41"/>
      <c r="F3091" s="41"/>
      <c r="G3091" s="21"/>
      <c r="H3091" s="203"/>
    </row>
    <row r="3092" spans="1:8">
      <c r="A3092" s="200"/>
      <c r="B3092" s="198"/>
      <c r="C3092" s="851"/>
      <c r="D3092" s="41"/>
      <c r="E3092" s="41"/>
      <c r="F3092" s="41"/>
      <c r="G3092" s="21"/>
      <c r="H3092" s="203"/>
    </row>
    <row r="3093" spans="1:8">
      <c r="A3093" s="200"/>
      <c r="B3093" s="198"/>
      <c r="C3093" s="851"/>
      <c r="D3093" s="41"/>
      <c r="E3093" s="41"/>
      <c r="F3093" s="41"/>
      <c r="G3093" s="21"/>
      <c r="H3093" s="203"/>
    </row>
    <row r="3094" spans="1:8">
      <c r="A3094" s="200"/>
      <c r="B3094" s="198"/>
      <c r="C3094" s="851"/>
      <c r="D3094" s="41"/>
      <c r="E3094" s="41"/>
      <c r="F3094" s="41"/>
      <c r="G3094" s="21"/>
      <c r="H3094" s="203"/>
    </row>
    <row r="3095" spans="1:8">
      <c r="A3095" s="200"/>
      <c r="B3095" s="198"/>
      <c r="C3095" s="851"/>
      <c r="D3095" s="41"/>
      <c r="E3095" s="41"/>
      <c r="F3095" s="41"/>
      <c r="G3095" s="21"/>
      <c r="H3095" s="203"/>
    </row>
    <row r="3096" spans="1:8">
      <c r="A3096" s="200"/>
      <c r="B3096" s="198"/>
      <c r="C3096" s="851"/>
      <c r="D3096" s="41"/>
      <c r="E3096" s="41"/>
      <c r="F3096" s="41"/>
      <c r="G3096" s="21"/>
      <c r="H3096" s="203"/>
    </row>
    <row r="3097" spans="1:8">
      <c r="A3097" s="200"/>
      <c r="B3097" s="198"/>
      <c r="C3097" s="851"/>
      <c r="D3097" s="41"/>
      <c r="E3097" s="41"/>
      <c r="F3097" s="41"/>
      <c r="G3097" s="21"/>
      <c r="H3097" s="203"/>
    </row>
    <row r="3098" spans="1:8">
      <c r="A3098" s="200"/>
      <c r="B3098" s="198"/>
      <c r="C3098" s="851"/>
      <c r="D3098" s="41"/>
      <c r="E3098" s="41"/>
      <c r="F3098" s="41"/>
      <c r="G3098" s="21"/>
      <c r="H3098" s="203"/>
    </row>
    <row r="3099" spans="1:8">
      <c r="A3099" s="200"/>
      <c r="B3099" s="198"/>
      <c r="C3099" s="851"/>
      <c r="D3099" s="41"/>
      <c r="E3099" s="41"/>
      <c r="F3099" s="41"/>
      <c r="G3099" s="21"/>
      <c r="H3099" s="203"/>
    </row>
    <row r="3100" spans="1:8">
      <c r="A3100" s="200"/>
      <c r="B3100" s="198"/>
      <c r="C3100" s="851"/>
      <c r="D3100" s="41"/>
      <c r="E3100" s="41"/>
      <c r="F3100" s="41"/>
      <c r="G3100" s="21"/>
      <c r="H3100" s="203"/>
    </row>
    <row r="3101" spans="1:8">
      <c r="A3101" s="200"/>
      <c r="B3101" s="198"/>
      <c r="C3101" s="851"/>
      <c r="D3101" s="41"/>
      <c r="E3101" s="41"/>
      <c r="F3101" s="41"/>
      <c r="G3101" s="21"/>
      <c r="H3101" s="203"/>
    </row>
    <row r="3102" spans="1:8">
      <c r="A3102" s="200"/>
      <c r="B3102" s="198"/>
      <c r="C3102" s="851"/>
      <c r="D3102" s="41"/>
      <c r="E3102" s="41"/>
      <c r="F3102" s="41"/>
      <c r="G3102" s="21"/>
      <c r="H3102" s="203"/>
    </row>
    <row r="3103" spans="1:8">
      <c r="A3103" s="200"/>
      <c r="B3103" s="198"/>
      <c r="C3103" s="851"/>
      <c r="D3103" s="41"/>
      <c r="E3103" s="41"/>
      <c r="F3103" s="41"/>
      <c r="G3103" s="21"/>
      <c r="H3103" s="203"/>
    </row>
    <row r="3104" spans="1:8">
      <c r="A3104" s="200"/>
      <c r="B3104" s="198"/>
      <c r="C3104" s="851"/>
      <c r="D3104" s="41"/>
      <c r="E3104" s="41"/>
      <c r="F3104" s="41"/>
      <c r="G3104" s="21"/>
      <c r="H3104" s="203"/>
    </row>
    <row r="3105" spans="1:8">
      <c r="A3105" s="200"/>
      <c r="B3105" s="198"/>
      <c r="C3105" s="851"/>
      <c r="D3105" s="41"/>
      <c r="E3105" s="41"/>
      <c r="F3105" s="41"/>
      <c r="G3105" s="21"/>
      <c r="H3105" s="203"/>
    </row>
    <row r="3106" spans="1:8">
      <c r="A3106" s="200"/>
      <c r="B3106" s="198"/>
      <c r="C3106" s="851"/>
      <c r="D3106" s="41"/>
      <c r="E3106" s="41"/>
      <c r="F3106" s="41"/>
      <c r="G3106" s="21"/>
      <c r="H3106" s="203"/>
    </row>
    <row r="3107" spans="1:8">
      <c r="A3107" s="200"/>
      <c r="B3107" s="198"/>
      <c r="C3107" s="851"/>
      <c r="D3107" s="41"/>
      <c r="E3107" s="41"/>
      <c r="F3107" s="41"/>
      <c r="G3107" s="21"/>
      <c r="H3107" s="203"/>
    </row>
    <row r="3108" spans="1:8">
      <c r="A3108" s="200"/>
      <c r="B3108" s="198"/>
      <c r="C3108" s="851"/>
      <c r="D3108" s="41"/>
      <c r="E3108" s="41"/>
      <c r="F3108" s="41"/>
      <c r="G3108" s="21"/>
      <c r="H3108" s="203"/>
    </row>
    <row r="3109" spans="1:8">
      <c r="A3109" s="200"/>
      <c r="B3109" s="198"/>
      <c r="C3109" s="851"/>
      <c r="D3109" s="41"/>
      <c r="E3109" s="41"/>
      <c r="F3109" s="41"/>
      <c r="G3109" s="21"/>
      <c r="H3109" s="203"/>
    </row>
    <row r="3110" spans="1:8">
      <c r="A3110" s="200"/>
      <c r="B3110" s="198"/>
      <c r="C3110" s="851"/>
      <c r="D3110" s="41"/>
      <c r="E3110" s="41"/>
      <c r="F3110" s="41"/>
      <c r="G3110" s="21"/>
      <c r="H3110" s="203"/>
    </row>
    <row r="3111" spans="1:8">
      <c r="A3111" s="200"/>
      <c r="B3111" s="198"/>
      <c r="C3111" s="851"/>
      <c r="D3111" s="41"/>
      <c r="E3111" s="41"/>
      <c r="F3111" s="41"/>
      <c r="G3111" s="21"/>
      <c r="H3111" s="203"/>
    </row>
    <row r="3112" spans="1:8">
      <c r="A3112" s="200"/>
      <c r="B3112" s="198"/>
      <c r="C3112" s="851"/>
      <c r="D3112" s="41"/>
      <c r="E3112" s="41"/>
      <c r="F3112" s="41"/>
      <c r="G3112" s="21"/>
      <c r="H3112" s="203"/>
    </row>
    <row r="3113" spans="1:8">
      <c r="A3113" s="200"/>
      <c r="B3113" s="198"/>
      <c r="C3113" s="851"/>
      <c r="D3113" s="41"/>
      <c r="E3113" s="41"/>
      <c r="F3113" s="41"/>
      <c r="G3113" s="21"/>
      <c r="H3113" s="203"/>
    </row>
    <row r="3114" spans="1:8">
      <c r="A3114" s="200"/>
      <c r="B3114" s="198"/>
      <c r="C3114" s="851"/>
      <c r="D3114" s="41"/>
      <c r="E3114" s="41"/>
      <c r="F3114" s="41"/>
      <c r="G3114" s="21"/>
      <c r="H3114" s="203"/>
    </row>
    <row r="3115" spans="1:8">
      <c r="A3115" s="200"/>
      <c r="B3115" s="198"/>
      <c r="C3115" s="851"/>
      <c r="D3115" s="41"/>
      <c r="E3115" s="41"/>
      <c r="F3115" s="41"/>
      <c r="G3115" s="21"/>
      <c r="H3115" s="203"/>
    </row>
    <row r="3116" spans="1:8">
      <c r="A3116" s="200"/>
      <c r="B3116" s="198"/>
      <c r="C3116" s="851"/>
      <c r="D3116" s="41"/>
      <c r="E3116" s="41"/>
      <c r="F3116" s="41"/>
      <c r="G3116" s="21"/>
      <c r="H3116" s="203"/>
    </row>
    <row r="3117" spans="1:8">
      <c r="A3117" s="200"/>
      <c r="B3117" s="198"/>
      <c r="C3117" s="851"/>
      <c r="D3117" s="41"/>
      <c r="E3117" s="41"/>
      <c r="F3117" s="41"/>
      <c r="G3117" s="21"/>
      <c r="H3117" s="203"/>
    </row>
    <row r="3118" spans="1:8">
      <c r="A3118" s="200"/>
      <c r="B3118" s="198"/>
      <c r="C3118" s="851"/>
      <c r="D3118" s="41"/>
      <c r="E3118" s="41"/>
      <c r="F3118" s="41"/>
      <c r="G3118" s="21"/>
      <c r="H3118" s="203"/>
    </row>
    <row r="3119" spans="1:8">
      <c r="A3119" s="200"/>
      <c r="B3119" s="198"/>
      <c r="C3119" s="851"/>
      <c r="D3119" s="41"/>
      <c r="E3119" s="41"/>
      <c r="F3119" s="41"/>
      <c r="G3119" s="21"/>
      <c r="H3119" s="203"/>
    </row>
    <row r="3120" spans="1:8">
      <c r="A3120" s="200"/>
      <c r="B3120" s="198"/>
      <c r="C3120" s="851"/>
      <c r="D3120" s="41"/>
      <c r="E3120" s="41"/>
      <c r="F3120" s="41"/>
      <c r="G3120" s="21"/>
      <c r="H3120" s="203"/>
    </row>
    <row r="3121" spans="1:8">
      <c r="A3121" s="200"/>
      <c r="B3121" s="198"/>
      <c r="C3121" s="851"/>
      <c r="D3121" s="41"/>
      <c r="E3121" s="41"/>
      <c r="F3121" s="41"/>
      <c r="G3121" s="21"/>
      <c r="H3121" s="203"/>
    </row>
    <row r="3122" spans="1:8">
      <c r="A3122" s="200"/>
      <c r="B3122" s="198"/>
      <c r="C3122" s="851"/>
      <c r="D3122" s="41"/>
      <c r="E3122" s="41"/>
      <c r="F3122" s="41"/>
      <c r="G3122" s="21"/>
      <c r="H3122" s="203"/>
    </row>
    <row r="3123" spans="1:8">
      <c r="A3123" s="200"/>
      <c r="B3123" s="198"/>
      <c r="C3123" s="851"/>
      <c r="D3123" s="41"/>
      <c r="E3123" s="41"/>
      <c r="F3123" s="41"/>
      <c r="G3123" s="21"/>
      <c r="H3123" s="203"/>
    </row>
    <row r="3124" spans="1:8">
      <c r="A3124" s="200"/>
      <c r="B3124" s="198"/>
      <c r="C3124" s="851"/>
      <c r="D3124" s="41"/>
      <c r="E3124" s="41"/>
      <c r="F3124" s="41"/>
      <c r="G3124" s="21"/>
      <c r="H3124" s="203"/>
    </row>
    <row r="3125" spans="1:8">
      <c r="A3125" s="200"/>
      <c r="B3125" s="198"/>
      <c r="C3125" s="851"/>
      <c r="D3125" s="41"/>
      <c r="E3125" s="41"/>
      <c r="F3125" s="41"/>
      <c r="G3125" s="21"/>
      <c r="H3125" s="203"/>
    </row>
    <row r="3126" spans="1:8">
      <c r="A3126" s="200"/>
      <c r="B3126" s="198"/>
      <c r="C3126" s="851"/>
      <c r="D3126" s="41"/>
      <c r="E3126" s="41"/>
      <c r="F3126" s="41"/>
      <c r="G3126" s="21"/>
      <c r="H3126" s="203"/>
    </row>
    <row r="3127" spans="1:8">
      <c r="A3127" s="200"/>
      <c r="B3127" s="198"/>
      <c r="C3127" s="851"/>
      <c r="D3127" s="41"/>
      <c r="E3127" s="41"/>
      <c r="F3127" s="41"/>
      <c r="G3127" s="21"/>
      <c r="H3127" s="203"/>
    </row>
    <row r="3128" spans="1:8">
      <c r="A3128" s="200"/>
      <c r="B3128" s="198"/>
      <c r="C3128" s="851"/>
      <c r="D3128" s="41"/>
      <c r="E3128" s="41"/>
      <c r="F3128" s="41"/>
      <c r="G3128" s="21"/>
      <c r="H3128" s="203"/>
    </row>
    <row r="3129" spans="1:8">
      <c r="A3129" s="200"/>
      <c r="B3129" s="198"/>
      <c r="C3129" s="851"/>
      <c r="D3129" s="41"/>
      <c r="E3129" s="41"/>
      <c r="F3129" s="41"/>
      <c r="G3129" s="21"/>
      <c r="H3129" s="203"/>
    </row>
    <row r="3130" spans="1:8">
      <c r="A3130" s="200"/>
      <c r="B3130" s="198"/>
      <c r="C3130" s="851"/>
      <c r="D3130" s="41"/>
      <c r="E3130" s="41"/>
      <c r="F3130" s="41"/>
      <c r="G3130" s="21"/>
      <c r="H3130" s="203"/>
    </row>
    <row r="3131" spans="1:8">
      <c r="A3131" s="200"/>
      <c r="B3131" s="198"/>
      <c r="C3131" s="851"/>
      <c r="D3131" s="41"/>
      <c r="E3131" s="41"/>
      <c r="F3131" s="41"/>
      <c r="G3131" s="21"/>
      <c r="H3131" s="203"/>
    </row>
    <row r="3132" spans="1:8">
      <c r="A3132" s="200"/>
      <c r="B3132" s="198"/>
      <c r="C3132" s="851"/>
      <c r="D3132" s="41"/>
      <c r="E3132" s="41"/>
      <c r="F3132" s="41"/>
      <c r="G3132" s="21"/>
      <c r="H3132" s="203"/>
    </row>
    <row r="3133" spans="1:8">
      <c r="A3133" s="200"/>
      <c r="B3133" s="198"/>
      <c r="C3133" s="851"/>
      <c r="D3133" s="41"/>
      <c r="E3133" s="41"/>
      <c r="F3133" s="41"/>
      <c r="G3133" s="21"/>
      <c r="H3133" s="203"/>
    </row>
    <row r="3134" spans="1:8">
      <c r="A3134" s="200"/>
      <c r="B3134" s="198"/>
      <c r="C3134" s="851"/>
      <c r="D3134" s="41"/>
      <c r="E3134" s="41"/>
      <c r="F3134" s="41"/>
      <c r="G3134" s="21"/>
      <c r="H3134" s="203"/>
    </row>
    <row r="3135" spans="1:8">
      <c r="A3135" s="200"/>
      <c r="B3135" s="198"/>
      <c r="C3135" s="851"/>
      <c r="D3135" s="41"/>
      <c r="E3135" s="41"/>
      <c r="F3135" s="41"/>
      <c r="G3135" s="21"/>
      <c r="H3135" s="203"/>
    </row>
    <row r="3136" spans="1:8">
      <c r="A3136" s="200"/>
      <c r="B3136" s="198"/>
      <c r="C3136" s="851"/>
      <c r="D3136" s="41"/>
      <c r="E3136" s="41"/>
      <c r="F3136" s="41"/>
      <c r="G3136" s="21"/>
      <c r="H3136" s="203"/>
    </row>
    <row r="3137" spans="1:8">
      <c r="A3137" s="200"/>
      <c r="B3137" s="198"/>
      <c r="C3137" s="851"/>
      <c r="D3137" s="41"/>
      <c r="E3137" s="41"/>
      <c r="F3137" s="41"/>
      <c r="G3137" s="21"/>
      <c r="H3137" s="203"/>
    </row>
    <row r="3138" spans="1:8">
      <c r="A3138" s="200"/>
      <c r="B3138" s="198"/>
      <c r="C3138" s="851"/>
      <c r="D3138" s="41"/>
      <c r="E3138" s="41"/>
      <c r="F3138" s="41"/>
      <c r="G3138" s="21"/>
      <c r="H3138" s="203"/>
    </row>
    <row r="3139" spans="1:8">
      <c r="A3139" s="200"/>
      <c r="B3139" s="198"/>
      <c r="C3139" s="851"/>
      <c r="D3139" s="41"/>
      <c r="E3139" s="41"/>
      <c r="F3139" s="41"/>
      <c r="G3139" s="21"/>
      <c r="H3139" s="203"/>
    </row>
    <row r="3140" spans="1:8">
      <c r="A3140" s="200"/>
      <c r="B3140" s="198"/>
      <c r="C3140" s="851"/>
      <c r="D3140" s="41"/>
      <c r="E3140" s="41"/>
      <c r="F3140" s="41"/>
      <c r="G3140" s="21"/>
      <c r="H3140" s="203"/>
    </row>
    <row r="3141" spans="1:8">
      <c r="A3141" s="200"/>
      <c r="B3141" s="198"/>
      <c r="C3141" s="851"/>
      <c r="D3141" s="41"/>
      <c r="E3141" s="41"/>
      <c r="F3141" s="41"/>
      <c r="G3141" s="21"/>
      <c r="H3141" s="203"/>
    </row>
    <row r="3142" spans="1:8">
      <c r="A3142" s="200"/>
      <c r="B3142" s="198"/>
      <c r="C3142" s="851"/>
      <c r="D3142" s="41"/>
      <c r="E3142" s="41"/>
      <c r="F3142" s="41"/>
      <c r="G3142" s="21"/>
      <c r="H3142" s="203"/>
    </row>
    <row r="3143" spans="1:8">
      <c r="A3143" s="200"/>
      <c r="B3143" s="198"/>
      <c r="C3143" s="851"/>
      <c r="D3143" s="41"/>
      <c r="E3143" s="41"/>
      <c r="F3143" s="41"/>
      <c r="G3143" s="21"/>
      <c r="H3143" s="203"/>
    </row>
    <row r="3144" spans="1:8">
      <c r="A3144" s="200"/>
      <c r="B3144" s="198"/>
      <c r="C3144" s="851"/>
      <c r="D3144" s="41"/>
      <c r="E3144" s="41"/>
      <c r="F3144" s="41"/>
      <c r="G3144" s="21"/>
      <c r="H3144" s="203"/>
    </row>
    <row r="3145" spans="1:8">
      <c r="A3145" s="200"/>
      <c r="B3145" s="198"/>
      <c r="C3145" s="851"/>
      <c r="D3145" s="41"/>
      <c r="E3145" s="41"/>
      <c r="F3145" s="41"/>
      <c r="G3145" s="21"/>
      <c r="H3145" s="203"/>
    </row>
    <row r="3146" spans="1:8">
      <c r="A3146" s="200"/>
      <c r="B3146" s="198"/>
      <c r="C3146" s="851"/>
      <c r="D3146" s="41"/>
      <c r="E3146" s="41"/>
      <c r="F3146" s="41"/>
      <c r="G3146" s="21"/>
      <c r="H3146" s="203"/>
    </row>
    <row r="3147" spans="1:8">
      <c r="A3147" s="200"/>
      <c r="B3147" s="198"/>
      <c r="C3147" s="851"/>
      <c r="D3147" s="41"/>
      <c r="E3147" s="41"/>
      <c r="F3147" s="41"/>
      <c r="G3147" s="21"/>
      <c r="H3147" s="203"/>
    </row>
    <row r="3148" spans="1:8">
      <c r="A3148" s="200"/>
      <c r="B3148" s="198"/>
      <c r="C3148" s="851"/>
      <c r="D3148" s="41"/>
      <c r="E3148" s="41"/>
      <c r="F3148" s="41"/>
      <c r="G3148" s="21"/>
      <c r="H3148" s="203"/>
    </row>
    <row r="3149" spans="1:8">
      <c r="A3149" s="200"/>
      <c r="B3149" s="198"/>
      <c r="C3149" s="851"/>
      <c r="D3149" s="41"/>
      <c r="E3149" s="41"/>
      <c r="F3149" s="41"/>
      <c r="G3149" s="21"/>
      <c r="H3149" s="203"/>
    </row>
    <row r="3150" spans="1:8">
      <c r="A3150" s="200"/>
      <c r="B3150" s="198"/>
      <c r="C3150" s="851"/>
      <c r="D3150" s="41"/>
      <c r="E3150" s="41"/>
      <c r="F3150" s="41"/>
      <c r="G3150" s="21"/>
      <c r="H3150" s="203"/>
    </row>
    <row r="3151" spans="1:8">
      <c r="A3151" s="200"/>
      <c r="B3151" s="198"/>
      <c r="C3151" s="851"/>
      <c r="D3151" s="41"/>
      <c r="E3151" s="41"/>
      <c r="F3151" s="41"/>
      <c r="G3151" s="21"/>
      <c r="H3151" s="203"/>
    </row>
    <row r="3152" spans="1:8">
      <c r="A3152" s="200"/>
      <c r="B3152" s="198"/>
      <c r="C3152" s="851"/>
      <c r="D3152" s="41"/>
      <c r="E3152" s="41"/>
      <c r="F3152" s="41"/>
      <c r="G3152" s="21"/>
      <c r="H3152" s="203"/>
    </row>
    <row r="3153" spans="1:8">
      <c r="A3153" s="200"/>
      <c r="B3153" s="198"/>
      <c r="C3153" s="851"/>
      <c r="D3153" s="41"/>
      <c r="E3153" s="41"/>
      <c r="F3153" s="41"/>
      <c r="G3153" s="21"/>
      <c r="H3153" s="203"/>
    </row>
    <row r="3154" spans="1:8">
      <c r="A3154" s="200"/>
      <c r="B3154" s="198"/>
      <c r="C3154" s="851"/>
      <c r="D3154" s="41"/>
      <c r="E3154" s="41"/>
      <c r="F3154" s="41"/>
      <c r="G3154" s="21"/>
      <c r="H3154" s="203"/>
    </row>
    <row r="3155" spans="1:8">
      <c r="A3155" s="200"/>
      <c r="B3155" s="198"/>
      <c r="C3155" s="851"/>
      <c r="D3155" s="41"/>
      <c r="E3155" s="41"/>
      <c r="F3155" s="41"/>
      <c r="G3155" s="21"/>
      <c r="H3155" s="203"/>
    </row>
    <row r="3156" spans="1:8">
      <c r="A3156" s="200"/>
      <c r="B3156" s="198"/>
      <c r="C3156" s="851"/>
      <c r="D3156" s="41"/>
      <c r="E3156" s="41"/>
      <c r="F3156" s="41"/>
      <c r="G3156" s="21"/>
      <c r="H3156" s="203"/>
    </row>
    <row r="3157" spans="1:8">
      <c r="A3157" s="200"/>
      <c r="B3157" s="198"/>
      <c r="C3157" s="851"/>
      <c r="D3157" s="41"/>
      <c r="E3157" s="41"/>
      <c r="F3157" s="41"/>
      <c r="G3157" s="21"/>
      <c r="H3157" s="203"/>
    </row>
    <row r="3158" spans="1:8">
      <c r="A3158" s="200"/>
      <c r="B3158" s="198"/>
      <c r="C3158" s="851"/>
      <c r="D3158" s="41"/>
      <c r="E3158" s="41"/>
      <c r="F3158" s="41"/>
      <c r="G3158" s="21"/>
      <c r="H3158" s="203"/>
    </row>
    <row r="3159" spans="1:8">
      <c r="A3159" s="200"/>
      <c r="B3159" s="198"/>
      <c r="C3159" s="851"/>
      <c r="D3159" s="41"/>
      <c r="E3159" s="41"/>
      <c r="F3159" s="41"/>
      <c r="G3159" s="21"/>
      <c r="H3159" s="203"/>
    </row>
    <row r="3160" spans="1:8">
      <c r="A3160" s="200"/>
      <c r="B3160" s="198"/>
      <c r="C3160" s="851"/>
      <c r="D3160" s="41"/>
      <c r="E3160" s="41"/>
      <c r="F3160" s="41"/>
      <c r="G3160" s="21"/>
      <c r="H3160" s="203"/>
    </row>
    <row r="3161" spans="1:8">
      <c r="A3161" s="200"/>
      <c r="B3161" s="198"/>
      <c r="C3161" s="851"/>
      <c r="D3161" s="41"/>
      <c r="E3161" s="41"/>
      <c r="F3161" s="41"/>
      <c r="G3161" s="21"/>
      <c r="H3161" s="203"/>
    </row>
    <row r="3162" spans="1:8">
      <c r="A3162" s="200"/>
      <c r="B3162" s="198"/>
      <c r="C3162" s="851"/>
      <c r="D3162" s="41"/>
      <c r="E3162" s="41"/>
      <c r="F3162" s="41"/>
      <c r="G3162" s="21"/>
      <c r="H3162" s="203"/>
    </row>
    <row r="3163" spans="1:8">
      <c r="A3163" s="200"/>
      <c r="B3163" s="198"/>
      <c r="C3163" s="851"/>
      <c r="D3163" s="41"/>
      <c r="E3163" s="41"/>
      <c r="F3163" s="41"/>
      <c r="G3163" s="21"/>
      <c r="H3163" s="203"/>
    </row>
    <row r="3164" spans="1:8">
      <c r="A3164" s="200"/>
      <c r="B3164" s="198"/>
      <c r="C3164" s="851"/>
      <c r="D3164" s="41"/>
      <c r="E3164" s="41"/>
      <c r="F3164" s="41"/>
      <c r="G3164" s="21"/>
      <c r="H3164" s="203"/>
    </row>
    <row r="3165" spans="1:8">
      <c r="A3165" s="200"/>
      <c r="B3165" s="198"/>
      <c r="C3165" s="851"/>
      <c r="D3165" s="41"/>
      <c r="E3165" s="41"/>
      <c r="F3165" s="41"/>
      <c r="G3165" s="21"/>
      <c r="H3165" s="203"/>
    </row>
    <row r="3166" spans="1:8">
      <c r="A3166" s="200"/>
      <c r="B3166" s="198"/>
      <c r="C3166" s="851"/>
      <c r="D3166" s="41"/>
      <c r="E3166" s="41"/>
      <c r="F3166" s="41"/>
      <c r="G3166" s="21"/>
      <c r="H3166" s="203"/>
    </row>
    <row r="3167" spans="1:8">
      <c r="A3167" s="200"/>
      <c r="B3167" s="198"/>
      <c r="C3167" s="851"/>
      <c r="D3167" s="41"/>
      <c r="E3167" s="41"/>
      <c r="F3167" s="41"/>
      <c r="G3167" s="21"/>
      <c r="H3167" s="203"/>
    </row>
    <row r="3168" spans="1:8">
      <c r="A3168" s="200"/>
      <c r="B3168" s="198"/>
      <c r="C3168" s="851"/>
      <c r="D3168" s="41"/>
      <c r="E3168" s="41"/>
      <c r="F3168" s="41"/>
      <c r="G3168" s="21"/>
      <c r="H3168" s="203"/>
    </row>
    <row r="3169" spans="1:8">
      <c r="A3169" s="200"/>
      <c r="B3169" s="198"/>
      <c r="C3169" s="851"/>
      <c r="D3169" s="41"/>
      <c r="E3169" s="41"/>
      <c r="F3169" s="41"/>
      <c r="G3169" s="21"/>
      <c r="H3169" s="203"/>
    </row>
    <row r="3170" spans="1:8">
      <c r="A3170" s="200"/>
      <c r="B3170" s="198"/>
      <c r="C3170" s="851"/>
      <c r="D3170" s="41"/>
      <c r="E3170" s="41"/>
      <c r="F3170" s="41"/>
      <c r="G3170" s="21"/>
      <c r="H3170" s="203"/>
    </row>
    <row r="3171" spans="1:8">
      <c r="A3171" s="200"/>
      <c r="B3171" s="198"/>
      <c r="C3171" s="851"/>
      <c r="D3171" s="41"/>
      <c r="E3171" s="41"/>
      <c r="F3171" s="41"/>
      <c r="G3171" s="21"/>
      <c r="H3171" s="203"/>
    </row>
    <row r="3172" spans="1:8">
      <c r="A3172" s="200"/>
      <c r="B3172" s="198"/>
      <c r="C3172" s="851"/>
      <c r="D3172" s="41"/>
      <c r="E3172" s="41"/>
      <c r="F3172" s="41"/>
      <c r="G3172" s="21"/>
      <c r="H3172" s="203"/>
    </row>
    <row r="3173" spans="1:8">
      <c r="A3173" s="200"/>
      <c r="B3173" s="198"/>
      <c r="C3173" s="851"/>
      <c r="D3173" s="41"/>
      <c r="E3173" s="41"/>
      <c r="F3173" s="41"/>
      <c r="G3173" s="21"/>
      <c r="H3173" s="203"/>
    </row>
    <row r="3174" spans="1:8">
      <c r="A3174" s="200"/>
      <c r="B3174" s="198"/>
      <c r="C3174" s="851"/>
      <c r="D3174" s="41"/>
      <c r="E3174" s="41"/>
      <c r="F3174" s="41"/>
      <c r="G3174" s="21"/>
      <c r="H3174" s="203"/>
    </row>
    <row r="3175" spans="1:8">
      <c r="A3175" s="200"/>
      <c r="B3175" s="198"/>
      <c r="C3175" s="851"/>
      <c r="D3175" s="41"/>
      <c r="E3175" s="41"/>
      <c r="F3175" s="41"/>
      <c r="G3175" s="21"/>
      <c r="H3175" s="203"/>
    </row>
    <row r="3176" spans="1:8">
      <c r="A3176" s="200"/>
      <c r="B3176" s="198"/>
      <c r="C3176" s="851"/>
      <c r="D3176" s="41"/>
      <c r="E3176" s="41"/>
      <c r="F3176" s="41"/>
      <c r="G3176" s="21"/>
      <c r="H3176" s="203"/>
    </row>
    <row r="3177" spans="1:8">
      <c r="A3177" s="200"/>
      <c r="B3177" s="198"/>
      <c r="C3177" s="851"/>
      <c r="D3177" s="41"/>
      <c r="E3177" s="41"/>
      <c r="F3177" s="41"/>
      <c r="G3177" s="21"/>
      <c r="H3177" s="203"/>
    </row>
    <row r="3178" spans="1:8">
      <c r="A3178" s="200"/>
      <c r="B3178" s="198"/>
      <c r="C3178" s="851"/>
      <c r="D3178" s="41"/>
      <c r="E3178" s="41"/>
      <c r="F3178" s="41"/>
      <c r="G3178" s="21"/>
      <c r="H3178" s="203"/>
    </row>
    <row r="3179" spans="1:8">
      <c r="A3179" s="200"/>
      <c r="B3179" s="198"/>
      <c r="C3179" s="851"/>
      <c r="D3179" s="41"/>
      <c r="E3179" s="41"/>
      <c r="F3179" s="41"/>
      <c r="G3179" s="21"/>
      <c r="H3179" s="203"/>
    </row>
    <row r="3180" spans="1:8">
      <c r="A3180" s="200"/>
      <c r="B3180" s="198"/>
      <c r="C3180" s="851"/>
      <c r="D3180" s="41"/>
      <c r="E3180" s="41"/>
      <c r="F3180" s="41"/>
      <c r="G3180" s="21"/>
      <c r="H3180" s="203"/>
    </row>
    <row r="3181" spans="1:8">
      <c r="A3181" s="200"/>
      <c r="B3181" s="198"/>
      <c r="C3181" s="851"/>
      <c r="D3181" s="41"/>
      <c r="E3181" s="41"/>
      <c r="F3181" s="41"/>
      <c r="G3181" s="21"/>
      <c r="H3181" s="203"/>
    </row>
    <row r="3182" spans="1:8">
      <c r="A3182" s="200"/>
      <c r="B3182" s="198"/>
      <c r="C3182" s="851"/>
      <c r="D3182" s="41"/>
      <c r="E3182" s="41"/>
      <c r="F3182" s="41"/>
      <c r="G3182" s="21"/>
      <c r="H3182" s="203"/>
    </row>
    <row r="3183" spans="1:8">
      <c r="A3183" s="200"/>
      <c r="B3183" s="198"/>
      <c r="C3183" s="851"/>
      <c r="D3183" s="41"/>
      <c r="E3183" s="41"/>
      <c r="F3183" s="41"/>
      <c r="G3183" s="21"/>
      <c r="H3183" s="203"/>
    </row>
    <row r="3184" spans="1:8">
      <c r="A3184" s="200"/>
      <c r="B3184" s="198"/>
      <c r="C3184" s="851"/>
      <c r="D3184" s="41"/>
      <c r="E3184" s="41"/>
      <c r="F3184" s="41"/>
      <c r="G3184" s="21"/>
      <c r="H3184" s="203"/>
    </row>
    <row r="3185" spans="1:8">
      <c r="A3185" s="200"/>
      <c r="B3185" s="198"/>
      <c r="C3185" s="851"/>
      <c r="D3185" s="41"/>
      <c r="E3185" s="41"/>
      <c r="F3185" s="41"/>
      <c r="G3185" s="21"/>
      <c r="H3185" s="203"/>
    </row>
    <row r="3186" spans="1:8">
      <c r="A3186" s="200"/>
      <c r="B3186" s="198"/>
      <c r="C3186" s="851"/>
      <c r="D3186" s="41"/>
      <c r="E3186" s="41"/>
      <c r="F3186" s="41"/>
      <c r="G3186" s="21"/>
      <c r="H3186" s="203"/>
    </row>
    <row r="3187" spans="1:8">
      <c r="A3187" s="200"/>
      <c r="B3187" s="198"/>
      <c r="C3187" s="851"/>
      <c r="D3187" s="41"/>
      <c r="E3187" s="41"/>
      <c r="F3187" s="41"/>
      <c r="G3187" s="21"/>
      <c r="H3187" s="203"/>
    </row>
    <row r="3188" spans="1:8">
      <c r="A3188" s="200"/>
      <c r="B3188" s="198"/>
      <c r="C3188" s="851"/>
      <c r="D3188" s="41"/>
      <c r="E3188" s="41"/>
      <c r="F3188" s="41"/>
      <c r="G3188" s="21"/>
      <c r="H3188" s="203"/>
    </row>
    <row r="3189" spans="1:8">
      <c r="A3189" s="200"/>
      <c r="B3189" s="198"/>
      <c r="C3189" s="851"/>
      <c r="D3189" s="41"/>
      <c r="E3189" s="41"/>
      <c r="F3189" s="41"/>
      <c r="G3189" s="21"/>
      <c r="H3189" s="203"/>
    </row>
    <row r="3190" spans="1:8">
      <c r="A3190" s="200"/>
      <c r="B3190" s="198"/>
      <c r="C3190" s="851"/>
      <c r="D3190" s="41"/>
      <c r="E3190" s="41"/>
      <c r="F3190" s="41"/>
      <c r="G3190" s="21"/>
      <c r="H3190" s="203"/>
    </row>
    <row r="3191" spans="1:8">
      <c r="A3191" s="200"/>
      <c r="B3191" s="198"/>
      <c r="C3191" s="851"/>
      <c r="D3191" s="41"/>
      <c r="E3191" s="41"/>
      <c r="F3191" s="41"/>
      <c r="G3191" s="21"/>
      <c r="H3191" s="203"/>
    </row>
    <row r="3192" spans="1:8">
      <c r="A3192" s="200"/>
      <c r="B3192" s="198"/>
      <c r="C3192" s="851"/>
      <c r="D3192" s="41"/>
      <c r="E3192" s="41"/>
      <c r="F3192" s="41"/>
      <c r="G3192" s="21"/>
      <c r="H3192" s="203"/>
    </row>
    <row r="3193" spans="1:8">
      <c r="A3193" s="200"/>
      <c r="B3193" s="198"/>
      <c r="C3193" s="851"/>
      <c r="D3193" s="41"/>
      <c r="E3193" s="41"/>
      <c r="F3193" s="41"/>
      <c r="G3193" s="21"/>
      <c r="H3193" s="203"/>
    </row>
    <row r="3194" spans="1:8">
      <c r="A3194" s="200"/>
      <c r="B3194" s="198"/>
      <c r="C3194" s="851"/>
      <c r="D3194" s="41"/>
      <c r="E3194" s="41"/>
      <c r="F3194" s="41"/>
      <c r="G3194" s="21"/>
      <c r="H3194" s="203"/>
    </row>
    <row r="3195" spans="1:8">
      <c r="A3195" s="200"/>
      <c r="B3195" s="198"/>
      <c r="C3195" s="851"/>
      <c r="D3195" s="41"/>
      <c r="E3195" s="41"/>
      <c r="F3195" s="41"/>
      <c r="G3195" s="21"/>
      <c r="H3195" s="203"/>
    </row>
    <row r="3196" spans="1:8">
      <c r="A3196" s="200"/>
      <c r="B3196" s="198"/>
      <c r="C3196" s="851"/>
      <c r="D3196" s="41"/>
      <c r="E3196" s="41"/>
      <c r="F3196" s="41"/>
      <c r="G3196" s="21"/>
      <c r="H3196" s="203"/>
    </row>
    <row r="3197" spans="1:8">
      <c r="A3197" s="200"/>
      <c r="B3197" s="198"/>
      <c r="C3197" s="851"/>
      <c r="D3197" s="41"/>
      <c r="E3197" s="41"/>
      <c r="F3197" s="41"/>
      <c r="G3197" s="21"/>
      <c r="H3197" s="203"/>
    </row>
    <row r="3198" spans="1:8">
      <c r="A3198" s="200"/>
      <c r="B3198" s="198"/>
      <c r="C3198" s="851"/>
      <c r="D3198" s="41"/>
      <c r="E3198" s="41"/>
      <c r="F3198" s="41"/>
      <c r="G3198" s="21"/>
      <c r="H3198" s="203"/>
    </row>
    <row r="3199" spans="1:8">
      <c r="A3199" s="200"/>
      <c r="B3199" s="198"/>
      <c r="C3199" s="851"/>
      <c r="D3199" s="41"/>
      <c r="E3199" s="41"/>
      <c r="F3199" s="41"/>
      <c r="G3199" s="21"/>
      <c r="H3199" s="203"/>
    </row>
    <row r="3200" spans="1:8">
      <c r="A3200" s="200"/>
      <c r="B3200" s="198"/>
      <c r="C3200" s="851"/>
      <c r="D3200" s="41"/>
      <c r="E3200" s="41"/>
      <c r="F3200" s="41"/>
      <c r="G3200" s="21"/>
      <c r="H3200" s="203"/>
    </row>
    <row r="3201" spans="1:8">
      <c r="A3201" s="200"/>
      <c r="B3201" s="198"/>
      <c r="C3201" s="851"/>
      <c r="D3201" s="41"/>
      <c r="E3201" s="41"/>
      <c r="F3201" s="41"/>
      <c r="G3201" s="21"/>
      <c r="H3201" s="203"/>
    </row>
    <row r="3202" spans="1:8">
      <c r="A3202" s="200"/>
      <c r="B3202" s="198"/>
      <c r="C3202" s="851"/>
      <c r="D3202" s="41"/>
      <c r="E3202" s="41"/>
      <c r="F3202" s="41"/>
      <c r="G3202" s="21"/>
      <c r="H3202" s="203"/>
    </row>
    <row r="3203" spans="1:8">
      <c r="A3203" s="200"/>
      <c r="B3203" s="198"/>
      <c r="C3203" s="851"/>
      <c r="D3203" s="41"/>
      <c r="E3203" s="41"/>
      <c r="F3203" s="41"/>
      <c r="G3203" s="21"/>
      <c r="H3203" s="203"/>
    </row>
    <row r="3204" spans="1:8">
      <c r="A3204" s="200"/>
      <c r="B3204" s="198"/>
      <c r="C3204" s="851"/>
      <c r="D3204" s="41"/>
      <c r="E3204" s="41"/>
      <c r="F3204" s="41"/>
      <c r="G3204" s="21"/>
      <c r="H3204" s="203"/>
    </row>
    <row r="3205" spans="1:8">
      <c r="A3205" s="200"/>
      <c r="B3205" s="198"/>
      <c r="C3205" s="851"/>
      <c r="D3205" s="41"/>
      <c r="E3205" s="41"/>
      <c r="F3205" s="41"/>
      <c r="G3205" s="21"/>
      <c r="H3205" s="203"/>
    </row>
    <row r="3206" spans="1:8">
      <c r="A3206" s="200"/>
      <c r="B3206" s="198"/>
      <c r="C3206" s="851"/>
      <c r="D3206" s="41"/>
      <c r="E3206" s="41"/>
      <c r="F3206" s="41"/>
      <c r="G3206" s="21"/>
      <c r="H3206" s="203"/>
    </row>
    <row r="3207" spans="1:8">
      <c r="A3207" s="200"/>
      <c r="B3207" s="198"/>
      <c r="C3207" s="851"/>
      <c r="D3207" s="41"/>
      <c r="E3207" s="41"/>
      <c r="F3207" s="41"/>
      <c r="G3207" s="21"/>
      <c r="H3207" s="203"/>
    </row>
    <row r="3208" spans="1:8">
      <c r="A3208" s="200"/>
      <c r="B3208" s="198"/>
      <c r="C3208" s="851"/>
      <c r="D3208" s="41"/>
      <c r="E3208" s="41"/>
      <c r="F3208" s="41"/>
      <c r="G3208" s="21"/>
      <c r="H3208" s="203"/>
    </row>
    <row r="3209" spans="1:8">
      <c r="A3209" s="200"/>
      <c r="B3209" s="198"/>
      <c r="C3209" s="851"/>
      <c r="D3209" s="41"/>
      <c r="E3209" s="41"/>
      <c r="F3209" s="41"/>
      <c r="G3209" s="21"/>
      <c r="H3209" s="203"/>
    </row>
    <row r="3210" spans="1:8">
      <c r="A3210" s="200"/>
      <c r="B3210" s="198"/>
      <c r="C3210" s="851"/>
      <c r="D3210" s="41"/>
      <c r="E3210" s="41"/>
      <c r="F3210" s="41"/>
      <c r="G3210" s="21"/>
      <c r="H3210" s="203"/>
    </row>
    <row r="3211" spans="1:8">
      <c r="A3211" s="200"/>
      <c r="B3211" s="198"/>
      <c r="C3211" s="851"/>
      <c r="D3211" s="41"/>
      <c r="E3211" s="41"/>
      <c r="F3211" s="41"/>
      <c r="G3211" s="21"/>
      <c r="H3211" s="203"/>
    </row>
    <row r="3212" spans="1:8">
      <c r="A3212" s="200"/>
      <c r="B3212" s="198"/>
      <c r="C3212" s="851"/>
      <c r="D3212" s="41"/>
      <c r="E3212" s="41"/>
      <c r="F3212" s="41"/>
      <c r="G3212" s="21"/>
      <c r="H3212" s="203"/>
    </row>
    <row r="3213" spans="1:8">
      <c r="A3213" s="200"/>
      <c r="B3213" s="198"/>
      <c r="C3213" s="851"/>
      <c r="D3213" s="41"/>
      <c r="E3213" s="41"/>
      <c r="F3213" s="41"/>
      <c r="G3213" s="21"/>
      <c r="H3213" s="203"/>
    </row>
    <row r="3214" spans="1:8">
      <c r="A3214" s="200"/>
      <c r="B3214" s="198"/>
      <c r="C3214" s="851"/>
      <c r="D3214" s="41"/>
      <c r="E3214" s="41"/>
      <c r="F3214" s="41"/>
      <c r="G3214" s="21"/>
      <c r="H3214" s="203"/>
    </row>
    <row r="3215" spans="1:8">
      <c r="A3215" s="200"/>
      <c r="B3215" s="198"/>
      <c r="C3215" s="851"/>
      <c r="D3215" s="41"/>
      <c r="E3215" s="41"/>
      <c r="F3215" s="41"/>
      <c r="G3215" s="21"/>
      <c r="H3215" s="203"/>
    </row>
    <row r="3216" spans="1:8">
      <c r="A3216" s="200"/>
      <c r="B3216" s="198"/>
      <c r="C3216" s="851"/>
      <c r="D3216" s="41"/>
      <c r="E3216" s="41"/>
      <c r="F3216" s="41"/>
      <c r="G3216" s="21"/>
      <c r="H3216" s="203"/>
    </row>
    <row r="3217" spans="1:8">
      <c r="A3217" s="200"/>
      <c r="B3217" s="198"/>
      <c r="C3217" s="851"/>
      <c r="D3217" s="41"/>
      <c r="E3217" s="41"/>
      <c r="F3217" s="41"/>
      <c r="G3217" s="21"/>
      <c r="H3217" s="203"/>
    </row>
    <row r="3218" spans="1:8">
      <c r="A3218" s="200"/>
      <c r="B3218" s="198"/>
      <c r="C3218" s="851"/>
      <c r="D3218" s="41"/>
      <c r="E3218" s="41"/>
      <c r="F3218" s="41"/>
      <c r="G3218" s="21"/>
      <c r="H3218" s="203"/>
    </row>
    <row r="3219" spans="1:8">
      <c r="A3219" s="200"/>
      <c r="B3219" s="198"/>
      <c r="C3219" s="851"/>
      <c r="D3219" s="41"/>
      <c r="E3219" s="41"/>
      <c r="F3219" s="41"/>
      <c r="G3219" s="21"/>
      <c r="H3219" s="203"/>
    </row>
    <row r="3220" spans="1:8">
      <c r="A3220" s="200"/>
      <c r="B3220" s="198"/>
      <c r="C3220" s="851"/>
      <c r="D3220" s="41"/>
      <c r="E3220" s="41"/>
      <c r="F3220" s="41"/>
      <c r="G3220" s="21"/>
      <c r="H3220" s="203"/>
    </row>
    <row r="3221" spans="1:8">
      <c r="A3221" s="200"/>
      <c r="B3221" s="198"/>
      <c r="C3221" s="851"/>
      <c r="D3221" s="41"/>
      <c r="E3221" s="41"/>
      <c r="F3221" s="41"/>
      <c r="G3221" s="21"/>
      <c r="H3221" s="203"/>
    </row>
    <row r="3222" spans="1:8">
      <c r="A3222" s="200"/>
      <c r="B3222" s="198"/>
      <c r="C3222" s="851"/>
      <c r="D3222" s="41"/>
      <c r="E3222" s="41"/>
      <c r="F3222" s="41"/>
      <c r="G3222" s="21"/>
      <c r="H3222" s="203"/>
    </row>
    <row r="3223" spans="1:8">
      <c r="A3223" s="200"/>
      <c r="B3223" s="198"/>
      <c r="C3223" s="851"/>
      <c r="D3223" s="41"/>
      <c r="E3223" s="41"/>
      <c r="F3223" s="41"/>
      <c r="G3223" s="21"/>
      <c r="H3223" s="203"/>
    </row>
    <row r="3224" spans="1:8">
      <c r="A3224" s="200"/>
      <c r="B3224" s="198"/>
      <c r="C3224" s="851"/>
      <c r="D3224" s="41"/>
      <c r="E3224" s="41"/>
      <c r="F3224" s="41"/>
      <c r="G3224" s="21"/>
      <c r="H3224" s="203"/>
    </row>
    <row r="3225" spans="1:8">
      <c r="A3225" s="200"/>
      <c r="B3225" s="198"/>
      <c r="C3225" s="851"/>
      <c r="D3225" s="41"/>
      <c r="E3225" s="41"/>
      <c r="F3225" s="41"/>
      <c r="G3225" s="21"/>
      <c r="H3225" s="203"/>
    </row>
    <row r="3226" spans="1:8">
      <c r="A3226" s="200"/>
      <c r="B3226" s="198"/>
      <c r="C3226" s="851"/>
      <c r="D3226" s="41"/>
      <c r="E3226" s="41"/>
      <c r="F3226" s="41"/>
      <c r="G3226" s="21"/>
      <c r="H3226" s="203"/>
    </row>
    <row r="3227" spans="1:8">
      <c r="A3227" s="200"/>
      <c r="B3227" s="198"/>
      <c r="C3227" s="851"/>
      <c r="D3227" s="41"/>
      <c r="E3227" s="41"/>
      <c r="F3227" s="41"/>
      <c r="G3227" s="21"/>
      <c r="H3227" s="203"/>
    </row>
    <row r="3228" spans="1:8">
      <c r="A3228" s="200"/>
      <c r="B3228" s="198"/>
      <c r="C3228" s="851"/>
      <c r="D3228" s="41"/>
      <c r="E3228" s="41"/>
      <c r="F3228" s="41"/>
      <c r="G3228" s="21"/>
      <c r="H3228" s="203"/>
    </row>
    <row r="3229" spans="1:8">
      <c r="A3229" s="200"/>
      <c r="B3229" s="198"/>
      <c r="C3229" s="851"/>
      <c r="D3229" s="41"/>
      <c r="E3229" s="41"/>
      <c r="F3229" s="41"/>
      <c r="G3229" s="21"/>
      <c r="H3229" s="203"/>
    </row>
    <row r="3230" spans="1:8">
      <c r="A3230" s="200"/>
      <c r="B3230" s="198"/>
      <c r="C3230" s="851"/>
      <c r="D3230" s="41"/>
      <c r="E3230" s="41"/>
      <c r="F3230" s="41"/>
      <c r="G3230" s="21"/>
      <c r="H3230" s="203"/>
    </row>
    <row r="3231" spans="1:8">
      <c r="A3231" s="200"/>
      <c r="B3231" s="198"/>
      <c r="C3231" s="851"/>
      <c r="D3231" s="41"/>
      <c r="E3231" s="41"/>
      <c r="F3231" s="41"/>
      <c r="G3231" s="21"/>
      <c r="H3231" s="203"/>
    </row>
    <row r="3232" spans="1:8">
      <c r="A3232" s="200"/>
      <c r="B3232" s="198"/>
      <c r="C3232" s="851"/>
      <c r="D3232" s="41"/>
      <c r="E3232" s="41"/>
      <c r="F3232" s="41"/>
      <c r="G3232" s="21"/>
      <c r="H3232" s="203"/>
    </row>
    <row r="3233" spans="1:8">
      <c r="A3233" s="200"/>
      <c r="B3233" s="198"/>
      <c r="C3233" s="851"/>
      <c r="D3233" s="41"/>
      <c r="E3233" s="41"/>
      <c r="F3233" s="41"/>
      <c r="G3233" s="21"/>
      <c r="H3233" s="203"/>
    </row>
    <row r="3234" spans="1:8">
      <c r="A3234" s="200"/>
      <c r="B3234" s="198"/>
      <c r="C3234" s="851"/>
      <c r="D3234" s="41"/>
      <c r="E3234" s="41"/>
      <c r="F3234" s="41"/>
      <c r="G3234" s="21"/>
      <c r="H3234" s="203"/>
    </row>
    <row r="3235" spans="1:8">
      <c r="A3235" s="200"/>
      <c r="B3235" s="198"/>
      <c r="C3235" s="851"/>
      <c r="D3235" s="41"/>
      <c r="E3235" s="41"/>
      <c r="F3235" s="41"/>
      <c r="G3235" s="21"/>
      <c r="H3235" s="203"/>
    </row>
    <row r="3236" spans="1:8">
      <c r="A3236" s="200"/>
      <c r="B3236" s="198"/>
      <c r="C3236" s="851"/>
      <c r="D3236" s="41"/>
      <c r="E3236" s="41"/>
      <c r="F3236" s="41"/>
      <c r="G3236" s="21"/>
      <c r="H3236" s="203"/>
    </row>
    <row r="3237" spans="1:8">
      <c r="A3237" s="200"/>
      <c r="B3237" s="198"/>
      <c r="C3237" s="851"/>
      <c r="D3237" s="41"/>
      <c r="E3237" s="41"/>
      <c r="F3237" s="41"/>
      <c r="G3237" s="21"/>
      <c r="H3237" s="203"/>
    </row>
    <row r="3238" spans="1:8">
      <c r="A3238" s="200"/>
      <c r="B3238" s="198"/>
      <c r="C3238" s="851"/>
      <c r="D3238" s="41"/>
      <c r="E3238" s="41"/>
      <c r="F3238" s="41"/>
      <c r="G3238" s="21"/>
      <c r="H3238" s="203"/>
    </row>
    <row r="3239" spans="1:8">
      <c r="A3239" s="200"/>
      <c r="B3239" s="198"/>
      <c r="C3239" s="851"/>
      <c r="D3239" s="41"/>
      <c r="E3239" s="41"/>
      <c r="F3239" s="41"/>
      <c r="G3239" s="21"/>
      <c r="H3239" s="203"/>
    </row>
    <row r="3240" spans="1:8">
      <c r="A3240" s="200"/>
      <c r="B3240" s="198"/>
      <c r="C3240" s="851"/>
      <c r="D3240" s="41"/>
      <c r="E3240" s="41"/>
      <c r="F3240" s="41"/>
      <c r="G3240" s="21"/>
      <c r="H3240" s="203"/>
    </row>
    <row r="3241" spans="1:8">
      <c r="A3241" s="200"/>
      <c r="B3241" s="198"/>
      <c r="C3241" s="851"/>
      <c r="D3241" s="41"/>
      <c r="E3241" s="41"/>
      <c r="F3241" s="41"/>
      <c r="G3241" s="21"/>
      <c r="H3241" s="203"/>
    </row>
    <row r="3242" spans="1:8">
      <c r="A3242" s="200"/>
      <c r="B3242" s="198"/>
      <c r="C3242" s="851"/>
      <c r="D3242" s="41"/>
      <c r="E3242" s="41"/>
      <c r="F3242" s="41"/>
      <c r="G3242" s="21"/>
      <c r="H3242" s="203"/>
    </row>
    <row r="3243" spans="1:8">
      <c r="A3243" s="200"/>
      <c r="B3243" s="198"/>
      <c r="C3243" s="851"/>
      <c r="D3243" s="41"/>
      <c r="E3243" s="41"/>
      <c r="F3243" s="41"/>
      <c r="G3243" s="21"/>
      <c r="H3243" s="203"/>
    </row>
    <row r="3244" spans="1:8">
      <c r="A3244" s="200"/>
      <c r="B3244" s="198"/>
      <c r="C3244" s="851"/>
      <c r="D3244" s="41"/>
      <c r="E3244" s="41"/>
      <c r="F3244" s="41"/>
      <c r="G3244" s="21"/>
      <c r="H3244" s="203"/>
    </row>
    <row r="3245" spans="1:8">
      <c r="A3245" s="200"/>
      <c r="B3245" s="198"/>
      <c r="C3245" s="851"/>
      <c r="D3245" s="41"/>
      <c r="E3245" s="41"/>
      <c r="F3245" s="41"/>
      <c r="G3245" s="21"/>
      <c r="H3245" s="203"/>
    </row>
    <row r="3246" spans="1:8">
      <c r="A3246" s="200"/>
      <c r="B3246" s="198"/>
      <c r="C3246" s="851"/>
      <c r="D3246" s="41"/>
      <c r="E3246" s="41"/>
      <c r="F3246" s="41"/>
      <c r="G3246" s="21"/>
      <c r="H3246" s="203"/>
    </row>
    <row r="3247" spans="1:8">
      <c r="A3247" s="200"/>
      <c r="B3247" s="198"/>
      <c r="C3247" s="851"/>
      <c r="D3247" s="41"/>
      <c r="E3247" s="41"/>
      <c r="F3247" s="41"/>
      <c r="G3247" s="21"/>
      <c r="H3247" s="203"/>
    </row>
    <row r="3248" spans="1:8">
      <c r="A3248" s="200"/>
      <c r="B3248" s="198"/>
      <c r="C3248" s="851"/>
      <c r="D3248" s="41"/>
      <c r="E3248" s="41"/>
      <c r="F3248" s="41"/>
      <c r="G3248" s="21"/>
      <c r="H3248" s="203"/>
    </row>
    <row r="3249" spans="1:8">
      <c r="A3249" s="200"/>
      <c r="B3249" s="198"/>
      <c r="C3249" s="851"/>
      <c r="D3249" s="41"/>
      <c r="E3249" s="41"/>
      <c r="F3249" s="41"/>
      <c r="G3249" s="21"/>
      <c r="H3249" s="203"/>
    </row>
    <row r="3250" spans="1:8">
      <c r="A3250" s="200"/>
      <c r="B3250" s="198"/>
      <c r="C3250" s="851"/>
      <c r="D3250" s="41"/>
      <c r="E3250" s="41"/>
      <c r="F3250" s="41"/>
      <c r="G3250" s="21"/>
      <c r="H3250" s="203"/>
    </row>
    <row r="3251" spans="1:8">
      <c r="A3251" s="200"/>
      <c r="B3251" s="198"/>
      <c r="C3251" s="851"/>
      <c r="D3251" s="41"/>
      <c r="E3251" s="41"/>
      <c r="F3251" s="41"/>
      <c r="G3251" s="21"/>
      <c r="H3251" s="203"/>
    </row>
    <row r="3252" spans="1:8">
      <c r="A3252" s="200"/>
      <c r="B3252" s="198"/>
      <c r="C3252" s="851"/>
      <c r="D3252" s="41"/>
      <c r="E3252" s="41"/>
      <c r="F3252" s="41"/>
      <c r="G3252" s="21"/>
      <c r="H3252" s="203"/>
    </row>
    <row r="3253" spans="1:8">
      <c r="A3253" s="200"/>
      <c r="B3253" s="198"/>
      <c r="C3253" s="851"/>
      <c r="D3253" s="41"/>
      <c r="E3253" s="41"/>
      <c r="F3253" s="41"/>
      <c r="G3253" s="21"/>
      <c r="H3253" s="203"/>
    </row>
    <row r="3254" spans="1:8">
      <c r="A3254" s="200"/>
      <c r="B3254" s="198"/>
      <c r="C3254" s="851"/>
      <c r="D3254" s="41"/>
      <c r="E3254" s="41"/>
      <c r="F3254" s="41"/>
      <c r="G3254" s="21"/>
      <c r="H3254" s="203"/>
    </row>
    <row r="3255" spans="1:8">
      <c r="A3255" s="200"/>
      <c r="B3255" s="198"/>
      <c r="C3255" s="851"/>
      <c r="D3255" s="41"/>
      <c r="E3255" s="41"/>
      <c r="F3255" s="41"/>
      <c r="G3255" s="21"/>
      <c r="H3255" s="203"/>
    </row>
    <row r="3256" spans="1:8">
      <c r="A3256" s="200"/>
      <c r="B3256" s="198"/>
      <c r="C3256" s="851"/>
      <c r="D3256" s="41"/>
      <c r="E3256" s="41"/>
      <c r="F3256" s="41"/>
      <c r="G3256" s="21"/>
      <c r="H3256" s="203"/>
    </row>
    <row r="3257" spans="1:8">
      <c r="A3257" s="200"/>
      <c r="B3257" s="198"/>
      <c r="C3257" s="851"/>
      <c r="D3257" s="41"/>
      <c r="E3257" s="41"/>
      <c r="F3257" s="41"/>
      <c r="G3257" s="21"/>
      <c r="H3257" s="203"/>
    </row>
    <row r="3258" spans="1:8">
      <c r="A3258" s="200"/>
      <c r="B3258" s="198"/>
      <c r="C3258" s="851"/>
      <c r="D3258" s="41"/>
      <c r="E3258" s="41"/>
      <c r="F3258" s="41"/>
      <c r="G3258" s="21"/>
      <c r="H3258" s="203"/>
    </row>
    <row r="3259" spans="1:8">
      <c r="A3259" s="200"/>
      <c r="B3259" s="198"/>
      <c r="C3259" s="851"/>
      <c r="D3259" s="41"/>
      <c r="E3259" s="41"/>
      <c r="F3259" s="41"/>
      <c r="G3259" s="21"/>
      <c r="H3259" s="203"/>
    </row>
    <row r="3260" spans="1:8">
      <c r="A3260" s="200"/>
      <c r="B3260" s="198"/>
      <c r="C3260" s="851"/>
      <c r="D3260" s="41"/>
      <c r="E3260" s="41"/>
      <c r="F3260" s="41"/>
      <c r="G3260" s="21"/>
      <c r="H3260" s="203"/>
    </row>
    <row r="3261" spans="1:8">
      <c r="A3261" s="200"/>
      <c r="B3261" s="198"/>
      <c r="C3261" s="851"/>
      <c r="D3261" s="41"/>
      <c r="E3261" s="41"/>
      <c r="F3261" s="41"/>
      <c r="G3261" s="21"/>
      <c r="H3261" s="203"/>
    </row>
    <row r="3262" spans="1:8">
      <c r="A3262" s="200"/>
      <c r="B3262" s="198"/>
      <c r="C3262" s="851"/>
      <c r="D3262" s="41"/>
      <c r="E3262" s="41"/>
      <c r="F3262" s="41"/>
      <c r="G3262" s="21"/>
      <c r="H3262" s="203"/>
    </row>
    <row r="3263" spans="1:8">
      <c r="A3263" s="200"/>
      <c r="B3263" s="198"/>
      <c r="C3263" s="851"/>
      <c r="D3263" s="41"/>
      <c r="E3263" s="41"/>
      <c r="F3263" s="41"/>
      <c r="G3263" s="21"/>
      <c r="H3263" s="203"/>
    </row>
    <row r="3264" spans="1:8">
      <c r="A3264" s="200"/>
      <c r="B3264" s="198"/>
      <c r="C3264" s="851"/>
      <c r="D3264" s="41"/>
      <c r="E3264" s="41"/>
      <c r="F3264" s="41"/>
      <c r="G3264" s="21"/>
      <c r="H3264" s="203"/>
    </row>
    <row r="3265" spans="1:8">
      <c r="A3265" s="200"/>
      <c r="B3265" s="198"/>
      <c r="C3265" s="851"/>
      <c r="D3265" s="41"/>
      <c r="E3265" s="41"/>
      <c r="F3265" s="41"/>
      <c r="G3265" s="21"/>
      <c r="H3265" s="203"/>
    </row>
    <row r="3266" spans="1:8">
      <c r="A3266" s="200"/>
      <c r="B3266" s="198"/>
      <c r="C3266" s="851"/>
      <c r="D3266" s="41"/>
      <c r="E3266" s="41"/>
      <c r="F3266" s="41"/>
      <c r="G3266" s="21"/>
      <c r="H3266" s="203"/>
    </row>
    <row r="3267" spans="1:8">
      <c r="A3267" s="200"/>
      <c r="B3267" s="198"/>
      <c r="C3267" s="851"/>
      <c r="D3267" s="41"/>
      <c r="E3267" s="41"/>
      <c r="F3267" s="41"/>
      <c r="G3267" s="21"/>
      <c r="H3267" s="203"/>
    </row>
    <row r="3268" spans="1:8">
      <c r="A3268" s="200"/>
      <c r="B3268" s="198"/>
      <c r="C3268" s="851"/>
      <c r="D3268" s="41"/>
      <c r="E3268" s="41"/>
      <c r="F3268" s="41"/>
      <c r="G3268" s="21"/>
      <c r="H3268" s="203"/>
    </row>
    <row r="3269" spans="1:8">
      <c r="A3269" s="200"/>
      <c r="B3269" s="198"/>
      <c r="C3269" s="851"/>
      <c r="D3269" s="41"/>
      <c r="E3269" s="41"/>
      <c r="F3269" s="41"/>
      <c r="G3269" s="21"/>
      <c r="H3269" s="203"/>
    </row>
    <row r="3270" spans="1:8">
      <c r="A3270" s="200"/>
      <c r="B3270" s="198"/>
      <c r="C3270" s="851"/>
      <c r="D3270" s="41"/>
      <c r="E3270" s="41"/>
      <c r="F3270" s="41"/>
      <c r="G3270" s="21"/>
      <c r="H3270" s="203"/>
    </row>
    <row r="3271" spans="1:8">
      <c r="A3271" s="200"/>
      <c r="B3271" s="198"/>
      <c r="C3271" s="851"/>
      <c r="D3271" s="41"/>
      <c r="E3271" s="41"/>
      <c r="F3271" s="41"/>
      <c r="G3271" s="21"/>
      <c r="H3271" s="203"/>
    </row>
    <row r="3272" spans="1:8">
      <c r="A3272" s="200"/>
      <c r="B3272" s="198"/>
      <c r="C3272" s="851"/>
      <c r="D3272" s="41"/>
      <c r="E3272" s="41"/>
      <c r="F3272" s="41"/>
      <c r="G3272" s="21"/>
      <c r="H3272" s="203"/>
    </row>
    <row r="3273" spans="1:8">
      <c r="A3273" s="200"/>
      <c r="B3273" s="198"/>
      <c r="C3273" s="851"/>
      <c r="D3273" s="41"/>
      <c r="E3273" s="41"/>
      <c r="F3273" s="41"/>
      <c r="G3273" s="21"/>
      <c r="H3273" s="203"/>
    </row>
    <row r="3274" spans="1:8">
      <c r="A3274" s="200"/>
      <c r="B3274" s="198"/>
      <c r="C3274" s="851"/>
      <c r="D3274" s="41"/>
      <c r="E3274" s="41"/>
      <c r="F3274" s="41"/>
      <c r="G3274" s="21"/>
      <c r="H3274" s="203"/>
    </row>
    <row r="3275" spans="1:8">
      <c r="A3275" s="200"/>
      <c r="B3275" s="198"/>
      <c r="C3275" s="851"/>
      <c r="D3275" s="41"/>
      <c r="E3275" s="41"/>
      <c r="F3275" s="41"/>
      <c r="G3275" s="21"/>
      <c r="H3275" s="203"/>
    </row>
    <row r="3276" spans="1:8">
      <c r="A3276" s="200"/>
      <c r="B3276" s="198"/>
      <c r="C3276" s="851"/>
      <c r="D3276" s="41"/>
      <c r="E3276" s="41"/>
      <c r="F3276" s="41"/>
      <c r="G3276" s="21"/>
      <c r="H3276" s="203"/>
    </row>
    <row r="3277" spans="1:8">
      <c r="A3277" s="200"/>
      <c r="B3277" s="198"/>
      <c r="C3277" s="851"/>
      <c r="D3277" s="41"/>
      <c r="E3277" s="41"/>
      <c r="F3277" s="41"/>
      <c r="G3277" s="21"/>
      <c r="H3277" s="203"/>
    </row>
    <row r="3278" spans="1:8">
      <c r="A3278" s="200"/>
      <c r="B3278" s="198"/>
      <c r="C3278" s="851"/>
      <c r="D3278" s="41"/>
      <c r="E3278" s="41"/>
      <c r="F3278" s="41"/>
      <c r="G3278" s="21"/>
      <c r="H3278" s="203"/>
    </row>
    <row r="3279" spans="1:8">
      <c r="A3279" s="200"/>
      <c r="B3279" s="198"/>
      <c r="C3279" s="851"/>
      <c r="D3279" s="41"/>
      <c r="E3279" s="41"/>
      <c r="F3279" s="41"/>
      <c r="G3279" s="21"/>
      <c r="H3279" s="203"/>
    </row>
    <row r="3280" spans="1:8">
      <c r="A3280" s="200"/>
      <c r="B3280" s="198"/>
      <c r="C3280" s="851"/>
      <c r="D3280" s="41"/>
      <c r="E3280" s="41"/>
      <c r="F3280" s="41"/>
      <c r="G3280" s="21"/>
      <c r="H3280" s="203"/>
    </row>
    <row r="3281" spans="1:8">
      <c r="A3281" s="200"/>
      <c r="B3281" s="198"/>
      <c r="C3281" s="851"/>
      <c r="D3281" s="41"/>
      <c r="E3281" s="41"/>
      <c r="F3281" s="41"/>
      <c r="G3281" s="21"/>
      <c r="H3281" s="203"/>
    </row>
    <row r="3282" spans="1:8">
      <c r="A3282" s="200"/>
      <c r="B3282" s="198"/>
      <c r="C3282" s="851"/>
      <c r="D3282" s="41"/>
      <c r="E3282" s="41"/>
      <c r="F3282" s="41"/>
      <c r="G3282" s="21"/>
      <c r="H3282" s="203"/>
    </row>
    <row r="3283" spans="1:8">
      <c r="A3283" s="200"/>
      <c r="B3283" s="198"/>
      <c r="C3283" s="851"/>
      <c r="D3283" s="41"/>
      <c r="E3283" s="41"/>
      <c r="F3283" s="41"/>
      <c r="G3283" s="21"/>
      <c r="H3283" s="203"/>
    </row>
    <row r="3284" spans="1:8">
      <c r="A3284" s="200"/>
      <c r="B3284" s="198"/>
      <c r="C3284" s="851"/>
      <c r="D3284" s="41"/>
      <c r="E3284" s="41"/>
      <c r="F3284" s="41"/>
      <c r="G3284" s="21"/>
      <c r="H3284" s="203"/>
    </row>
    <row r="3285" spans="1:8">
      <c r="A3285" s="200"/>
      <c r="B3285" s="198"/>
      <c r="C3285" s="851"/>
      <c r="D3285" s="41"/>
      <c r="E3285" s="41"/>
      <c r="F3285" s="41"/>
      <c r="G3285" s="21"/>
      <c r="H3285" s="203"/>
    </row>
    <row r="3286" spans="1:8">
      <c r="A3286" s="200"/>
      <c r="B3286" s="198"/>
      <c r="C3286" s="851"/>
      <c r="D3286" s="41"/>
      <c r="E3286" s="41"/>
      <c r="F3286" s="41"/>
      <c r="G3286" s="21"/>
      <c r="H3286" s="203"/>
    </row>
    <row r="3287" spans="1:8">
      <c r="A3287" s="200"/>
      <c r="B3287" s="198"/>
      <c r="C3287" s="851"/>
      <c r="D3287" s="41"/>
      <c r="E3287" s="41"/>
      <c r="F3287" s="41"/>
      <c r="G3287" s="21"/>
      <c r="H3287" s="203"/>
    </row>
    <row r="3288" spans="1:8">
      <c r="A3288" s="200"/>
      <c r="B3288" s="198"/>
      <c r="C3288" s="851"/>
      <c r="D3288" s="41"/>
      <c r="E3288" s="41"/>
      <c r="F3288" s="41"/>
      <c r="G3288" s="21"/>
      <c r="H3288" s="203"/>
    </row>
    <row r="3289" spans="1:8">
      <c r="A3289" s="200"/>
      <c r="B3289" s="198"/>
      <c r="C3289" s="851"/>
      <c r="D3289" s="41"/>
      <c r="E3289" s="41"/>
      <c r="F3289" s="41"/>
      <c r="G3289" s="21"/>
      <c r="H3289" s="203"/>
    </row>
    <row r="3290" spans="1:8">
      <c r="A3290" s="200"/>
      <c r="B3290" s="198"/>
      <c r="C3290" s="851"/>
      <c r="D3290" s="41"/>
      <c r="E3290" s="41"/>
      <c r="F3290" s="41"/>
      <c r="G3290" s="21"/>
      <c r="H3290" s="203"/>
    </row>
    <row r="3291" spans="1:8">
      <c r="A3291" s="200"/>
      <c r="B3291" s="198"/>
      <c r="C3291" s="851"/>
      <c r="D3291" s="41"/>
      <c r="E3291" s="41"/>
      <c r="F3291" s="41"/>
      <c r="G3291" s="21"/>
      <c r="H3291" s="203"/>
    </row>
    <row r="3292" spans="1:8">
      <c r="A3292" s="200"/>
      <c r="B3292" s="198"/>
      <c r="C3292" s="851"/>
      <c r="D3292" s="41"/>
      <c r="E3292" s="41"/>
      <c r="F3292" s="41"/>
      <c r="G3292" s="21"/>
      <c r="H3292" s="203"/>
    </row>
    <row r="3293" spans="1:8">
      <c r="A3293" s="200"/>
      <c r="B3293" s="198"/>
      <c r="C3293" s="851"/>
      <c r="D3293" s="41"/>
      <c r="E3293" s="41"/>
      <c r="F3293" s="41"/>
      <c r="G3293" s="21"/>
      <c r="H3293" s="203"/>
    </row>
    <row r="3294" spans="1:8">
      <c r="A3294" s="200"/>
      <c r="B3294" s="198"/>
      <c r="C3294" s="851"/>
      <c r="D3294" s="41"/>
      <c r="E3294" s="41"/>
      <c r="F3294" s="41"/>
      <c r="G3294" s="21"/>
      <c r="H3294" s="203"/>
    </row>
    <row r="3295" spans="1:8">
      <c r="A3295" s="200"/>
      <c r="B3295" s="198"/>
      <c r="C3295" s="851"/>
      <c r="D3295" s="41"/>
      <c r="E3295" s="41"/>
      <c r="F3295" s="41"/>
      <c r="G3295" s="21"/>
      <c r="H3295" s="203"/>
    </row>
    <row r="3296" spans="1:8">
      <c r="A3296" s="200"/>
      <c r="B3296" s="198"/>
      <c r="C3296" s="851"/>
      <c r="D3296" s="41"/>
      <c r="E3296" s="41"/>
      <c r="F3296" s="41"/>
      <c r="G3296" s="21"/>
      <c r="H3296" s="203"/>
    </row>
    <row r="3297" spans="1:8">
      <c r="A3297" s="200"/>
      <c r="B3297" s="198"/>
      <c r="C3297" s="851"/>
      <c r="D3297" s="41"/>
      <c r="E3297" s="41"/>
      <c r="F3297" s="41"/>
      <c r="G3297" s="21"/>
      <c r="H3297" s="203"/>
    </row>
    <row r="3298" spans="1:8">
      <c r="A3298" s="200"/>
      <c r="B3298" s="198"/>
      <c r="C3298" s="851"/>
      <c r="D3298" s="41"/>
      <c r="E3298" s="41"/>
      <c r="F3298" s="41"/>
      <c r="G3298" s="21"/>
      <c r="H3298" s="203"/>
    </row>
    <row r="3299" spans="1:8">
      <c r="A3299" s="200"/>
      <c r="B3299" s="198"/>
      <c r="C3299" s="851"/>
      <c r="D3299" s="41"/>
      <c r="E3299" s="41"/>
      <c r="F3299" s="41"/>
      <c r="G3299" s="21"/>
      <c r="H3299" s="203"/>
    </row>
    <row r="3300" spans="1:8">
      <c r="A3300" s="200"/>
      <c r="B3300" s="198"/>
      <c r="C3300" s="851"/>
      <c r="D3300" s="41"/>
      <c r="E3300" s="41"/>
      <c r="F3300" s="41"/>
      <c r="G3300" s="21"/>
      <c r="H3300" s="203"/>
    </row>
    <row r="3301" spans="1:8">
      <c r="A3301" s="200"/>
      <c r="B3301" s="198"/>
      <c r="C3301" s="851"/>
      <c r="D3301" s="41"/>
      <c r="E3301" s="41"/>
      <c r="F3301" s="41"/>
      <c r="G3301" s="21"/>
      <c r="H3301" s="203"/>
    </row>
    <row r="3302" spans="1:8">
      <c r="A3302" s="200"/>
      <c r="B3302" s="198"/>
      <c r="C3302" s="851"/>
      <c r="D3302" s="41"/>
      <c r="E3302" s="41"/>
      <c r="F3302" s="41"/>
      <c r="G3302" s="21"/>
      <c r="H3302" s="203"/>
    </row>
    <row r="3303" spans="1:8">
      <c r="A3303" s="200"/>
      <c r="B3303" s="198"/>
      <c r="C3303" s="851"/>
      <c r="D3303" s="41"/>
      <c r="E3303" s="41"/>
      <c r="F3303" s="41"/>
      <c r="G3303" s="21"/>
      <c r="H3303" s="203"/>
    </row>
    <row r="3304" spans="1:8">
      <c r="A3304" s="200"/>
      <c r="B3304" s="198"/>
      <c r="C3304" s="851"/>
      <c r="D3304" s="41"/>
      <c r="E3304" s="41"/>
      <c r="F3304" s="41"/>
      <c r="G3304" s="21"/>
      <c r="H3304" s="203"/>
    </row>
    <row r="3305" spans="1:8">
      <c r="A3305" s="200"/>
      <c r="B3305" s="198"/>
      <c r="C3305" s="851"/>
      <c r="D3305" s="41"/>
      <c r="E3305" s="41"/>
      <c r="F3305" s="41"/>
      <c r="G3305" s="21"/>
      <c r="H3305" s="203"/>
    </row>
    <row r="3306" spans="1:8">
      <c r="A3306" s="200"/>
      <c r="B3306" s="198"/>
      <c r="C3306" s="851"/>
      <c r="D3306" s="41"/>
      <c r="E3306" s="41"/>
      <c r="F3306" s="41"/>
      <c r="G3306" s="21"/>
      <c r="H3306" s="203"/>
    </row>
    <row r="3307" spans="1:8">
      <c r="A3307" s="200"/>
      <c r="B3307" s="198"/>
      <c r="C3307" s="851"/>
      <c r="D3307" s="41"/>
      <c r="E3307" s="41"/>
      <c r="F3307" s="41"/>
      <c r="G3307" s="21"/>
      <c r="H3307" s="203"/>
    </row>
    <row r="3308" spans="1:8">
      <c r="A3308" s="200"/>
      <c r="B3308" s="198"/>
      <c r="C3308" s="851"/>
      <c r="D3308" s="41"/>
      <c r="E3308" s="41"/>
      <c r="F3308" s="41"/>
      <c r="G3308" s="21"/>
      <c r="H3308" s="203"/>
    </row>
    <row r="3309" spans="1:8">
      <c r="A3309" s="200"/>
      <c r="B3309" s="198"/>
      <c r="C3309" s="851"/>
      <c r="D3309" s="41"/>
      <c r="E3309" s="41"/>
      <c r="F3309" s="41"/>
      <c r="G3309" s="21"/>
      <c r="H3309" s="203"/>
    </row>
    <row r="3310" spans="1:8">
      <c r="A3310" s="200"/>
      <c r="B3310" s="198"/>
      <c r="C3310" s="851"/>
      <c r="D3310" s="41"/>
      <c r="E3310" s="41"/>
      <c r="F3310" s="41"/>
      <c r="G3310" s="21"/>
      <c r="H3310" s="203"/>
    </row>
    <row r="3311" spans="1:8">
      <c r="A3311" s="200"/>
      <c r="B3311" s="198"/>
      <c r="C3311" s="851"/>
      <c r="D3311" s="41"/>
      <c r="E3311" s="41"/>
      <c r="F3311" s="41"/>
      <c r="G3311" s="21"/>
      <c r="H3311" s="203"/>
    </row>
    <row r="3312" spans="1:8">
      <c r="A3312" s="200"/>
      <c r="B3312" s="198"/>
      <c r="C3312" s="851"/>
      <c r="D3312" s="41"/>
      <c r="E3312" s="41"/>
      <c r="F3312" s="41"/>
      <c r="G3312" s="21"/>
      <c r="H3312" s="203"/>
    </row>
    <row r="3313" spans="1:8">
      <c r="A3313" s="200"/>
      <c r="B3313" s="198"/>
      <c r="C3313" s="851"/>
      <c r="D3313" s="41"/>
      <c r="E3313" s="41"/>
      <c r="F3313" s="41"/>
      <c r="G3313" s="21"/>
      <c r="H3313" s="203"/>
    </row>
    <row r="3314" spans="1:8">
      <c r="A3314" s="200"/>
      <c r="B3314" s="198"/>
      <c r="C3314" s="851"/>
      <c r="D3314" s="41"/>
      <c r="E3314" s="41"/>
      <c r="F3314" s="41"/>
      <c r="G3314" s="21"/>
      <c r="H3314" s="203"/>
    </row>
    <row r="3315" spans="1:8">
      <c r="A3315" s="200"/>
      <c r="B3315" s="198"/>
      <c r="C3315" s="851"/>
      <c r="D3315" s="41"/>
      <c r="E3315" s="41"/>
      <c r="F3315" s="41"/>
      <c r="G3315" s="21"/>
      <c r="H3315" s="203"/>
    </row>
    <row r="3316" spans="1:8">
      <c r="A3316" s="200"/>
      <c r="B3316" s="198"/>
      <c r="C3316" s="851"/>
      <c r="D3316" s="41"/>
      <c r="E3316" s="41"/>
      <c r="F3316" s="41"/>
      <c r="G3316" s="21"/>
      <c r="H3316" s="203"/>
    </row>
    <row r="3317" spans="1:8">
      <c r="A3317" s="200"/>
      <c r="B3317" s="198"/>
      <c r="C3317" s="851"/>
      <c r="D3317" s="41"/>
      <c r="E3317" s="41"/>
      <c r="F3317" s="41"/>
      <c r="G3317" s="21"/>
      <c r="H3317" s="203"/>
    </row>
    <row r="3318" spans="1:8">
      <c r="A3318" s="200"/>
      <c r="B3318" s="198"/>
      <c r="C3318" s="851"/>
      <c r="D3318" s="41"/>
      <c r="E3318" s="41"/>
      <c r="F3318" s="41"/>
      <c r="G3318" s="21"/>
      <c r="H3318" s="203"/>
    </row>
    <row r="3319" spans="1:8">
      <c r="A3319" s="200"/>
      <c r="B3319" s="198"/>
      <c r="C3319" s="851"/>
      <c r="D3319" s="41"/>
      <c r="E3319" s="41"/>
      <c r="F3319" s="41"/>
      <c r="G3319" s="21"/>
      <c r="H3319" s="203"/>
    </row>
    <row r="3320" spans="1:8">
      <c r="A3320" s="200"/>
      <c r="B3320" s="198"/>
      <c r="C3320" s="851"/>
      <c r="D3320" s="41"/>
      <c r="E3320" s="41"/>
      <c r="F3320" s="41"/>
      <c r="G3320" s="21"/>
      <c r="H3320" s="203"/>
    </row>
    <row r="3321" spans="1:8">
      <c r="A3321" s="200"/>
      <c r="B3321" s="198"/>
      <c r="C3321" s="851"/>
      <c r="D3321" s="41"/>
      <c r="E3321" s="41"/>
      <c r="F3321" s="41"/>
      <c r="G3321" s="21"/>
      <c r="H3321" s="203"/>
    </row>
    <row r="3322" spans="1:8">
      <c r="A3322" s="200"/>
      <c r="B3322" s="198"/>
      <c r="C3322" s="851"/>
      <c r="D3322" s="41"/>
      <c r="E3322" s="41"/>
      <c r="F3322" s="41"/>
      <c r="G3322" s="21"/>
      <c r="H3322" s="203"/>
    </row>
    <row r="3323" spans="1:8">
      <c r="A3323" s="200"/>
      <c r="B3323" s="198"/>
      <c r="C3323" s="851"/>
      <c r="D3323" s="41"/>
      <c r="E3323" s="41"/>
      <c r="F3323" s="41"/>
      <c r="G3323" s="21"/>
      <c r="H3323" s="203"/>
    </row>
    <row r="3324" spans="1:8">
      <c r="A3324" s="200"/>
      <c r="B3324" s="198"/>
      <c r="C3324" s="851"/>
      <c r="D3324" s="41"/>
      <c r="E3324" s="41"/>
      <c r="F3324" s="41"/>
      <c r="G3324" s="21"/>
      <c r="H3324" s="203"/>
    </row>
    <row r="3325" spans="1:8">
      <c r="A3325" s="200"/>
      <c r="B3325" s="198"/>
      <c r="C3325" s="851"/>
      <c r="D3325" s="41"/>
      <c r="E3325" s="41"/>
      <c r="F3325" s="41"/>
      <c r="G3325" s="21"/>
      <c r="H3325" s="203"/>
    </row>
    <row r="3326" spans="1:8">
      <c r="A3326" s="200"/>
      <c r="B3326" s="198"/>
      <c r="C3326" s="851"/>
      <c r="D3326" s="41"/>
      <c r="E3326" s="41"/>
      <c r="F3326" s="41"/>
      <c r="G3326" s="21"/>
      <c r="H3326" s="203"/>
    </row>
    <row r="3327" spans="1:8">
      <c r="A3327" s="200"/>
      <c r="B3327" s="198"/>
      <c r="C3327" s="851"/>
      <c r="D3327" s="41"/>
      <c r="E3327" s="41"/>
      <c r="F3327" s="41"/>
      <c r="G3327" s="21"/>
      <c r="H3327" s="203"/>
    </row>
    <row r="3328" spans="1:8">
      <c r="A3328" s="200"/>
      <c r="B3328" s="198"/>
      <c r="C3328" s="851"/>
      <c r="D3328" s="41"/>
      <c r="E3328" s="41"/>
      <c r="F3328" s="41"/>
      <c r="G3328" s="21"/>
      <c r="H3328" s="203"/>
    </row>
    <row r="3329" spans="1:8">
      <c r="A3329" s="200"/>
      <c r="B3329" s="198"/>
      <c r="C3329" s="851"/>
      <c r="D3329" s="41"/>
      <c r="E3329" s="41"/>
      <c r="F3329" s="41"/>
      <c r="G3329" s="21"/>
      <c r="H3329" s="203"/>
    </row>
    <row r="3330" spans="1:8">
      <c r="A3330" s="200"/>
      <c r="B3330" s="198"/>
      <c r="C3330" s="851"/>
      <c r="D3330" s="41"/>
      <c r="E3330" s="41"/>
      <c r="F3330" s="41"/>
      <c r="G3330" s="21"/>
      <c r="H3330" s="203"/>
    </row>
    <row r="3331" spans="1:8">
      <c r="A3331" s="200"/>
      <c r="B3331" s="198"/>
      <c r="C3331" s="851"/>
      <c r="D3331" s="41"/>
      <c r="E3331" s="41"/>
      <c r="F3331" s="41"/>
      <c r="G3331" s="21"/>
      <c r="H3331" s="203"/>
    </row>
    <row r="3332" spans="1:8">
      <c r="A3332" s="200"/>
      <c r="B3332" s="198"/>
      <c r="C3332" s="851"/>
      <c r="D3332" s="41"/>
      <c r="E3332" s="41"/>
      <c r="F3332" s="41"/>
      <c r="G3332" s="21"/>
      <c r="H3332" s="203"/>
    </row>
    <row r="3333" spans="1:8">
      <c r="A3333" s="200"/>
      <c r="B3333" s="198"/>
      <c r="C3333" s="851"/>
      <c r="D3333" s="41"/>
      <c r="E3333" s="41"/>
      <c r="F3333" s="41"/>
      <c r="G3333" s="21"/>
      <c r="H3333" s="203"/>
    </row>
    <row r="3334" spans="1:8">
      <c r="A3334" s="200"/>
      <c r="B3334" s="198"/>
      <c r="C3334" s="851"/>
      <c r="D3334" s="41"/>
      <c r="E3334" s="41"/>
      <c r="F3334" s="41"/>
      <c r="G3334" s="21"/>
      <c r="H3334" s="203"/>
    </row>
    <row r="3335" spans="1:8">
      <c r="A3335" s="200"/>
      <c r="B3335" s="198"/>
      <c r="C3335" s="851"/>
      <c r="D3335" s="41"/>
      <c r="E3335" s="41"/>
      <c r="F3335" s="41"/>
      <c r="G3335" s="21"/>
      <c r="H3335" s="203"/>
    </row>
    <row r="3336" spans="1:8">
      <c r="A3336" s="200"/>
      <c r="B3336" s="198"/>
      <c r="C3336" s="851"/>
      <c r="D3336" s="41"/>
      <c r="E3336" s="41"/>
      <c r="F3336" s="41"/>
      <c r="G3336" s="21"/>
      <c r="H3336" s="203"/>
    </row>
    <row r="3337" spans="1:8">
      <c r="A3337" s="200"/>
      <c r="B3337" s="198"/>
      <c r="C3337" s="851"/>
      <c r="D3337" s="41"/>
      <c r="E3337" s="41"/>
      <c r="F3337" s="41"/>
      <c r="G3337" s="21"/>
      <c r="H3337" s="203"/>
    </row>
    <row r="3338" spans="1:8">
      <c r="A3338" s="200"/>
      <c r="B3338" s="198"/>
      <c r="C3338" s="851"/>
      <c r="D3338" s="41"/>
      <c r="E3338" s="41"/>
      <c r="F3338" s="41"/>
      <c r="G3338" s="21"/>
      <c r="H3338" s="203"/>
    </row>
    <row r="3339" spans="1:8">
      <c r="A3339" s="200"/>
      <c r="B3339" s="198"/>
      <c r="C3339" s="851"/>
      <c r="D3339" s="41"/>
      <c r="E3339" s="41"/>
      <c r="F3339" s="41"/>
      <c r="G3339" s="21"/>
      <c r="H3339" s="203"/>
    </row>
    <row r="3340" spans="1:8">
      <c r="A3340" s="200"/>
      <c r="B3340" s="198"/>
      <c r="C3340" s="851"/>
      <c r="D3340" s="41"/>
      <c r="E3340" s="41"/>
      <c r="F3340" s="41"/>
      <c r="G3340" s="21"/>
      <c r="H3340" s="203"/>
    </row>
    <row r="3341" spans="1:8">
      <c r="A3341" s="200"/>
      <c r="B3341" s="198"/>
      <c r="C3341" s="851"/>
      <c r="D3341" s="41"/>
      <c r="E3341" s="41"/>
      <c r="F3341" s="41"/>
      <c r="G3341" s="21"/>
      <c r="H3341" s="203"/>
    </row>
    <row r="3342" spans="1:8">
      <c r="A3342" s="200"/>
      <c r="B3342" s="198"/>
      <c r="C3342" s="851"/>
      <c r="D3342" s="41"/>
      <c r="E3342" s="41"/>
      <c r="F3342" s="41"/>
      <c r="G3342" s="21"/>
      <c r="H3342" s="203"/>
    </row>
    <row r="3343" spans="1:8">
      <c r="A3343" s="200"/>
      <c r="B3343" s="198"/>
      <c r="C3343" s="851"/>
      <c r="D3343" s="41"/>
      <c r="E3343" s="41"/>
      <c r="F3343" s="41"/>
      <c r="G3343" s="21"/>
      <c r="H3343" s="203"/>
    </row>
    <row r="3344" spans="1:8">
      <c r="A3344" s="200"/>
      <c r="B3344" s="198"/>
      <c r="C3344" s="851"/>
      <c r="D3344" s="41"/>
      <c r="E3344" s="41"/>
      <c r="F3344" s="41"/>
      <c r="G3344" s="21"/>
      <c r="H3344" s="203"/>
    </row>
    <row r="3345" spans="1:8">
      <c r="A3345" s="200"/>
      <c r="B3345" s="198"/>
      <c r="C3345" s="851"/>
      <c r="D3345" s="41"/>
      <c r="E3345" s="41"/>
      <c r="F3345" s="41"/>
      <c r="G3345" s="21"/>
      <c r="H3345" s="203"/>
    </row>
    <row r="3346" spans="1:8">
      <c r="A3346" s="200"/>
      <c r="B3346" s="198"/>
      <c r="C3346" s="851"/>
      <c r="D3346" s="41"/>
      <c r="E3346" s="41"/>
      <c r="F3346" s="41"/>
      <c r="G3346" s="21"/>
      <c r="H3346" s="203"/>
    </row>
    <row r="3347" spans="1:8">
      <c r="A3347" s="200"/>
      <c r="B3347" s="198"/>
      <c r="C3347" s="851"/>
      <c r="D3347" s="41"/>
      <c r="E3347" s="41"/>
      <c r="F3347" s="41"/>
      <c r="G3347" s="21"/>
      <c r="H3347" s="203"/>
    </row>
    <row r="3348" spans="1:8">
      <c r="A3348" s="200"/>
      <c r="B3348" s="198"/>
      <c r="C3348" s="851"/>
      <c r="D3348" s="41"/>
      <c r="E3348" s="41"/>
      <c r="F3348" s="41"/>
      <c r="G3348" s="21"/>
      <c r="H3348" s="203"/>
    </row>
    <row r="3349" spans="1:8">
      <c r="A3349" s="200"/>
      <c r="B3349" s="198"/>
      <c r="C3349" s="851"/>
      <c r="D3349" s="41"/>
      <c r="E3349" s="41"/>
      <c r="F3349" s="41"/>
      <c r="G3349" s="21"/>
      <c r="H3349" s="203"/>
    </row>
    <row r="3350" spans="1:8">
      <c r="A3350" s="200"/>
      <c r="B3350" s="198"/>
      <c r="C3350" s="851"/>
      <c r="D3350" s="41"/>
      <c r="E3350" s="41"/>
      <c r="F3350" s="41"/>
      <c r="G3350" s="21"/>
      <c r="H3350" s="203"/>
    </row>
    <row r="3351" spans="1:8">
      <c r="A3351" s="200"/>
      <c r="B3351" s="198"/>
      <c r="C3351" s="851"/>
      <c r="D3351" s="41"/>
      <c r="E3351" s="41"/>
      <c r="F3351" s="41"/>
      <c r="G3351" s="21"/>
      <c r="H3351" s="203"/>
    </row>
    <row r="3352" spans="1:8">
      <c r="A3352" s="200"/>
      <c r="B3352" s="198"/>
      <c r="C3352" s="851"/>
      <c r="D3352" s="41"/>
      <c r="E3352" s="41"/>
      <c r="F3352" s="41"/>
      <c r="G3352" s="21"/>
      <c r="H3352" s="203"/>
    </row>
    <row r="3353" spans="1:8">
      <c r="A3353" s="200"/>
      <c r="B3353" s="198"/>
      <c r="C3353" s="851"/>
      <c r="D3353" s="41"/>
      <c r="E3353" s="41"/>
      <c r="F3353" s="41"/>
      <c r="G3353" s="21"/>
      <c r="H3353" s="203"/>
    </row>
    <row r="3354" spans="1:8">
      <c r="A3354" s="200"/>
      <c r="B3354" s="198"/>
      <c r="C3354" s="851"/>
      <c r="D3354" s="41"/>
      <c r="E3354" s="41"/>
      <c r="F3354" s="41"/>
      <c r="G3354" s="21"/>
      <c r="H3354" s="203"/>
    </row>
    <row r="3355" spans="1:8">
      <c r="A3355" s="200"/>
      <c r="B3355" s="198"/>
      <c r="C3355" s="851"/>
      <c r="D3355" s="41"/>
      <c r="E3355" s="41"/>
      <c r="F3355" s="41"/>
      <c r="G3355" s="21"/>
      <c r="H3355" s="203"/>
    </row>
    <row r="3356" spans="1:8">
      <c r="A3356" s="200"/>
      <c r="B3356" s="198"/>
      <c r="C3356" s="851"/>
      <c r="D3356" s="41"/>
      <c r="E3356" s="41"/>
      <c r="F3356" s="41"/>
      <c r="G3356" s="21"/>
      <c r="H3356" s="203"/>
    </row>
    <row r="3357" spans="1:8">
      <c r="A3357" s="200"/>
      <c r="B3357" s="198"/>
      <c r="C3357" s="851"/>
      <c r="D3357" s="41"/>
      <c r="E3357" s="41"/>
      <c r="F3357" s="41"/>
      <c r="G3357" s="21"/>
      <c r="H3357" s="203"/>
    </row>
    <row r="3358" spans="1:8">
      <c r="A3358" s="200"/>
      <c r="B3358" s="198"/>
      <c r="C3358" s="851"/>
      <c r="D3358" s="41"/>
      <c r="E3358" s="41"/>
      <c r="F3358" s="41"/>
      <c r="G3358" s="21"/>
      <c r="H3358" s="203"/>
    </row>
    <row r="3359" spans="1:8">
      <c r="A3359" s="200"/>
      <c r="B3359" s="198"/>
      <c r="C3359" s="851"/>
      <c r="D3359" s="41"/>
      <c r="E3359" s="41"/>
      <c r="F3359" s="41"/>
      <c r="G3359" s="21"/>
      <c r="H3359" s="203"/>
    </row>
    <row r="3360" spans="1:8">
      <c r="A3360" s="200"/>
      <c r="B3360" s="198"/>
      <c r="C3360" s="851"/>
      <c r="D3360" s="41"/>
      <c r="E3360" s="41"/>
      <c r="F3360" s="41"/>
      <c r="G3360" s="21"/>
      <c r="H3360" s="203"/>
    </row>
    <row r="3361" spans="1:8">
      <c r="A3361" s="200"/>
      <c r="B3361" s="198"/>
      <c r="C3361" s="851"/>
      <c r="D3361" s="41"/>
      <c r="E3361" s="41"/>
      <c r="F3361" s="41"/>
      <c r="G3361" s="21"/>
      <c r="H3361" s="203"/>
    </row>
    <row r="3362" spans="1:8">
      <c r="A3362" s="200"/>
      <c r="B3362" s="198"/>
      <c r="C3362" s="851"/>
      <c r="D3362" s="41"/>
      <c r="E3362" s="41"/>
      <c r="F3362" s="41"/>
      <c r="G3362" s="21"/>
      <c r="H3362" s="203"/>
    </row>
    <row r="3363" spans="1:8">
      <c r="A3363" s="200"/>
      <c r="B3363" s="198"/>
      <c r="C3363" s="851"/>
      <c r="D3363" s="41"/>
      <c r="E3363" s="41"/>
      <c r="F3363" s="41"/>
      <c r="G3363" s="21"/>
      <c r="H3363" s="203"/>
    </row>
    <row r="3364" spans="1:8">
      <c r="A3364" s="200"/>
      <c r="B3364" s="198"/>
      <c r="C3364" s="851"/>
      <c r="D3364" s="41"/>
      <c r="E3364" s="41"/>
      <c r="F3364" s="41"/>
      <c r="G3364" s="21"/>
      <c r="H3364" s="203"/>
    </row>
    <row r="3365" spans="1:8">
      <c r="A3365" s="200"/>
      <c r="B3365" s="198"/>
      <c r="C3365" s="851"/>
      <c r="D3365" s="41"/>
      <c r="E3365" s="41"/>
      <c r="F3365" s="41"/>
      <c r="G3365" s="21"/>
      <c r="H3365" s="203"/>
    </row>
    <row r="3366" spans="1:8">
      <c r="A3366" s="200"/>
      <c r="B3366" s="198"/>
      <c r="C3366" s="851"/>
      <c r="D3366" s="41"/>
      <c r="E3366" s="41"/>
      <c r="F3366" s="41"/>
      <c r="G3366" s="21"/>
      <c r="H3366" s="203"/>
    </row>
    <row r="3367" spans="1:8">
      <c r="A3367" s="200"/>
      <c r="B3367" s="198"/>
      <c r="C3367" s="851"/>
      <c r="D3367" s="41"/>
      <c r="E3367" s="41"/>
      <c r="F3367" s="41"/>
      <c r="G3367" s="21"/>
      <c r="H3367" s="203"/>
    </row>
    <row r="3368" spans="1:8">
      <c r="A3368" s="200"/>
      <c r="B3368" s="198"/>
      <c r="C3368" s="851"/>
      <c r="D3368" s="41"/>
      <c r="E3368" s="41"/>
      <c r="F3368" s="41"/>
      <c r="G3368" s="21"/>
      <c r="H3368" s="203"/>
    </row>
    <row r="3369" spans="1:8">
      <c r="A3369" s="200"/>
      <c r="B3369" s="198"/>
      <c r="C3369" s="851"/>
      <c r="D3369" s="41"/>
      <c r="E3369" s="41"/>
      <c r="F3369" s="41"/>
      <c r="G3369" s="21"/>
      <c r="H3369" s="203"/>
    </row>
    <row r="3370" spans="1:8">
      <c r="A3370" s="200"/>
      <c r="B3370" s="198"/>
      <c r="C3370" s="851"/>
      <c r="D3370" s="41"/>
      <c r="E3370" s="41"/>
      <c r="F3370" s="41"/>
      <c r="G3370" s="21"/>
      <c r="H3370" s="203"/>
    </row>
    <row r="3371" spans="1:8">
      <c r="A3371" s="200"/>
      <c r="B3371" s="198"/>
      <c r="C3371" s="851"/>
      <c r="D3371" s="41"/>
      <c r="E3371" s="41"/>
      <c r="F3371" s="41"/>
      <c r="G3371" s="21"/>
      <c r="H3371" s="203"/>
    </row>
    <row r="3372" spans="1:8">
      <c r="A3372" s="200"/>
      <c r="B3372" s="198"/>
      <c r="C3372" s="851"/>
      <c r="D3372" s="41"/>
      <c r="E3372" s="41"/>
      <c r="F3372" s="41"/>
      <c r="G3372" s="21"/>
      <c r="H3372" s="203"/>
    </row>
    <row r="3373" spans="1:8">
      <c r="A3373" s="200"/>
      <c r="B3373" s="198"/>
      <c r="C3373" s="851"/>
      <c r="D3373" s="41"/>
      <c r="E3373" s="41"/>
      <c r="F3373" s="41"/>
      <c r="G3373" s="21"/>
      <c r="H3373" s="203"/>
    </row>
    <row r="3374" spans="1:8">
      <c r="A3374" s="200"/>
      <c r="B3374" s="198"/>
      <c r="C3374" s="851"/>
      <c r="D3374" s="41"/>
      <c r="E3374" s="41"/>
      <c r="F3374" s="41"/>
      <c r="G3374" s="21"/>
      <c r="H3374" s="203"/>
    </row>
    <row r="3375" spans="1:8">
      <c r="A3375" s="200"/>
      <c r="B3375" s="198"/>
      <c r="C3375" s="851"/>
      <c r="D3375" s="41"/>
      <c r="E3375" s="41"/>
      <c r="F3375" s="41"/>
      <c r="G3375" s="21"/>
      <c r="H3375" s="203"/>
    </row>
    <row r="3376" spans="1:8">
      <c r="A3376" s="200"/>
      <c r="B3376" s="198"/>
      <c r="C3376" s="851"/>
      <c r="D3376" s="41"/>
      <c r="E3376" s="41"/>
      <c r="F3376" s="41"/>
      <c r="G3376" s="21"/>
      <c r="H3376" s="203"/>
    </row>
    <row r="3377" spans="1:8">
      <c r="A3377" s="200"/>
      <c r="B3377" s="198"/>
      <c r="C3377" s="851"/>
      <c r="D3377" s="41"/>
      <c r="E3377" s="41"/>
      <c r="F3377" s="41"/>
      <c r="G3377" s="21"/>
      <c r="H3377" s="203"/>
    </row>
    <row r="3378" spans="1:8">
      <c r="A3378" s="200"/>
      <c r="B3378" s="198"/>
      <c r="C3378" s="851"/>
      <c r="D3378" s="41"/>
      <c r="E3378" s="41"/>
      <c r="F3378" s="41"/>
      <c r="G3378" s="21"/>
      <c r="H3378" s="203"/>
    </row>
    <row r="3379" spans="1:8">
      <c r="A3379" s="200"/>
      <c r="B3379" s="198"/>
      <c r="C3379" s="851"/>
      <c r="D3379" s="41"/>
      <c r="E3379" s="41"/>
      <c r="F3379" s="41"/>
      <c r="G3379" s="21"/>
      <c r="H3379" s="203"/>
    </row>
    <row r="3380" spans="1:8">
      <c r="A3380" s="200"/>
      <c r="B3380" s="198"/>
      <c r="C3380" s="851"/>
      <c r="D3380" s="41"/>
      <c r="E3380" s="41"/>
      <c r="F3380" s="41"/>
      <c r="G3380" s="21"/>
      <c r="H3380" s="203"/>
    </row>
    <row r="3381" spans="1:8">
      <c r="A3381" s="200"/>
      <c r="B3381" s="198"/>
      <c r="C3381" s="851"/>
      <c r="D3381" s="41"/>
      <c r="E3381" s="41"/>
      <c r="F3381" s="41"/>
      <c r="G3381" s="21"/>
      <c r="H3381" s="203"/>
    </row>
    <row r="3382" spans="1:8">
      <c r="A3382" s="200"/>
      <c r="B3382" s="198"/>
      <c r="C3382" s="851"/>
      <c r="D3382" s="41"/>
      <c r="E3382" s="41"/>
      <c r="F3382" s="41"/>
      <c r="G3382" s="21"/>
      <c r="H3382" s="203"/>
    </row>
    <row r="3383" spans="1:8">
      <c r="A3383" s="200"/>
      <c r="B3383" s="198"/>
      <c r="C3383" s="851"/>
      <c r="D3383" s="41"/>
      <c r="E3383" s="41"/>
      <c r="F3383" s="41"/>
      <c r="G3383" s="21"/>
      <c r="H3383" s="203"/>
    </row>
    <row r="3384" spans="1:8">
      <c r="A3384" s="200"/>
      <c r="B3384" s="198"/>
      <c r="C3384" s="851"/>
      <c r="D3384" s="41"/>
      <c r="E3384" s="41"/>
      <c r="F3384" s="41"/>
      <c r="G3384" s="21"/>
      <c r="H3384" s="203"/>
    </row>
    <row r="3385" spans="1:8">
      <c r="A3385" s="200"/>
      <c r="B3385" s="198"/>
      <c r="C3385" s="851"/>
      <c r="D3385" s="41"/>
      <c r="E3385" s="41"/>
      <c r="F3385" s="41"/>
      <c r="G3385" s="21"/>
      <c r="H3385" s="203"/>
    </row>
    <row r="3386" spans="1:8">
      <c r="A3386" s="200"/>
      <c r="B3386" s="198"/>
      <c r="C3386" s="851"/>
      <c r="D3386" s="41"/>
      <c r="E3386" s="41"/>
      <c r="F3386" s="41"/>
      <c r="G3386" s="21"/>
      <c r="H3386" s="203"/>
    </row>
    <row r="3387" spans="1:8">
      <c r="A3387" s="200"/>
      <c r="B3387" s="198"/>
      <c r="C3387" s="851"/>
      <c r="D3387" s="41"/>
      <c r="E3387" s="41"/>
      <c r="F3387" s="41"/>
      <c r="G3387" s="21"/>
      <c r="H3387" s="203"/>
    </row>
    <row r="3388" spans="1:8">
      <c r="A3388" s="200"/>
      <c r="B3388" s="198"/>
      <c r="C3388" s="851"/>
      <c r="D3388" s="41"/>
      <c r="E3388" s="41"/>
      <c r="F3388" s="41"/>
      <c r="G3388" s="21"/>
      <c r="H3388" s="203"/>
    </row>
    <row r="3389" spans="1:8">
      <c r="A3389" s="200"/>
      <c r="B3389" s="198"/>
      <c r="C3389" s="851"/>
      <c r="D3389" s="41"/>
      <c r="E3389" s="41"/>
      <c r="F3389" s="41"/>
      <c r="G3389" s="21"/>
      <c r="H3389" s="203"/>
    </row>
    <row r="3390" spans="1:8">
      <c r="A3390" s="200"/>
      <c r="B3390" s="198"/>
      <c r="C3390" s="851"/>
      <c r="D3390" s="41"/>
      <c r="E3390" s="41"/>
      <c r="F3390" s="41"/>
      <c r="G3390" s="21"/>
      <c r="H3390" s="203"/>
    </row>
    <row r="3391" spans="1:8">
      <c r="A3391" s="200"/>
      <c r="B3391" s="198"/>
      <c r="C3391" s="851"/>
      <c r="D3391" s="41"/>
      <c r="E3391" s="41"/>
      <c r="F3391" s="41"/>
      <c r="G3391" s="21"/>
      <c r="H3391" s="203"/>
    </row>
    <row r="3392" spans="1:8">
      <c r="A3392" s="200"/>
      <c r="B3392" s="198"/>
      <c r="C3392" s="851"/>
      <c r="D3392" s="41"/>
      <c r="E3392" s="41"/>
      <c r="F3392" s="41"/>
      <c r="G3392" s="21"/>
      <c r="H3392" s="203"/>
    </row>
    <row r="3393" spans="1:8">
      <c r="A3393" s="200"/>
      <c r="B3393" s="198"/>
      <c r="C3393" s="851"/>
      <c r="D3393" s="41"/>
      <c r="E3393" s="41"/>
      <c r="F3393" s="41"/>
      <c r="G3393" s="21"/>
      <c r="H3393" s="203"/>
    </row>
    <row r="3394" spans="1:8">
      <c r="A3394" s="200"/>
      <c r="B3394" s="198"/>
      <c r="C3394" s="851"/>
      <c r="D3394" s="41"/>
      <c r="E3394" s="41"/>
      <c r="F3394" s="41"/>
      <c r="G3394" s="21"/>
      <c r="H3394" s="203"/>
    </row>
    <row r="3395" spans="1:8">
      <c r="A3395" s="200"/>
      <c r="B3395" s="198"/>
      <c r="C3395" s="851"/>
      <c r="D3395" s="41"/>
      <c r="E3395" s="41"/>
      <c r="F3395" s="41"/>
      <c r="G3395" s="21"/>
      <c r="H3395" s="203"/>
    </row>
    <row r="3396" spans="1:8">
      <c r="A3396" s="200"/>
      <c r="B3396" s="198"/>
      <c r="C3396" s="851"/>
      <c r="D3396" s="41"/>
      <c r="E3396" s="41"/>
      <c r="F3396" s="41"/>
      <c r="G3396" s="21"/>
      <c r="H3396" s="203"/>
    </row>
    <row r="3397" spans="1:8">
      <c r="A3397" s="200"/>
      <c r="B3397" s="198"/>
      <c r="C3397" s="851"/>
      <c r="D3397" s="41"/>
      <c r="E3397" s="41"/>
      <c r="F3397" s="41"/>
      <c r="G3397" s="21"/>
      <c r="H3397" s="203"/>
    </row>
    <row r="3398" spans="1:8">
      <c r="A3398" s="200"/>
      <c r="B3398" s="198"/>
      <c r="C3398" s="851"/>
      <c r="D3398" s="41"/>
      <c r="E3398" s="41"/>
      <c r="F3398" s="41"/>
      <c r="G3398" s="21"/>
      <c r="H3398" s="203"/>
    </row>
    <row r="3399" spans="1:8">
      <c r="A3399" s="200"/>
      <c r="B3399" s="198"/>
      <c r="C3399" s="851"/>
      <c r="D3399" s="41"/>
      <c r="E3399" s="41"/>
      <c r="F3399" s="41"/>
      <c r="G3399" s="21"/>
      <c r="H3399" s="203"/>
    </row>
    <row r="3400" spans="1:8">
      <c r="A3400" s="200"/>
      <c r="B3400" s="198"/>
      <c r="C3400" s="851"/>
      <c r="D3400" s="41"/>
      <c r="E3400" s="41"/>
      <c r="F3400" s="41"/>
      <c r="G3400" s="21"/>
      <c r="H3400" s="203"/>
    </row>
    <row r="3401" spans="1:8">
      <c r="A3401" s="200"/>
      <c r="B3401" s="198"/>
      <c r="C3401" s="851"/>
      <c r="D3401" s="41"/>
      <c r="E3401" s="41"/>
      <c r="F3401" s="41"/>
      <c r="G3401" s="21"/>
      <c r="H3401" s="203"/>
    </row>
    <row r="3402" spans="1:8">
      <c r="A3402" s="200"/>
      <c r="B3402" s="198"/>
      <c r="C3402" s="851"/>
      <c r="D3402" s="41"/>
      <c r="E3402" s="41"/>
      <c r="F3402" s="41"/>
      <c r="G3402" s="21"/>
      <c r="H3402" s="203"/>
    </row>
    <row r="3403" spans="1:8">
      <c r="A3403" s="200"/>
      <c r="B3403" s="198"/>
      <c r="C3403" s="851"/>
      <c r="D3403" s="41"/>
      <c r="E3403" s="41"/>
      <c r="F3403" s="41"/>
      <c r="G3403" s="21"/>
      <c r="H3403" s="203"/>
    </row>
    <row r="3404" spans="1:8">
      <c r="A3404" s="200"/>
      <c r="B3404" s="198"/>
      <c r="C3404" s="851"/>
      <c r="D3404" s="41"/>
      <c r="E3404" s="41"/>
      <c r="F3404" s="41"/>
      <c r="G3404" s="21"/>
      <c r="H3404" s="203"/>
    </row>
    <row r="3405" spans="1:8">
      <c r="A3405" s="200"/>
      <c r="B3405" s="198"/>
      <c r="C3405" s="851"/>
      <c r="D3405" s="41"/>
      <c r="E3405" s="41"/>
      <c r="F3405" s="41"/>
      <c r="G3405" s="21"/>
      <c r="H3405" s="203"/>
    </row>
    <row r="3406" spans="1:8">
      <c r="A3406" s="200"/>
      <c r="B3406" s="198"/>
      <c r="C3406" s="851"/>
      <c r="D3406" s="41"/>
      <c r="E3406" s="41"/>
      <c r="F3406" s="41"/>
      <c r="G3406" s="21"/>
      <c r="H3406" s="203"/>
    </row>
    <row r="3407" spans="1:8">
      <c r="A3407" s="200"/>
      <c r="B3407" s="198"/>
      <c r="C3407" s="851"/>
      <c r="D3407" s="41"/>
      <c r="E3407" s="41"/>
      <c r="F3407" s="41"/>
      <c r="G3407" s="21"/>
      <c r="H3407" s="203"/>
    </row>
    <row r="3408" spans="1:8">
      <c r="A3408" s="200"/>
      <c r="B3408" s="198"/>
      <c r="C3408" s="851"/>
      <c r="D3408" s="41"/>
      <c r="E3408" s="41"/>
      <c r="F3408" s="41"/>
      <c r="G3408" s="21"/>
      <c r="H3408" s="203"/>
    </row>
    <row r="3409" spans="1:8">
      <c r="A3409" s="200"/>
      <c r="B3409" s="198"/>
      <c r="C3409" s="851"/>
      <c r="D3409" s="41"/>
      <c r="E3409" s="41"/>
      <c r="F3409" s="41"/>
      <c r="G3409" s="21"/>
      <c r="H3409" s="203"/>
    </row>
    <row r="3410" spans="1:8">
      <c r="A3410" s="200"/>
      <c r="B3410" s="198"/>
      <c r="C3410" s="851"/>
      <c r="D3410" s="41"/>
      <c r="E3410" s="41"/>
      <c r="F3410" s="41"/>
      <c r="G3410" s="21"/>
      <c r="H3410" s="203"/>
    </row>
    <row r="3411" spans="1:8">
      <c r="A3411" s="200"/>
      <c r="B3411" s="198"/>
      <c r="C3411" s="851"/>
      <c r="D3411" s="41"/>
      <c r="E3411" s="41"/>
      <c r="F3411" s="41"/>
      <c r="G3411" s="21"/>
      <c r="H3411" s="203"/>
    </row>
    <row r="3412" spans="1:8">
      <c r="A3412" s="200"/>
      <c r="B3412" s="198"/>
      <c r="C3412" s="851"/>
      <c r="D3412" s="41"/>
      <c r="E3412" s="41"/>
      <c r="F3412" s="41"/>
      <c r="G3412" s="21"/>
      <c r="H3412" s="203"/>
    </row>
    <row r="3413" spans="1:8">
      <c r="A3413" s="200"/>
      <c r="B3413" s="198"/>
      <c r="C3413" s="851"/>
      <c r="D3413" s="41"/>
      <c r="E3413" s="41"/>
      <c r="F3413" s="41"/>
      <c r="G3413" s="21"/>
      <c r="H3413" s="203"/>
    </row>
    <row r="3414" spans="1:8">
      <c r="A3414" s="200"/>
      <c r="B3414" s="198"/>
      <c r="C3414" s="851"/>
      <c r="D3414" s="41"/>
      <c r="E3414" s="41"/>
      <c r="F3414" s="41"/>
      <c r="G3414" s="21"/>
      <c r="H3414" s="203"/>
    </row>
    <row r="3415" spans="1:8">
      <c r="A3415" s="200"/>
      <c r="B3415" s="198"/>
      <c r="C3415" s="851"/>
      <c r="D3415" s="41"/>
      <c r="E3415" s="41"/>
      <c r="F3415" s="41"/>
      <c r="G3415" s="21"/>
      <c r="H3415" s="203"/>
    </row>
    <row r="3416" spans="1:8">
      <c r="A3416" s="200"/>
      <c r="B3416" s="198"/>
      <c r="C3416" s="851"/>
      <c r="D3416" s="41"/>
      <c r="E3416" s="41"/>
      <c r="F3416" s="41"/>
      <c r="G3416" s="21"/>
      <c r="H3416" s="203"/>
    </row>
    <row r="3417" spans="1:8">
      <c r="A3417" s="200"/>
      <c r="B3417" s="198"/>
      <c r="C3417" s="851"/>
      <c r="D3417" s="41"/>
      <c r="E3417" s="41"/>
      <c r="F3417" s="41"/>
      <c r="G3417" s="21"/>
      <c r="H3417" s="203"/>
    </row>
    <row r="3418" spans="1:8">
      <c r="A3418" s="200"/>
      <c r="B3418" s="198"/>
      <c r="C3418" s="851"/>
      <c r="D3418" s="41"/>
      <c r="E3418" s="41"/>
      <c r="F3418" s="41"/>
      <c r="G3418" s="21"/>
      <c r="H3418" s="203"/>
    </row>
    <row r="3419" spans="1:8">
      <c r="A3419" s="200"/>
      <c r="B3419" s="198"/>
      <c r="C3419" s="851"/>
      <c r="D3419" s="41"/>
      <c r="E3419" s="41"/>
      <c r="F3419" s="41"/>
      <c r="G3419" s="21"/>
      <c r="H3419" s="203"/>
    </row>
    <row r="3420" spans="1:8">
      <c r="A3420" s="200"/>
      <c r="B3420" s="198"/>
      <c r="C3420" s="851"/>
      <c r="D3420" s="41"/>
      <c r="E3420" s="41"/>
      <c r="F3420" s="41"/>
      <c r="G3420" s="21"/>
      <c r="H3420" s="203"/>
    </row>
    <row r="3421" spans="1:8">
      <c r="A3421" s="200"/>
      <c r="B3421" s="198"/>
      <c r="C3421" s="851"/>
      <c r="D3421" s="41"/>
      <c r="E3421" s="41"/>
      <c r="F3421" s="41"/>
      <c r="G3421" s="21"/>
      <c r="H3421" s="203"/>
    </row>
    <row r="3422" spans="1:8">
      <c r="A3422" s="200"/>
      <c r="B3422" s="198"/>
      <c r="C3422" s="851"/>
      <c r="D3422" s="41"/>
      <c r="E3422" s="41"/>
      <c r="F3422" s="41"/>
      <c r="G3422" s="21"/>
      <c r="H3422" s="203"/>
    </row>
    <row r="3423" spans="1:8">
      <c r="A3423" s="200"/>
      <c r="B3423" s="198"/>
      <c r="C3423" s="851"/>
      <c r="D3423" s="41"/>
      <c r="E3423" s="41"/>
      <c r="F3423" s="41"/>
      <c r="G3423" s="21"/>
      <c r="H3423" s="203"/>
    </row>
    <row r="3424" spans="1:8">
      <c r="A3424" s="200"/>
      <c r="B3424" s="198"/>
      <c r="C3424" s="851"/>
      <c r="D3424" s="41"/>
      <c r="E3424" s="41"/>
      <c r="F3424" s="41"/>
      <c r="G3424" s="21"/>
      <c r="H3424" s="203"/>
    </row>
    <row r="3425" spans="1:8">
      <c r="A3425" s="200"/>
      <c r="B3425" s="198"/>
      <c r="C3425" s="851"/>
      <c r="D3425" s="41"/>
      <c r="E3425" s="41"/>
      <c r="F3425" s="41"/>
      <c r="G3425" s="21"/>
      <c r="H3425" s="203"/>
    </row>
    <row r="3426" spans="1:8">
      <c r="A3426" s="200"/>
      <c r="B3426" s="198"/>
      <c r="C3426" s="851"/>
      <c r="D3426" s="41"/>
      <c r="E3426" s="41"/>
      <c r="F3426" s="41"/>
      <c r="G3426" s="21"/>
      <c r="H3426" s="203"/>
    </row>
    <row r="3427" spans="1:8">
      <c r="A3427" s="200"/>
      <c r="B3427" s="198"/>
      <c r="C3427" s="851"/>
      <c r="D3427" s="41"/>
      <c r="E3427" s="41"/>
      <c r="F3427" s="41"/>
      <c r="G3427" s="21"/>
      <c r="H3427" s="203"/>
    </row>
    <row r="3428" spans="1:8">
      <c r="A3428" s="200"/>
      <c r="B3428" s="198"/>
      <c r="C3428" s="851"/>
      <c r="D3428" s="41"/>
      <c r="E3428" s="41"/>
      <c r="F3428" s="41"/>
      <c r="G3428" s="21"/>
      <c r="H3428" s="203"/>
    </row>
    <row r="3429" spans="1:8">
      <c r="A3429" s="200"/>
      <c r="B3429" s="198"/>
      <c r="C3429" s="851"/>
      <c r="D3429" s="41"/>
      <c r="E3429" s="41"/>
      <c r="F3429" s="41"/>
      <c r="G3429" s="21"/>
      <c r="H3429" s="203"/>
    </row>
    <row r="3430" spans="1:8">
      <c r="A3430" s="200"/>
      <c r="B3430" s="198"/>
      <c r="C3430" s="851"/>
      <c r="D3430" s="41"/>
      <c r="E3430" s="41"/>
      <c r="F3430" s="41"/>
      <c r="G3430" s="21"/>
      <c r="H3430" s="203"/>
    </row>
    <row r="3431" spans="1:8">
      <c r="A3431" s="200"/>
      <c r="B3431" s="198"/>
      <c r="C3431" s="851"/>
      <c r="D3431" s="41"/>
      <c r="E3431" s="41"/>
      <c r="F3431" s="41"/>
      <c r="G3431" s="21"/>
      <c r="H3431" s="203"/>
    </row>
    <row r="3432" spans="1:8">
      <c r="A3432" s="200"/>
      <c r="B3432" s="198"/>
      <c r="C3432" s="851"/>
      <c r="D3432" s="41"/>
      <c r="E3432" s="41"/>
      <c r="F3432" s="41"/>
      <c r="G3432" s="21"/>
      <c r="H3432" s="203"/>
    </row>
    <row r="3433" spans="1:8">
      <c r="A3433" s="200"/>
      <c r="B3433" s="198"/>
      <c r="C3433" s="851"/>
      <c r="D3433" s="41"/>
      <c r="E3433" s="41"/>
      <c r="F3433" s="41"/>
      <c r="G3433" s="21"/>
      <c r="H3433" s="203"/>
    </row>
    <row r="3434" spans="1:8">
      <c r="A3434" s="200"/>
      <c r="B3434" s="198"/>
      <c r="C3434" s="851"/>
      <c r="D3434" s="41"/>
      <c r="E3434" s="41"/>
      <c r="F3434" s="41"/>
      <c r="G3434" s="21"/>
      <c r="H3434" s="203"/>
    </row>
    <row r="3435" spans="1:8">
      <c r="A3435" s="200"/>
      <c r="B3435" s="198"/>
      <c r="C3435" s="851"/>
      <c r="D3435" s="41"/>
      <c r="E3435" s="41"/>
      <c r="F3435" s="41"/>
      <c r="G3435" s="21"/>
      <c r="H3435" s="203"/>
    </row>
    <row r="3436" spans="1:8">
      <c r="A3436" s="200"/>
      <c r="B3436" s="198"/>
      <c r="C3436" s="851"/>
      <c r="D3436" s="41"/>
      <c r="E3436" s="41"/>
      <c r="F3436" s="41"/>
      <c r="G3436" s="21"/>
      <c r="H3436" s="203"/>
    </row>
    <row r="3437" spans="1:8">
      <c r="A3437" s="200"/>
      <c r="B3437" s="198"/>
      <c r="C3437" s="851"/>
      <c r="D3437" s="41"/>
      <c r="E3437" s="41"/>
      <c r="F3437" s="41"/>
      <c r="G3437" s="21"/>
      <c r="H3437" s="203"/>
    </row>
    <row r="3438" spans="1:8">
      <c r="A3438" s="200"/>
      <c r="B3438" s="198"/>
      <c r="C3438" s="851"/>
      <c r="D3438" s="41"/>
      <c r="E3438" s="41"/>
      <c r="F3438" s="41"/>
      <c r="G3438" s="21"/>
      <c r="H3438" s="203"/>
    </row>
    <row r="3439" spans="1:8">
      <c r="A3439" s="200"/>
      <c r="B3439" s="198"/>
      <c r="C3439" s="851"/>
      <c r="D3439" s="41"/>
      <c r="E3439" s="41"/>
      <c r="F3439" s="41"/>
      <c r="G3439" s="21"/>
      <c r="H3439" s="203"/>
    </row>
    <row r="3440" spans="1:8">
      <c r="A3440" s="200"/>
      <c r="B3440" s="198"/>
      <c r="C3440" s="851"/>
      <c r="D3440" s="41"/>
      <c r="E3440" s="41"/>
      <c r="F3440" s="41"/>
      <c r="G3440" s="21"/>
      <c r="H3440" s="203"/>
    </row>
    <row r="3441" spans="1:8">
      <c r="A3441" s="200"/>
      <c r="B3441" s="198"/>
      <c r="C3441" s="851"/>
      <c r="D3441" s="41"/>
      <c r="E3441" s="41"/>
      <c r="F3441" s="41"/>
      <c r="G3441" s="21"/>
      <c r="H3441" s="203"/>
    </row>
    <row r="3442" spans="1:8">
      <c r="A3442" s="200"/>
      <c r="B3442" s="198"/>
      <c r="C3442" s="851"/>
      <c r="D3442" s="41"/>
      <c r="E3442" s="41"/>
      <c r="F3442" s="41"/>
      <c r="G3442" s="21"/>
      <c r="H3442" s="203"/>
    </row>
    <row r="3443" spans="1:8">
      <c r="A3443" s="200"/>
      <c r="B3443" s="198"/>
      <c r="C3443" s="851"/>
      <c r="D3443" s="41"/>
      <c r="E3443" s="41"/>
      <c r="F3443" s="41"/>
      <c r="G3443" s="21"/>
      <c r="H3443" s="203"/>
    </row>
    <row r="3444" spans="1:8">
      <c r="A3444" s="200"/>
      <c r="B3444" s="198"/>
      <c r="C3444" s="851"/>
      <c r="D3444" s="41"/>
      <c r="E3444" s="41"/>
      <c r="F3444" s="41"/>
      <c r="G3444" s="21"/>
      <c r="H3444" s="203"/>
    </row>
    <row r="3445" spans="1:8">
      <c r="A3445" s="200"/>
      <c r="B3445" s="198"/>
      <c r="C3445" s="851"/>
      <c r="D3445" s="41"/>
      <c r="E3445" s="41"/>
      <c r="F3445" s="41"/>
      <c r="G3445" s="21"/>
      <c r="H3445" s="203"/>
    </row>
    <row r="3446" spans="1:8">
      <c r="A3446" s="200"/>
      <c r="B3446" s="198"/>
      <c r="C3446" s="851"/>
      <c r="D3446" s="41"/>
      <c r="E3446" s="41"/>
      <c r="F3446" s="41"/>
      <c r="G3446" s="21"/>
      <c r="H3446" s="203"/>
    </row>
    <row r="3447" spans="1:8">
      <c r="A3447" s="200"/>
      <c r="B3447" s="198"/>
      <c r="C3447" s="851"/>
      <c r="D3447" s="41"/>
      <c r="E3447" s="41"/>
      <c r="F3447" s="41"/>
      <c r="G3447" s="21"/>
      <c r="H3447" s="203"/>
    </row>
    <row r="3448" spans="1:8">
      <c r="A3448" s="200"/>
      <c r="B3448" s="198"/>
      <c r="C3448" s="851"/>
      <c r="D3448" s="41"/>
      <c r="E3448" s="41"/>
      <c r="F3448" s="41"/>
      <c r="G3448" s="21"/>
      <c r="H3448" s="203"/>
    </row>
    <row r="3449" spans="1:8">
      <c r="A3449" s="200"/>
      <c r="B3449" s="198"/>
      <c r="C3449" s="851"/>
      <c r="D3449" s="41"/>
      <c r="E3449" s="41"/>
      <c r="F3449" s="41"/>
      <c r="G3449" s="21"/>
      <c r="H3449" s="203"/>
    </row>
    <row r="3450" spans="1:8">
      <c r="A3450" s="200"/>
      <c r="B3450" s="198"/>
      <c r="C3450" s="851"/>
      <c r="D3450" s="41"/>
      <c r="E3450" s="41"/>
      <c r="F3450" s="41"/>
      <c r="G3450" s="21"/>
      <c r="H3450" s="203"/>
    </row>
    <row r="3451" spans="1:8">
      <c r="A3451" s="200"/>
      <c r="B3451" s="198"/>
      <c r="C3451" s="851"/>
      <c r="D3451" s="41"/>
      <c r="E3451" s="41"/>
      <c r="F3451" s="41"/>
      <c r="G3451" s="21"/>
      <c r="H3451" s="203"/>
    </row>
    <row r="3452" spans="1:8">
      <c r="A3452" s="200"/>
      <c r="B3452" s="198"/>
      <c r="C3452" s="851"/>
      <c r="D3452" s="41"/>
      <c r="E3452" s="41"/>
      <c r="F3452" s="41"/>
      <c r="G3452" s="21"/>
      <c r="H3452" s="203"/>
    </row>
    <row r="3453" spans="1:8">
      <c r="A3453" s="200"/>
      <c r="B3453" s="198"/>
      <c r="C3453" s="851"/>
      <c r="D3453" s="41"/>
      <c r="E3453" s="41"/>
      <c r="F3453" s="41"/>
      <c r="G3453" s="21"/>
      <c r="H3453" s="203"/>
    </row>
    <row r="3454" spans="1:8">
      <c r="A3454" s="200"/>
      <c r="B3454" s="198"/>
      <c r="C3454" s="851"/>
      <c r="D3454" s="41"/>
      <c r="E3454" s="41"/>
      <c r="F3454" s="41"/>
      <c r="G3454" s="21"/>
      <c r="H3454" s="203"/>
    </row>
    <row r="3455" spans="1:8">
      <c r="A3455" s="200"/>
      <c r="B3455" s="198"/>
      <c r="C3455" s="851"/>
      <c r="D3455" s="41"/>
      <c r="E3455" s="41"/>
      <c r="F3455" s="41"/>
      <c r="G3455" s="21"/>
      <c r="H3455" s="203"/>
    </row>
    <row r="3456" spans="1:8">
      <c r="A3456" s="200"/>
      <c r="B3456" s="198"/>
      <c r="C3456" s="851"/>
      <c r="D3456" s="41"/>
      <c r="E3456" s="41"/>
      <c r="F3456" s="41"/>
      <c r="G3456" s="21"/>
      <c r="H3456" s="203"/>
    </row>
    <row r="3457" spans="1:8">
      <c r="A3457" s="200"/>
      <c r="B3457" s="198"/>
      <c r="C3457" s="851"/>
      <c r="D3457" s="41"/>
      <c r="E3457" s="41"/>
      <c r="F3457" s="41"/>
      <c r="G3457" s="21"/>
      <c r="H3457" s="203"/>
    </row>
    <row r="3458" spans="1:8">
      <c r="A3458" s="200"/>
      <c r="B3458" s="198"/>
      <c r="C3458" s="851"/>
      <c r="D3458" s="41"/>
      <c r="E3458" s="41"/>
      <c r="F3458" s="41"/>
      <c r="G3458" s="21"/>
      <c r="H3458" s="203"/>
    </row>
    <row r="3459" spans="1:8">
      <c r="A3459" s="200"/>
      <c r="B3459" s="198"/>
      <c r="C3459" s="851"/>
      <c r="D3459" s="41"/>
      <c r="E3459" s="41"/>
      <c r="F3459" s="41"/>
      <c r="G3459" s="21"/>
      <c r="H3459" s="203"/>
    </row>
    <row r="3460" spans="1:8">
      <c r="A3460" s="200"/>
      <c r="B3460" s="198"/>
      <c r="C3460" s="851"/>
      <c r="D3460" s="41"/>
      <c r="E3460" s="41"/>
      <c r="F3460" s="41"/>
      <c r="G3460" s="21"/>
      <c r="H3460" s="203"/>
    </row>
    <row r="3461" spans="1:8">
      <c r="A3461" s="200"/>
      <c r="B3461" s="198"/>
      <c r="C3461" s="851"/>
      <c r="D3461" s="41"/>
      <c r="E3461" s="41"/>
      <c r="F3461" s="41"/>
      <c r="G3461" s="21"/>
      <c r="H3461" s="203"/>
    </row>
    <row r="3462" spans="1:8">
      <c r="A3462" s="200"/>
      <c r="B3462" s="198"/>
      <c r="C3462" s="851"/>
      <c r="D3462" s="41"/>
      <c r="E3462" s="41"/>
      <c r="F3462" s="41"/>
      <c r="G3462" s="21"/>
      <c r="H3462" s="203"/>
    </row>
    <row r="3463" spans="1:8">
      <c r="A3463" s="200"/>
      <c r="B3463" s="198"/>
      <c r="C3463" s="851"/>
      <c r="D3463" s="41"/>
      <c r="E3463" s="41"/>
      <c r="F3463" s="41"/>
      <c r="G3463" s="21"/>
      <c r="H3463" s="203"/>
    </row>
    <row r="3464" spans="1:8">
      <c r="A3464" s="200"/>
      <c r="B3464" s="198"/>
      <c r="C3464" s="851"/>
      <c r="D3464" s="41"/>
      <c r="E3464" s="41"/>
      <c r="F3464" s="41"/>
      <c r="G3464" s="21"/>
      <c r="H3464" s="203"/>
    </row>
    <row r="3465" spans="1:8">
      <c r="A3465" s="200"/>
      <c r="B3465" s="198"/>
      <c r="C3465" s="851"/>
      <c r="D3465" s="41"/>
      <c r="E3465" s="41"/>
      <c r="F3465" s="41"/>
      <c r="G3465" s="21"/>
      <c r="H3465" s="203"/>
    </row>
    <row r="3466" spans="1:8">
      <c r="A3466" s="200"/>
      <c r="B3466" s="198"/>
      <c r="C3466" s="851"/>
      <c r="D3466" s="41"/>
      <c r="E3466" s="41"/>
      <c r="F3466" s="41"/>
      <c r="G3466" s="21"/>
      <c r="H3466" s="203"/>
    </row>
    <row r="3467" spans="1:8">
      <c r="A3467" s="200"/>
      <c r="B3467" s="198"/>
      <c r="C3467" s="851"/>
      <c r="D3467" s="41"/>
      <c r="E3467" s="41"/>
      <c r="F3467" s="41"/>
      <c r="G3467" s="21"/>
      <c r="H3467" s="203"/>
    </row>
    <row r="3468" spans="1:8">
      <c r="A3468" s="200"/>
      <c r="B3468" s="198"/>
      <c r="C3468" s="851"/>
      <c r="D3468" s="41"/>
      <c r="E3468" s="41"/>
      <c r="F3468" s="41"/>
      <c r="G3468" s="21"/>
      <c r="H3468" s="203"/>
    </row>
    <row r="3469" spans="1:8">
      <c r="A3469" s="200"/>
      <c r="B3469" s="198"/>
      <c r="C3469" s="851"/>
      <c r="D3469" s="41"/>
      <c r="E3469" s="41"/>
      <c r="F3469" s="41"/>
      <c r="G3469" s="21"/>
      <c r="H3469" s="203"/>
    </row>
    <row r="3470" spans="1:8">
      <c r="A3470" s="200"/>
      <c r="B3470" s="198"/>
      <c r="C3470" s="851"/>
      <c r="D3470" s="41"/>
      <c r="E3470" s="41"/>
      <c r="F3470" s="41"/>
      <c r="G3470" s="21"/>
      <c r="H3470" s="203"/>
    </row>
    <row r="3471" spans="1:8">
      <c r="A3471" s="200"/>
      <c r="B3471" s="198"/>
      <c r="C3471" s="851"/>
      <c r="D3471" s="41"/>
      <c r="E3471" s="41"/>
      <c r="F3471" s="41"/>
      <c r="G3471" s="21"/>
      <c r="H3471" s="203"/>
    </row>
    <row r="3472" spans="1:8">
      <c r="A3472" s="200"/>
      <c r="B3472" s="198"/>
      <c r="C3472" s="851"/>
      <c r="D3472" s="41"/>
      <c r="E3472" s="41"/>
      <c r="F3472" s="41"/>
      <c r="G3472" s="21"/>
      <c r="H3472" s="203"/>
    </row>
    <row r="3473" spans="1:8">
      <c r="A3473" s="200"/>
      <c r="B3473" s="198"/>
      <c r="C3473" s="851"/>
      <c r="D3473" s="41"/>
      <c r="E3473" s="41"/>
      <c r="F3473" s="41"/>
      <c r="G3473" s="21"/>
      <c r="H3473" s="203"/>
    </row>
    <row r="3474" spans="1:8">
      <c r="A3474" s="200"/>
      <c r="B3474" s="198"/>
      <c r="C3474" s="851"/>
      <c r="D3474" s="41"/>
      <c r="E3474" s="41"/>
      <c r="F3474" s="41"/>
      <c r="G3474" s="21"/>
      <c r="H3474" s="203"/>
    </row>
    <row r="3475" spans="1:8">
      <c r="A3475" s="200"/>
      <c r="B3475" s="198"/>
      <c r="C3475" s="851"/>
      <c r="D3475" s="41"/>
      <c r="E3475" s="41"/>
      <c r="F3475" s="41"/>
      <c r="G3475" s="21"/>
      <c r="H3475" s="203"/>
    </row>
    <row r="3476" spans="1:8">
      <c r="A3476" s="200"/>
      <c r="B3476" s="198"/>
      <c r="C3476" s="851"/>
      <c r="D3476" s="41"/>
      <c r="E3476" s="41"/>
      <c r="F3476" s="41"/>
      <c r="G3476" s="21"/>
      <c r="H3476" s="203"/>
    </row>
    <row r="3477" spans="1:8">
      <c r="A3477" s="200"/>
      <c r="B3477" s="198"/>
      <c r="C3477" s="851"/>
      <c r="D3477" s="41"/>
      <c r="E3477" s="41"/>
      <c r="F3477" s="41"/>
      <c r="G3477" s="21"/>
      <c r="H3477" s="203"/>
    </row>
    <row r="3478" spans="1:8">
      <c r="A3478" s="200"/>
      <c r="B3478" s="198"/>
      <c r="C3478" s="851"/>
      <c r="D3478" s="41"/>
      <c r="E3478" s="41"/>
      <c r="F3478" s="41"/>
      <c r="G3478" s="21"/>
      <c r="H3478" s="203"/>
    </row>
    <row r="3479" spans="1:8">
      <c r="A3479" s="200"/>
      <c r="B3479" s="198"/>
      <c r="C3479" s="851"/>
      <c r="D3479" s="41"/>
      <c r="E3479" s="41"/>
      <c r="F3479" s="41"/>
      <c r="G3479" s="21"/>
      <c r="H3479" s="203"/>
    </row>
    <row r="3480" spans="1:8">
      <c r="A3480" s="200"/>
      <c r="B3480" s="198"/>
      <c r="C3480" s="851"/>
      <c r="D3480" s="41"/>
      <c r="E3480" s="41"/>
      <c r="F3480" s="41"/>
      <c r="G3480" s="21"/>
      <c r="H3480" s="203"/>
    </row>
    <row r="3481" spans="1:8">
      <c r="A3481" s="200"/>
      <c r="B3481" s="198"/>
      <c r="C3481" s="851"/>
      <c r="D3481" s="41"/>
      <c r="E3481" s="41"/>
      <c r="F3481" s="41"/>
      <c r="G3481" s="21"/>
      <c r="H3481" s="203"/>
    </row>
    <row r="3482" spans="1:8">
      <c r="A3482" s="200"/>
      <c r="B3482" s="198"/>
      <c r="C3482" s="851"/>
      <c r="D3482" s="41"/>
      <c r="E3482" s="41"/>
      <c r="F3482" s="41"/>
      <c r="G3482" s="21"/>
      <c r="H3482" s="203"/>
    </row>
    <row r="3483" spans="1:8">
      <c r="A3483" s="200"/>
      <c r="B3483" s="198"/>
      <c r="C3483" s="851"/>
      <c r="D3483" s="41"/>
      <c r="E3483" s="41"/>
      <c r="F3483" s="41"/>
      <c r="G3483" s="21"/>
      <c r="H3483" s="203"/>
    </row>
    <row r="3484" spans="1:8">
      <c r="A3484" s="200"/>
      <c r="B3484" s="198"/>
      <c r="C3484" s="851"/>
      <c r="D3484" s="41"/>
      <c r="E3484" s="41"/>
      <c r="F3484" s="41"/>
      <c r="G3484" s="21"/>
      <c r="H3484" s="203"/>
    </row>
    <row r="3485" spans="1:8">
      <c r="A3485" s="200"/>
      <c r="B3485" s="198"/>
      <c r="C3485" s="851"/>
      <c r="D3485" s="41"/>
      <c r="E3485" s="41"/>
      <c r="F3485" s="41"/>
      <c r="G3485" s="21"/>
      <c r="H3485" s="203"/>
    </row>
    <row r="3486" spans="1:8">
      <c r="A3486" s="200"/>
      <c r="B3486" s="198"/>
      <c r="C3486" s="851"/>
      <c r="D3486" s="41"/>
      <c r="E3486" s="41"/>
      <c r="F3486" s="41"/>
      <c r="G3486" s="21"/>
      <c r="H3486" s="203"/>
    </row>
    <row r="3487" spans="1:8">
      <c r="A3487" s="200"/>
      <c r="B3487" s="198"/>
      <c r="C3487" s="851"/>
      <c r="D3487" s="41"/>
      <c r="E3487" s="41"/>
      <c r="F3487" s="41"/>
      <c r="G3487" s="21"/>
      <c r="H3487" s="203"/>
    </row>
    <row r="3488" spans="1:8">
      <c r="A3488" s="200"/>
      <c r="B3488" s="198"/>
      <c r="C3488" s="851"/>
      <c r="D3488" s="41"/>
      <c r="E3488" s="41"/>
      <c r="F3488" s="41"/>
      <c r="G3488" s="21"/>
      <c r="H3488" s="203"/>
    </row>
    <row r="3489" spans="1:8">
      <c r="A3489" s="200"/>
      <c r="B3489" s="198"/>
      <c r="C3489" s="851"/>
      <c r="D3489" s="41"/>
      <c r="E3489" s="41"/>
      <c r="F3489" s="41"/>
      <c r="G3489" s="21"/>
      <c r="H3489" s="203"/>
    </row>
    <row r="3490" spans="1:8">
      <c r="A3490" s="200"/>
      <c r="B3490" s="198"/>
      <c r="C3490" s="851"/>
      <c r="D3490" s="41"/>
      <c r="E3490" s="41"/>
      <c r="F3490" s="41"/>
      <c r="G3490" s="21"/>
      <c r="H3490" s="203"/>
    </row>
    <row r="3491" spans="1:8">
      <c r="A3491" s="200"/>
      <c r="B3491" s="198"/>
      <c r="C3491" s="851"/>
      <c r="D3491" s="41"/>
      <c r="E3491" s="41"/>
      <c r="F3491" s="41"/>
      <c r="G3491" s="21"/>
      <c r="H3491" s="203"/>
    </row>
    <row r="3492" spans="1:8">
      <c r="A3492" s="200"/>
      <c r="B3492" s="198"/>
      <c r="C3492" s="851"/>
      <c r="D3492" s="41"/>
      <c r="E3492" s="41"/>
      <c r="F3492" s="41"/>
      <c r="G3492" s="21"/>
      <c r="H3492" s="203"/>
    </row>
    <row r="3493" spans="1:8">
      <c r="A3493" s="200"/>
      <c r="B3493" s="198"/>
      <c r="C3493" s="851"/>
      <c r="D3493" s="41"/>
      <c r="E3493" s="41"/>
      <c r="F3493" s="41"/>
      <c r="G3493" s="21"/>
      <c r="H3493" s="203"/>
    </row>
    <row r="3494" spans="1:8">
      <c r="A3494" s="200"/>
      <c r="B3494" s="198"/>
      <c r="C3494" s="851"/>
      <c r="D3494" s="41"/>
      <c r="E3494" s="41"/>
      <c r="F3494" s="41"/>
      <c r="G3494" s="21"/>
      <c r="H3494" s="203"/>
    </row>
    <row r="3495" spans="1:8">
      <c r="A3495" s="200"/>
      <c r="B3495" s="198"/>
      <c r="C3495" s="851"/>
      <c r="D3495" s="41"/>
      <c r="E3495" s="41"/>
      <c r="F3495" s="41"/>
      <c r="G3495" s="21"/>
      <c r="H3495" s="203"/>
    </row>
    <row r="3496" spans="1:8">
      <c r="A3496" s="200"/>
      <c r="B3496" s="198"/>
      <c r="C3496" s="851"/>
      <c r="D3496" s="41"/>
      <c r="E3496" s="41"/>
      <c r="F3496" s="41"/>
      <c r="G3496" s="21"/>
      <c r="H3496" s="203"/>
    </row>
    <row r="3497" spans="1:8">
      <c r="A3497" s="200"/>
      <c r="B3497" s="198"/>
      <c r="C3497" s="851"/>
      <c r="D3497" s="41"/>
      <c r="E3497" s="41"/>
      <c r="F3497" s="41"/>
      <c r="G3497" s="21"/>
      <c r="H3497" s="203"/>
    </row>
    <row r="3498" spans="1:8">
      <c r="A3498" s="200"/>
      <c r="B3498" s="198"/>
      <c r="C3498" s="851"/>
      <c r="D3498" s="41"/>
      <c r="E3498" s="41"/>
      <c r="F3498" s="41"/>
      <c r="G3498" s="21"/>
      <c r="H3498" s="203"/>
    </row>
    <row r="3499" spans="1:8">
      <c r="A3499" s="200"/>
      <c r="B3499" s="198"/>
      <c r="C3499" s="851"/>
      <c r="D3499" s="41"/>
      <c r="E3499" s="41"/>
      <c r="F3499" s="41"/>
      <c r="G3499" s="21"/>
      <c r="H3499" s="203"/>
    </row>
    <row r="3500" spans="1:8">
      <c r="A3500" s="200"/>
      <c r="B3500" s="198"/>
      <c r="C3500" s="851"/>
      <c r="D3500" s="41"/>
      <c r="E3500" s="41"/>
      <c r="F3500" s="41"/>
      <c r="G3500" s="21"/>
      <c r="H3500" s="203"/>
    </row>
    <row r="3501" spans="1:8">
      <c r="A3501" s="200"/>
      <c r="B3501" s="198"/>
      <c r="C3501" s="851"/>
      <c r="D3501" s="41"/>
      <c r="E3501" s="41"/>
      <c r="F3501" s="41"/>
      <c r="G3501" s="21"/>
      <c r="H3501" s="203"/>
    </row>
    <row r="3502" spans="1:8">
      <c r="A3502" s="200"/>
      <c r="B3502" s="198"/>
      <c r="C3502" s="851"/>
      <c r="D3502" s="41"/>
      <c r="E3502" s="41"/>
      <c r="F3502" s="41"/>
      <c r="G3502" s="21"/>
      <c r="H3502" s="203"/>
    </row>
    <row r="3503" spans="1:8">
      <c r="A3503" s="200"/>
      <c r="B3503" s="198"/>
      <c r="C3503" s="851"/>
      <c r="D3503" s="41"/>
      <c r="E3503" s="41"/>
      <c r="F3503" s="41"/>
      <c r="G3503" s="21"/>
      <c r="H3503" s="203"/>
    </row>
    <row r="3504" spans="1:8">
      <c r="A3504" s="200"/>
      <c r="B3504" s="198"/>
      <c r="C3504" s="851"/>
      <c r="D3504" s="41"/>
      <c r="E3504" s="41"/>
      <c r="F3504" s="41"/>
      <c r="G3504" s="21"/>
      <c r="H3504" s="203"/>
    </row>
    <row r="3505" spans="1:8">
      <c r="A3505" s="200"/>
      <c r="B3505" s="198"/>
      <c r="C3505" s="851"/>
      <c r="D3505" s="41"/>
      <c r="E3505" s="41"/>
      <c r="F3505" s="41"/>
      <c r="G3505" s="21"/>
      <c r="H3505" s="203"/>
    </row>
    <row r="3506" spans="1:8">
      <c r="A3506" s="200"/>
      <c r="B3506" s="198"/>
      <c r="C3506" s="851"/>
      <c r="D3506" s="41"/>
      <c r="E3506" s="41"/>
      <c r="F3506" s="41"/>
      <c r="G3506" s="21"/>
      <c r="H3506" s="203"/>
    </row>
    <row r="3507" spans="1:8">
      <c r="A3507" s="200"/>
      <c r="B3507" s="198"/>
      <c r="C3507" s="851"/>
      <c r="D3507" s="41"/>
      <c r="E3507" s="41"/>
      <c r="F3507" s="41"/>
      <c r="G3507" s="21"/>
      <c r="H3507" s="203"/>
    </row>
    <row r="3508" spans="1:8">
      <c r="A3508" s="200"/>
      <c r="B3508" s="198"/>
      <c r="C3508" s="851"/>
      <c r="D3508" s="41"/>
      <c r="E3508" s="41"/>
      <c r="F3508" s="41"/>
      <c r="G3508" s="21"/>
      <c r="H3508" s="203"/>
    </row>
    <row r="3509" spans="1:8">
      <c r="A3509" s="200"/>
      <c r="B3509" s="198"/>
      <c r="C3509" s="851"/>
      <c r="D3509" s="41"/>
      <c r="E3509" s="41"/>
      <c r="F3509" s="41"/>
      <c r="G3509" s="21"/>
      <c r="H3509" s="203"/>
    </row>
    <row r="3510" spans="1:8">
      <c r="A3510" s="200"/>
      <c r="B3510" s="198"/>
      <c r="C3510" s="851"/>
      <c r="D3510" s="41"/>
      <c r="E3510" s="41"/>
      <c r="F3510" s="41"/>
      <c r="G3510" s="21"/>
      <c r="H3510" s="203"/>
    </row>
    <row r="3511" spans="1:8">
      <c r="A3511" s="200"/>
      <c r="B3511" s="198"/>
      <c r="C3511" s="851"/>
      <c r="D3511" s="41"/>
      <c r="E3511" s="41"/>
      <c r="F3511" s="41"/>
      <c r="G3511" s="21"/>
      <c r="H3511" s="203"/>
    </row>
    <row r="3512" spans="1:8">
      <c r="A3512" s="200"/>
      <c r="B3512" s="198"/>
      <c r="C3512" s="851"/>
      <c r="D3512" s="41"/>
      <c r="E3512" s="41"/>
      <c r="F3512" s="41"/>
      <c r="G3512" s="21"/>
      <c r="H3512" s="203"/>
    </row>
    <row r="3513" spans="1:8">
      <c r="A3513" s="200"/>
      <c r="B3513" s="198"/>
      <c r="C3513" s="851"/>
      <c r="D3513" s="41"/>
      <c r="E3513" s="41"/>
      <c r="F3513" s="41"/>
      <c r="G3513" s="21"/>
      <c r="H3513" s="203"/>
    </row>
    <row r="3514" spans="1:8">
      <c r="A3514" s="200"/>
      <c r="B3514" s="198"/>
      <c r="C3514" s="851"/>
      <c r="D3514" s="41"/>
      <c r="E3514" s="41"/>
      <c r="F3514" s="41"/>
      <c r="G3514" s="21"/>
      <c r="H3514" s="203"/>
    </row>
    <row r="3515" spans="1:8">
      <c r="A3515" s="200"/>
      <c r="B3515" s="198"/>
      <c r="C3515" s="851"/>
      <c r="D3515" s="41"/>
      <c r="E3515" s="41"/>
      <c r="F3515" s="41"/>
      <c r="G3515" s="21"/>
      <c r="H3515" s="203"/>
    </row>
    <row r="3516" spans="1:8">
      <c r="A3516" s="200"/>
      <c r="B3516" s="198"/>
      <c r="C3516" s="851"/>
      <c r="D3516" s="41"/>
      <c r="E3516" s="41"/>
      <c r="F3516" s="41"/>
      <c r="G3516" s="21"/>
      <c r="H3516" s="203"/>
    </row>
    <row r="3517" spans="1:8">
      <c r="A3517" s="200"/>
      <c r="B3517" s="198"/>
      <c r="C3517" s="851"/>
      <c r="D3517" s="41"/>
      <c r="E3517" s="41"/>
      <c r="F3517" s="41"/>
      <c r="G3517" s="21"/>
      <c r="H3517" s="203"/>
    </row>
    <row r="3518" spans="1:8">
      <c r="A3518" s="200"/>
      <c r="B3518" s="198"/>
      <c r="C3518" s="851"/>
      <c r="D3518" s="41"/>
      <c r="E3518" s="41"/>
      <c r="F3518" s="41"/>
      <c r="G3518" s="21"/>
      <c r="H3518" s="203"/>
    </row>
    <row r="3519" spans="1:8">
      <c r="A3519" s="200"/>
      <c r="B3519" s="198"/>
      <c r="C3519" s="851"/>
      <c r="D3519" s="41"/>
      <c r="E3519" s="41"/>
      <c r="F3519" s="41"/>
      <c r="G3519" s="21"/>
      <c r="H3519" s="203"/>
    </row>
    <row r="3520" spans="1:8">
      <c r="A3520" s="200"/>
      <c r="B3520" s="198"/>
      <c r="C3520" s="851"/>
      <c r="D3520" s="41"/>
      <c r="E3520" s="41"/>
      <c r="F3520" s="41"/>
      <c r="G3520" s="21"/>
      <c r="H3520" s="203"/>
    </row>
    <row r="3521" spans="1:8">
      <c r="A3521" s="200"/>
      <c r="B3521" s="198"/>
      <c r="C3521" s="851"/>
      <c r="D3521" s="41"/>
      <c r="E3521" s="41"/>
      <c r="F3521" s="41"/>
      <c r="G3521" s="21"/>
      <c r="H3521" s="203"/>
    </row>
    <row r="3522" spans="1:8">
      <c r="A3522" s="200"/>
      <c r="B3522" s="198"/>
      <c r="C3522" s="851"/>
      <c r="D3522" s="41"/>
      <c r="E3522" s="41"/>
      <c r="F3522" s="41"/>
      <c r="G3522" s="21"/>
      <c r="H3522" s="203"/>
    </row>
    <row r="3523" spans="1:8">
      <c r="A3523" s="200"/>
      <c r="B3523" s="198"/>
      <c r="C3523" s="851"/>
      <c r="D3523" s="41"/>
      <c r="E3523" s="41"/>
      <c r="F3523" s="41"/>
      <c r="G3523" s="21"/>
      <c r="H3523" s="203"/>
    </row>
    <row r="3524" spans="1:8">
      <c r="A3524" s="200"/>
      <c r="B3524" s="198"/>
      <c r="C3524" s="851"/>
      <c r="D3524" s="41"/>
      <c r="E3524" s="41"/>
      <c r="F3524" s="41"/>
      <c r="G3524" s="21"/>
      <c r="H3524" s="203"/>
    </row>
    <row r="3525" spans="1:8">
      <c r="A3525" s="200"/>
      <c r="B3525" s="198"/>
      <c r="C3525" s="851"/>
      <c r="D3525" s="41"/>
      <c r="E3525" s="41"/>
      <c r="F3525" s="41"/>
      <c r="G3525" s="21"/>
      <c r="H3525" s="203"/>
    </row>
    <row r="3526" spans="1:8">
      <c r="A3526" s="200"/>
      <c r="B3526" s="198"/>
      <c r="C3526" s="851"/>
      <c r="D3526" s="41"/>
      <c r="E3526" s="41"/>
      <c r="F3526" s="41"/>
      <c r="G3526" s="21"/>
      <c r="H3526" s="203"/>
    </row>
    <row r="3527" spans="1:8">
      <c r="A3527" s="200"/>
      <c r="B3527" s="198"/>
      <c r="C3527" s="851"/>
      <c r="D3527" s="41"/>
      <c r="E3527" s="41"/>
      <c r="F3527" s="41"/>
      <c r="G3527" s="21"/>
      <c r="H3527" s="203"/>
    </row>
    <row r="3528" spans="1:8">
      <c r="A3528" s="200"/>
      <c r="B3528" s="198"/>
      <c r="C3528" s="851"/>
      <c r="D3528" s="41"/>
      <c r="E3528" s="41"/>
      <c r="F3528" s="41"/>
      <c r="G3528" s="21"/>
      <c r="H3528" s="203"/>
    </row>
    <row r="3529" spans="1:8">
      <c r="A3529" s="200"/>
      <c r="B3529" s="198"/>
      <c r="C3529" s="851"/>
      <c r="D3529" s="41"/>
      <c r="E3529" s="41"/>
      <c r="F3529" s="41"/>
      <c r="G3529" s="21"/>
      <c r="H3529" s="203"/>
    </row>
    <row r="3530" spans="1:8">
      <c r="A3530" s="200"/>
      <c r="B3530" s="198"/>
      <c r="C3530" s="851"/>
      <c r="D3530" s="41"/>
      <c r="E3530" s="41"/>
      <c r="F3530" s="41"/>
      <c r="G3530" s="21"/>
      <c r="H3530" s="203"/>
    </row>
    <row r="3531" spans="1:8">
      <c r="A3531" s="200"/>
      <c r="B3531" s="198"/>
      <c r="C3531" s="851"/>
      <c r="D3531" s="41"/>
      <c r="E3531" s="41"/>
      <c r="F3531" s="41"/>
      <c r="G3531" s="21"/>
      <c r="H3531" s="203"/>
    </row>
    <row r="3532" spans="1:8">
      <c r="A3532" s="200"/>
      <c r="B3532" s="198"/>
      <c r="C3532" s="851"/>
      <c r="D3532" s="41"/>
      <c r="E3532" s="41"/>
      <c r="F3532" s="41"/>
      <c r="G3532" s="21"/>
      <c r="H3532" s="203"/>
    </row>
    <row r="3533" spans="1:8">
      <c r="A3533" s="200"/>
      <c r="B3533" s="198"/>
      <c r="C3533" s="851"/>
      <c r="D3533" s="41"/>
      <c r="E3533" s="41"/>
      <c r="F3533" s="41"/>
      <c r="G3533" s="21"/>
      <c r="H3533" s="203"/>
    </row>
    <row r="3534" spans="1:8">
      <c r="A3534" s="200"/>
      <c r="B3534" s="198"/>
      <c r="C3534" s="851"/>
      <c r="D3534" s="41"/>
      <c r="E3534" s="41"/>
      <c r="F3534" s="41"/>
      <c r="G3534" s="21"/>
      <c r="H3534" s="203"/>
    </row>
    <row r="3535" spans="1:8">
      <c r="A3535" s="200"/>
      <c r="B3535" s="198"/>
      <c r="C3535" s="851"/>
      <c r="D3535" s="41"/>
      <c r="E3535" s="41"/>
      <c r="F3535" s="41"/>
      <c r="G3535" s="21"/>
      <c r="H3535" s="203"/>
    </row>
    <row r="3536" spans="1:8">
      <c r="A3536" s="200"/>
      <c r="B3536" s="198"/>
      <c r="C3536" s="851"/>
      <c r="D3536" s="41"/>
      <c r="E3536" s="41"/>
      <c r="F3536" s="41"/>
      <c r="G3536" s="21"/>
      <c r="H3536" s="203"/>
    </row>
    <row r="3537" spans="1:8">
      <c r="A3537" s="200"/>
      <c r="B3537" s="198"/>
      <c r="C3537" s="851"/>
      <c r="D3537" s="41"/>
      <c r="E3537" s="41"/>
      <c r="F3537" s="41"/>
      <c r="G3537" s="21"/>
      <c r="H3537" s="203"/>
    </row>
    <row r="3538" spans="1:8">
      <c r="A3538" s="200"/>
      <c r="B3538" s="198"/>
      <c r="C3538" s="851"/>
      <c r="D3538" s="41"/>
      <c r="E3538" s="41"/>
      <c r="F3538" s="41"/>
      <c r="G3538" s="21"/>
      <c r="H3538" s="203"/>
    </row>
    <row r="3539" spans="1:8">
      <c r="A3539" s="200"/>
      <c r="B3539" s="198"/>
      <c r="C3539" s="851"/>
      <c r="D3539" s="41"/>
      <c r="E3539" s="41"/>
      <c r="F3539" s="41"/>
      <c r="G3539" s="21"/>
      <c r="H3539" s="203"/>
    </row>
    <row r="3540" spans="1:8">
      <c r="A3540" s="200"/>
      <c r="B3540" s="198"/>
      <c r="C3540" s="851"/>
      <c r="D3540" s="41"/>
      <c r="E3540" s="41"/>
      <c r="F3540" s="41"/>
      <c r="G3540" s="21"/>
      <c r="H3540" s="203"/>
    </row>
    <row r="3541" spans="1:8">
      <c r="A3541" s="200"/>
      <c r="B3541" s="198"/>
      <c r="C3541" s="851"/>
      <c r="D3541" s="41"/>
      <c r="E3541" s="41"/>
      <c r="F3541" s="41"/>
      <c r="G3541" s="21"/>
      <c r="H3541" s="203"/>
    </row>
    <row r="3542" spans="1:8">
      <c r="A3542" s="200"/>
      <c r="B3542" s="198"/>
      <c r="C3542" s="851"/>
      <c r="D3542" s="41"/>
      <c r="E3542" s="41"/>
      <c r="F3542" s="41"/>
      <c r="G3542" s="21"/>
      <c r="H3542" s="203"/>
    </row>
    <row r="3543" spans="1:8">
      <c r="A3543" s="200"/>
      <c r="B3543" s="198"/>
      <c r="C3543" s="851"/>
      <c r="D3543" s="41"/>
      <c r="E3543" s="41"/>
      <c r="F3543" s="41"/>
      <c r="G3543" s="21"/>
      <c r="H3543" s="203"/>
    </row>
    <row r="3544" spans="1:8">
      <c r="A3544" s="200"/>
      <c r="B3544" s="198"/>
      <c r="C3544" s="851"/>
      <c r="D3544" s="41"/>
      <c r="E3544" s="41"/>
      <c r="F3544" s="41"/>
      <c r="G3544" s="21"/>
      <c r="H3544" s="203"/>
    </row>
    <row r="3545" spans="1:8">
      <c r="A3545" s="200"/>
      <c r="B3545" s="198"/>
      <c r="C3545" s="851"/>
      <c r="D3545" s="41"/>
      <c r="E3545" s="41"/>
      <c r="F3545" s="41"/>
      <c r="G3545" s="21"/>
      <c r="H3545" s="203"/>
    </row>
    <row r="3546" spans="1:8">
      <c r="A3546" s="200"/>
      <c r="B3546" s="198"/>
      <c r="C3546" s="851"/>
      <c r="D3546" s="41"/>
      <c r="E3546" s="41"/>
      <c r="F3546" s="41"/>
      <c r="G3546" s="21"/>
      <c r="H3546" s="203"/>
    </row>
    <row r="3547" spans="1:8">
      <c r="A3547" s="200"/>
      <c r="B3547" s="198"/>
      <c r="C3547" s="851"/>
      <c r="D3547" s="41"/>
      <c r="E3547" s="41"/>
      <c r="F3547" s="41"/>
      <c r="G3547" s="21"/>
      <c r="H3547" s="203"/>
    </row>
    <row r="3548" spans="1:8">
      <c r="A3548" s="200"/>
      <c r="B3548" s="198"/>
      <c r="C3548" s="851"/>
      <c r="D3548" s="41"/>
      <c r="E3548" s="41"/>
      <c r="F3548" s="41"/>
      <c r="G3548" s="21"/>
      <c r="H3548" s="203"/>
    </row>
    <row r="3549" spans="1:8">
      <c r="A3549" s="200"/>
      <c r="B3549" s="198"/>
      <c r="C3549" s="851"/>
      <c r="D3549" s="41"/>
      <c r="E3549" s="41"/>
      <c r="F3549" s="41"/>
      <c r="G3549" s="21"/>
      <c r="H3549" s="203"/>
    </row>
    <row r="3550" spans="1:8">
      <c r="A3550" s="200"/>
      <c r="B3550" s="198"/>
      <c r="C3550" s="851"/>
      <c r="D3550" s="41"/>
      <c r="E3550" s="41"/>
      <c r="F3550" s="41"/>
      <c r="G3550" s="21"/>
      <c r="H3550" s="203"/>
    </row>
    <row r="3551" spans="1:8">
      <c r="A3551" s="200"/>
      <c r="B3551" s="198"/>
      <c r="C3551" s="851"/>
      <c r="D3551" s="41"/>
      <c r="E3551" s="41"/>
      <c r="F3551" s="41"/>
      <c r="G3551" s="21"/>
      <c r="H3551" s="203"/>
    </row>
    <row r="3552" spans="1:8">
      <c r="A3552" s="200"/>
      <c r="B3552" s="198"/>
      <c r="C3552" s="851"/>
      <c r="D3552" s="41"/>
      <c r="E3552" s="41"/>
      <c r="F3552" s="41"/>
      <c r="G3552" s="21"/>
      <c r="H3552" s="203"/>
    </row>
    <row r="3553" spans="1:8">
      <c r="A3553" s="200"/>
      <c r="B3553" s="198"/>
      <c r="C3553" s="851"/>
      <c r="D3553" s="41"/>
      <c r="E3553" s="41"/>
      <c r="F3553" s="41"/>
      <c r="G3553" s="21"/>
      <c r="H3553" s="203"/>
    </row>
    <row r="3554" spans="1:8">
      <c r="A3554" s="200"/>
      <c r="B3554" s="198"/>
      <c r="C3554" s="851"/>
      <c r="D3554" s="41"/>
      <c r="E3554" s="41"/>
      <c r="F3554" s="41"/>
      <c r="G3554" s="21"/>
      <c r="H3554" s="203"/>
    </row>
    <row r="3555" spans="1:8">
      <c r="A3555" s="200"/>
      <c r="B3555" s="198"/>
      <c r="C3555" s="851"/>
      <c r="D3555" s="41"/>
      <c r="E3555" s="41"/>
      <c r="F3555" s="41"/>
      <c r="G3555" s="21"/>
      <c r="H3555" s="203"/>
    </row>
    <row r="3556" spans="1:8">
      <c r="A3556" s="200"/>
      <c r="B3556" s="198"/>
      <c r="C3556" s="851"/>
      <c r="D3556" s="41"/>
      <c r="E3556" s="41"/>
      <c r="F3556" s="41"/>
      <c r="G3556" s="21"/>
      <c r="H3556" s="203"/>
    </row>
    <row r="3557" spans="1:8">
      <c r="A3557" s="200"/>
      <c r="B3557" s="198"/>
      <c r="C3557" s="851"/>
      <c r="D3557" s="41"/>
      <c r="E3557" s="41"/>
      <c r="F3557" s="41"/>
      <c r="G3557" s="21"/>
      <c r="H3557" s="203"/>
    </row>
    <row r="3558" spans="1:8">
      <c r="A3558" s="200"/>
      <c r="B3558" s="198"/>
      <c r="C3558" s="851"/>
      <c r="D3558" s="41"/>
      <c r="E3558" s="41"/>
      <c r="F3558" s="41"/>
      <c r="G3558" s="21"/>
      <c r="H3558" s="203"/>
    </row>
    <row r="3559" spans="1:8">
      <c r="A3559" s="200"/>
      <c r="B3559" s="198"/>
      <c r="C3559" s="851"/>
      <c r="D3559" s="41"/>
      <c r="E3559" s="41"/>
      <c r="F3559" s="41"/>
      <c r="G3559" s="21"/>
      <c r="H3559" s="203"/>
    </row>
    <row r="3560" spans="1:8">
      <c r="A3560" s="200"/>
      <c r="B3560" s="198"/>
      <c r="C3560" s="851"/>
      <c r="D3560" s="41"/>
      <c r="E3560" s="41"/>
      <c r="F3560" s="41"/>
      <c r="G3560" s="21"/>
      <c r="H3560" s="203"/>
    </row>
    <row r="3561" spans="1:8">
      <c r="A3561" s="200"/>
      <c r="B3561" s="198"/>
      <c r="C3561" s="851"/>
      <c r="D3561" s="41"/>
      <c r="E3561" s="41"/>
      <c r="F3561" s="41"/>
      <c r="G3561" s="21"/>
      <c r="H3561" s="203"/>
    </row>
    <row r="3562" spans="1:8">
      <c r="A3562" s="200"/>
      <c r="B3562" s="198"/>
      <c r="C3562" s="851"/>
      <c r="D3562" s="41"/>
      <c r="E3562" s="41"/>
      <c r="F3562" s="41"/>
      <c r="G3562" s="21"/>
      <c r="H3562" s="203"/>
    </row>
    <row r="3563" spans="1:8">
      <c r="A3563" s="200"/>
      <c r="B3563" s="198"/>
      <c r="C3563" s="851"/>
      <c r="D3563" s="41"/>
      <c r="E3563" s="41"/>
      <c r="F3563" s="41"/>
      <c r="G3563" s="21"/>
      <c r="H3563" s="203"/>
    </row>
    <row r="3564" spans="1:8">
      <c r="A3564" s="200"/>
      <c r="B3564" s="198"/>
      <c r="C3564" s="851"/>
      <c r="D3564" s="41"/>
      <c r="E3564" s="41"/>
      <c r="F3564" s="41"/>
      <c r="G3564" s="21"/>
      <c r="H3564" s="203"/>
    </row>
    <row r="3565" spans="1:8">
      <c r="A3565" s="200"/>
      <c r="B3565" s="198"/>
      <c r="C3565" s="851"/>
      <c r="D3565" s="41"/>
      <c r="E3565" s="41"/>
      <c r="F3565" s="41"/>
      <c r="G3565" s="21"/>
      <c r="H3565" s="203"/>
    </row>
    <row r="3566" spans="1:8">
      <c r="A3566" s="200"/>
      <c r="B3566" s="198"/>
      <c r="C3566" s="851"/>
      <c r="D3566" s="41"/>
      <c r="E3566" s="41"/>
      <c r="F3566" s="41"/>
      <c r="G3566" s="21"/>
      <c r="H3566" s="203"/>
    </row>
    <row r="3567" spans="1:8">
      <c r="A3567" s="200"/>
      <c r="B3567" s="198"/>
      <c r="C3567" s="851"/>
      <c r="D3567" s="41"/>
      <c r="E3567" s="41"/>
      <c r="F3567" s="41"/>
      <c r="G3567" s="21"/>
      <c r="H3567" s="203"/>
    </row>
    <row r="3568" spans="1:8">
      <c r="A3568" s="200"/>
      <c r="B3568" s="198"/>
      <c r="C3568" s="851"/>
      <c r="D3568" s="41"/>
      <c r="E3568" s="41"/>
      <c r="F3568" s="41"/>
      <c r="G3568" s="21"/>
      <c r="H3568" s="203"/>
    </row>
    <row r="3569" spans="1:8">
      <c r="A3569" s="200"/>
      <c r="B3569" s="198"/>
      <c r="C3569" s="851"/>
      <c r="D3569" s="41"/>
      <c r="E3569" s="41"/>
      <c r="F3569" s="41"/>
      <c r="G3569" s="21"/>
      <c r="H3569" s="203"/>
    </row>
    <row r="3570" spans="1:8">
      <c r="A3570" s="200"/>
      <c r="B3570" s="198"/>
      <c r="C3570" s="851"/>
      <c r="D3570" s="41"/>
      <c r="E3570" s="41"/>
      <c r="F3570" s="41"/>
      <c r="G3570" s="21"/>
      <c r="H3570" s="203"/>
    </row>
    <row r="3571" spans="1:8">
      <c r="A3571" s="200"/>
      <c r="B3571" s="198"/>
      <c r="C3571" s="851"/>
      <c r="D3571" s="41"/>
      <c r="E3571" s="41"/>
      <c r="F3571" s="41"/>
      <c r="G3571" s="21"/>
      <c r="H3571" s="203"/>
    </row>
    <row r="3572" spans="1:8">
      <c r="A3572" s="200"/>
      <c r="B3572" s="198"/>
      <c r="C3572" s="851"/>
      <c r="D3572" s="41"/>
      <c r="E3572" s="41"/>
      <c r="F3572" s="41"/>
      <c r="G3572" s="21"/>
      <c r="H3572" s="203"/>
    </row>
    <row r="3573" spans="1:8">
      <c r="A3573" s="200"/>
      <c r="B3573" s="198"/>
      <c r="C3573" s="851"/>
      <c r="D3573" s="41"/>
      <c r="E3573" s="41"/>
      <c r="F3573" s="41"/>
      <c r="G3573" s="21"/>
      <c r="H3573" s="203"/>
    </row>
    <row r="3574" spans="1:8">
      <c r="A3574" s="200"/>
      <c r="B3574" s="198"/>
      <c r="C3574" s="851"/>
      <c r="D3574" s="41"/>
      <c r="E3574" s="41"/>
      <c r="F3574" s="41"/>
      <c r="G3574" s="21"/>
      <c r="H3574" s="203"/>
    </row>
    <row r="3575" spans="1:8">
      <c r="A3575" s="200"/>
      <c r="B3575" s="198"/>
      <c r="C3575" s="851"/>
      <c r="D3575" s="41"/>
      <c r="E3575" s="41"/>
      <c r="F3575" s="41"/>
      <c r="G3575" s="21"/>
      <c r="H3575" s="203"/>
    </row>
    <row r="3576" spans="1:8">
      <c r="A3576" s="200"/>
      <c r="B3576" s="198"/>
      <c r="C3576" s="851"/>
      <c r="D3576" s="41"/>
      <c r="E3576" s="41"/>
      <c r="F3576" s="41"/>
      <c r="G3576" s="21"/>
      <c r="H3576" s="203"/>
    </row>
    <row r="3577" spans="1:8">
      <c r="A3577" s="200"/>
      <c r="B3577" s="198"/>
      <c r="C3577" s="851"/>
      <c r="D3577" s="41"/>
      <c r="E3577" s="41"/>
      <c r="F3577" s="41"/>
      <c r="G3577" s="21"/>
      <c r="H3577" s="203"/>
    </row>
    <row r="3578" spans="1:8">
      <c r="A3578" s="200"/>
      <c r="B3578" s="198"/>
      <c r="C3578" s="851"/>
      <c r="D3578" s="41"/>
      <c r="E3578" s="41"/>
      <c r="F3578" s="41"/>
      <c r="G3578" s="21"/>
      <c r="H3578" s="203"/>
    </row>
    <row r="3579" spans="1:8">
      <c r="A3579" s="200"/>
      <c r="B3579" s="198"/>
      <c r="C3579" s="851"/>
      <c r="D3579" s="41"/>
      <c r="E3579" s="41"/>
      <c r="F3579" s="41"/>
      <c r="G3579" s="21"/>
      <c r="H3579" s="203"/>
    </row>
    <row r="3580" spans="1:8">
      <c r="A3580" s="200"/>
      <c r="B3580" s="198"/>
      <c r="C3580" s="851"/>
      <c r="D3580" s="41"/>
      <c r="E3580" s="41"/>
      <c r="F3580" s="41"/>
      <c r="G3580" s="21"/>
      <c r="H3580" s="203"/>
    </row>
    <row r="3581" spans="1:8">
      <c r="A3581" s="200"/>
      <c r="B3581" s="198"/>
      <c r="C3581" s="851"/>
      <c r="D3581" s="41"/>
      <c r="E3581" s="41"/>
      <c r="F3581" s="41"/>
      <c r="G3581" s="21"/>
      <c r="H3581" s="203"/>
    </row>
    <row r="3582" spans="1:8">
      <c r="A3582" s="200"/>
      <c r="B3582" s="198"/>
      <c r="C3582" s="851"/>
      <c r="D3582" s="41"/>
      <c r="E3582" s="41"/>
      <c r="F3582" s="41"/>
      <c r="G3582" s="21"/>
      <c r="H3582" s="203"/>
    </row>
    <row r="3583" spans="1:8">
      <c r="A3583" s="200"/>
      <c r="B3583" s="198"/>
      <c r="C3583" s="851"/>
      <c r="D3583" s="41"/>
      <c r="E3583" s="41"/>
      <c r="F3583" s="41"/>
      <c r="G3583" s="21"/>
      <c r="H3583" s="203"/>
    </row>
    <row r="3584" spans="1:8">
      <c r="A3584" s="200"/>
      <c r="B3584" s="198"/>
      <c r="C3584" s="851"/>
      <c r="D3584" s="41"/>
      <c r="E3584" s="41"/>
      <c r="F3584" s="41"/>
      <c r="G3584" s="21"/>
      <c r="H3584" s="203"/>
    </row>
    <row r="3585" spans="1:8">
      <c r="A3585" s="200"/>
      <c r="B3585" s="198"/>
      <c r="C3585" s="851"/>
      <c r="D3585" s="41"/>
      <c r="E3585" s="41"/>
      <c r="F3585" s="41"/>
      <c r="G3585" s="21"/>
      <c r="H3585" s="203"/>
    </row>
    <row r="3586" spans="1:8">
      <c r="A3586" s="200"/>
      <c r="B3586" s="198"/>
      <c r="C3586" s="851"/>
      <c r="D3586" s="41"/>
      <c r="E3586" s="41"/>
      <c r="F3586" s="41"/>
      <c r="G3586" s="21"/>
      <c r="H3586" s="203"/>
    </row>
    <row r="3587" spans="1:8">
      <c r="A3587" s="200"/>
      <c r="B3587" s="198"/>
      <c r="C3587" s="851"/>
      <c r="D3587" s="41"/>
      <c r="E3587" s="41"/>
      <c r="F3587" s="41"/>
      <c r="G3587" s="21"/>
      <c r="H3587" s="203"/>
    </row>
    <row r="3588" spans="1:8">
      <c r="A3588" s="200"/>
      <c r="B3588" s="198"/>
      <c r="C3588" s="851"/>
      <c r="D3588" s="41"/>
      <c r="E3588" s="41"/>
      <c r="F3588" s="41"/>
      <c r="G3588" s="21"/>
      <c r="H3588" s="203"/>
    </row>
    <row r="3589" spans="1:8">
      <c r="A3589" s="200"/>
      <c r="B3589" s="198"/>
      <c r="C3589" s="851"/>
      <c r="D3589" s="41"/>
      <c r="E3589" s="41"/>
      <c r="F3589" s="41"/>
      <c r="G3589" s="21"/>
      <c r="H3589" s="203"/>
    </row>
    <row r="3590" spans="1:8">
      <c r="A3590" s="200"/>
      <c r="B3590" s="198"/>
      <c r="C3590" s="851"/>
      <c r="D3590" s="41"/>
      <c r="E3590" s="41"/>
      <c r="F3590" s="41"/>
      <c r="G3590" s="21"/>
      <c r="H3590" s="203"/>
    </row>
    <row r="3591" spans="1:8">
      <c r="A3591" s="200"/>
      <c r="B3591" s="198"/>
      <c r="C3591" s="851"/>
      <c r="D3591" s="41"/>
      <c r="E3591" s="41"/>
      <c r="F3591" s="41"/>
      <c r="G3591" s="21"/>
      <c r="H3591" s="203"/>
    </row>
    <row r="3592" spans="1:8">
      <c r="A3592" s="200"/>
      <c r="B3592" s="198"/>
      <c r="C3592" s="851"/>
      <c r="D3592" s="41"/>
      <c r="E3592" s="41"/>
      <c r="F3592" s="41"/>
      <c r="G3592" s="21"/>
      <c r="H3592" s="203"/>
    </row>
    <row r="3593" spans="1:8">
      <c r="A3593" s="200"/>
      <c r="B3593" s="198"/>
      <c r="C3593" s="851"/>
      <c r="D3593" s="41"/>
      <c r="E3593" s="41"/>
      <c r="F3593" s="41"/>
      <c r="G3593" s="21"/>
      <c r="H3593" s="203"/>
    </row>
    <row r="3594" spans="1:8">
      <c r="A3594" s="200"/>
      <c r="B3594" s="198"/>
      <c r="C3594" s="851"/>
      <c r="D3594" s="41"/>
      <c r="E3594" s="41"/>
      <c r="F3594" s="41"/>
      <c r="G3594" s="21"/>
      <c r="H3594" s="203"/>
    </row>
    <row r="3595" spans="1:8">
      <c r="A3595" s="200"/>
      <c r="B3595" s="198"/>
      <c r="C3595" s="851"/>
      <c r="D3595" s="41"/>
      <c r="E3595" s="41"/>
      <c r="F3595" s="41"/>
      <c r="G3595" s="21"/>
      <c r="H3595" s="203"/>
    </row>
    <row r="3596" spans="1:8">
      <c r="A3596" s="200"/>
      <c r="B3596" s="198"/>
      <c r="C3596" s="851"/>
      <c r="D3596" s="41"/>
      <c r="E3596" s="41"/>
      <c r="F3596" s="41"/>
      <c r="G3596" s="21"/>
      <c r="H3596" s="203"/>
    </row>
    <row r="3597" spans="1:8">
      <c r="A3597" s="200"/>
      <c r="B3597" s="198"/>
      <c r="C3597" s="851"/>
      <c r="D3597" s="41"/>
      <c r="E3597" s="41"/>
      <c r="F3597" s="41"/>
      <c r="G3597" s="21"/>
      <c r="H3597" s="203"/>
    </row>
    <row r="3598" spans="1:8">
      <c r="A3598" s="200"/>
      <c r="B3598" s="198"/>
      <c r="C3598" s="851"/>
      <c r="D3598" s="41"/>
      <c r="E3598" s="41"/>
      <c r="F3598" s="41"/>
      <c r="G3598" s="21"/>
      <c r="H3598" s="203"/>
    </row>
    <row r="3599" spans="1:8">
      <c r="A3599" s="200"/>
      <c r="B3599" s="198"/>
      <c r="C3599" s="851"/>
      <c r="D3599" s="41"/>
      <c r="E3599" s="41"/>
      <c r="F3599" s="41"/>
      <c r="G3599" s="21"/>
      <c r="H3599" s="203"/>
    </row>
    <row r="3600" spans="1:8">
      <c r="A3600" s="200"/>
      <c r="B3600" s="198"/>
      <c r="C3600" s="851"/>
      <c r="D3600" s="41"/>
      <c r="E3600" s="41"/>
      <c r="F3600" s="41"/>
      <c r="G3600" s="21"/>
      <c r="H3600" s="203"/>
    </row>
    <row r="3601" spans="1:8">
      <c r="A3601" s="200"/>
      <c r="B3601" s="198"/>
      <c r="C3601" s="851"/>
      <c r="D3601" s="41"/>
      <c r="E3601" s="41"/>
      <c r="F3601" s="41"/>
      <c r="G3601" s="21"/>
      <c r="H3601" s="203"/>
    </row>
    <row r="3602" spans="1:8">
      <c r="A3602" s="200"/>
      <c r="B3602" s="198"/>
      <c r="C3602" s="851"/>
      <c r="D3602" s="41"/>
      <c r="E3602" s="41"/>
      <c r="F3602" s="41"/>
      <c r="G3602" s="21"/>
      <c r="H3602" s="203"/>
    </row>
    <row r="3603" spans="1:8">
      <c r="A3603" s="200"/>
      <c r="B3603" s="198"/>
      <c r="C3603" s="851"/>
      <c r="D3603" s="41"/>
      <c r="E3603" s="41"/>
      <c r="F3603" s="41"/>
      <c r="G3603" s="21"/>
      <c r="H3603" s="203"/>
    </row>
    <row r="3604" spans="1:8">
      <c r="A3604" s="200"/>
      <c r="B3604" s="198"/>
      <c r="C3604" s="851"/>
      <c r="D3604" s="41"/>
      <c r="E3604" s="41"/>
      <c r="F3604" s="41"/>
      <c r="G3604" s="21"/>
      <c r="H3604" s="203"/>
    </row>
    <row r="3605" spans="1:8">
      <c r="A3605" s="200"/>
      <c r="B3605" s="198"/>
      <c r="C3605" s="851"/>
      <c r="D3605" s="41"/>
      <c r="E3605" s="41"/>
      <c r="F3605" s="41"/>
      <c r="G3605" s="21"/>
      <c r="H3605" s="203"/>
    </row>
    <row r="3606" spans="1:8">
      <c r="A3606" s="200"/>
      <c r="B3606" s="198"/>
      <c r="C3606" s="851"/>
      <c r="D3606" s="41"/>
      <c r="E3606" s="41"/>
      <c r="F3606" s="41"/>
      <c r="G3606" s="21"/>
      <c r="H3606" s="203"/>
    </row>
    <row r="3607" spans="1:8">
      <c r="A3607" s="200"/>
      <c r="B3607" s="198"/>
      <c r="C3607" s="851"/>
      <c r="D3607" s="41"/>
      <c r="E3607" s="41"/>
      <c r="F3607" s="41"/>
      <c r="G3607" s="21"/>
      <c r="H3607" s="203"/>
    </row>
    <row r="3608" spans="1:8">
      <c r="A3608" s="200"/>
      <c r="B3608" s="198"/>
      <c r="C3608" s="851"/>
      <c r="D3608" s="41"/>
      <c r="E3608" s="41"/>
      <c r="F3608" s="41"/>
      <c r="G3608" s="21"/>
      <c r="H3608" s="203"/>
    </row>
    <row r="3609" spans="1:8">
      <c r="A3609" s="200"/>
      <c r="B3609" s="198"/>
      <c r="C3609" s="851"/>
      <c r="D3609" s="41"/>
      <c r="E3609" s="41"/>
      <c r="F3609" s="41"/>
      <c r="G3609" s="21"/>
      <c r="H3609" s="203"/>
    </row>
    <row r="3610" spans="1:8">
      <c r="A3610" s="200"/>
      <c r="B3610" s="198"/>
      <c r="C3610" s="851"/>
      <c r="D3610" s="41"/>
      <c r="E3610" s="41"/>
      <c r="F3610" s="41"/>
      <c r="G3610" s="21"/>
      <c r="H3610" s="203"/>
    </row>
    <row r="3611" spans="1:8">
      <c r="A3611" s="200"/>
      <c r="B3611" s="198"/>
      <c r="C3611" s="851"/>
      <c r="D3611" s="41"/>
      <c r="E3611" s="41"/>
      <c r="F3611" s="41"/>
      <c r="G3611" s="21"/>
      <c r="H3611" s="203"/>
    </row>
    <row r="3612" spans="1:8">
      <c r="A3612" s="200"/>
      <c r="B3612" s="198"/>
      <c r="C3612" s="851"/>
      <c r="D3612" s="41"/>
      <c r="E3612" s="41"/>
      <c r="F3612" s="41"/>
      <c r="G3612" s="21"/>
      <c r="H3612" s="203"/>
    </row>
    <row r="3613" spans="1:8">
      <c r="A3613" s="200"/>
      <c r="B3613" s="198"/>
      <c r="C3613" s="851"/>
      <c r="D3613" s="41"/>
      <c r="E3613" s="41"/>
      <c r="F3613" s="41"/>
      <c r="G3613" s="21"/>
      <c r="H3613" s="203"/>
    </row>
    <row r="3614" spans="1:8">
      <c r="A3614" s="200"/>
      <c r="B3614" s="198"/>
      <c r="C3614" s="851"/>
      <c r="D3614" s="41"/>
      <c r="E3614" s="41"/>
      <c r="F3614" s="41"/>
      <c r="G3614" s="21"/>
      <c r="H3614" s="203"/>
    </row>
    <row r="3615" spans="1:8">
      <c r="A3615" s="200"/>
      <c r="B3615" s="198"/>
      <c r="C3615" s="851"/>
      <c r="D3615" s="41"/>
      <c r="E3615" s="41"/>
      <c r="F3615" s="41"/>
      <c r="G3615" s="21"/>
      <c r="H3615" s="203"/>
    </row>
    <row r="3616" spans="1:8">
      <c r="A3616" s="200"/>
      <c r="B3616" s="198"/>
      <c r="C3616" s="851"/>
      <c r="D3616" s="41"/>
      <c r="E3616" s="41"/>
      <c r="F3616" s="41"/>
      <c r="G3616" s="21"/>
      <c r="H3616" s="203"/>
    </row>
    <row r="3617" spans="1:8">
      <c r="A3617" s="200"/>
      <c r="B3617" s="198"/>
      <c r="C3617" s="851"/>
      <c r="D3617" s="41"/>
      <c r="E3617" s="41"/>
      <c r="F3617" s="41"/>
      <c r="G3617" s="21"/>
      <c r="H3617" s="203"/>
    </row>
    <row r="3618" spans="1:8">
      <c r="A3618" s="200"/>
      <c r="B3618" s="198"/>
      <c r="C3618" s="851"/>
      <c r="D3618" s="41"/>
      <c r="E3618" s="41"/>
      <c r="F3618" s="41"/>
      <c r="G3618" s="21"/>
      <c r="H3618" s="203"/>
    </row>
    <row r="3619" spans="1:8">
      <c r="A3619" s="200"/>
      <c r="B3619" s="198"/>
      <c r="C3619" s="851"/>
      <c r="D3619" s="41"/>
      <c r="E3619" s="41"/>
      <c r="F3619" s="41"/>
      <c r="G3619" s="21"/>
      <c r="H3619" s="203"/>
    </row>
    <row r="3620" spans="1:8">
      <c r="A3620" s="200"/>
      <c r="B3620" s="198"/>
      <c r="C3620" s="851"/>
      <c r="D3620" s="41"/>
      <c r="E3620" s="41"/>
      <c r="F3620" s="41"/>
      <c r="G3620" s="21"/>
      <c r="H3620" s="203"/>
    </row>
    <row r="3621" spans="1:8">
      <c r="A3621" s="200"/>
      <c r="B3621" s="198"/>
      <c r="C3621" s="851"/>
      <c r="D3621" s="41"/>
      <c r="E3621" s="41"/>
      <c r="F3621" s="41"/>
      <c r="G3621" s="21"/>
      <c r="H3621" s="203"/>
    </row>
    <row r="3622" spans="1:8">
      <c r="A3622" s="200"/>
      <c r="B3622" s="198"/>
      <c r="C3622" s="851"/>
      <c r="D3622" s="41"/>
      <c r="E3622" s="41"/>
      <c r="F3622" s="41"/>
      <c r="G3622" s="21"/>
      <c r="H3622" s="203"/>
    </row>
    <row r="3623" spans="1:8">
      <c r="A3623" s="200"/>
      <c r="B3623" s="198"/>
      <c r="C3623" s="851"/>
      <c r="D3623" s="41"/>
      <c r="E3623" s="41"/>
      <c r="F3623" s="41"/>
      <c r="G3623" s="21"/>
      <c r="H3623" s="203"/>
    </row>
    <row r="3624" spans="1:8">
      <c r="A3624" s="200"/>
      <c r="B3624" s="198"/>
      <c r="C3624" s="851"/>
      <c r="D3624" s="41"/>
      <c r="E3624" s="41"/>
      <c r="F3624" s="41"/>
      <c r="G3624" s="21"/>
      <c r="H3624" s="203"/>
    </row>
    <row r="3625" spans="1:8">
      <c r="A3625" s="200"/>
      <c r="B3625" s="198"/>
      <c r="C3625" s="851"/>
      <c r="D3625" s="41"/>
      <c r="E3625" s="41"/>
      <c r="F3625" s="41"/>
      <c r="G3625" s="21"/>
      <c r="H3625" s="203"/>
    </row>
    <row r="3626" spans="1:8">
      <c r="A3626" s="200"/>
      <c r="B3626" s="198"/>
      <c r="C3626" s="851"/>
      <c r="D3626" s="41"/>
      <c r="E3626" s="41"/>
      <c r="F3626" s="41"/>
      <c r="G3626" s="21"/>
      <c r="H3626" s="203"/>
    </row>
    <row r="3627" spans="1:8">
      <c r="A3627" s="200"/>
      <c r="B3627" s="198"/>
      <c r="C3627" s="851"/>
      <c r="D3627" s="41"/>
      <c r="E3627" s="41"/>
      <c r="F3627" s="41"/>
      <c r="G3627" s="21"/>
      <c r="H3627" s="203"/>
    </row>
    <row r="3628" spans="1:8">
      <c r="A3628" s="200"/>
      <c r="B3628" s="198"/>
      <c r="C3628" s="851"/>
      <c r="D3628" s="41"/>
      <c r="E3628" s="41"/>
      <c r="F3628" s="41"/>
      <c r="G3628" s="21"/>
      <c r="H3628" s="203"/>
    </row>
    <row r="3629" spans="1:8">
      <c r="A3629" s="200"/>
      <c r="B3629" s="198"/>
      <c r="C3629" s="851"/>
      <c r="D3629" s="41"/>
      <c r="E3629" s="41"/>
      <c r="F3629" s="41"/>
      <c r="G3629" s="21"/>
      <c r="H3629" s="203"/>
    </row>
    <row r="3630" spans="1:8">
      <c r="A3630" s="200"/>
      <c r="B3630" s="198"/>
      <c r="C3630" s="851"/>
      <c r="D3630" s="41"/>
      <c r="E3630" s="41"/>
      <c r="F3630" s="41"/>
      <c r="G3630" s="21"/>
      <c r="H3630" s="203"/>
    </row>
    <row r="3631" spans="1:8">
      <c r="A3631" s="200"/>
      <c r="B3631" s="198"/>
      <c r="C3631" s="851"/>
      <c r="D3631" s="41"/>
      <c r="E3631" s="41"/>
      <c r="F3631" s="41"/>
      <c r="G3631" s="21"/>
      <c r="H3631" s="203"/>
    </row>
    <row r="3632" spans="1:8">
      <c r="A3632" s="200"/>
      <c r="B3632" s="198"/>
      <c r="C3632" s="851"/>
      <c r="D3632" s="41"/>
      <c r="E3632" s="41"/>
      <c r="F3632" s="41"/>
      <c r="G3632" s="21"/>
      <c r="H3632" s="203"/>
    </row>
    <row r="3633" spans="1:8">
      <c r="A3633" s="200"/>
      <c r="B3633" s="198"/>
      <c r="C3633" s="851"/>
      <c r="D3633" s="41"/>
      <c r="E3633" s="41"/>
      <c r="F3633" s="41"/>
      <c r="G3633" s="21"/>
      <c r="H3633" s="203"/>
    </row>
    <row r="3634" spans="1:8">
      <c r="A3634" s="200"/>
      <c r="B3634" s="198"/>
      <c r="C3634" s="851"/>
      <c r="D3634" s="41"/>
      <c r="E3634" s="41"/>
      <c r="F3634" s="41"/>
      <c r="G3634" s="21"/>
      <c r="H3634" s="203"/>
    </row>
    <row r="3635" spans="1:8">
      <c r="A3635" s="200"/>
      <c r="B3635" s="198"/>
      <c r="C3635" s="851"/>
      <c r="D3635" s="41"/>
      <c r="E3635" s="41"/>
      <c r="F3635" s="41"/>
      <c r="G3635" s="21"/>
      <c r="H3635" s="203"/>
    </row>
    <row r="3636" spans="1:8">
      <c r="A3636" s="200"/>
      <c r="B3636" s="198"/>
      <c r="C3636" s="851"/>
      <c r="D3636" s="41"/>
      <c r="E3636" s="41"/>
      <c r="F3636" s="41"/>
      <c r="G3636" s="21"/>
      <c r="H3636" s="203"/>
    </row>
    <row r="3637" spans="1:8">
      <c r="A3637" s="200"/>
      <c r="B3637" s="198"/>
      <c r="C3637" s="851"/>
      <c r="D3637" s="41"/>
      <c r="E3637" s="41"/>
      <c r="F3637" s="41"/>
      <c r="G3637" s="21"/>
      <c r="H3637" s="203"/>
    </row>
    <row r="3638" spans="1:8">
      <c r="A3638" s="200"/>
      <c r="B3638" s="198"/>
      <c r="C3638" s="851"/>
      <c r="D3638" s="41"/>
      <c r="E3638" s="41"/>
      <c r="F3638" s="41"/>
      <c r="G3638" s="21"/>
      <c r="H3638" s="203"/>
    </row>
    <row r="3639" spans="1:8">
      <c r="A3639" s="200"/>
      <c r="B3639" s="198"/>
      <c r="C3639" s="851"/>
      <c r="D3639" s="41"/>
      <c r="E3639" s="41"/>
      <c r="F3639" s="41"/>
      <c r="G3639" s="21"/>
      <c r="H3639" s="203"/>
    </row>
    <row r="3640" spans="1:8">
      <c r="A3640" s="200"/>
      <c r="B3640" s="198"/>
      <c r="C3640" s="851"/>
      <c r="D3640" s="41"/>
      <c r="E3640" s="41"/>
      <c r="F3640" s="41"/>
      <c r="G3640" s="21"/>
      <c r="H3640" s="203"/>
    </row>
    <row r="3641" spans="1:8">
      <c r="A3641" s="200"/>
      <c r="B3641" s="198"/>
      <c r="C3641" s="851"/>
      <c r="D3641" s="41"/>
      <c r="E3641" s="41"/>
      <c r="F3641" s="41"/>
      <c r="G3641" s="21"/>
      <c r="H3641" s="203"/>
    </row>
    <row r="3642" spans="1:8">
      <c r="A3642" s="200"/>
      <c r="B3642" s="198"/>
      <c r="C3642" s="851"/>
      <c r="D3642" s="41"/>
      <c r="E3642" s="41"/>
      <c r="F3642" s="41"/>
      <c r="G3642" s="21"/>
      <c r="H3642" s="203"/>
    </row>
    <row r="3643" spans="1:8">
      <c r="A3643" s="200"/>
      <c r="B3643" s="198"/>
      <c r="C3643" s="851"/>
      <c r="D3643" s="41"/>
      <c r="E3643" s="41"/>
      <c r="F3643" s="41"/>
      <c r="G3643" s="21"/>
      <c r="H3643" s="203"/>
    </row>
    <row r="3644" spans="1:8">
      <c r="A3644" s="200"/>
      <c r="B3644" s="198"/>
      <c r="C3644" s="851"/>
      <c r="D3644" s="41"/>
      <c r="E3644" s="41"/>
      <c r="F3644" s="41"/>
      <c r="G3644" s="21"/>
      <c r="H3644" s="203"/>
    </row>
    <row r="3645" spans="1:8">
      <c r="A3645" s="200"/>
      <c r="B3645" s="198"/>
      <c r="C3645" s="851"/>
      <c r="D3645" s="41"/>
      <c r="E3645" s="41"/>
      <c r="F3645" s="41"/>
      <c r="G3645" s="21"/>
      <c r="H3645" s="203"/>
    </row>
    <row r="3646" spans="1:8">
      <c r="A3646" s="200"/>
      <c r="B3646" s="198"/>
      <c r="C3646" s="851"/>
      <c r="D3646" s="41"/>
      <c r="E3646" s="41"/>
      <c r="F3646" s="41"/>
      <c r="G3646" s="21"/>
      <c r="H3646" s="203"/>
    </row>
    <row r="3647" spans="1:8">
      <c r="A3647" s="200"/>
      <c r="B3647" s="198"/>
      <c r="C3647" s="851"/>
      <c r="D3647" s="41"/>
      <c r="E3647" s="41"/>
      <c r="F3647" s="41"/>
      <c r="G3647" s="21"/>
      <c r="H3647" s="203"/>
    </row>
    <row r="3648" spans="1:8">
      <c r="A3648" s="200"/>
      <c r="B3648" s="198"/>
      <c r="C3648" s="851"/>
      <c r="D3648" s="41"/>
      <c r="E3648" s="41"/>
      <c r="F3648" s="41"/>
      <c r="G3648" s="21"/>
      <c r="H3648" s="203"/>
    </row>
    <row r="3649" spans="1:8">
      <c r="A3649" s="200"/>
      <c r="B3649" s="198"/>
      <c r="C3649" s="851"/>
      <c r="D3649" s="41"/>
      <c r="E3649" s="41"/>
      <c r="F3649" s="41"/>
      <c r="G3649" s="21"/>
      <c r="H3649" s="203"/>
    </row>
    <row r="3650" spans="1:8">
      <c r="A3650" s="200"/>
      <c r="B3650" s="198"/>
      <c r="C3650" s="851"/>
      <c r="D3650" s="41"/>
      <c r="E3650" s="41"/>
      <c r="F3650" s="41"/>
      <c r="G3650" s="21"/>
      <c r="H3650" s="203"/>
    </row>
    <row r="3651" spans="1:8">
      <c r="A3651" s="200"/>
      <c r="B3651" s="198"/>
      <c r="C3651" s="851"/>
      <c r="D3651" s="41"/>
      <c r="E3651" s="41"/>
      <c r="F3651" s="41"/>
      <c r="G3651" s="21"/>
      <c r="H3651" s="203"/>
    </row>
    <row r="3652" spans="1:8">
      <c r="A3652" s="200"/>
      <c r="B3652" s="198"/>
      <c r="C3652" s="851"/>
      <c r="D3652" s="41"/>
      <c r="E3652" s="41"/>
      <c r="F3652" s="41"/>
      <c r="G3652" s="21"/>
      <c r="H3652" s="203"/>
    </row>
    <row r="3653" spans="1:8">
      <c r="A3653" s="200"/>
      <c r="B3653" s="198"/>
      <c r="C3653" s="851"/>
      <c r="D3653" s="41"/>
      <c r="E3653" s="41"/>
      <c r="F3653" s="41"/>
      <c r="G3653" s="21"/>
      <c r="H3653" s="203"/>
    </row>
    <row r="3654" spans="1:8">
      <c r="A3654" s="200"/>
      <c r="B3654" s="198"/>
      <c r="C3654" s="851"/>
      <c r="D3654" s="41"/>
      <c r="E3654" s="41"/>
      <c r="F3654" s="41"/>
      <c r="G3654" s="21"/>
      <c r="H3654" s="203"/>
    </row>
    <row r="3655" spans="1:8">
      <c r="A3655" s="200"/>
      <c r="B3655" s="198"/>
      <c r="C3655" s="851"/>
      <c r="D3655" s="41"/>
      <c r="E3655" s="41"/>
      <c r="F3655" s="41"/>
      <c r="G3655" s="21"/>
      <c r="H3655" s="203"/>
    </row>
    <row r="3656" spans="1:8">
      <c r="A3656" s="200"/>
      <c r="B3656" s="198"/>
      <c r="C3656" s="851"/>
      <c r="D3656" s="41"/>
      <c r="E3656" s="41"/>
      <c r="F3656" s="41"/>
      <c r="G3656" s="21"/>
      <c r="H3656" s="203"/>
    </row>
    <row r="3657" spans="1:8">
      <c r="A3657" s="200"/>
      <c r="B3657" s="198"/>
      <c r="C3657" s="851"/>
      <c r="D3657" s="41"/>
      <c r="E3657" s="41"/>
      <c r="F3657" s="41"/>
      <c r="G3657" s="21"/>
      <c r="H3657" s="203"/>
    </row>
    <row r="3658" spans="1:8">
      <c r="A3658" s="200"/>
      <c r="B3658" s="198"/>
      <c r="C3658" s="851"/>
      <c r="D3658" s="41"/>
      <c r="E3658" s="41"/>
      <c r="F3658" s="41"/>
      <c r="G3658" s="21"/>
      <c r="H3658" s="203"/>
    </row>
    <row r="3659" spans="1:8">
      <c r="A3659" s="200"/>
      <c r="B3659" s="198"/>
      <c r="C3659" s="851"/>
      <c r="D3659" s="41"/>
      <c r="E3659" s="41"/>
      <c r="F3659" s="41"/>
      <c r="G3659" s="21"/>
      <c r="H3659" s="203"/>
    </row>
    <row r="3660" spans="1:8">
      <c r="A3660" s="200"/>
      <c r="B3660" s="198"/>
      <c r="C3660" s="851"/>
      <c r="D3660" s="41"/>
      <c r="E3660" s="41"/>
      <c r="F3660" s="41"/>
      <c r="G3660" s="21"/>
      <c r="H3660" s="203"/>
    </row>
    <row r="3661" spans="1:8">
      <c r="A3661" s="200"/>
      <c r="B3661" s="198"/>
      <c r="C3661" s="851"/>
      <c r="D3661" s="41"/>
      <c r="E3661" s="41"/>
      <c r="F3661" s="41"/>
      <c r="G3661" s="21"/>
      <c r="H3661" s="203"/>
    </row>
    <row r="3662" spans="1:8">
      <c r="A3662" s="200"/>
      <c r="B3662" s="198"/>
      <c r="C3662" s="851"/>
      <c r="D3662" s="41"/>
      <c r="E3662" s="41"/>
      <c r="F3662" s="41"/>
      <c r="G3662" s="21"/>
      <c r="H3662" s="203"/>
    </row>
    <row r="3663" spans="1:8">
      <c r="A3663" s="200"/>
      <c r="B3663" s="198"/>
      <c r="C3663" s="851"/>
      <c r="D3663" s="41"/>
      <c r="E3663" s="41"/>
      <c r="F3663" s="41"/>
      <c r="G3663" s="21"/>
      <c r="H3663" s="203"/>
    </row>
    <row r="3664" spans="1:8">
      <c r="A3664" s="200"/>
      <c r="B3664" s="198"/>
      <c r="C3664" s="851"/>
      <c r="D3664" s="41"/>
      <c r="E3664" s="41"/>
      <c r="F3664" s="41"/>
      <c r="G3664" s="21"/>
      <c r="H3664" s="203"/>
    </row>
    <row r="3665" spans="1:8">
      <c r="A3665" s="200"/>
      <c r="B3665" s="198"/>
      <c r="C3665" s="851"/>
      <c r="D3665" s="41"/>
      <c r="E3665" s="41"/>
      <c r="F3665" s="41"/>
      <c r="G3665" s="21"/>
      <c r="H3665" s="203"/>
    </row>
    <row r="3666" spans="1:8">
      <c r="A3666" s="200"/>
      <c r="B3666" s="198"/>
      <c r="C3666" s="851"/>
      <c r="D3666" s="41"/>
      <c r="E3666" s="41"/>
      <c r="F3666" s="41"/>
      <c r="G3666" s="21"/>
      <c r="H3666" s="203"/>
    </row>
    <row r="3667" spans="1:8">
      <c r="A3667" s="200"/>
      <c r="B3667" s="198"/>
      <c r="C3667" s="851"/>
      <c r="D3667" s="41"/>
      <c r="E3667" s="41"/>
      <c r="F3667" s="41"/>
      <c r="G3667" s="21"/>
      <c r="H3667" s="203"/>
    </row>
    <row r="3668" spans="1:8">
      <c r="A3668" s="200"/>
      <c r="B3668" s="198"/>
      <c r="C3668" s="851"/>
      <c r="D3668" s="41"/>
      <c r="E3668" s="41"/>
      <c r="F3668" s="41"/>
      <c r="G3668" s="21"/>
      <c r="H3668" s="203"/>
    </row>
    <row r="3669" spans="1:8">
      <c r="A3669" s="200"/>
      <c r="B3669" s="198"/>
      <c r="C3669" s="851"/>
      <c r="D3669" s="41"/>
      <c r="E3669" s="41"/>
      <c r="F3669" s="41"/>
      <c r="G3669" s="21"/>
      <c r="H3669" s="203"/>
    </row>
    <row r="3670" spans="1:8">
      <c r="A3670" s="200"/>
      <c r="B3670" s="198"/>
      <c r="C3670" s="851"/>
      <c r="D3670" s="41"/>
      <c r="E3670" s="41"/>
      <c r="F3670" s="41"/>
      <c r="G3670" s="21"/>
      <c r="H3670" s="203"/>
    </row>
    <row r="3671" spans="1:8">
      <c r="A3671" s="200"/>
      <c r="B3671" s="198"/>
      <c r="C3671" s="851"/>
      <c r="D3671" s="41"/>
      <c r="E3671" s="41"/>
      <c r="F3671" s="41"/>
      <c r="G3671" s="21"/>
      <c r="H3671" s="203"/>
    </row>
    <row r="3672" spans="1:8">
      <c r="A3672" s="200"/>
      <c r="B3672" s="198"/>
      <c r="C3672" s="851"/>
      <c r="D3672" s="41"/>
      <c r="E3672" s="41"/>
      <c r="F3672" s="41"/>
      <c r="G3672" s="21"/>
      <c r="H3672" s="203"/>
    </row>
    <row r="3673" spans="1:8">
      <c r="A3673" s="200"/>
      <c r="B3673" s="198"/>
      <c r="C3673" s="851"/>
      <c r="D3673" s="41"/>
      <c r="E3673" s="41"/>
      <c r="F3673" s="41"/>
      <c r="G3673" s="21"/>
      <c r="H3673" s="203"/>
    </row>
    <row r="3674" spans="1:8">
      <c r="A3674" s="200"/>
      <c r="B3674" s="198"/>
      <c r="C3674" s="851"/>
      <c r="D3674" s="41"/>
      <c r="E3674" s="41"/>
      <c r="F3674" s="41"/>
      <c r="G3674" s="21"/>
      <c r="H3674" s="203"/>
    </row>
    <row r="3675" spans="1:8">
      <c r="A3675" s="200"/>
      <c r="B3675" s="198"/>
      <c r="C3675" s="851"/>
      <c r="D3675" s="41"/>
      <c r="E3675" s="41"/>
      <c r="F3675" s="41"/>
      <c r="G3675" s="21"/>
      <c r="H3675" s="203"/>
    </row>
    <row r="3676" spans="1:8">
      <c r="A3676" s="200"/>
      <c r="B3676" s="198"/>
      <c r="C3676" s="851"/>
      <c r="D3676" s="41"/>
      <c r="E3676" s="41"/>
      <c r="F3676" s="41"/>
      <c r="G3676" s="21"/>
      <c r="H3676" s="203"/>
    </row>
    <row r="3677" spans="1:8">
      <c r="A3677" s="200"/>
      <c r="B3677" s="198"/>
      <c r="C3677" s="851"/>
      <c r="D3677" s="41"/>
      <c r="E3677" s="41"/>
      <c r="F3677" s="41"/>
      <c r="G3677" s="21"/>
      <c r="H3677" s="203"/>
    </row>
    <row r="3678" spans="1:8">
      <c r="A3678" s="200"/>
      <c r="B3678" s="198"/>
      <c r="C3678" s="851"/>
      <c r="D3678" s="41"/>
      <c r="E3678" s="41"/>
      <c r="F3678" s="41"/>
      <c r="G3678" s="21"/>
      <c r="H3678" s="203"/>
    </row>
    <row r="3679" spans="1:8">
      <c r="A3679" s="200"/>
      <c r="B3679" s="198"/>
      <c r="C3679" s="851"/>
      <c r="D3679" s="41"/>
      <c r="E3679" s="41"/>
      <c r="F3679" s="41"/>
      <c r="G3679" s="21"/>
      <c r="H3679" s="203"/>
    </row>
    <row r="3680" spans="1:8">
      <c r="A3680" s="200"/>
      <c r="B3680" s="198"/>
      <c r="C3680" s="851"/>
      <c r="D3680" s="41"/>
      <c r="E3680" s="41"/>
      <c r="F3680" s="41"/>
      <c r="G3680" s="21"/>
      <c r="H3680" s="203"/>
    </row>
    <row r="3681" spans="1:8">
      <c r="A3681" s="200"/>
      <c r="B3681" s="198"/>
      <c r="C3681" s="851"/>
      <c r="D3681" s="41"/>
      <c r="E3681" s="41"/>
      <c r="F3681" s="41"/>
      <c r="G3681" s="21"/>
      <c r="H3681" s="203"/>
    </row>
    <row r="3682" spans="1:8">
      <c r="A3682" s="200"/>
      <c r="B3682" s="198"/>
      <c r="C3682" s="851"/>
      <c r="D3682" s="41"/>
      <c r="E3682" s="41"/>
      <c r="F3682" s="41"/>
      <c r="G3682" s="21"/>
      <c r="H3682" s="203"/>
    </row>
    <row r="3683" spans="1:8">
      <c r="A3683" s="200"/>
      <c r="B3683" s="198"/>
      <c r="C3683" s="851"/>
      <c r="D3683" s="41"/>
      <c r="E3683" s="41"/>
      <c r="F3683" s="41"/>
      <c r="G3683" s="21"/>
      <c r="H3683" s="203"/>
    </row>
    <row r="3684" spans="1:8">
      <c r="A3684" s="200"/>
      <c r="B3684" s="198"/>
      <c r="C3684" s="851"/>
      <c r="D3684" s="41"/>
      <c r="E3684" s="41"/>
      <c r="F3684" s="41"/>
      <c r="G3684" s="21"/>
      <c r="H3684" s="203"/>
    </row>
    <row r="3685" spans="1:8">
      <c r="A3685" s="200"/>
      <c r="B3685" s="198"/>
      <c r="C3685" s="851"/>
      <c r="D3685" s="41"/>
      <c r="E3685" s="41"/>
      <c r="F3685" s="41"/>
      <c r="G3685" s="21"/>
      <c r="H3685" s="203"/>
    </row>
    <row r="3686" spans="1:8">
      <c r="A3686" s="200"/>
      <c r="B3686" s="198"/>
      <c r="C3686" s="851"/>
      <c r="D3686" s="41"/>
      <c r="E3686" s="41"/>
      <c r="F3686" s="41"/>
      <c r="G3686" s="21"/>
      <c r="H3686" s="203"/>
    </row>
    <row r="3687" spans="1:8">
      <c r="A3687" s="200"/>
      <c r="B3687" s="198"/>
      <c r="C3687" s="851"/>
      <c r="D3687" s="41"/>
      <c r="E3687" s="41"/>
      <c r="F3687" s="41"/>
      <c r="G3687" s="21"/>
      <c r="H3687" s="203"/>
    </row>
    <row r="3688" spans="1:8">
      <c r="A3688" s="200"/>
      <c r="B3688" s="198"/>
      <c r="C3688" s="851"/>
      <c r="D3688" s="41"/>
      <c r="E3688" s="41"/>
      <c r="F3688" s="41"/>
      <c r="G3688" s="21"/>
      <c r="H3688" s="203"/>
    </row>
    <row r="3689" spans="1:8">
      <c r="A3689" s="200"/>
      <c r="B3689" s="198"/>
      <c r="C3689" s="851"/>
      <c r="D3689" s="41"/>
      <c r="E3689" s="41"/>
      <c r="F3689" s="41"/>
      <c r="G3689" s="21"/>
      <c r="H3689" s="203"/>
    </row>
    <row r="3690" spans="1:8">
      <c r="A3690" s="200"/>
      <c r="B3690" s="198"/>
      <c r="C3690" s="851"/>
      <c r="D3690" s="41"/>
      <c r="E3690" s="41"/>
      <c r="F3690" s="41"/>
      <c r="G3690" s="21"/>
      <c r="H3690" s="203"/>
    </row>
    <row r="3691" spans="1:8">
      <c r="A3691" s="200"/>
      <c r="B3691" s="198"/>
      <c r="C3691" s="851"/>
      <c r="D3691" s="41"/>
      <c r="E3691" s="41"/>
      <c r="F3691" s="41"/>
      <c r="G3691" s="21"/>
      <c r="H3691" s="203"/>
    </row>
    <row r="3692" spans="1:8">
      <c r="A3692" s="200"/>
      <c r="B3692" s="198"/>
      <c r="C3692" s="851"/>
      <c r="D3692" s="41"/>
      <c r="E3692" s="41"/>
      <c r="F3692" s="41"/>
      <c r="G3692" s="21"/>
      <c r="H3692" s="203"/>
    </row>
    <row r="3693" spans="1:8">
      <c r="A3693" s="200"/>
      <c r="B3693" s="198"/>
      <c r="C3693" s="851"/>
      <c r="D3693" s="41"/>
      <c r="E3693" s="41"/>
      <c r="F3693" s="41"/>
      <c r="G3693" s="21"/>
      <c r="H3693" s="203"/>
    </row>
    <row r="3694" spans="1:8">
      <c r="A3694" s="200"/>
      <c r="B3694" s="198"/>
      <c r="C3694" s="851"/>
      <c r="D3694" s="41"/>
      <c r="E3694" s="41"/>
      <c r="F3694" s="41"/>
      <c r="G3694" s="21"/>
      <c r="H3694" s="203"/>
    </row>
    <row r="3695" spans="1:8">
      <c r="A3695" s="200"/>
      <c r="B3695" s="198"/>
      <c r="C3695" s="851"/>
      <c r="D3695" s="41"/>
      <c r="E3695" s="41"/>
      <c r="F3695" s="41"/>
      <c r="G3695" s="21"/>
      <c r="H3695" s="203"/>
    </row>
    <row r="3696" spans="1:8">
      <c r="A3696" s="200"/>
      <c r="B3696" s="198"/>
      <c r="C3696" s="851"/>
      <c r="D3696" s="41"/>
      <c r="E3696" s="41"/>
      <c r="F3696" s="41"/>
      <c r="G3696" s="21"/>
      <c r="H3696" s="203"/>
    </row>
    <row r="3697" spans="1:8">
      <c r="A3697" s="200"/>
      <c r="B3697" s="198"/>
      <c r="C3697" s="851"/>
      <c r="D3697" s="41"/>
      <c r="E3697" s="41"/>
      <c r="F3697" s="41"/>
      <c r="G3697" s="21"/>
      <c r="H3697" s="203"/>
    </row>
    <row r="3698" spans="1:8">
      <c r="A3698" s="200"/>
      <c r="B3698" s="198"/>
      <c r="C3698" s="851"/>
      <c r="D3698" s="41"/>
      <c r="E3698" s="41"/>
      <c r="F3698" s="41"/>
      <c r="G3698" s="21"/>
      <c r="H3698" s="203"/>
    </row>
    <row r="3699" spans="1:8">
      <c r="A3699" s="200"/>
      <c r="B3699" s="198"/>
      <c r="C3699" s="851"/>
      <c r="D3699" s="41"/>
      <c r="E3699" s="41"/>
      <c r="F3699" s="41"/>
      <c r="G3699" s="21"/>
      <c r="H3699" s="203"/>
    </row>
    <row r="3700" spans="1:8">
      <c r="A3700" s="200"/>
      <c r="B3700" s="198"/>
      <c r="C3700" s="851"/>
      <c r="D3700" s="41"/>
      <c r="E3700" s="41"/>
      <c r="F3700" s="41"/>
      <c r="G3700" s="21"/>
      <c r="H3700" s="203"/>
    </row>
    <row r="3701" spans="1:8">
      <c r="A3701" s="200"/>
      <c r="B3701" s="198"/>
      <c r="C3701" s="851"/>
      <c r="D3701" s="41"/>
      <c r="E3701" s="41"/>
      <c r="F3701" s="41"/>
      <c r="G3701" s="21"/>
      <c r="H3701" s="203"/>
    </row>
    <row r="3702" spans="1:8">
      <c r="A3702" s="200"/>
      <c r="B3702" s="198"/>
      <c r="C3702" s="851"/>
      <c r="D3702" s="41"/>
      <c r="E3702" s="41"/>
      <c r="F3702" s="41"/>
      <c r="G3702" s="21"/>
      <c r="H3702" s="203"/>
    </row>
    <row r="3703" spans="1:8">
      <c r="A3703" s="200"/>
      <c r="B3703" s="198"/>
      <c r="C3703" s="851"/>
      <c r="D3703" s="41"/>
      <c r="E3703" s="41"/>
      <c r="F3703" s="41"/>
      <c r="G3703" s="21"/>
      <c r="H3703" s="203"/>
    </row>
    <row r="3704" spans="1:8">
      <c r="A3704" s="200"/>
      <c r="B3704" s="198"/>
      <c r="C3704" s="851"/>
      <c r="D3704" s="41"/>
      <c r="E3704" s="41"/>
      <c r="F3704" s="41"/>
      <c r="G3704" s="21"/>
      <c r="H3704" s="203"/>
    </row>
    <row r="3705" spans="1:8">
      <c r="A3705" s="200"/>
      <c r="B3705" s="198"/>
      <c r="C3705" s="851"/>
      <c r="D3705" s="41"/>
      <c r="E3705" s="41"/>
      <c r="F3705" s="41"/>
      <c r="G3705" s="21"/>
      <c r="H3705" s="203"/>
    </row>
    <row r="3706" spans="1:8">
      <c r="A3706" s="200"/>
      <c r="B3706" s="198"/>
      <c r="C3706" s="851"/>
      <c r="D3706" s="41"/>
      <c r="E3706" s="41"/>
      <c r="F3706" s="41"/>
      <c r="G3706" s="21"/>
      <c r="H3706" s="203"/>
    </row>
    <row r="3707" spans="1:8">
      <c r="A3707" s="200"/>
      <c r="B3707" s="198"/>
      <c r="C3707" s="851"/>
      <c r="D3707" s="41"/>
      <c r="E3707" s="41"/>
      <c r="F3707" s="41"/>
      <c r="G3707" s="21"/>
      <c r="H3707" s="203"/>
    </row>
    <row r="3708" spans="1:8">
      <c r="A3708" s="200"/>
      <c r="B3708" s="198"/>
      <c r="C3708" s="851"/>
      <c r="D3708" s="41"/>
      <c r="E3708" s="41"/>
      <c r="F3708" s="41"/>
      <c r="G3708" s="21"/>
      <c r="H3708" s="203"/>
    </row>
    <row r="3709" spans="1:8">
      <c r="A3709" s="200"/>
      <c r="B3709" s="198"/>
      <c r="C3709" s="851"/>
      <c r="D3709" s="41"/>
      <c r="E3709" s="41"/>
      <c r="F3709" s="41"/>
      <c r="G3709" s="21"/>
      <c r="H3709" s="203"/>
    </row>
    <row r="3710" spans="1:8">
      <c r="A3710" s="200"/>
      <c r="B3710" s="198"/>
      <c r="C3710" s="851"/>
      <c r="D3710" s="41"/>
      <c r="E3710" s="41"/>
      <c r="F3710" s="41"/>
      <c r="G3710" s="21"/>
      <c r="H3710" s="203"/>
    </row>
    <row r="3711" spans="1:8">
      <c r="A3711" s="200"/>
      <c r="B3711" s="198"/>
      <c r="C3711" s="851"/>
      <c r="D3711" s="41"/>
      <c r="E3711" s="41"/>
      <c r="F3711" s="41"/>
      <c r="G3711" s="21"/>
      <c r="H3711" s="203"/>
    </row>
    <row r="3712" spans="1:8">
      <c r="A3712" s="200"/>
      <c r="B3712" s="198"/>
      <c r="C3712" s="851"/>
      <c r="D3712" s="41"/>
      <c r="E3712" s="41"/>
      <c r="F3712" s="41"/>
      <c r="G3712" s="21"/>
      <c r="H3712" s="203"/>
    </row>
    <row r="3713" spans="1:8">
      <c r="A3713" s="200"/>
      <c r="B3713" s="198"/>
      <c r="C3713" s="851"/>
      <c r="D3713" s="41"/>
      <c r="E3713" s="41"/>
      <c r="F3713" s="41"/>
      <c r="G3713" s="21"/>
      <c r="H3713" s="203"/>
    </row>
    <row r="3714" spans="1:8">
      <c r="A3714" s="200"/>
      <c r="B3714" s="198"/>
      <c r="C3714" s="851"/>
      <c r="D3714" s="41"/>
      <c r="E3714" s="41"/>
      <c r="F3714" s="41"/>
      <c r="G3714" s="21"/>
      <c r="H3714" s="203"/>
    </row>
    <row r="3715" spans="1:8">
      <c r="A3715" s="200"/>
      <c r="B3715" s="198"/>
      <c r="C3715" s="851"/>
      <c r="D3715" s="41"/>
      <c r="E3715" s="41"/>
      <c r="F3715" s="41"/>
      <c r="G3715" s="21"/>
      <c r="H3715" s="203"/>
    </row>
    <row r="3716" spans="1:8">
      <c r="A3716" s="200"/>
      <c r="B3716" s="198"/>
      <c r="C3716" s="851"/>
      <c r="D3716" s="41"/>
      <c r="E3716" s="41"/>
      <c r="F3716" s="41"/>
      <c r="G3716" s="21"/>
      <c r="H3716" s="203"/>
    </row>
    <row r="3717" spans="1:8">
      <c r="A3717" s="200"/>
      <c r="B3717" s="198"/>
      <c r="C3717" s="851"/>
      <c r="D3717" s="41"/>
      <c r="E3717" s="41"/>
      <c r="F3717" s="41"/>
      <c r="G3717" s="21"/>
      <c r="H3717" s="203"/>
    </row>
    <row r="3718" spans="1:8">
      <c r="A3718" s="200"/>
      <c r="B3718" s="198"/>
      <c r="C3718" s="851"/>
      <c r="D3718" s="41"/>
      <c r="E3718" s="41"/>
      <c r="F3718" s="41"/>
      <c r="G3718" s="21"/>
      <c r="H3718" s="203"/>
    </row>
    <row r="3719" spans="1:8">
      <c r="A3719" s="200"/>
      <c r="B3719" s="198"/>
      <c r="C3719" s="851"/>
      <c r="D3719" s="41"/>
      <c r="E3719" s="41"/>
      <c r="F3719" s="41"/>
      <c r="G3719" s="21"/>
      <c r="H3719" s="203"/>
    </row>
    <row r="3720" spans="1:8">
      <c r="A3720" s="200"/>
      <c r="B3720" s="198"/>
      <c r="C3720" s="851"/>
      <c r="D3720" s="41"/>
      <c r="E3720" s="41"/>
      <c r="F3720" s="41"/>
      <c r="G3720" s="21"/>
      <c r="H3720" s="203"/>
    </row>
    <row r="3721" spans="1:8">
      <c r="A3721" s="200"/>
      <c r="B3721" s="198"/>
      <c r="C3721" s="851"/>
      <c r="D3721" s="41"/>
      <c r="E3721" s="41"/>
      <c r="F3721" s="41"/>
      <c r="G3721" s="21"/>
      <c r="H3721" s="203"/>
    </row>
    <row r="3722" spans="1:8">
      <c r="A3722" s="200"/>
      <c r="B3722" s="198"/>
      <c r="C3722" s="851"/>
      <c r="D3722" s="41"/>
      <c r="E3722" s="41"/>
      <c r="F3722" s="41"/>
      <c r="G3722" s="21"/>
      <c r="H3722" s="203"/>
    </row>
    <row r="3723" spans="1:8">
      <c r="A3723" s="200"/>
      <c r="B3723" s="198"/>
      <c r="C3723" s="851"/>
      <c r="D3723" s="41"/>
      <c r="E3723" s="41"/>
      <c r="F3723" s="41"/>
      <c r="G3723" s="21"/>
      <c r="H3723" s="203"/>
    </row>
    <row r="3724" spans="1:8">
      <c r="A3724" s="200"/>
      <c r="B3724" s="198"/>
      <c r="C3724" s="851"/>
      <c r="D3724" s="41"/>
      <c r="E3724" s="41"/>
      <c r="F3724" s="41"/>
      <c r="G3724" s="21"/>
      <c r="H3724" s="203"/>
    </row>
    <row r="3725" spans="1:8">
      <c r="A3725" s="200"/>
      <c r="B3725" s="198"/>
      <c r="C3725" s="851"/>
      <c r="D3725" s="41"/>
      <c r="E3725" s="41"/>
      <c r="F3725" s="41"/>
      <c r="G3725" s="21"/>
      <c r="H3725" s="203"/>
    </row>
    <row r="3726" spans="1:8">
      <c r="A3726" s="200"/>
      <c r="B3726" s="198"/>
      <c r="C3726" s="851"/>
      <c r="D3726" s="41"/>
      <c r="E3726" s="41"/>
      <c r="F3726" s="41"/>
      <c r="G3726" s="21"/>
      <c r="H3726" s="203"/>
    </row>
    <row r="3727" spans="1:8">
      <c r="A3727" s="200"/>
      <c r="B3727" s="198"/>
      <c r="C3727" s="851"/>
      <c r="D3727" s="41"/>
      <c r="E3727" s="41"/>
      <c r="F3727" s="41"/>
      <c r="G3727" s="21"/>
      <c r="H3727" s="203"/>
    </row>
    <row r="3728" spans="1:8">
      <c r="A3728" s="200"/>
      <c r="B3728" s="198"/>
      <c r="C3728" s="851"/>
      <c r="D3728" s="41"/>
      <c r="E3728" s="41"/>
      <c r="F3728" s="41"/>
      <c r="G3728" s="21"/>
      <c r="H3728" s="203"/>
    </row>
    <row r="3729" spans="1:8">
      <c r="A3729" s="200"/>
      <c r="B3729" s="198"/>
      <c r="C3729" s="851"/>
      <c r="D3729" s="41"/>
      <c r="E3729" s="41"/>
      <c r="F3729" s="41"/>
      <c r="G3729" s="21"/>
      <c r="H3729" s="203"/>
    </row>
    <row r="3730" spans="1:8">
      <c r="A3730" s="200"/>
      <c r="B3730" s="198"/>
      <c r="C3730" s="851"/>
      <c r="D3730" s="41"/>
      <c r="E3730" s="41"/>
      <c r="F3730" s="41"/>
      <c r="G3730" s="21"/>
      <c r="H3730" s="203"/>
    </row>
    <row r="3731" spans="1:8">
      <c r="A3731" s="200"/>
      <c r="B3731" s="198"/>
      <c r="C3731" s="851"/>
      <c r="D3731" s="41"/>
      <c r="E3731" s="41"/>
      <c r="F3731" s="41"/>
      <c r="G3731" s="21"/>
      <c r="H3731" s="203"/>
    </row>
    <row r="3732" spans="1:8">
      <c r="A3732" s="200"/>
      <c r="B3732" s="198"/>
      <c r="C3732" s="851"/>
      <c r="D3732" s="41"/>
      <c r="E3732" s="41"/>
      <c r="F3732" s="41"/>
      <c r="G3732" s="21"/>
      <c r="H3732" s="203"/>
    </row>
    <row r="3733" spans="1:8">
      <c r="A3733" s="200"/>
      <c r="B3733" s="198"/>
      <c r="C3733" s="851"/>
      <c r="D3733" s="41"/>
      <c r="E3733" s="41"/>
      <c r="F3733" s="41"/>
      <c r="G3733" s="21"/>
      <c r="H3733" s="203"/>
    </row>
    <row r="3734" spans="1:8">
      <c r="A3734" s="200"/>
      <c r="B3734" s="198"/>
      <c r="C3734" s="851"/>
      <c r="D3734" s="41"/>
      <c r="E3734" s="41"/>
      <c r="F3734" s="41"/>
      <c r="G3734" s="21"/>
      <c r="H3734" s="203"/>
    </row>
    <row r="3735" spans="1:8">
      <c r="A3735" s="200"/>
      <c r="B3735" s="198"/>
      <c r="C3735" s="851"/>
      <c r="D3735" s="41"/>
      <c r="E3735" s="41"/>
      <c r="F3735" s="41"/>
      <c r="G3735" s="21"/>
      <c r="H3735" s="203"/>
    </row>
    <row r="3736" spans="1:8">
      <c r="A3736" s="200"/>
      <c r="B3736" s="198"/>
      <c r="C3736" s="851"/>
      <c r="D3736" s="41"/>
      <c r="E3736" s="41"/>
      <c r="F3736" s="41"/>
      <c r="G3736" s="21"/>
      <c r="H3736" s="203"/>
    </row>
    <row r="3737" spans="1:8">
      <c r="A3737" s="200"/>
      <c r="B3737" s="198"/>
      <c r="C3737" s="851"/>
      <c r="D3737" s="41"/>
      <c r="E3737" s="41"/>
      <c r="F3737" s="41"/>
      <c r="G3737" s="21"/>
      <c r="H3737" s="203"/>
    </row>
    <row r="3738" spans="1:8">
      <c r="A3738" s="200"/>
      <c r="B3738" s="198"/>
      <c r="C3738" s="851"/>
      <c r="D3738" s="41"/>
      <c r="E3738" s="41"/>
      <c r="F3738" s="41"/>
      <c r="G3738" s="21"/>
      <c r="H3738" s="203"/>
    </row>
    <row r="3739" spans="1:8">
      <c r="A3739" s="200"/>
      <c r="B3739" s="198"/>
      <c r="C3739" s="851"/>
      <c r="D3739" s="41"/>
      <c r="E3739" s="41"/>
      <c r="F3739" s="41"/>
      <c r="G3739" s="21"/>
      <c r="H3739" s="203"/>
    </row>
    <row r="3740" spans="1:8">
      <c r="A3740" s="200"/>
      <c r="B3740" s="198"/>
      <c r="C3740" s="851"/>
      <c r="D3740" s="41"/>
      <c r="E3740" s="41"/>
      <c r="F3740" s="41"/>
      <c r="G3740" s="21"/>
      <c r="H3740" s="203"/>
    </row>
    <row r="3741" spans="1:8">
      <c r="A3741" s="200"/>
      <c r="B3741" s="198"/>
      <c r="C3741" s="851"/>
      <c r="D3741" s="41"/>
      <c r="E3741" s="41"/>
      <c r="F3741" s="41"/>
      <c r="G3741" s="21"/>
      <c r="H3741" s="203"/>
    </row>
    <row r="3742" spans="1:8">
      <c r="A3742" s="200"/>
      <c r="B3742" s="198"/>
      <c r="C3742" s="851"/>
      <c r="D3742" s="41"/>
      <c r="E3742" s="41"/>
      <c r="F3742" s="41"/>
      <c r="G3742" s="21"/>
      <c r="H3742" s="203"/>
    </row>
    <row r="3743" spans="1:8">
      <c r="A3743" s="200"/>
      <c r="B3743" s="198"/>
      <c r="C3743" s="851"/>
      <c r="D3743" s="41"/>
      <c r="E3743" s="41"/>
      <c r="F3743" s="41"/>
      <c r="G3743" s="21"/>
      <c r="H3743" s="203"/>
    </row>
    <row r="3744" spans="1:8">
      <c r="A3744" s="200"/>
      <c r="B3744" s="198"/>
      <c r="C3744" s="851"/>
      <c r="D3744" s="41"/>
      <c r="E3744" s="41"/>
      <c r="F3744" s="41"/>
      <c r="G3744" s="21"/>
      <c r="H3744" s="203"/>
    </row>
    <row r="3745" spans="1:8">
      <c r="A3745" s="200"/>
      <c r="B3745" s="198"/>
      <c r="C3745" s="851"/>
      <c r="D3745" s="41"/>
      <c r="E3745" s="41"/>
      <c r="F3745" s="41"/>
      <c r="G3745" s="21"/>
      <c r="H3745" s="203"/>
    </row>
    <row r="3746" spans="1:8">
      <c r="A3746" s="200"/>
      <c r="B3746" s="198"/>
      <c r="C3746" s="851"/>
      <c r="D3746" s="41"/>
      <c r="E3746" s="41"/>
      <c r="F3746" s="41"/>
      <c r="G3746" s="21"/>
      <c r="H3746" s="203"/>
    </row>
    <row r="3747" spans="1:8">
      <c r="A3747" s="200"/>
      <c r="B3747" s="198"/>
      <c r="C3747" s="851"/>
      <c r="D3747" s="41"/>
      <c r="E3747" s="41"/>
      <c r="F3747" s="41"/>
      <c r="G3747" s="21"/>
      <c r="H3747" s="203"/>
    </row>
    <row r="3748" spans="1:8">
      <c r="A3748" s="200"/>
      <c r="B3748" s="198"/>
      <c r="C3748" s="851"/>
      <c r="D3748" s="41"/>
      <c r="E3748" s="41"/>
      <c r="F3748" s="41"/>
      <c r="G3748" s="21"/>
      <c r="H3748" s="203"/>
    </row>
    <row r="3749" spans="1:8">
      <c r="A3749" s="200"/>
      <c r="B3749" s="198"/>
      <c r="C3749" s="851"/>
      <c r="D3749" s="41"/>
      <c r="E3749" s="41"/>
      <c r="F3749" s="41"/>
      <c r="G3749" s="21"/>
      <c r="H3749" s="203"/>
    </row>
    <row r="3750" spans="1:8">
      <c r="A3750" s="200"/>
      <c r="B3750" s="198"/>
      <c r="C3750" s="851"/>
      <c r="D3750" s="41"/>
      <c r="E3750" s="41"/>
      <c r="F3750" s="41"/>
      <c r="G3750" s="21"/>
      <c r="H3750" s="203"/>
    </row>
    <row r="3751" spans="1:8">
      <c r="A3751" s="200"/>
      <c r="B3751" s="198"/>
      <c r="C3751" s="851"/>
      <c r="D3751" s="41"/>
      <c r="E3751" s="41"/>
      <c r="F3751" s="41"/>
      <c r="G3751" s="21"/>
      <c r="H3751" s="203"/>
    </row>
    <row r="3752" spans="1:8">
      <c r="A3752" s="200"/>
      <c r="B3752" s="198"/>
      <c r="C3752" s="851"/>
      <c r="D3752" s="41"/>
      <c r="E3752" s="41"/>
      <c r="F3752" s="41"/>
      <c r="G3752" s="21"/>
      <c r="H3752" s="203"/>
    </row>
    <row r="3753" spans="1:8">
      <c r="A3753" s="200"/>
      <c r="B3753" s="198"/>
      <c r="C3753" s="851"/>
      <c r="D3753" s="41"/>
      <c r="E3753" s="41"/>
      <c r="F3753" s="41"/>
      <c r="G3753" s="21"/>
      <c r="H3753" s="203"/>
    </row>
    <row r="3754" spans="1:8">
      <c r="A3754" s="200"/>
      <c r="B3754" s="198"/>
      <c r="C3754" s="851"/>
      <c r="D3754" s="41"/>
      <c r="E3754" s="41"/>
      <c r="F3754" s="41"/>
      <c r="G3754" s="21"/>
      <c r="H3754" s="203"/>
    </row>
    <row r="3755" spans="1:8">
      <c r="A3755" s="200"/>
      <c r="B3755" s="198"/>
      <c r="C3755" s="851"/>
      <c r="D3755" s="41"/>
      <c r="E3755" s="41"/>
      <c r="F3755" s="41"/>
      <c r="G3755" s="21"/>
      <c r="H3755" s="203"/>
    </row>
    <row r="3756" spans="1:8">
      <c r="A3756" s="200"/>
      <c r="B3756" s="198"/>
      <c r="C3756" s="851"/>
      <c r="D3756" s="41"/>
      <c r="E3756" s="41"/>
      <c r="F3756" s="41"/>
      <c r="G3756" s="21"/>
      <c r="H3756" s="203"/>
    </row>
    <row r="3757" spans="1:8">
      <c r="A3757" s="200"/>
      <c r="B3757" s="198"/>
      <c r="C3757" s="851"/>
      <c r="D3757" s="41"/>
      <c r="E3757" s="41"/>
      <c r="F3757" s="41"/>
      <c r="G3757" s="21"/>
      <c r="H3757" s="203"/>
    </row>
    <row r="3758" spans="1:8">
      <c r="A3758" s="200"/>
      <c r="B3758" s="198"/>
      <c r="C3758" s="851"/>
      <c r="D3758" s="41"/>
      <c r="E3758" s="41"/>
      <c r="F3758" s="41"/>
      <c r="G3758" s="21"/>
      <c r="H3758" s="203"/>
    </row>
    <row r="3759" spans="1:8">
      <c r="A3759" s="200"/>
      <c r="B3759" s="198"/>
      <c r="C3759" s="851"/>
      <c r="D3759" s="41"/>
      <c r="E3759" s="41"/>
      <c r="F3759" s="41"/>
      <c r="G3759" s="21"/>
      <c r="H3759" s="203"/>
    </row>
    <row r="3760" spans="1:8">
      <c r="A3760" s="200"/>
      <c r="B3760" s="198"/>
      <c r="C3760" s="851"/>
      <c r="D3760" s="41"/>
      <c r="E3760" s="41"/>
      <c r="F3760" s="41"/>
      <c r="G3760" s="21"/>
      <c r="H3760" s="203"/>
    </row>
    <row r="3761" spans="1:8">
      <c r="A3761" s="200"/>
      <c r="B3761" s="198"/>
      <c r="C3761" s="851"/>
      <c r="D3761" s="41"/>
      <c r="E3761" s="41"/>
      <c r="F3761" s="41"/>
      <c r="G3761" s="21"/>
      <c r="H3761" s="203"/>
    </row>
    <row r="3762" spans="1:8">
      <c r="A3762" s="200"/>
      <c r="B3762" s="198"/>
      <c r="C3762" s="851"/>
      <c r="D3762" s="41"/>
      <c r="E3762" s="41"/>
      <c r="F3762" s="41"/>
      <c r="G3762" s="21"/>
      <c r="H3762" s="203"/>
    </row>
    <row r="3763" spans="1:8">
      <c r="A3763" s="200"/>
      <c r="B3763" s="198"/>
      <c r="C3763" s="851"/>
      <c r="D3763" s="41"/>
      <c r="E3763" s="41"/>
      <c r="F3763" s="41"/>
      <c r="G3763" s="21"/>
      <c r="H3763" s="203"/>
    </row>
    <row r="3764" spans="1:8">
      <c r="A3764" s="200"/>
      <c r="B3764" s="198"/>
      <c r="C3764" s="851"/>
      <c r="D3764" s="41"/>
      <c r="E3764" s="41"/>
      <c r="F3764" s="41"/>
      <c r="G3764" s="21"/>
      <c r="H3764" s="203"/>
    </row>
    <row r="3765" spans="1:8">
      <c r="A3765" s="200"/>
      <c r="B3765" s="198"/>
      <c r="C3765" s="851"/>
      <c r="D3765" s="41"/>
      <c r="E3765" s="41"/>
      <c r="F3765" s="41"/>
      <c r="G3765" s="21"/>
      <c r="H3765" s="203"/>
    </row>
    <row r="3766" spans="1:8">
      <c r="A3766" s="200"/>
      <c r="B3766" s="198"/>
      <c r="C3766" s="851"/>
      <c r="D3766" s="41"/>
      <c r="E3766" s="41"/>
      <c r="F3766" s="41"/>
      <c r="G3766" s="21"/>
      <c r="H3766" s="203"/>
    </row>
    <row r="3767" spans="1:8">
      <c r="A3767" s="200"/>
      <c r="B3767" s="198"/>
      <c r="C3767" s="851"/>
      <c r="D3767" s="41"/>
      <c r="E3767" s="41"/>
      <c r="F3767" s="41"/>
      <c r="G3767" s="21"/>
      <c r="H3767" s="203"/>
    </row>
    <row r="3768" spans="1:8">
      <c r="A3768" s="200"/>
      <c r="B3768" s="198"/>
      <c r="C3768" s="851"/>
      <c r="D3768" s="41"/>
      <c r="E3768" s="41"/>
      <c r="F3768" s="41"/>
      <c r="G3768" s="21"/>
      <c r="H3768" s="203"/>
    </row>
    <row r="3769" spans="1:8">
      <c r="A3769" s="200"/>
      <c r="B3769" s="198"/>
      <c r="C3769" s="851"/>
      <c r="D3769" s="41"/>
      <c r="E3769" s="41"/>
      <c r="F3769" s="41"/>
      <c r="G3769" s="21"/>
      <c r="H3769" s="203"/>
    </row>
    <row r="3770" spans="1:8">
      <c r="A3770" s="200"/>
      <c r="B3770" s="198"/>
      <c r="C3770" s="851"/>
      <c r="D3770" s="41"/>
      <c r="E3770" s="41"/>
      <c r="F3770" s="41"/>
      <c r="G3770" s="21"/>
      <c r="H3770" s="203"/>
    </row>
    <row r="3771" spans="1:8">
      <c r="A3771" s="200"/>
      <c r="B3771" s="198"/>
      <c r="C3771" s="851"/>
      <c r="D3771" s="41"/>
      <c r="E3771" s="41"/>
      <c r="F3771" s="41"/>
      <c r="G3771" s="21"/>
      <c r="H3771" s="203"/>
    </row>
    <row r="3772" spans="1:8">
      <c r="A3772" s="200"/>
      <c r="B3772" s="198"/>
      <c r="C3772" s="851"/>
      <c r="D3772" s="41"/>
      <c r="E3772" s="41"/>
      <c r="F3772" s="41"/>
      <c r="G3772" s="21"/>
      <c r="H3772" s="203"/>
    </row>
    <row r="3773" spans="1:8">
      <c r="A3773" s="200"/>
      <c r="B3773" s="198"/>
      <c r="C3773" s="851"/>
      <c r="D3773" s="41"/>
      <c r="E3773" s="41"/>
      <c r="F3773" s="41"/>
      <c r="G3773" s="21"/>
      <c r="H3773" s="203"/>
    </row>
    <row r="3774" spans="1:8">
      <c r="A3774" s="200"/>
      <c r="B3774" s="198"/>
      <c r="C3774" s="851"/>
      <c r="D3774" s="41"/>
      <c r="E3774" s="41"/>
      <c r="F3774" s="41"/>
      <c r="G3774" s="21"/>
      <c r="H3774" s="203"/>
    </row>
    <row r="3775" spans="1:8">
      <c r="A3775" s="200"/>
      <c r="B3775" s="198"/>
      <c r="C3775" s="851"/>
      <c r="D3775" s="41"/>
      <c r="E3775" s="41"/>
      <c r="F3775" s="41"/>
      <c r="G3775" s="21"/>
      <c r="H3775" s="203"/>
    </row>
    <row r="3776" spans="1:8">
      <c r="A3776" s="200"/>
      <c r="B3776" s="198"/>
      <c r="C3776" s="851"/>
      <c r="D3776" s="41"/>
      <c r="E3776" s="41"/>
      <c r="F3776" s="41"/>
      <c r="G3776" s="21"/>
      <c r="H3776" s="203"/>
    </row>
    <row r="3777" spans="1:8">
      <c r="A3777" s="200"/>
      <c r="B3777" s="198"/>
      <c r="C3777" s="851"/>
      <c r="D3777" s="41"/>
      <c r="E3777" s="41"/>
      <c r="F3777" s="41"/>
      <c r="G3777" s="21"/>
      <c r="H3777" s="203"/>
    </row>
    <row r="3778" spans="1:8">
      <c r="A3778" s="200"/>
      <c r="B3778" s="198"/>
      <c r="C3778" s="851"/>
      <c r="D3778" s="41"/>
      <c r="E3778" s="41"/>
      <c r="F3778" s="41"/>
      <c r="G3778" s="21"/>
      <c r="H3778" s="203"/>
    </row>
    <row r="3779" spans="1:8">
      <c r="A3779" s="200"/>
      <c r="B3779" s="198"/>
      <c r="C3779" s="851"/>
      <c r="D3779" s="41"/>
      <c r="E3779" s="41"/>
      <c r="F3779" s="41"/>
      <c r="G3779" s="21"/>
      <c r="H3779" s="203"/>
    </row>
    <row r="3780" spans="1:8">
      <c r="A3780" s="200"/>
      <c r="B3780" s="198"/>
      <c r="C3780" s="851"/>
      <c r="D3780" s="41"/>
      <c r="E3780" s="41"/>
      <c r="F3780" s="41"/>
      <c r="G3780" s="21"/>
      <c r="H3780" s="203"/>
    </row>
    <row r="3781" spans="1:8">
      <c r="A3781" s="200"/>
      <c r="B3781" s="198"/>
      <c r="C3781" s="851"/>
      <c r="D3781" s="41"/>
      <c r="E3781" s="41"/>
      <c r="F3781" s="41"/>
      <c r="G3781" s="21"/>
      <c r="H3781" s="203"/>
    </row>
    <row r="3782" spans="1:8">
      <c r="A3782" s="200"/>
      <c r="B3782" s="198"/>
      <c r="C3782" s="851"/>
      <c r="D3782" s="41"/>
      <c r="E3782" s="41"/>
      <c r="F3782" s="41"/>
      <c r="G3782" s="21"/>
      <c r="H3782" s="203"/>
    </row>
    <row r="3783" spans="1:8">
      <c r="A3783" s="200"/>
      <c r="B3783" s="198"/>
      <c r="C3783" s="851"/>
      <c r="D3783" s="41"/>
      <c r="E3783" s="41"/>
      <c r="F3783" s="41"/>
      <c r="G3783" s="21"/>
      <c r="H3783" s="203"/>
    </row>
    <row r="3784" spans="1:8">
      <c r="A3784" s="200"/>
      <c r="B3784" s="198"/>
      <c r="C3784" s="851"/>
      <c r="D3784" s="41"/>
      <c r="E3784" s="41"/>
      <c r="F3784" s="41"/>
      <c r="G3784" s="21"/>
      <c r="H3784" s="203"/>
    </row>
    <row r="3785" spans="1:8">
      <c r="A3785" s="200"/>
      <c r="B3785" s="198"/>
      <c r="C3785" s="851"/>
      <c r="D3785" s="41"/>
      <c r="E3785" s="41"/>
      <c r="F3785" s="41"/>
      <c r="G3785" s="21"/>
      <c r="H3785" s="203"/>
    </row>
    <row r="3786" spans="1:8">
      <c r="A3786" s="200"/>
      <c r="B3786" s="198"/>
      <c r="C3786" s="851"/>
      <c r="D3786" s="41"/>
      <c r="E3786" s="41"/>
      <c r="F3786" s="41"/>
      <c r="G3786" s="21"/>
      <c r="H3786" s="203"/>
    </row>
    <row r="3787" spans="1:8">
      <c r="A3787" s="200"/>
      <c r="B3787" s="198"/>
      <c r="C3787" s="851"/>
      <c r="D3787" s="41"/>
      <c r="E3787" s="41"/>
      <c r="F3787" s="41"/>
      <c r="G3787" s="21"/>
      <c r="H3787" s="203"/>
    </row>
    <row r="3788" spans="1:8">
      <c r="A3788" s="200"/>
      <c r="B3788" s="198"/>
      <c r="C3788" s="851"/>
      <c r="D3788" s="41"/>
      <c r="E3788" s="41"/>
      <c r="F3788" s="41"/>
      <c r="G3788" s="21"/>
      <c r="H3788" s="203"/>
    </row>
    <row r="3789" spans="1:8">
      <c r="A3789" s="200"/>
      <c r="B3789" s="198"/>
      <c r="C3789" s="851"/>
      <c r="D3789" s="41"/>
      <c r="E3789" s="41"/>
      <c r="F3789" s="41"/>
      <c r="G3789" s="21"/>
      <c r="H3789" s="203"/>
    </row>
    <row r="3790" spans="1:8">
      <c r="A3790" s="200"/>
      <c r="B3790" s="198"/>
      <c r="C3790" s="851"/>
      <c r="D3790" s="41"/>
      <c r="E3790" s="41"/>
      <c r="F3790" s="41"/>
      <c r="G3790" s="21"/>
      <c r="H3790" s="203"/>
    </row>
    <row r="3791" spans="1:8">
      <c r="A3791" s="200"/>
      <c r="B3791" s="198"/>
      <c r="C3791" s="851"/>
      <c r="D3791" s="41"/>
      <c r="E3791" s="41"/>
      <c r="F3791" s="41"/>
      <c r="G3791" s="21"/>
      <c r="H3791" s="203"/>
    </row>
    <row r="3792" spans="1:8">
      <c r="A3792" s="200"/>
      <c r="B3792" s="198"/>
      <c r="C3792" s="851"/>
      <c r="D3792" s="41"/>
      <c r="E3792" s="41"/>
      <c r="F3792" s="41"/>
      <c r="G3792" s="21"/>
      <c r="H3792" s="203"/>
    </row>
    <row r="3793" spans="1:8">
      <c r="A3793" s="200"/>
      <c r="B3793" s="198"/>
      <c r="C3793" s="851"/>
      <c r="D3793" s="41"/>
      <c r="E3793" s="41"/>
      <c r="F3793" s="41"/>
      <c r="G3793" s="21"/>
      <c r="H3793" s="203"/>
    </row>
    <row r="3794" spans="1:8">
      <c r="A3794" s="200"/>
      <c r="B3794" s="198"/>
      <c r="C3794" s="851"/>
      <c r="D3794" s="41"/>
      <c r="E3794" s="41"/>
      <c r="F3794" s="41"/>
      <c r="G3794" s="21"/>
      <c r="H3794" s="203"/>
    </row>
    <row r="3795" spans="1:8">
      <c r="A3795" s="200"/>
      <c r="B3795" s="198"/>
      <c r="C3795" s="851"/>
      <c r="D3795" s="41"/>
      <c r="E3795" s="41"/>
      <c r="F3795" s="41"/>
      <c r="G3795" s="21"/>
      <c r="H3795" s="203"/>
    </row>
    <row r="3796" spans="1:8">
      <c r="A3796" s="200"/>
      <c r="B3796" s="198"/>
      <c r="C3796" s="851"/>
      <c r="D3796" s="41"/>
      <c r="E3796" s="41"/>
      <c r="F3796" s="41"/>
      <c r="G3796" s="21"/>
      <c r="H3796" s="203"/>
    </row>
    <row r="3797" spans="1:8">
      <c r="A3797" s="200"/>
      <c r="B3797" s="198"/>
      <c r="C3797" s="851"/>
      <c r="D3797" s="41"/>
      <c r="E3797" s="41"/>
      <c r="F3797" s="41"/>
      <c r="G3797" s="21"/>
      <c r="H3797" s="203"/>
    </row>
    <row r="3798" spans="1:8">
      <c r="A3798" s="200"/>
      <c r="B3798" s="198"/>
      <c r="C3798" s="851"/>
      <c r="D3798" s="41"/>
      <c r="E3798" s="41"/>
      <c r="F3798" s="41"/>
      <c r="G3798" s="21"/>
      <c r="H3798" s="203"/>
    </row>
    <row r="3799" spans="1:8">
      <c r="A3799" s="200"/>
      <c r="B3799" s="198"/>
      <c r="C3799" s="851"/>
      <c r="D3799" s="41"/>
      <c r="E3799" s="41"/>
      <c r="F3799" s="41"/>
      <c r="G3799" s="21"/>
      <c r="H3799" s="203"/>
    </row>
    <row r="3800" spans="1:8">
      <c r="A3800" s="200"/>
      <c r="B3800" s="198"/>
      <c r="C3800" s="851"/>
      <c r="D3800" s="41"/>
      <c r="E3800" s="41"/>
      <c r="F3800" s="41"/>
      <c r="G3800" s="21"/>
      <c r="H3800" s="203"/>
    </row>
    <row r="3801" spans="1:8">
      <c r="A3801" s="200"/>
      <c r="B3801" s="198"/>
      <c r="C3801" s="851"/>
      <c r="D3801" s="41"/>
      <c r="E3801" s="41"/>
      <c r="F3801" s="41"/>
      <c r="G3801" s="21"/>
      <c r="H3801" s="203"/>
    </row>
    <row r="3802" spans="1:8">
      <c r="A3802" s="200"/>
      <c r="B3802" s="198"/>
      <c r="C3802" s="851"/>
      <c r="D3802" s="41"/>
      <c r="E3802" s="41"/>
      <c r="F3802" s="41"/>
      <c r="G3802" s="21"/>
      <c r="H3802" s="203"/>
    </row>
    <row r="3803" spans="1:8">
      <c r="A3803" s="200"/>
      <c r="B3803" s="198"/>
      <c r="C3803" s="851"/>
      <c r="D3803" s="41"/>
      <c r="E3803" s="41"/>
      <c r="F3803" s="41"/>
      <c r="G3803" s="21"/>
      <c r="H3803" s="203"/>
    </row>
    <row r="3804" spans="1:8">
      <c r="A3804" s="200"/>
      <c r="B3804" s="198"/>
      <c r="C3804" s="851"/>
      <c r="D3804" s="41"/>
      <c r="E3804" s="41"/>
      <c r="F3804" s="41"/>
      <c r="G3804" s="21"/>
      <c r="H3804" s="203"/>
    </row>
    <row r="3805" spans="1:8">
      <c r="A3805" s="200"/>
      <c r="B3805" s="198"/>
      <c r="C3805" s="851"/>
      <c r="D3805" s="41"/>
      <c r="E3805" s="41"/>
      <c r="F3805" s="41"/>
      <c r="G3805" s="21"/>
      <c r="H3805" s="203"/>
    </row>
    <row r="3806" spans="1:8">
      <c r="A3806" s="200"/>
      <c r="B3806" s="198"/>
      <c r="C3806" s="851"/>
      <c r="D3806" s="41"/>
      <c r="E3806" s="41"/>
      <c r="F3806" s="41"/>
      <c r="G3806" s="21"/>
      <c r="H3806" s="203"/>
    </row>
    <row r="3807" spans="1:8">
      <c r="A3807" s="200"/>
      <c r="B3807" s="198"/>
      <c r="C3807" s="851"/>
      <c r="D3807" s="41"/>
      <c r="E3807" s="41"/>
      <c r="F3807" s="41"/>
      <c r="G3807" s="21"/>
      <c r="H3807" s="203"/>
    </row>
    <row r="3808" spans="1:8">
      <c r="A3808" s="200"/>
      <c r="B3808" s="198"/>
      <c r="C3808" s="851"/>
      <c r="D3808" s="41"/>
      <c r="E3808" s="41"/>
      <c r="F3808" s="41"/>
      <c r="G3808" s="21"/>
      <c r="H3808" s="203"/>
    </row>
    <row r="3809" spans="1:8">
      <c r="A3809" s="200"/>
      <c r="B3809" s="198"/>
      <c r="C3809" s="851"/>
      <c r="D3809" s="41"/>
      <c r="E3809" s="41"/>
      <c r="F3809" s="41"/>
      <c r="G3809" s="21"/>
      <c r="H3809" s="203"/>
    </row>
    <row r="3810" spans="1:8">
      <c r="A3810" s="200"/>
      <c r="B3810" s="198"/>
      <c r="C3810" s="851"/>
      <c r="D3810" s="41"/>
      <c r="E3810" s="41"/>
      <c r="F3810" s="41"/>
      <c r="G3810" s="21"/>
      <c r="H3810" s="203"/>
    </row>
    <row r="3811" spans="1:8">
      <c r="A3811" s="200"/>
      <c r="B3811" s="198"/>
      <c r="C3811" s="851"/>
      <c r="D3811" s="41"/>
      <c r="E3811" s="41"/>
      <c r="F3811" s="41"/>
      <c r="G3811" s="21"/>
      <c r="H3811" s="203"/>
    </row>
    <row r="3812" spans="1:8">
      <c r="A3812" s="200"/>
      <c r="B3812" s="198"/>
      <c r="C3812" s="851"/>
      <c r="D3812" s="41"/>
      <c r="E3812" s="41"/>
      <c r="F3812" s="41"/>
      <c r="G3812" s="21"/>
      <c r="H3812" s="203"/>
    </row>
    <row r="3813" spans="1:8">
      <c r="A3813" s="200"/>
      <c r="B3813" s="198"/>
      <c r="C3813" s="851"/>
      <c r="D3813" s="41"/>
      <c r="E3813" s="41"/>
      <c r="F3813" s="41"/>
      <c r="G3813" s="21"/>
      <c r="H3813" s="203"/>
    </row>
    <row r="3814" spans="1:8">
      <c r="A3814" s="200"/>
      <c r="B3814" s="198"/>
      <c r="C3814" s="851"/>
      <c r="D3814" s="41"/>
      <c r="E3814" s="41"/>
      <c r="F3814" s="41"/>
      <c r="G3814" s="21"/>
      <c r="H3814" s="203"/>
    </row>
    <row r="3815" spans="1:8">
      <c r="A3815" s="200"/>
      <c r="B3815" s="198"/>
      <c r="C3815" s="851"/>
      <c r="D3815" s="41"/>
      <c r="E3815" s="41"/>
      <c r="F3815" s="41"/>
      <c r="G3815" s="21"/>
      <c r="H3815" s="203"/>
    </row>
    <row r="3816" spans="1:8">
      <c r="A3816" s="200"/>
      <c r="B3816" s="198"/>
      <c r="C3816" s="851"/>
      <c r="D3816" s="41"/>
      <c r="E3816" s="41"/>
      <c r="F3816" s="41"/>
      <c r="G3816" s="21"/>
      <c r="H3816" s="203"/>
    </row>
    <row r="3817" spans="1:8">
      <c r="A3817" s="200"/>
      <c r="B3817" s="198"/>
      <c r="C3817" s="851"/>
      <c r="D3817" s="41"/>
      <c r="E3817" s="41"/>
      <c r="F3817" s="41"/>
      <c r="G3817" s="21"/>
      <c r="H3817" s="203"/>
    </row>
    <row r="3818" spans="1:8">
      <c r="A3818" s="200"/>
      <c r="B3818" s="198"/>
      <c r="C3818" s="851"/>
      <c r="D3818" s="41"/>
      <c r="E3818" s="41"/>
      <c r="F3818" s="41"/>
      <c r="G3818" s="21"/>
      <c r="H3818" s="203"/>
    </row>
    <row r="3819" spans="1:8">
      <c r="A3819" s="200"/>
      <c r="B3819" s="198"/>
      <c r="C3819" s="851"/>
      <c r="D3819" s="41"/>
      <c r="E3819" s="41"/>
      <c r="F3819" s="41"/>
      <c r="G3819" s="21"/>
      <c r="H3819" s="203"/>
    </row>
    <row r="3820" spans="1:8">
      <c r="A3820" s="200"/>
      <c r="B3820" s="198"/>
      <c r="C3820" s="851"/>
      <c r="D3820" s="41"/>
      <c r="E3820" s="41"/>
      <c r="F3820" s="41"/>
      <c r="G3820" s="21"/>
      <c r="H3820" s="203"/>
    </row>
    <row r="3821" spans="1:8">
      <c r="A3821" s="200"/>
      <c r="B3821" s="198"/>
      <c r="C3821" s="851"/>
      <c r="D3821" s="41"/>
      <c r="E3821" s="41"/>
      <c r="F3821" s="41"/>
      <c r="G3821" s="21"/>
      <c r="H3821" s="203"/>
    </row>
    <row r="3822" spans="1:8">
      <c r="A3822" s="200"/>
      <c r="B3822" s="198"/>
      <c r="C3822" s="851"/>
      <c r="D3822" s="41"/>
      <c r="E3822" s="41"/>
      <c r="F3822" s="41"/>
      <c r="G3822" s="21"/>
      <c r="H3822" s="203"/>
    </row>
    <row r="3823" spans="1:8">
      <c r="A3823" s="200"/>
      <c r="B3823" s="198"/>
      <c r="C3823" s="851"/>
      <c r="D3823" s="41"/>
      <c r="E3823" s="41"/>
      <c r="F3823" s="41"/>
      <c r="G3823" s="21"/>
      <c r="H3823" s="203"/>
    </row>
    <row r="3824" spans="1:8">
      <c r="A3824" s="200"/>
      <c r="B3824" s="198"/>
      <c r="C3824" s="851"/>
      <c r="D3824" s="41"/>
      <c r="E3824" s="41"/>
      <c r="F3824" s="41"/>
      <c r="G3824" s="21"/>
      <c r="H3824" s="203"/>
    </row>
    <row r="3825" spans="1:8">
      <c r="A3825" s="200"/>
      <c r="B3825" s="198"/>
      <c r="C3825" s="851"/>
      <c r="D3825" s="41"/>
      <c r="E3825" s="41"/>
      <c r="F3825" s="41"/>
      <c r="G3825" s="21"/>
      <c r="H3825" s="203"/>
    </row>
    <row r="3826" spans="1:8">
      <c r="A3826" s="200"/>
      <c r="B3826" s="198"/>
      <c r="C3826" s="851"/>
      <c r="D3826" s="41"/>
      <c r="E3826" s="41"/>
      <c r="F3826" s="41"/>
      <c r="G3826" s="21"/>
      <c r="H3826" s="203"/>
    </row>
    <row r="3827" spans="1:8">
      <c r="A3827" s="200"/>
      <c r="B3827" s="198"/>
      <c r="C3827" s="851"/>
      <c r="D3827" s="41"/>
      <c r="E3827" s="41"/>
      <c r="F3827" s="41"/>
      <c r="G3827" s="21"/>
      <c r="H3827" s="203"/>
    </row>
    <row r="3828" spans="1:8">
      <c r="A3828" s="200"/>
      <c r="B3828" s="198"/>
      <c r="C3828" s="851"/>
      <c r="D3828" s="41"/>
      <c r="E3828" s="41"/>
      <c r="F3828" s="41"/>
      <c r="G3828" s="21"/>
      <c r="H3828" s="203"/>
    </row>
    <row r="3829" spans="1:8">
      <c r="A3829" s="200"/>
      <c r="B3829" s="198"/>
      <c r="C3829" s="851"/>
      <c r="D3829" s="41"/>
      <c r="E3829" s="41"/>
      <c r="F3829" s="41"/>
      <c r="G3829" s="21"/>
      <c r="H3829" s="203"/>
    </row>
    <row r="3830" spans="1:8">
      <c r="A3830" s="200"/>
      <c r="B3830" s="198"/>
      <c r="C3830" s="851"/>
      <c r="D3830" s="41"/>
      <c r="E3830" s="41"/>
      <c r="F3830" s="41"/>
      <c r="G3830" s="21"/>
      <c r="H3830" s="203"/>
    </row>
    <row r="3831" spans="1:8">
      <c r="A3831" s="200"/>
      <c r="B3831" s="198"/>
      <c r="C3831" s="851"/>
      <c r="D3831" s="41"/>
      <c r="E3831" s="41"/>
      <c r="F3831" s="41"/>
      <c r="G3831" s="21"/>
      <c r="H3831" s="203"/>
    </row>
    <row r="3832" spans="1:8">
      <c r="A3832" s="200"/>
      <c r="B3832" s="198"/>
      <c r="C3832" s="851"/>
      <c r="D3832" s="41"/>
      <c r="E3832" s="41"/>
      <c r="F3832" s="41"/>
      <c r="G3832" s="21"/>
      <c r="H3832" s="203"/>
    </row>
    <row r="3833" spans="1:8">
      <c r="A3833" s="200"/>
      <c r="B3833" s="198"/>
      <c r="C3833" s="851"/>
      <c r="D3833" s="41"/>
      <c r="E3833" s="41"/>
      <c r="F3833" s="41"/>
      <c r="G3833" s="21"/>
      <c r="H3833" s="203"/>
    </row>
    <row r="3834" spans="1:8">
      <c r="A3834" s="200"/>
      <c r="B3834" s="198"/>
      <c r="C3834" s="851"/>
      <c r="D3834" s="41"/>
      <c r="E3834" s="41"/>
      <c r="F3834" s="41"/>
      <c r="G3834" s="21"/>
      <c r="H3834" s="203"/>
    </row>
    <row r="3835" spans="1:8">
      <c r="A3835" s="200"/>
      <c r="B3835" s="198"/>
      <c r="C3835" s="851"/>
      <c r="D3835" s="41"/>
      <c r="E3835" s="41"/>
      <c r="F3835" s="41"/>
      <c r="G3835" s="21"/>
      <c r="H3835" s="203"/>
    </row>
    <row r="3836" spans="1:8">
      <c r="A3836" s="200"/>
      <c r="B3836" s="198"/>
      <c r="C3836" s="851"/>
      <c r="D3836" s="41"/>
      <c r="E3836" s="41"/>
      <c r="F3836" s="41"/>
      <c r="G3836" s="21"/>
      <c r="H3836" s="203"/>
    </row>
    <row r="3837" spans="1:8">
      <c r="A3837" s="200"/>
      <c r="B3837" s="198"/>
      <c r="C3837" s="851"/>
      <c r="D3837" s="41"/>
      <c r="E3837" s="41"/>
      <c r="F3837" s="41"/>
      <c r="G3837" s="21"/>
      <c r="H3837" s="203"/>
    </row>
    <row r="3838" spans="1:8">
      <c r="A3838" s="200"/>
      <c r="B3838" s="198"/>
      <c r="C3838" s="851"/>
      <c r="D3838" s="41"/>
      <c r="E3838" s="41"/>
      <c r="F3838" s="41"/>
      <c r="G3838" s="21"/>
      <c r="H3838" s="203"/>
    </row>
    <row r="3839" spans="1:8">
      <c r="A3839" s="200"/>
      <c r="B3839" s="198"/>
      <c r="C3839" s="851"/>
      <c r="D3839" s="41"/>
      <c r="E3839" s="41"/>
      <c r="F3839" s="41"/>
      <c r="G3839" s="21"/>
      <c r="H3839" s="203"/>
    </row>
    <row r="3840" spans="1:8">
      <c r="A3840" s="200"/>
      <c r="B3840" s="198"/>
      <c r="C3840" s="851"/>
      <c r="D3840" s="41"/>
      <c r="E3840" s="41"/>
      <c r="F3840" s="41"/>
      <c r="G3840" s="21"/>
      <c r="H3840" s="203"/>
    </row>
    <row r="3841" spans="1:8">
      <c r="A3841" s="200"/>
      <c r="B3841" s="198"/>
      <c r="C3841" s="851"/>
      <c r="D3841" s="41"/>
      <c r="E3841" s="41"/>
      <c r="F3841" s="41"/>
      <c r="G3841" s="21"/>
      <c r="H3841" s="203"/>
    </row>
    <row r="3842" spans="1:8">
      <c r="A3842" s="200"/>
      <c r="B3842" s="198"/>
      <c r="C3842" s="851"/>
      <c r="D3842" s="41"/>
      <c r="E3842" s="41"/>
      <c r="F3842" s="41"/>
      <c r="G3842" s="21"/>
      <c r="H3842" s="203"/>
    </row>
    <row r="3843" spans="1:8">
      <c r="A3843" s="200"/>
      <c r="B3843" s="198"/>
      <c r="C3843" s="851"/>
      <c r="D3843" s="41"/>
      <c r="E3843" s="41"/>
      <c r="F3843" s="41"/>
      <c r="G3843" s="21"/>
      <c r="H3843" s="203"/>
    </row>
    <row r="3844" spans="1:8">
      <c r="A3844" s="200"/>
      <c r="B3844" s="198"/>
      <c r="C3844" s="851"/>
      <c r="D3844" s="41"/>
      <c r="E3844" s="41"/>
      <c r="F3844" s="41"/>
      <c r="G3844" s="21"/>
      <c r="H3844" s="203"/>
    </row>
    <row r="3845" spans="1:8">
      <c r="A3845" s="200"/>
      <c r="B3845" s="198"/>
      <c r="C3845" s="851"/>
      <c r="D3845" s="41"/>
      <c r="E3845" s="41"/>
      <c r="F3845" s="41"/>
      <c r="G3845" s="21"/>
      <c r="H3845" s="203"/>
    </row>
    <row r="3846" spans="1:8">
      <c r="A3846" s="200"/>
      <c r="B3846" s="198"/>
      <c r="C3846" s="851"/>
      <c r="D3846" s="41"/>
      <c r="E3846" s="41"/>
      <c r="F3846" s="41"/>
      <c r="G3846" s="21"/>
      <c r="H3846" s="203"/>
    </row>
    <row r="3847" spans="1:8">
      <c r="A3847" s="200"/>
      <c r="B3847" s="198"/>
      <c r="C3847" s="851"/>
      <c r="D3847" s="41"/>
      <c r="E3847" s="41"/>
      <c r="F3847" s="41"/>
      <c r="G3847" s="21"/>
      <c r="H3847" s="203"/>
    </row>
    <row r="3848" spans="1:8">
      <c r="A3848" s="200"/>
      <c r="B3848" s="198"/>
      <c r="C3848" s="851"/>
      <c r="D3848" s="41"/>
      <c r="E3848" s="41"/>
      <c r="F3848" s="41"/>
      <c r="G3848" s="21"/>
      <c r="H3848" s="203"/>
    </row>
    <row r="3849" spans="1:8">
      <c r="A3849" s="200"/>
      <c r="B3849" s="198"/>
      <c r="C3849" s="851"/>
      <c r="D3849" s="41"/>
      <c r="E3849" s="41"/>
      <c r="F3849" s="41"/>
      <c r="G3849" s="21"/>
      <c r="H3849" s="203"/>
    </row>
    <row r="3850" spans="1:8">
      <c r="A3850" s="200"/>
      <c r="B3850" s="198"/>
      <c r="C3850" s="851"/>
      <c r="D3850" s="41"/>
      <c r="E3850" s="41"/>
      <c r="F3850" s="41"/>
      <c r="G3850" s="21"/>
      <c r="H3850" s="203"/>
    </row>
    <row r="3851" spans="1:8">
      <c r="A3851" s="200"/>
      <c r="B3851" s="198"/>
      <c r="C3851" s="851"/>
      <c r="D3851" s="41"/>
      <c r="E3851" s="41"/>
      <c r="F3851" s="41"/>
      <c r="G3851" s="21"/>
      <c r="H3851" s="203"/>
    </row>
    <row r="3852" spans="1:8">
      <c r="A3852" s="200"/>
      <c r="B3852" s="198"/>
      <c r="C3852" s="851"/>
      <c r="D3852" s="41"/>
      <c r="E3852" s="41"/>
      <c r="F3852" s="41"/>
      <c r="G3852" s="21"/>
      <c r="H3852" s="203"/>
    </row>
    <row r="3853" spans="1:8">
      <c r="A3853" s="200"/>
      <c r="B3853" s="198"/>
      <c r="C3853" s="851"/>
      <c r="D3853" s="41"/>
      <c r="E3853" s="41"/>
      <c r="F3853" s="41"/>
      <c r="G3853" s="21"/>
      <c r="H3853" s="203"/>
    </row>
    <row r="3854" spans="1:8">
      <c r="A3854" s="200"/>
      <c r="B3854" s="198"/>
      <c r="C3854" s="851"/>
      <c r="D3854" s="41"/>
      <c r="E3854" s="41"/>
      <c r="F3854" s="41"/>
      <c r="G3854" s="21"/>
      <c r="H3854" s="203"/>
    </row>
    <row r="3855" spans="1:8">
      <c r="A3855" s="200"/>
      <c r="B3855" s="198"/>
      <c r="C3855" s="851"/>
      <c r="D3855" s="41"/>
      <c r="E3855" s="41"/>
      <c r="F3855" s="41"/>
      <c r="G3855" s="21"/>
      <c r="H3855" s="203"/>
    </row>
    <row r="3856" spans="1:8">
      <c r="A3856" s="200"/>
      <c r="B3856" s="198"/>
      <c r="C3856" s="851"/>
      <c r="D3856" s="41"/>
      <c r="E3856" s="41"/>
      <c r="F3856" s="41"/>
      <c r="G3856" s="21"/>
      <c r="H3856" s="203"/>
    </row>
    <row r="3857" spans="1:8">
      <c r="A3857" s="200"/>
      <c r="B3857" s="198"/>
      <c r="C3857" s="851"/>
      <c r="D3857" s="41"/>
      <c r="E3857" s="41"/>
      <c r="F3857" s="41"/>
      <c r="G3857" s="21"/>
      <c r="H3857" s="203"/>
    </row>
    <row r="3858" spans="1:8">
      <c r="A3858" s="200"/>
      <c r="B3858" s="198"/>
      <c r="C3858" s="851"/>
      <c r="D3858" s="41"/>
      <c r="E3858" s="41"/>
      <c r="F3858" s="41"/>
      <c r="G3858" s="21"/>
      <c r="H3858" s="203"/>
    </row>
    <row r="3859" spans="1:8">
      <c r="A3859" s="200"/>
      <c r="B3859" s="198"/>
      <c r="C3859" s="851"/>
      <c r="D3859" s="41"/>
      <c r="E3859" s="41"/>
      <c r="F3859" s="41"/>
      <c r="G3859" s="21"/>
      <c r="H3859" s="203"/>
    </row>
    <row r="3860" spans="1:8">
      <c r="A3860" s="200"/>
      <c r="B3860" s="198"/>
      <c r="C3860" s="851"/>
      <c r="D3860" s="41"/>
      <c r="E3860" s="41"/>
      <c r="F3860" s="41"/>
      <c r="G3860" s="21"/>
      <c r="H3860" s="203"/>
    </row>
    <row r="3861" spans="1:8">
      <c r="A3861" s="200"/>
      <c r="B3861" s="198"/>
      <c r="C3861" s="851"/>
      <c r="D3861" s="41"/>
      <c r="E3861" s="41"/>
      <c r="F3861" s="41"/>
      <c r="G3861" s="21"/>
      <c r="H3861" s="203"/>
    </row>
    <row r="3862" spans="1:8">
      <c r="A3862" s="200"/>
      <c r="B3862" s="198"/>
      <c r="C3862" s="851"/>
      <c r="D3862" s="41"/>
      <c r="E3862" s="41"/>
      <c r="F3862" s="41"/>
      <c r="G3862" s="21"/>
      <c r="H3862" s="203"/>
    </row>
    <row r="3863" spans="1:8">
      <c r="A3863" s="200"/>
      <c r="B3863" s="198"/>
      <c r="C3863" s="851"/>
      <c r="D3863" s="41"/>
      <c r="E3863" s="41"/>
      <c r="F3863" s="41"/>
      <c r="G3863" s="21"/>
      <c r="H3863" s="203"/>
    </row>
    <row r="3864" spans="1:8">
      <c r="A3864" s="200"/>
      <c r="B3864" s="198"/>
      <c r="C3864" s="851"/>
      <c r="D3864" s="41"/>
      <c r="E3864" s="41"/>
      <c r="F3864" s="41"/>
      <c r="G3864" s="21"/>
      <c r="H3864" s="203"/>
    </row>
    <row r="3865" spans="1:8">
      <c r="A3865" s="200"/>
      <c r="B3865" s="198"/>
      <c r="C3865" s="851"/>
      <c r="D3865" s="41"/>
      <c r="E3865" s="41"/>
      <c r="F3865" s="41"/>
      <c r="G3865" s="21"/>
      <c r="H3865" s="203"/>
    </row>
    <row r="3866" spans="1:8">
      <c r="A3866" s="200"/>
      <c r="B3866" s="198"/>
      <c r="C3866" s="851"/>
      <c r="D3866" s="41"/>
      <c r="E3866" s="41"/>
      <c r="F3866" s="41"/>
      <c r="G3866" s="21"/>
      <c r="H3866" s="203"/>
    </row>
    <row r="3867" spans="1:8">
      <c r="A3867" s="200"/>
      <c r="B3867" s="198"/>
      <c r="C3867" s="851"/>
      <c r="D3867" s="41"/>
      <c r="E3867" s="41"/>
      <c r="F3867" s="41"/>
      <c r="G3867" s="21"/>
      <c r="H3867" s="203"/>
    </row>
    <row r="3868" spans="1:8">
      <c r="A3868" s="200"/>
      <c r="B3868" s="198"/>
      <c r="C3868" s="851"/>
      <c r="D3868" s="41"/>
      <c r="E3868" s="41"/>
      <c r="F3868" s="41"/>
      <c r="G3868" s="21"/>
      <c r="H3868" s="203"/>
    </row>
    <row r="3869" spans="1:8">
      <c r="A3869" s="200"/>
      <c r="B3869" s="198"/>
      <c r="C3869" s="851"/>
      <c r="D3869" s="41"/>
      <c r="E3869" s="41"/>
      <c r="F3869" s="41"/>
      <c r="G3869" s="21"/>
      <c r="H3869" s="203"/>
    </row>
    <row r="3870" spans="1:8">
      <c r="A3870" s="200"/>
      <c r="B3870" s="198"/>
      <c r="C3870" s="851"/>
      <c r="D3870" s="41"/>
      <c r="E3870" s="41"/>
      <c r="F3870" s="41"/>
      <c r="G3870" s="21"/>
      <c r="H3870" s="203"/>
    </row>
    <row r="3871" spans="1:8">
      <c r="A3871" s="200"/>
      <c r="B3871" s="198"/>
      <c r="C3871" s="851"/>
      <c r="D3871" s="41"/>
      <c r="E3871" s="41"/>
      <c r="F3871" s="41"/>
      <c r="G3871" s="21"/>
      <c r="H3871" s="203"/>
    </row>
    <row r="3872" spans="1:8">
      <c r="A3872" s="200"/>
      <c r="B3872" s="198"/>
      <c r="C3872" s="851"/>
      <c r="D3872" s="41"/>
      <c r="E3872" s="41"/>
      <c r="F3872" s="41"/>
      <c r="G3872" s="21"/>
      <c r="H3872" s="203"/>
    </row>
    <row r="3873" spans="1:8">
      <c r="A3873" s="200"/>
      <c r="B3873" s="198"/>
      <c r="C3873" s="851"/>
      <c r="D3873" s="41"/>
      <c r="E3873" s="41"/>
      <c r="F3873" s="41"/>
      <c r="G3873" s="21"/>
      <c r="H3873" s="203"/>
    </row>
    <row r="3874" spans="1:8">
      <c r="A3874" s="200"/>
      <c r="B3874" s="198"/>
      <c r="C3874" s="851"/>
      <c r="D3874" s="41"/>
      <c r="E3874" s="41"/>
      <c r="F3874" s="41"/>
      <c r="G3874" s="21"/>
      <c r="H3874" s="203"/>
    </row>
    <row r="3875" spans="1:8">
      <c r="A3875" s="200"/>
      <c r="B3875" s="198"/>
      <c r="C3875" s="851"/>
      <c r="D3875" s="41"/>
      <c r="E3875" s="41"/>
      <c r="F3875" s="41"/>
      <c r="G3875" s="21"/>
      <c r="H3875" s="203"/>
    </row>
    <row r="3876" spans="1:8">
      <c r="A3876" s="200"/>
      <c r="B3876" s="198"/>
      <c r="C3876" s="851"/>
      <c r="D3876" s="41"/>
      <c r="E3876" s="41"/>
      <c r="F3876" s="41"/>
      <c r="G3876" s="21"/>
      <c r="H3876" s="203"/>
    </row>
    <row r="3877" spans="1:8">
      <c r="A3877" s="200"/>
      <c r="B3877" s="198"/>
      <c r="C3877" s="851"/>
      <c r="D3877" s="41"/>
      <c r="E3877" s="41"/>
      <c r="F3877" s="41"/>
      <c r="G3877" s="21"/>
      <c r="H3877" s="203"/>
    </row>
    <row r="3878" spans="1:8">
      <c r="A3878" s="200"/>
      <c r="B3878" s="198"/>
      <c r="C3878" s="851"/>
      <c r="D3878" s="41"/>
      <c r="E3878" s="41"/>
      <c r="F3878" s="41"/>
      <c r="G3878" s="21"/>
      <c r="H3878" s="203"/>
    </row>
    <row r="3879" spans="1:8">
      <c r="A3879" s="200"/>
      <c r="B3879" s="198"/>
      <c r="C3879" s="851"/>
      <c r="D3879" s="41"/>
      <c r="E3879" s="41"/>
      <c r="F3879" s="41"/>
      <c r="G3879" s="21"/>
      <c r="H3879" s="203"/>
    </row>
    <row r="3880" spans="1:8">
      <c r="A3880" s="200"/>
      <c r="B3880" s="198"/>
      <c r="C3880" s="851"/>
      <c r="D3880" s="41"/>
      <c r="E3880" s="41"/>
      <c r="F3880" s="41"/>
      <c r="G3880" s="21"/>
      <c r="H3880" s="203"/>
    </row>
    <row r="3881" spans="1:8">
      <c r="A3881" s="200"/>
      <c r="B3881" s="198"/>
      <c r="C3881" s="851"/>
      <c r="D3881" s="41"/>
      <c r="E3881" s="41"/>
      <c r="F3881" s="41"/>
      <c r="G3881" s="21"/>
      <c r="H3881" s="203"/>
    </row>
    <row r="3882" spans="1:8">
      <c r="A3882" s="200"/>
      <c r="B3882" s="198"/>
      <c r="C3882" s="851"/>
      <c r="D3882" s="41"/>
      <c r="E3882" s="41"/>
      <c r="F3882" s="41"/>
      <c r="G3882" s="21"/>
      <c r="H3882" s="203"/>
    </row>
    <row r="3883" spans="1:8">
      <c r="A3883" s="200"/>
      <c r="B3883" s="198"/>
      <c r="C3883" s="851"/>
      <c r="D3883" s="41"/>
      <c r="E3883" s="41"/>
      <c r="F3883" s="41"/>
      <c r="G3883" s="21"/>
      <c r="H3883" s="203"/>
    </row>
    <row r="3884" spans="1:8">
      <c r="A3884" s="200"/>
      <c r="B3884" s="198"/>
      <c r="C3884" s="851"/>
      <c r="D3884" s="41"/>
      <c r="E3884" s="41"/>
      <c r="F3884" s="41"/>
      <c r="G3884" s="21"/>
      <c r="H3884" s="203"/>
    </row>
    <row r="3885" spans="1:8">
      <c r="A3885" s="200"/>
      <c r="B3885" s="198"/>
      <c r="C3885" s="851"/>
      <c r="D3885" s="41"/>
      <c r="E3885" s="41"/>
      <c r="F3885" s="41"/>
      <c r="G3885" s="21"/>
      <c r="H3885" s="203"/>
    </row>
    <row r="3886" spans="1:8">
      <c r="A3886" s="200"/>
      <c r="B3886" s="198"/>
      <c r="C3886" s="851"/>
      <c r="D3886" s="41"/>
      <c r="E3886" s="41"/>
      <c r="F3886" s="41"/>
      <c r="G3886" s="21"/>
      <c r="H3886" s="203"/>
    </row>
    <row r="3887" spans="1:8">
      <c r="A3887" s="200"/>
      <c r="B3887" s="198"/>
      <c r="C3887" s="851"/>
      <c r="D3887" s="41"/>
      <c r="E3887" s="41"/>
      <c r="F3887" s="41"/>
      <c r="G3887" s="21"/>
      <c r="H3887" s="203"/>
    </row>
    <row r="3888" spans="1:8">
      <c r="A3888" s="200"/>
      <c r="B3888" s="198"/>
      <c r="C3888" s="851"/>
      <c r="D3888" s="41"/>
      <c r="E3888" s="41"/>
      <c r="F3888" s="41"/>
      <c r="G3888" s="21"/>
      <c r="H3888" s="203"/>
    </row>
    <row r="3889" spans="1:8">
      <c r="A3889" s="200"/>
      <c r="B3889" s="198"/>
      <c r="C3889" s="851"/>
      <c r="D3889" s="41"/>
      <c r="E3889" s="41"/>
      <c r="F3889" s="41"/>
      <c r="G3889" s="21"/>
      <c r="H3889" s="203"/>
    </row>
    <row r="3890" spans="1:8">
      <c r="A3890" s="200"/>
      <c r="B3890" s="198"/>
      <c r="C3890" s="851"/>
      <c r="D3890" s="41"/>
      <c r="E3890" s="41"/>
      <c r="F3890" s="41"/>
      <c r="G3890" s="21"/>
      <c r="H3890" s="203"/>
    </row>
    <row r="3891" spans="1:8">
      <c r="A3891" s="200"/>
      <c r="B3891" s="198"/>
      <c r="C3891" s="851"/>
      <c r="D3891" s="41"/>
      <c r="E3891" s="41"/>
      <c r="F3891" s="41"/>
      <c r="G3891" s="21"/>
      <c r="H3891" s="203"/>
    </row>
    <row r="3892" spans="1:8">
      <c r="A3892" s="200"/>
      <c r="B3892" s="198"/>
      <c r="C3892" s="851"/>
      <c r="D3892" s="41"/>
      <c r="E3892" s="41"/>
      <c r="F3892" s="41"/>
      <c r="G3892" s="21"/>
      <c r="H3892" s="203"/>
    </row>
    <row r="3893" spans="1:8">
      <c r="A3893" s="200"/>
      <c r="B3893" s="198"/>
      <c r="C3893" s="851"/>
      <c r="D3893" s="41"/>
      <c r="E3893" s="41"/>
      <c r="F3893" s="41"/>
      <c r="G3893" s="21"/>
      <c r="H3893" s="203"/>
    </row>
    <row r="3894" spans="1:8">
      <c r="A3894" s="200"/>
      <c r="B3894" s="198"/>
      <c r="C3894" s="851"/>
      <c r="D3894" s="41"/>
      <c r="E3894" s="41"/>
      <c r="F3894" s="41"/>
      <c r="G3894" s="21"/>
      <c r="H3894" s="203"/>
    </row>
    <row r="3895" spans="1:8">
      <c r="A3895" s="200"/>
      <c r="B3895" s="198"/>
      <c r="C3895" s="851"/>
      <c r="D3895" s="41"/>
      <c r="E3895" s="41"/>
      <c r="F3895" s="41"/>
      <c r="G3895" s="21"/>
      <c r="H3895" s="203"/>
    </row>
    <row r="3896" spans="1:8">
      <c r="A3896" s="200"/>
      <c r="B3896" s="198"/>
      <c r="C3896" s="851"/>
      <c r="D3896" s="41"/>
      <c r="E3896" s="41"/>
      <c r="F3896" s="41"/>
      <c r="G3896" s="21"/>
      <c r="H3896" s="203"/>
    </row>
    <row r="3897" spans="1:8">
      <c r="A3897" s="200"/>
      <c r="B3897" s="198"/>
      <c r="C3897" s="851"/>
      <c r="D3897" s="41"/>
      <c r="E3897" s="41"/>
      <c r="F3897" s="41"/>
      <c r="G3897" s="21"/>
      <c r="H3897" s="203"/>
    </row>
    <row r="3898" spans="1:8">
      <c r="A3898" s="200"/>
      <c r="B3898" s="198"/>
      <c r="C3898" s="851"/>
      <c r="D3898" s="41"/>
      <c r="E3898" s="41"/>
      <c r="F3898" s="41"/>
      <c r="G3898" s="21"/>
      <c r="H3898" s="203"/>
    </row>
    <row r="3899" spans="1:8">
      <c r="A3899" s="200"/>
      <c r="B3899" s="198"/>
      <c r="C3899" s="851"/>
      <c r="D3899" s="41"/>
      <c r="E3899" s="41"/>
      <c r="F3899" s="41"/>
      <c r="G3899" s="21"/>
      <c r="H3899" s="203"/>
    </row>
    <row r="3900" spans="1:8">
      <c r="A3900" s="200"/>
      <c r="B3900" s="198"/>
      <c r="C3900" s="851"/>
      <c r="D3900" s="41"/>
      <c r="E3900" s="41"/>
      <c r="F3900" s="41"/>
      <c r="G3900" s="21"/>
      <c r="H3900" s="203"/>
    </row>
    <row r="3901" spans="1:8">
      <c r="A3901" s="200"/>
      <c r="B3901" s="198"/>
      <c r="C3901" s="851"/>
      <c r="D3901" s="41"/>
      <c r="E3901" s="41"/>
      <c r="F3901" s="41"/>
      <c r="G3901" s="21"/>
      <c r="H3901" s="203"/>
    </row>
    <row r="3902" spans="1:8">
      <c r="A3902" s="200"/>
      <c r="B3902" s="198"/>
      <c r="C3902" s="851"/>
      <c r="D3902" s="41"/>
      <c r="E3902" s="41"/>
      <c r="F3902" s="41"/>
      <c r="G3902" s="21"/>
      <c r="H3902" s="203"/>
    </row>
    <row r="3903" spans="1:8">
      <c r="A3903" s="200"/>
      <c r="B3903" s="198"/>
      <c r="C3903" s="851"/>
      <c r="D3903" s="41"/>
      <c r="E3903" s="41"/>
      <c r="F3903" s="41"/>
      <c r="G3903" s="21"/>
      <c r="H3903" s="203"/>
    </row>
    <row r="3904" spans="1:8">
      <c r="A3904" s="200"/>
      <c r="B3904" s="198"/>
      <c r="C3904" s="851"/>
      <c r="D3904" s="41"/>
      <c r="E3904" s="41"/>
      <c r="F3904" s="41"/>
      <c r="G3904" s="21"/>
      <c r="H3904" s="203"/>
    </row>
    <row r="3905" spans="1:8">
      <c r="A3905" s="200"/>
      <c r="B3905" s="198"/>
      <c r="C3905" s="851"/>
      <c r="D3905" s="41"/>
      <c r="E3905" s="41"/>
      <c r="F3905" s="41"/>
      <c r="G3905" s="21"/>
      <c r="H3905" s="203"/>
    </row>
    <row r="3906" spans="1:8">
      <c r="A3906" s="200"/>
      <c r="B3906" s="198"/>
      <c r="C3906" s="851"/>
      <c r="D3906" s="41"/>
      <c r="E3906" s="41"/>
      <c r="F3906" s="41"/>
      <c r="G3906" s="21"/>
      <c r="H3906" s="203"/>
    </row>
    <row r="3907" spans="1:8">
      <c r="A3907" s="200"/>
      <c r="B3907" s="198"/>
      <c r="C3907" s="851"/>
      <c r="D3907" s="41"/>
      <c r="E3907" s="41"/>
      <c r="F3907" s="41"/>
      <c r="G3907" s="21"/>
      <c r="H3907" s="203"/>
    </row>
    <row r="3908" spans="1:8">
      <c r="A3908" s="200"/>
      <c r="B3908" s="198"/>
      <c r="C3908" s="851"/>
      <c r="D3908" s="41"/>
      <c r="E3908" s="41"/>
      <c r="F3908" s="41"/>
      <c r="G3908" s="21"/>
      <c r="H3908" s="203"/>
    </row>
    <row r="3909" spans="1:8">
      <c r="A3909" s="200"/>
      <c r="B3909" s="198"/>
      <c r="C3909" s="851"/>
      <c r="D3909" s="41"/>
      <c r="E3909" s="41"/>
      <c r="F3909" s="41"/>
      <c r="G3909" s="21"/>
      <c r="H3909" s="203"/>
    </row>
    <row r="3910" spans="1:8">
      <c r="A3910" s="200"/>
      <c r="B3910" s="198"/>
      <c r="C3910" s="851"/>
      <c r="D3910" s="41"/>
      <c r="E3910" s="41"/>
      <c r="F3910" s="41"/>
      <c r="G3910" s="21"/>
      <c r="H3910" s="203"/>
    </row>
    <row r="3911" spans="1:8">
      <c r="A3911" s="200"/>
      <c r="B3911" s="198"/>
      <c r="C3911" s="851"/>
      <c r="D3911" s="41"/>
      <c r="E3911" s="41"/>
      <c r="F3911" s="41"/>
      <c r="G3911" s="21"/>
      <c r="H3911" s="203"/>
    </row>
    <row r="3912" spans="1:8">
      <c r="A3912" s="200"/>
      <c r="B3912" s="198"/>
      <c r="C3912" s="851"/>
      <c r="D3912" s="41"/>
      <c r="E3912" s="41"/>
      <c r="F3912" s="41"/>
      <c r="G3912" s="21"/>
      <c r="H3912" s="203"/>
    </row>
    <row r="3913" spans="1:8">
      <c r="A3913" s="200"/>
      <c r="B3913" s="198"/>
      <c r="C3913" s="851"/>
      <c r="D3913" s="41"/>
      <c r="E3913" s="41"/>
      <c r="F3913" s="41"/>
      <c r="G3913" s="21"/>
      <c r="H3913" s="203"/>
    </row>
    <row r="3914" spans="1:8">
      <c r="A3914" s="200"/>
      <c r="B3914" s="198"/>
      <c r="C3914" s="851"/>
      <c r="D3914" s="41"/>
      <c r="E3914" s="41"/>
      <c r="F3914" s="41"/>
      <c r="G3914" s="21"/>
      <c r="H3914" s="203"/>
    </row>
    <row r="3915" spans="1:8">
      <c r="A3915" s="200"/>
      <c r="B3915" s="198"/>
      <c r="C3915" s="851"/>
      <c r="D3915" s="41"/>
      <c r="E3915" s="41"/>
      <c r="F3915" s="41"/>
      <c r="G3915" s="21"/>
      <c r="H3915" s="203"/>
    </row>
    <row r="3916" spans="1:8">
      <c r="A3916" s="200"/>
      <c r="B3916" s="198"/>
      <c r="C3916" s="851"/>
      <c r="D3916" s="41"/>
      <c r="E3916" s="41"/>
      <c r="F3916" s="41"/>
      <c r="G3916" s="21"/>
      <c r="H3916" s="203"/>
    </row>
    <row r="3917" spans="1:8">
      <c r="A3917" s="200"/>
      <c r="B3917" s="198"/>
      <c r="C3917" s="851"/>
      <c r="D3917" s="41"/>
      <c r="E3917" s="41"/>
      <c r="F3917" s="41"/>
      <c r="G3917" s="21"/>
      <c r="H3917" s="203"/>
    </row>
    <row r="3918" spans="1:8">
      <c r="A3918" s="200"/>
      <c r="B3918" s="198"/>
      <c r="C3918" s="851"/>
      <c r="D3918" s="41"/>
      <c r="E3918" s="41"/>
      <c r="F3918" s="41"/>
      <c r="G3918" s="21"/>
      <c r="H3918" s="203"/>
    </row>
    <row r="3919" spans="1:8">
      <c r="A3919" s="200"/>
      <c r="B3919" s="198"/>
      <c r="C3919" s="851"/>
      <c r="D3919" s="41"/>
      <c r="E3919" s="41"/>
      <c r="F3919" s="41"/>
      <c r="G3919" s="21"/>
      <c r="H3919" s="203"/>
    </row>
    <row r="3920" spans="1:8">
      <c r="A3920" s="200"/>
      <c r="B3920" s="198"/>
      <c r="C3920" s="851"/>
      <c r="D3920" s="41"/>
      <c r="E3920" s="41"/>
      <c r="F3920" s="41"/>
      <c r="G3920" s="21"/>
      <c r="H3920" s="203"/>
    </row>
    <row r="3921" spans="1:8">
      <c r="A3921" s="200"/>
      <c r="B3921" s="198"/>
      <c r="C3921" s="851"/>
      <c r="D3921" s="41"/>
      <c r="E3921" s="41"/>
      <c r="F3921" s="41"/>
      <c r="G3921" s="21"/>
      <c r="H3921" s="203"/>
    </row>
    <row r="3922" spans="1:8">
      <c r="A3922" s="200"/>
      <c r="B3922" s="198"/>
      <c r="C3922" s="851"/>
      <c r="D3922" s="41"/>
      <c r="E3922" s="41"/>
      <c r="F3922" s="41"/>
      <c r="G3922" s="21"/>
      <c r="H3922" s="203"/>
    </row>
    <row r="3923" spans="1:8">
      <c r="A3923" s="200"/>
      <c r="B3923" s="198"/>
      <c r="C3923" s="851"/>
      <c r="D3923" s="41"/>
      <c r="E3923" s="41"/>
      <c r="F3923" s="41"/>
      <c r="G3923" s="21"/>
      <c r="H3923" s="203"/>
    </row>
    <row r="3924" spans="1:8">
      <c r="A3924" s="200"/>
      <c r="B3924" s="198"/>
      <c r="C3924" s="851"/>
      <c r="D3924" s="41"/>
      <c r="E3924" s="41"/>
      <c r="F3924" s="41"/>
      <c r="G3924" s="21"/>
      <c r="H3924" s="203"/>
    </row>
    <row r="3925" spans="1:8">
      <c r="A3925" s="200"/>
      <c r="B3925" s="198"/>
      <c r="C3925" s="851"/>
      <c r="D3925" s="41"/>
      <c r="E3925" s="41"/>
      <c r="F3925" s="41"/>
      <c r="G3925" s="21"/>
      <c r="H3925" s="203"/>
    </row>
    <row r="3926" spans="1:8">
      <c r="A3926" s="200"/>
      <c r="B3926" s="198"/>
      <c r="C3926" s="851"/>
      <c r="D3926" s="41"/>
      <c r="E3926" s="41"/>
      <c r="F3926" s="41"/>
      <c r="G3926" s="21"/>
      <c r="H3926" s="203"/>
    </row>
    <row r="3927" spans="1:8">
      <c r="A3927" s="200"/>
      <c r="B3927" s="198"/>
      <c r="C3927" s="851"/>
      <c r="D3927" s="41"/>
      <c r="E3927" s="41"/>
      <c r="F3927" s="41"/>
      <c r="G3927" s="21"/>
      <c r="H3927" s="203"/>
    </row>
    <row r="3928" spans="1:8">
      <c r="A3928" s="200"/>
      <c r="B3928" s="198"/>
      <c r="C3928" s="851"/>
      <c r="D3928" s="41"/>
      <c r="E3928" s="41"/>
      <c r="F3928" s="41"/>
      <c r="G3928" s="21"/>
      <c r="H3928" s="203"/>
    </row>
    <row r="3929" spans="1:8">
      <c r="A3929" s="200"/>
      <c r="B3929" s="198"/>
      <c r="C3929" s="851"/>
      <c r="D3929" s="41"/>
      <c r="E3929" s="41"/>
      <c r="F3929" s="41"/>
      <c r="G3929" s="21"/>
      <c r="H3929" s="203"/>
    </row>
    <row r="3930" spans="1:8">
      <c r="A3930" s="200"/>
      <c r="B3930" s="198"/>
      <c r="C3930" s="851"/>
      <c r="D3930" s="41"/>
      <c r="E3930" s="41"/>
      <c r="F3930" s="41"/>
      <c r="G3930" s="21"/>
      <c r="H3930" s="203"/>
    </row>
    <row r="3931" spans="1:8">
      <c r="A3931" s="200"/>
      <c r="B3931" s="198"/>
      <c r="C3931" s="851"/>
      <c r="D3931" s="41"/>
      <c r="E3931" s="41"/>
      <c r="F3931" s="41"/>
      <c r="G3931" s="21"/>
      <c r="H3931" s="203"/>
    </row>
    <row r="3932" spans="1:8">
      <c r="A3932" s="200"/>
      <c r="B3932" s="198"/>
      <c r="C3932" s="851"/>
      <c r="D3932" s="41"/>
      <c r="E3932" s="41"/>
      <c r="F3932" s="41"/>
      <c r="G3932" s="21"/>
      <c r="H3932" s="203"/>
    </row>
    <row r="3933" spans="1:8">
      <c r="A3933" s="200"/>
      <c r="B3933" s="198"/>
      <c r="C3933" s="851"/>
      <c r="D3933" s="41"/>
      <c r="E3933" s="41"/>
      <c r="F3933" s="41"/>
      <c r="G3933" s="21"/>
      <c r="H3933" s="203"/>
    </row>
    <row r="3934" spans="1:8">
      <c r="A3934" s="200"/>
      <c r="B3934" s="198"/>
      <c r="C3934" s="851"/>
      <c r="D3934" s="41"/>
      <c r="E3934" s="41"/>
      <c r="F3934" s="41"/>
      <c r="G3934" s="21"/>
      <c r="H3934" s="203"/>
    </row>
    <row r="3935" spans="1:8">
      <c r="A3935" s="200"/>
      <c r="B3935" s="198"/>
      <c r="C3935" s="851"/>
      <c r="D3935" s="41"/>
      <c r="E3935" s="41"/>
      <c r="F3935" s="41"/>
      <c r="G3935" s="21"/>
      <c r="H3935" s="203"/>
    </row>
    <row r="3936" spans="1:8">
      <c r="A3936" s="200"/>
      <c r="B3936" s="198"/>
      <c r="C3936" s="851"/>
      <c r="D3936" s="41"/>
      <c r="E3936" s="41"/>
      <c r="F3936" s="41"/>
      <c r="G3936" s="21"/>
      <c r="H3936" s="203"/>
    </row>
    <row r="3937" spans="1:8">
      <c r="A3937" s="200"/>
      <c r="B3937" s="198"/>
      <c r="C3937" s="851"/>
      <c r="D3937" s="41"/>
      <c r="E3937" s="41"/>
      <c r="F3937" s="41"/>
      <c r="G3937" s="21"/>
      <c r="H3937" s="203"/>
    </row>
    <row r="3938" spans="1:8">
      <c r="A3938" s="200"/>
      <c r="B3938" s="198"/>
      <c r="C3938" s="851"/>
      <c r="D3938" s="41"/>
      <c r="E3938" s="41"/>
      <c r="F3938" s="41"/>
      <c r="G3938" s="21"/>
      <c r="H3938" s="203"/>
    </row>
    <row r="3939" spans="1:8">
      <c r="A3939" s="200"/>
      <c r="B3939" s="198"/>
      <c r="C3939" s="851"/>
      <c r="D3939" s="41"/>
      <c r="E3939" s="41"/>
      <c r="F3939" s="41"/>
      <c r="G3939" s="21"/>
      <c r="H3939" s="203"/>
    </row>
    <row r="3940" spans="1:8">
      <c r="A3940" s="200"/>
      <c r="B3940" s="198"/>
      <c r="C3940" s="851"/>
      <c r="D3940" s="41"/>
      <c r="E3940" s="41"/>
      <c r="F3940" s="41"/>
      <c r="G3940" s="21"/>
      <c r="H3940" s="203"/>
    </row>
    <row r="3941" spans="1:8">
      <c r="A3941" s="200"/>
      <c r="B3941" s="198"/>
      <c r="C3941" s="851"/>
      <c r="D3941" s="41"/>
      <c r="E3941" s="41"/>
      <c r="F3941" s="41"/>
      <c r="G3941" s="21"/>
      <c r="H3941" s="203"/>
    </row>
    <row r="3942" spans="1:8">
      <c r="A3942" s="200"/>
      <c r="B3942" s="198"/>
      <c r="C3942" s="851"/>
      <c r="D3942" s="41"/>
      <c r="E3942" s="41"/>
      <c r="F3942" s="41"/>
      <c r="G3942" s="21"/>
      <c r="H3942" s="203"/>
    </row>
    <row r="3943" spans="1:8">
      <c r="A3943" s="200"/>
      <c r="B3943" s="198"/>
      <c r="C3943" s="851"/>
      <c r="D3943" s="41"/>
      <c r="E3943" s="41"/>
      <c r="F3943" s="41"/>
      <c r="G3943" s="21"/>
      <c r="H3943" s="203"/>
    </row>
    <row r="3944" spans="1:8">
      <c r="A3944" s="200"/>
      <c r="B3944" s="198"/>
      <c r="C3944" s="851"/>
      <c r="D3944" s="41"/>
      <c r="E3944" s="41"/>
      <c r="F3944" s="41"/>
      <c r="G3944" s="21"/>
      <c r="H3944" s="203"/>
    </row>
    <row r="3945" spans="1:8">
      <c r="A3945" s="200"/>
      <c r="B3945" s="198"/>
      <c r="C3945" s="851"/>
      <c r="D3945" s="41"/>
      <c r="E3945" s="41"/>
      <c r="F3945" s="41"/>
      <c r="G3945" s="21"/>
      <c r="H3945" s="203"/>
    </row>
    <row r="3946" spans="1:8">
      <c r="A3946" s="200"/>
      <c r="B3946" s="198"/>
      <c r="C3946" s="851"/>
      <c r="D3946" s="41"/>
      <c r="E3946" s="41"/>
      <c r="F3946" s="41"/>
      <c r="G3946" s="21"/>
      <c r="H3946" s="203"/>
    </row>
    <row r="3947" spans="1:8">
      <c r="A3947" s="200"/>
      <c r="B3947" s="198"/>
      <c r="C3947" s="851"/>
      <c r="D3947" s="41"/>
      <c r="E3947" s="41"/>
      <c r="F3947" s="41"/>
      <c r="G3947" s="21"/>
      <c r="H3947" s="203"/>
    </row>
    <row r="3948" spans="1:8">
      <c r="A3948" s="200"/>
      <c r="B3948" s="198"/>
      <c r="C3948" s="851"/>
      <c r="D3948" s="41"/>
      <c r="E3948" s="41"/>
      <c r="F3948" s="41"/>
      <c r="G3948" s="21"/>
      <c r="H3948" s="203"/>
    </row>
    <row r="3949" spans="1:8">
      <c r="A3949" s="200"/>
      <c r="B3949" s="198"/>
      <c r="C3949" s="851"/>
      <c r="D3949" s="41"/>
      <c r="E3949" s="41"/>
      <c r="F3949" s="41"/>
      <c r="G3949" s="21"/>
      <c r="H3949" s="203"/>
    </row>
    <row r="3950" spans="1:8">
      <c r="A3950" s="200"/>
      <c r="B3950" s="198"/>
      <c r="C3950" s="851"/>
      <c r="D3950" s="41"/>
      <c r="E3950" s="41"/>
      <c r="F3950" s="41"/>
      <c r="G3950" s="21"/>
      <c r="H3950" s="203"/>
    </row>
    <row r="3951" spans="1:8">
      <c r="A3951" s="200"/>
      <c r="B3951" s="198"/>
      <c r="C3951" s="851"/>
      <c r="D3951" s="41"/>
      <c r="E3951" s="41"/>
      <c r="F3951" s="41"/>
      <c r="G3951" s="21"/>
      <c r="H3951" s="203"/>
    </row>
    <row r="3952" spans="1:8">
      <c r="A3952" s="200"/>
      <c r="B3952" s="198"/>
      <c r="C3952" s="851"/>
      <c r="D3952" s="41"/>
      <c r="E3952" s="41"/>
      <c r="F3952" s="41"/>
      <c r="G3952" s="21"/>
      <c r="H3952" s="203"/>
    </row>
    <row r="3953" spans="1:8">
      <c r="A3953" s="200"/>
      <c r="B3953" s="198"/>
      <c r="C3953" s="851"/>
      <c r="D3953" s="41"/>
      <c r="E3953" s="41"/>
      <c r="F3953" s="41"/>
      <c r="G3953" s="21"/>
      <c r="H3953" s="203"/>
    </row>
    <row r="3954" spans="1:8">
      <c r="A3954" s="200"/>
      <c r="B3954" s="198"/>
      <c r="C3954" s="851"/>
      <c r="D3954" s="41"/>
      <c r="E3954" s="41"/>
      <c r="F3954" s="41"/>
      <c r="G3954" s="21"/>
      <c r="H3954" s="203"/>
    </row>
    <row r="3955" spans="1:8">
      <c r="A3955" s="200"/>
      <c r="B3955" s="198"/>
      <c r="C3955" s="851"/>
      <c r="D3955" s="41"/>
      <c r="E3955" s="41"/>
      <c r="F3955" s="41"/>
      <c r="G3955" s="21"/>
      <c r="H3955" s="203"/>
    </row>
    <row r="3956" spans="1:8">
      <c r="A3956" s="200"/>
      <c r="B3956" s="198"/>
      <c r="C3956" s="851"/>
      <c r="D3956" s="41"/>
      <c r="E3956" s="41"/>
      <c r="F3956" s="41"/>
      <c r="G3956" s="21"/>
      <c r="H3956" s="203"/>
    </row>
    <row r="3957" spans="1:8">
      <c r="A3957" s="200"/>
      <c r="B3957" s="198"/>
      <c r="C3957" s="851"/>
      <c r="D3957" s="41"/>
      <c r="E3957" s="41"/>
      <c r="F3957" s="41"/>
      <c r="G3957" s="21"/>
      <c r="H3957" s="203"/>
    </row>
    <row r="3958" spans="1:8">
      <c r="A3958" s="200"/>
      <c r="B3958" s="198"/>
      <c r="C3958" s="851"/>
      <c r="D3958" s="41"/>
      <c r="E3958" s="41"/>
      <c r="F3958" s="41"/>
      <c r="G3958" s="21"/>
      <c r="H3958" s="203"/>
    </row>
    <row r="3959" spans="1:8">
      <c r="A3959" s="200"/>
      <c r="B3959" s="198"/>
      <c r="C3959" s="851"/>
      <c r="D3959" s="41"/>
      <c r="E3959" s="41"/>
      <c r="F3959" s="41"/>
      <c r="G3959" s="21"/>
      <c r="H3959" s="203"/>
    </row>
    <row r="3960" spans="1:8">
      <c r="A3960" s="200"/>
      <c r="B3960" s="198"/>
      <c r="C3960" s="851"/>
      <c r="D3960" s="41"/>
      <c r="E3960" s="41"/>
      <c r="F3960" s="41"/>
      <c r="G3960" s="21"/>
      <c r="H3960" s="203"/>
    </row>
    <row r="3961" spans="1:8">
      <c r="A3961" s="200"/>
      <c r="B3961" s="198"/>
      <c r="C3961" s="851"/>
      <c r="D3961" s="41"/>
      <c r="E3961" s="41"/>
      <c r="F3961" s="41"/>
      <c r="G3961" s="21"/>
      <c r="H3961" s="203"/>
    </row>
    <row r="3962" spans="1:8">
      <c r="A3962" s="200"/>
      <c r="B3962" s="198"/>
      <c r="C3962" s="851"/>
      <c r="D3962" s="41"/>
      <c r="E3962" s="41"/>
      <c r="F3962" s="41"/>
      <c r="G3962" s="21"/>
      <c r="H3962" s="203"/>
    </row>
    <row r="3963" spans="1:8">
      <c r="A3963" s="200"/>
      <c r="B3963" s="198"/>
      <c r="C3963" s="851"/>
      <c r="D3963" s="41"/>
      <c r="E3963" s="41"/>
      <c r="F3963" s="41"/>
      <c r="G3963" s="21"/>
      <c r="H3963" s="203"/>
    </row>
    <row r="3964" spans="1:8">
      <c r="A3964" s="200"/>
      <c r="B3964" s="198"/>
      <c r="C3964" s="851"/>
      <c r="D3964" s="41"/>
      <c r="E3964" s="41"/>
      <c r="F3964" s="41"/>
      <c r="G3964" s="21"/>
      <c r="H3964" s="203"/>
    </row>
    <row r="3965" spans="1:8">
      <c r="A3965" s="200"/>
      <c r="B3965" s="198"/>
      <c r="C3965" s="851"/>
      <c r="D3965" s="41"/>
      <c r="E3965" s="41"/>
      <c r="F3965" s="41"/>
      <c r="G3965" s="21"/>
      <c r="H3965" s="203"/>
    </row>
    <row r="3966" spans="1:8">
      <c r="A3966" s="200"/>
      <c r="B3966" s="198"/>
      <c r="C3966" s="851"/>
      <c r="D3966" s="41"/>
      <c r="E3966" s="41"/>
      <c r="F3966" s="41"/>
      <c r="G3966" s="21"/>
      <c r="H3966" s="203"/>
    </row>
    <row r="3967" spans="1:8">
      <c r="A3967" s="200"/>
      <c r="B3967" s="198"/>
      <c r="C3967" s="851"/>
      <c r="D3967" s="41"/>
      <c r="E3967" s="41"/>
      <c r="F3967" s="41"/>
      <c r="G3967" s="21"/>
      <c r="H3967" s="203"/>
    </row>
    <row r="3968" spans="1:8">
      <c r="A3968" s="200"/>
      <c r="B3968" s="198"/>
      <c r="C3968" s="851"/>
      <c r="D3968" s="41"/>
      <c r="E3968" s="41"/>
      <c r="F3968" s="41"/>
      <c r="G3968" s="21"/>
      <c r="H3968" s="203"/>
    </row>
    <row r="3969" spans="1:8">
      <c r="A3969" s="200"/>
      <c r="B3969" s="198"/>
      <c r="C3969" s="851"/>
      <c r="D3969" s="41"/>
      <c r="E3969" s="41"/>
      <c r="F3969" s="41"/>
      <c r="G3969" s="21"/>
      <c r="H3969" s="203"/>
    </row>
    <row r="3970" spans="1:8">
      <c r="A3970" s="200"/>
      <c r="B3970" s="198"/>
      <c r="C3970" s="851"/>
      <c r="D3970" s="41"/>
      <c r="E3970" s="41"/>
      <c r="F3970" s="41"/>
      <c r="G3970" s="21"/>
      <c r="H3970" s="203"/>
    </row>
    <row r="3971" spans="1:8">
      <c r="A3971" s="200"/>
      <c r="B3971" s="198"/>
      <c r="C3971" s="851"/>
      <c r="D3971" s="41"/>
      <c r="E3971" s="41"/>
      <c r="F3971" s="41"/>
      <c r="G3971" s="21"/>
      <c r="H3971" s="203"/>
    </row>
    <row r="3972" spans="1:8">
      <c r="A3972" s="200"/>
      <c r="B3972" s="198"/>
      <c r="C3972" s="851"/>
      <c r="D3972" s="41"/>
      <c r="E3972" s="41"/>
      <c r="F3972" s="41"/>
      <c r="G3972" s="21"/>
      <c r="H3972" s="203"/>
    </row>
    <row r="3973" spans="1:8">
      <c r="A3973" s="200"/>
      <c r="B3973" s="198"/>
      <c r="C3973" s="851"/>
      <c r="D3973" s="41"/>
      <c r="E3973" s="41"/>
      <c r="F3973" s="41"/>
      <c r="G3973" s="21"/>
      <c r="H3973" s="203"/>
    </row>
    <row r="3974" spans="1:8">
      <c r="A3974" s="200"/>
      <c r="B3974" s="198"/>
      <c r="C3974" s="851"/>
      <c r="D3974" s="41"/>
      <c r="E3974" s="41"/>
      <c r="F3974" s="41"/>
      <c r="G3974" s="21"/>
      <c r="H3974" s="203"/>
    </row>
    <row r="3975" spans="1:8">
      <c r="A3975" s="200"/>
      <c r="B3975" s="198"/>
      <c r="C3975" s="851"/>
      <c r="D3975" s="41"/>
      <c r="E3975" s="41"/>
      <c r="F3975" s="41"/>
      <c r="G3975" s="21"/>
      <c r="H3975" s="203"/>
    </row>
    <row r="3976" spans="1:8">
      <c r="A3976" s="200"/>
      <c r="B3976" s="198"/>
      <c r="C3976" s="851"/>
      <c r="D3976" s="41"/>
      <c r="E3976" s="41"/>
      <c r="F3976" s="41"/>
      <c r="G3976" s="21"/>
      <c r="H3976" s="203"/>
    </row>
    <row r="3977" spans="1:8">
      <c r="A3977" s="200"/>
      <c r="B3977" s="198"/>
      <c r="C3977" s="851"/>
      <c r="D3977" s="41"/>
      <c r="E3977" s="41"/>
      <c r="F3977" s="41"/>
      <c r="G3977" s="21"/>
      <c r="H3977" s="203"/>
    </row>
    <row r="3978" spans="1:8">
      <c r="A3978" s="200"/>
      <c r="B3978" s="198"/>
      <c r="C3978" s="851"/>
      <c r="D3978" s="41"/>
      <c r="E3978" s="41"/>
      <c r="F3978" s="41"/>
      <c r="G3978" s="21"/>
      <c r="H3978" s="203"/>
    </row>
    <row r="3979" spans="1:8">
      <c r="A3979" s="200"/>
      <c r="B3979" s="198"/>
      <c r="C3979" s="851"/>
      <c r="D3979" s="41"/>
      <c r="E3979" s="41"/>
      <c r="F3979" s="41"/>
      <c r="G3979" s="21"/>
      <c r="H3979" s="203"/>
    </row>
    <row r="3980" spans="1:8">
      <c r="A3980" s="200"/>
      <c r="B3980" s="198"/>
      <c r="C3980" s="851"/>
      <c r="D3980" s="41"/>
      <c r="E3980" s="41"/>
      <c r="F3980" s="41"/>
      <c r="G3980" s="21"/>
      <c r="H3980" s="203"/>
    </row>
    <row r="3981" spans="1:8">
      <c r="A3981" s="200"/>
      <c r="B3981" s="198"/>
      <c r="C3981" s="851"/>
      <c r="D3981" s="41"/>
      <c r="E3981" s="41"/>
      <c r="F3981" s="41"/>
      <c r="G3981" s="21"/>
      <c r="H3981" s="203"/>
    </row>
    <row r="3982" spans="1:8">
      <c r="A3982" s="200"/>
      <c r="B3982" s="198"/>
      <c r="C3982" s="851"/>
      <c r="D3982" s="41"/>
      <c r="E3982" s="41"/>
      <c r="F3982" s="41"/>
      <c r="G3982" s="21"/>
      <c r="H3982" s="203"/>
    </row>
    <row r="3983" spans="1:8">
      <c r="A3983" s="200"/>
      <c r="B3983" s="198"/>
      <c r="C3983" s="851"/>
      <c r="D3983" s="41"/>
      <c r="E3983" s="41"/>
      <c r="F3983" s="41"/>
      <c r="G3983" s="21"/>
      <c r="H3983" s="203"/>
    </row>
    <row r="3984" spans="1:8">
      <c r="A3984" s="200"/>
      <c r="B3984" s="198"/>
      <c r="C3984" s="851"/>
      <c r="D3984" s="41"/>
      <c r="E3984" s="41"/>
      <c r="F3984" s="41"/>
      <c r="G3984" s="21"/>
      <c r="H3984" s="203"/>
    </row>
    <row r="3985" spans="1:8">
      <c r="A3985" s="200"/>
      <c r="B3985" s="198"/>
      <c r="C3985" s="851"/>
      <c r="D3985" s="41"/>
      <c r="E3985" s="41"/>
      <c r="F3985" s="41"/>
      <c r="G3985" s="21"/>
      <c r="H3985" s="203"/>
    </row>
    <row r="3986" spans="1:8">
      <c r="A3986" s="200"/>
      <c r="B3986" s="198"/>
      <c r="C3986" s="851"/>
      <c r="D3986" s="41"/>
      <c r="E3986" s="41"/>
      <c r="F3986" s="41"/>
      <c r="G3986" s="21"/>
      <c r="H3986" s="203"/>
    </row>
    <row r="3987" spans="1:8">
      <c r="A3987" s="200"/>
      <c r="B3987" s="198"/>
      <c r="C3987" s="851"/>
      <c r="D3987" s="41"/>
      <c r="E3987" s="41"/>
      <c r="F3987" s="41"/>
      <c r="G3987" s="21"/>
      <c r="H3987" s="203"/>
    </row>
    <row r="3988" spans="1:8">
      <c r="A3988" s="200"/>
      <c r="B3988" s="198"/>
      <c r="C3988" s="851"/>
      <c r="D3988" s="41"/>
      <c r="E3988" s="41"/>
      <c r="F3988" s="41"/>
      <c r="G3988" s="21"/>
      <c r="H3988" s="203"/>
    </row>
    <row r="3989" spans="1:8">
      <c r="A3989" s="200"/>
      <c r="B3989" s="198"/>
      <c r="C3989" s="851"/>
      <c r="D3989" s="41"/>
      <c r="E3989" s="41"/>
      <c r="F3989" s="41"/>
      <c r="G3989" s="21"/>
      <c r="H3989" s="203"/>
    </row>
    <row r="3990" spans="1:8">
      <c r="A3990" s="200"/>
      <c r="B3990" s="198"/>
      <c r="C3990" s="851"/>
      <c r="D3990" s="41"/>
      <c r="E3990" s="41"/>
      <c r="F3990" s="41"/>
      <c r="G3990" s="21"/>
      <c r="H3990" s="203"/>
    </row>
    <row r="3991" spans="1:8">
      <c r="A3991" s="200"/>
      <c r="B3991" s="198"/>
      <c r="C3991" s="851"/>
      <c r="D3991" s="41"/>
      <c r="E3991" s="41"/>
      <c r="F3991" s="41"/>
      <c r="G3991" s="21"/>
      <c r="H3991" s="203"/>
    </row>
    <row r="3992" spans="1:8">
      <c r="A3992" s="200"/>
      <c r="B3992" s="198"/>
      <c r="C3992" s="851"/>
      <c r="D3992" s="41"/>
      <c r="E3992" s="41"/>
      <c r="F3992" s="41"/>
      <c r="G3992" s="21"/>
      <c r="H3992" s="203"/>
    </row>
    <row r="3993" spans="1:8">
      <c r="A3993" s="200"/>
      <c r="B3993" s="198"/>
      <c r="C3993" s="851"/>
      <c r="D3993" s="41"/>
      <c r="E3993" s="41"/>
      <c r="F3993" s="41"/>
      <c r="G3993" s="21"/>
      <c r="H3993" s="203"/>
    </row>
    <row r="3994" spans="1:8">
      <c r="A3994" s="200"/>
      <c r="B3994" s="198"/>
      <c r="C3994" s="851"/>
      <c r="D3994" s="41"/>
      <c r="E3994" s="41"/>
      <c r="F3994" s="41"/>
      <c r="G3994" s="21"/>
      <c r="H3994" s="203"/>
    </row>
    <row r="3995" spans="1:8">
      <c r="A3995" s="200"/>
      <c r="B3995" s="198"/>
      <c r="C3995" s="851"/>
      <c r="D3995" s="41"/>
      <c r="E3995" s="41"/>
      <c r="F3995" s="41"/>
      <c r="G3995" s="21"/>
      <c r="H3995" s="203"/>
    </row>
    <row r="3996" spans="1:8">
      <c r="A3996" s="200"/>
      <c r="B3996" s="198"/>
      <c r="C3996" s="851"/>
      <c r="D3996" s="41"/>
      <c r="E3996" s="41"/>
      <c r="F3996" s="41"/>
      <c r="G3996" s="21"/>
      <c r="H3996" s="203"/>
    </row>
    <row r="3997" spans="1:8">
      <c r="A3997" s="200"/>
      <c r="B3997" s="198"/>
      <c r="C3997" s="851"/>
      <c r="D3997" s="41"/>
      <c r="E3997" s="41"/>
      <c r="F3997" s="41"/>
      <c r="G3997" s="21"/>
      <c r="H3997" s="203"/>
    </row>
    <row r="3998" spans="1:8">
      <c r="A3998" s="200"/>
      <c r="B3998" s="198"/>
      <c r="C3998" s="851"/>
      <c r="D3998" s="41"/>
      <c r="E3998" s="41"/>
      <c r="F3998" s="41"/>
      <c r="G3998" s="21"/>
      <c r="H3998" s="203"/>
    </row>
    <row r="3999" spans="1:8">
      <c r="A3999" s="200"/>
      <c r="B3999" s="198"/>
      <c r="C3999" s="851"/>
      <c r="D3999" s="41"/>
      <c r="E3999" s="41"/>
      <c r="F3999" s="41"/>
      <c r="G3999" s="21"/>
      <c r="H3999" s="203"/>
    </row>
    <row r="4000" spans="1:8">
      <c r="A4000" s="200"/>
      <c r="B4000" s="198"/>
      <c r="C4000" s="851"/>
      <c r="D4000" s="41"/>
      <c r="E4000" s="41"/>
      <c r="F4000" s="41"/>
      <c r="G4000" s="21"/>
      <c r="H4000" s="203"/>
    </row>
    <row r="4001" spans="1:8">
      <c r="A4001" s="200"/>
      <c r="B4001" s="198"/>
      <c r="C4001" s="851"/>
      <c r="D4001" s="41"/>
      <c r="E4001" s="41"/>
      <c r="F4001" s="41"/>
      <c r="G4001" s="21"/>
      <c r="H4001" s="203"/>
    </row>
    <row r="4002" spans="1:8">
      <c r="A4002" s="200"/>
      <c r="B4002" s="198"/>
      <c r="C4002" s="851"/>
      <c r="D4002" s="41"/>
      <c r="E4002" s="41"/>
      <c r="F4002" s="41"/>
      <c r="G4002" s="21"/>
      <c r="H4002" s="203"/>
    </row>
    <row r="4003" spans="1:8">
      <c r="A4003" s="200"/>
      <c r="B4003" s="198"/>
      <c r="C4003" s="851"/>
      <c r="D4003" s="41"/>
      <c r="E4003" s="41"/>
      <c r="F4003" s="41"/>
      <c r="G4003" s="21"/>
      <c r="H4003" s="203"/>
    </row>
    <row r="4004" spans="1:8">
      <c r="A4004" s="200"/>
      <c r="B4004" s="198"/>
      <c r="C4004" s="851"/>
      <c r="D4004" s="41"/>
      <c r="E4004" s="41"/>
      <c r="F4004" s="41"/>
      <c r="G4004" s="21"/>
      <c r="H4004" s="203"/>
    </row>
    <row r="4005" spans="1:8">
      <c r="A4005" s="200"/>
      <c r="B4005" s="198"/>
      <c r="C4005" s="851"/>
      <c r="D4005" s="41"/>
      <c r="E4005" s="41"/>
      <c r="F4005" s="41"/>
      <c r="G4005" s="21"/>
      <c r="H4005" s="203"/>
    </row>
    <row r="4006" spans="1:8">
      <c r="A4006" s="200"/>
      <c r="B4006" s="198"/>
      <c r="C4006" s="851"/>
      <c r="D4006" s="41"/>
      <c r="E4006" s="41"/>
      <c r="F4006" s="41"/>
      <c r="G4006" s="21"/>
      <c r="H4006" s="203"/>
    </row>
    <row r="4007" spans="1:8">
      <c r="A4007" s="200"/>
      <c r="B4007" s="198"/>
      <c r="C4007" s="851"/>
      <c r="D4007" s="41"/>
      <c r="E4007" s="41"/>
      <c r="F4007" s="41"/>
      <c r="G4007" s="21"/>
      <c r="H4007" s="203"/>
    </row>
    <row r="4008" spans="1:8">
      <c r="A4008" s="200"/>
      <c r="B4008" s="198"/>
      <c r="C4008" s="851"/>
      <c r="D4008" s="41"/>
      <c r="E4008" s="41"/>
      <c r="F4008" s="41"/>
      <c r="G4008" s="21"/>
      <c r="H4008" s="203"/>
    </row>
    <row r="4009" spans="1:8">
      <c r="A4009" s="200"/>
      <c r="B4009" s="198"/>
      <c r="C4009" s="851"/>
      <c r="D4009" s="41"/>
      <c r="E4009" s="41"/>
      <c r="F4009" s="41"/>
      <c r="G4009" s="21"/>
      <c r="H4009" s="203"/>
    </row>
    <row r="4010" spans="1:8">
      <c r="A4010" s="200"/>
      <c r="B4010" s="198"/>
      <c r="C4010" s="851"/>
      <c r="D4010" s="41"/>
      <c r="E4010" s="41"/>
      <c r="F4010" s="41"/>
      <c r="G4010" s="21"/>
      <c r="H4010" s="203"/>
    </row>
    <row r="4011" spans="1:8">
      <c r="A4011" s="200"/>
      <c r="B4011" s="198"/>
      <c r="C4011" s="851"/>
      <c r="D4011" s="41"/>
      <c r="E4011" s="41"/>
      <c r="F4011" s="41"/>
      <c r="G4011" s="21"/>
      <c r="H4011" s="203"/>
    </row>
    <row r="4012" spans="1:8">
      <c r="A4012" s="200"/>
      <c r="B4012" s="198"/>
      <c r="C4012" s="851"/>
      <c r="D4012" s="41"/>
      <c r="E4012" s="41"/>
      <c r="F4012" s="41"/>
      <c r="G4012" s="21"/>
      <c r="H4012" s="203"/>
    </row>
    <row r="4013" spans="1:8">
      <c r="A4013" s="200"/>
      <c r="B4013" s="198"/>
      <c r="C4013" s="851"/>
      <c r="D4013" s="41"/>
      <c r="E4013" s="41"/>
      <c r="F4013" s="41"/>
      <c r="G4013" s="21"/>
      <c r="H4013" s="203"/>
    </row>
    <row r="4014" spans="1:8">
      <c r="A4014" s="200"/>
      <c r="B4014" s="198"/>
      <c r="C4014" s="851"/>
      <c r="D4014" s="41"/>
      <c r="E4014" s="41"/>
      <c r="F4014" s="41"/>
      <c r="G4014" s="21"/>
      <c r="H4014" s="203"/>
    </row>
    <row r="4015" spans="1:8">
      <c r="A4015" s="200"/>
      <c r="B4015" s="198"/>
      <c r="C4015" s="851"/>
      <c r="D4015" s="41"/>
      <c r="E4015" s="41"/>
      <c r="F4015" s="41"/>
      <c r="G4015" s="21"/>
      <c r="H4015" s="203"/>
    </row>
    <row r="4016" spans="1:8">
      <c r="A4016" s="200"/>
      <c r="B4016" s="198"/>
      <c r="C4016" s="851"/>
      <c r="D4016" s="41"/>
      <c r="E4016" s="41"/>
      <c r="F4016" s="41"/>
      <c r="G4016" s="21"/>
      <c r="H4016" s="203"/>
    </row>
    <row r="4017" spans="1:8">
      <c r="A4017" s="200"/>
      <c r="B4017" s="198"/>
      <c r="C4017" s="851"/>
      <c r="D4017" s="41"/>
      <c r="E4017" s="41"/>
      <c r="F4017" s="41"/>
      <c r="G4017" s="21"/>
      <c r="H4017" s="203"/>
    </row>
    <row r="4018" spans="1:8">
      <c r="A4018" s="200"/>
      <c r="B4018" s="198"/>
      <c r="C4018" s="851"/>
      <c r="D4018" s="41"/>
      <c r="E4018" s="41"/>
      <c r="F4018" s="41"/>
      <c r="G4018" s="21"/>
      <c r="H4018" s="203"/>
    </row>
    <row r="4019" spans="1:8">
      <c r="A4019" s="200"/>
      <c r="B4019" s="198"/>
      <c r="C4019" s="851"/>
      <c r="D4019" s="41"/>
      <c r="E4019" s="41"/>
      <c r="F4019" s="41"/>
      <c r="G4019" s="21"/>
      <c r="H4019" s="203"/>
    </row>
    <row r="4020" spans="1:8">
      <c r="A4020" s="200"/>
      <c r="B4020" s="198"/>
      <c r="C4020" s="851"/>
      <c r="D4020" s="41"/>
      <c r="E4020" s="41"/>
      <c r="F4020" s="41"/>
      <c r="G4020" s="21"/>
      <c r="H4020" s="203"/>
    </row>
    <row r="4021" spans="1:8">
      <c r="A4021" s="200"/>
      <c r="B4021" s="198"/>
      <c r="C4021" s="851"/>
      <c r="D4021" s="41"/>
      <c r="E4021" s="41"/>
      <c r="F4021" s="41"/>
      <c r="G4021" s="21"/>
      <c r="H4021" s="203"/>
    </row>
    <row r="4022" spans="1:8">
      <c r="A4022" s="200"/>
      <c r="B4022" s="198"/>
      <c r="C4022" s="851"/>
      <c r="D4022" s="41"/>
      <c r="E4022" s="41"/>
      <c r="F4022" s="41"/>
      <c r="G4022" s="21"/>
      <c r="H4022" s="203"/>
    </row>
    <row r="4023" spans="1:8">
      <c r="A4023" s="200"/>
      <c r="B4023" s="198"/>
      <c r="C4023" s="851"/>
      <c r="D4023" s="41"/>
      <c r="E4023" s="41"/>
      <c r="F4023" s="41"/>
      <c r="G4023" s="21"/>
      <c r="H4023" s="203"/>
    </row>
    <row r="4024" spans="1:8">
      <c r="A4024" s="200"/>
      <c r="B4024" s="198"/>
      <c r="C4024" s="851"/>
      <c r="D4024" s="41"/>
      <c r="E4024" s="41"/>
      <c r="F4024" s="41"/>
      <c r="G4024" s="21"/>
      <c r="H4024" s="203"/>
    </row>
    <row r="4025" spans="1:8">
      <c r="A4025" s="200"/>
      <c r="B4025" s="198"/>
      <c r="C4025" s="851"/>
      <c r="D4025" s="41"/>
      <c r="E4025" s="41"/>
      <c r="F4025" s="41"/>
      <c r="G4025" s="21"/>
      <c r="H4025" s="203"/>
    </row>
    <row r="4026" spans="1:8">
      <c r="A4026" s="200"/>
      <c r="B4026" s="198"/>
      <c r="C4026" s="851"/>
      <c r="D4026" s="41"/>
      <c r="E4026" s="41"/>
      <c r="F4026" s="41"/>
      <c r="G4026" s="21"/>
      <c r="H4026" s="203"/>
    </row>
    <row r="4027" spans="1:8">
      <c r="A4027" s="200"/>
      <c r="B4027" s="198"/>
      <c r="C4027" s="851"/>
      <c r="D4027" s="41"/>
      <c r="E4027" s="41"/>
      <c r="F4027" s="41"/>
      <c r="G4027" s="21"/>
      <c r="H4027" s="203"/>
    </row>
    <row r="4028" spans="1:8">
      <c r="A4028" s="200"/>
      <c r="B4028" s="198"/>
      <c r="C4028" s="851"/>
      <c r="D4028" s="41"/>
      <c r="E4028" s="41"/>
      <c r="F4028" s="41"/>
      <c r="G4028" s="21"/>
      <c r="H4028" s="203"/>
    </row>
    <row r="4029" spans="1:8">
      <c r="A4029" s="200"/>
      <c r="B4029" s="198"/>
      <c r="C4029" s="851"/>
      <c r="D4029" s="41"/>
      <c r="E4029" s="41"/>
      <c r="F4029" s="41"/>
      <c r="G4029" s="21"/>
      <c r="H4029" s="203"/>
    </row>
    <row r="4030" spans="1:8">
      <c r="A4030" s="200"/>
      <c r="B4030" s="198"/>
      <c r="C4030" s="851"/>
      <c r="D4030" s="41"/>
      <c r="E4030" s="41"/>
      <c r="F4030" s="41"/>
      <c r="G4030" s="21"/>
      <c r="H4030" s="203"/>
    </row>
    <row r="4031" spans="1:8">
      <c r="A4031" s="200"/>
      <c r="B4031" s="198"/>
      <c r="C4031" s="851"/>
      <c r="D4031" s="41"/>
      <c r="E4031" s="41"/>
      <c r="F4031" s="41"/>
      <c r="G4031" s="21"/>
      <c r="H4031" s="203"/>
    </row>
    <row r="4032" spans="1:8">
      <c r="A4032" s="200"/>
      <c r="B4032" s="198"/>
      <c r="C4032" s="851"/>
      <c r="D4032" s="41"/>
      <c r="E4032" s="41"/>
      <c r="F4032" s="41"/>
      <c r="G4032" s="21"/>
      <c r="H4032" s="203"/>
    </row>
    <row r="4033" spans="1:8">
      <c r="A4033" s="200"/>
      <c r="B4033" s="198"/>
      <c r="C4033" s="851"/>
      <c r="D4033" s="41"/>
      <c r="E4033" s="41"/>
      <c r="F4033" s="41"/>
      <c r="G4033" s="21"/>
      <c r="H4033" s="203"/>
    </row>
    <row r="4034" spans="1:8">
      <c r="A4034" s="200"/>
      <c r="B4034" s="198"/>
      <c r="C4034" s="851"/>
      <c r="D4034" s="41"/>
      <c r="E4034" s="41"/>
      <c r="F4034" s="41"/>
      <c r="G4034" s="21"/>
      <c r="H4034" s="203"/>
    </row>
    <row r="4035" spans="1:8">
      <c r="A4035" s="200"/>
      <c r="B4035" s="198"/>
      <c r="C4035" s="851"/>
      <c r="D4035" s="41"/>
      <c r="E4035" s="41"/>
      <c r="F4035" s="41"/>
      <c r="G4035" s="21"/>
      <c r="H4035" s="203"/>
    </row>
    <row r="4036" spans="1:8">
      <c r="A4036" s="200"/>
      <c r="B4036" s="198"/>
      <c r="C4036" s="851"/>
      <c r="D4036" s="41"/>
      <c r="E4036" s="41"/>
      <c r="F4036" s="41"/>
      <c r="G4036" s="21"/>
      <c r="H4036" s="203"/>
    </row>
    <row r="4037" spans="1:8">
      <c r="A4037" s="200"/>
      <c r="B4037" s="198"/>
      <c r="C4037" s="851"/>
      <c r="D4037" s="41"/>
      <c r="E4037" s="41"/>
      <c r="F4037" s="41"/>
      <c r="G4037" s="21"/>
      <c r="H4037" s="203"/>
    </row>
    <row r="4038" spans="1:8">
      <c r="A4038" s="200"/>
      <c r="B4038" s="198"/>
      <c r="C4038" s="851"/>
      <c r="D4038" s="41"/>
      <c r="E4038" s="41"/>
      <c r="F4038" s="41"/>
      <c r="G4038" s="21"/>
      <c r="H4038" s="203"/>
    </row>
    <row r="4039" spans="1:8">
      <c r="A4039" s="200"/>
      <c r="B4039" s="198"/>
      <c r="C4039" s="851"/>
      <c r="D4039" s="41"/>
      <c r="E4039" s="41"/>
      <c r="F4039" s="41"/>
      <c r="G4039" s="21"/>
      <c r="H4039" s="203"/>
    </row>
    <row r="4040" spans="1:8">
      <c r="A4040" s="200"/>
      <c r="B4040" s="198"/>
      <c r="C4040" s="851"/>
      <c r="D4040" s="41"/>
      <c r="E4040" s="41"/>
      <c r="F4040" s="41"/>
      <c r="G4040" s="21"/>
      <c r="H4040" s="203"/>
    </row>
    <row r="4041" spans="1:8">
      <c r="A4041" s="200"/>
      <c r="B4041" s="198"/>
      <c r="C4041" s="851"/>
      <c r="D4041" s="41"/>
      <c r="E4041" s="41"/>
      <c r="F4041" s="41"/>
      <c r="G4041" s="21"/>
      <c r="H4041" s="203"/>
    </row>
    <row r="4042" spans="1:8">
      <c r="A4042" s="200"/>
      <c r="B4042" s="198"/>
      <c r="C4042" s="851"/>
      <c r="D4042" s="41"/>
      <c r="E4042" s="41"/>
      <c r="F4042" s="41"/>
      <c r="G4042" s="21"/>
      <c r="H4042" s="203"/>
    </row>
    <row r="4043" spans="1:8">
      <c r="A4043" s="200"/>
      <c r="B4043" s="198"/>
      <c r="C4043" s="851"/>
      <c r="D4043" s="41"/>
      <c r="E4043" s="41"/>
      <c r="F4043" s="41"/>
      <c r="G4043" s="21"/>
      <c r="H4043" s="203"/>
    </row>
    <row r="4044" spans="1:8">
      <c r="A4044" s="200"/>
      <c r="B4044" s="198"/>
      <c r="C4044" s="851"/>
      <c r="D4044" s="41"/>
      <c r="E4044" s="41"/>
      <c r="F4044" s="41"/>
      <c r="G4044" s="21"/>
      <c r="H4044" s="203"/>
    </row>
    <row r="4045" spans="1:8">
      <c r="A4045" s="200"/>
      <c r="B4045" s="198"/>
      <c r="C4045" s="851"/>
      <c r="D4045" s="41"/>
      <c r="E4045" s="41"/>
      <c r="F4045" s="41"/>
      <c r="G4045" s="21"/>
      <c r="H4045" s="203"/>
    </row>
    <row r="4046" spans="1:8">
      <c r="A4046" s="200"/>
      <c r="B4046" s="198"/>
      <c r="C4046" s="851"/>
      <c r="D4046" s="41"/>
      <c r="E4046" s="41"/>
      <c r="F4046" s="41"/>
      <c r="G4046" s="21"/>
      <c r="H4046" s="203"/>
    </row>
    <row r="4047" spans="1:8">
      <c r="A4047" s="200"/>
      <c r="B4047" s="198"/>
      <c r="C4047" s="851"/>
      <c r="D4047" s="41"/>
      <c r="E4047" s="41"/>
      <c r="F4047" s="41"/>
      <c r="G4047" s="21"/>
      <c r="H4047" s="203"/>
    </row>
    <row r="4048" spans="1:8">
      <c r="A4048" s="200"/>
      <c r="B4048" s="198"/>
      <c r="C4048" s="851"/>
      <c r="D4048" s="41"/>
      <c r="E4048" s="41"/>
      <c r="F4048" s="41"/>
      <c r="G4048" s="21"/>
      <c r="H4048" s="203"/>
    </row>
    <row r="4049" spans="1:8">
      <c r="A4049" s="200"/>
      <c r="B4049" s="198"/>
      <c r="C4049" s="851"/>
      <c r="D4049" s="41"/>
      <c r="E4049" s="41"/>
      <c r="F4049" s="41"/>
      <c r="G4049" s="21"/>
      <c r="H4049" s="203"/>
    </row>
    <row r="4050" spans="1:8">
      <c r="A4050" s="200"/>
      <c r="B4050" s="198"/>
      <c r="C4050" s="851"/>
      <c r="D4050" s="41"/>
      <c r="E4050" s="41"/>
      <c r="F4050" s="41"/>
      <c r="G4050" s="21"/>
      <c r="H4050" s="203"/>
    </row>
    <row r="4051" spans="1:8">
      <c r="A4051" s="200"/>
      <c r="B4051" s="198"/>
      <c r="C4051" s="851"/>
      <c r="D4051" s="41"/>
      <c r="E4051" s="41"/>
      <c r="F4051" s="41"/>
      <c r="G4051" s="21"/>
      <c r="H4051" s="203"/>
    </row>
    <row r="4052" spans="1:8">
      <c r="A4052" s="200"/>
      <c r="B4052" s="198"/>
      <c r="C4052" s="851"/>
      <c r="D4052" s="41"/>
      <c r="E4052" s="41"/>
      <c r="F4052" s="41"/>
      <c r="G4052" s="21"/>
      <c r="H4052" s="203"/>
    </row>
    <row r="4053" spans="1:8">
      <c r="A4053" s="200"/>
      <c r="B4053" s="198"/>
      <c r="C4053" s="851"/>
      <c r="D4053" s="41"/>
      <c r="E4053" s="41"/>
      <c r="F4053" s="41"/>
      <c r="G4053" s="21"/>
      <c r="H4053" s="203"/>
    </row>
    <row r="4054" spans="1:8">
      <c r="A4054" s="200"/>
      <c r="B4054" s="198"/>
      <c r="C4054" s="851"/>
      <c r="D4054" s="41"/>
      <c r="E4054" s="41"/>
      <c r="F4054" s="41"/>
      <c r="G4054" s="21"/>
      <c r="H4054" s="203"/>
    </row>
    <row r="4055" spans="1:8">
      <c r="A4055" s="200"/>
      <c r="B4055" s="198"/>
      <c r="C4055" s="851"/>
      <c r="D4055" s="41"/>
      <c r="E4055" s="41"/>
      <c r="F4055" s="41"/>
      <c r="G4055" s="21"/>
      <c r="H4055" s="203"/>
    </row>
    <row r="4056" spans="1:8">
      <c r="A4056" s="200"/>
      <c r="B4056" s="198"/>
      <c r="C4056" s="851"/>
      <c r="D4056" s="41"/>
      <c r="E4056" s="41"/>
      <c r="F4056" s="41"/>
      <c r="G4056" s="21"/>
      <c r="H4056" s="203"/>
    </row>
    <row r="4057" spans="1:8">
      <c r="A4057" s="200"/>
      <c r="B4057" s="198"/>
      <c r="C4057" s="851"/>
      <c r="D4057" s="41"/>
      <c r="E4057" s="41"/>
      <c r="F4057" s="41"/>
      <c r="G4057" s="21"/>
      <c r="H4057" s="203"/>
    </row>
    <row r="4058" spans="1:8">
      <c r="A4058" s="200"/>
      <c r="B4058" s="198"/>
      <c r="C4058" s="851"/>
      <c r="D4058" s="41"/>
      <c r="E4058" s="41"/>
      <c r="F4058" s="41"/>
      <c r="G4058" s="21"/>
      <c r="H4058" s="203"/>
    </row>
    <row r="4059" spans="1:8">
      <c r="A4059" s="200"/>
      <c r="B4059" s="198"/>
      <c r="C4059" s="851"/>
      <c r="D4059" s="41"/>
      <c r="E4059" s="41"/>
      <c r="F4059" s="41"/>
      <c r="G4059" s="21"/>
      <c r="H4059" s="203"/>
    </row>
    <row r="4060" spans="1:8">
      <c r="A4060" s="200"/>
      <c r="B4060" s="198"/>
      <c r="C4060" s="851"/>
      <c r="D4060" s="41"/>
      <c r="E4060" s="41"/>
      <c r="F4060" s="41"/>
      <c r="G4060" s="21"/>
      <c r="H4060" s="203"/>
    </row>
    <row r="4061" spans="1:8">
      <c r="A4061" s="200"/>
      <c r="B4061" s="198"/>
      <c r="C4061" s="851"/>
      <c r="D4061" s="41"/>
      <c r="E4061" s="41"/>
      <c r="F4061" s="41"/>
      <c r="G4061" s="21"/>
      <c r="H4061" s="203"/>
    </row>
    <row r="4062" spans="1:8">
      <c r="A4062" s="200"/>
      <c r="B4062" s="198"/>
      <c r="C4062" s="851"/>
      <c r="D4062" s="41"/>
      <c r="E4062" s="41"/>
      <c r="F4062" s="41"/>
      <c r="G4062" s="21"/>
      <c r="H4062" s="203"/>
    </row>
    <row r="4063" spans="1:8">
      <c r="A4063" s="200"/>
      <c r="B4063" s="198"/>
      <c r="C4063" s="851"/>
      <c r="D4063" s="41"/>
      <c r="E4063" s="41"/>
      <c r="F4063" s="41"/>
      <c r="G4063" s="21"/>
      <c r="H4063" s="203"/>
    </row>
    <row r="4064" spans="1:8">
      <c r="A4064" s="200"/>
      <c r="B4064" s="198"/>
      <c r="C4064" s="851"/>
      <c r="D4064" s="41"/>
      <c r="E4064" s="41"/>
      <c r="F4064" s="41"/>
      <c r="G4064" s="21"/>
      <c r="H4064" s="203"/>
    </row>
    <row r="4065" spans="1:8">
      <c r="A4065" s="200"/>
      <c r="B4065" s="198"/>
      <c r="C4065" s="851"/>
      <c r="D4065" s="41"/>
      <c r="E4065" s="41"/>
      <c r="F4065" s="41"/>
      <c r="G4065" s="21"/>
      <c r="H4065" s="203"/>
    </row>
    <row r="4066" spans="1:8">
      <c r="A4066" s="200"/>
      <c r="B4066" s="198"/>
      <c r="C4066" s="851"/>
      <c r="D4066" s="41"/>
      <c r="E4066" s="41"/>
      <c r="F4066" s="41"/>
      <c r="G4066" s="21"/>
      <c r="H4066" s="203"/>
    </row>
    <row r="4067" spans="1:8">
      <c r="A4067" s="200"/>
      <c r="B4067" s="198"/>
      <c r="C4067" s="851"/>
      <c r="D4067" s="41"/>
      <c r="E4067" s="41"/>
      <c r="F4067" s="41"/>
      <c r="G4067" s="21"/>
      <c r="H4067" s="203"/>
    </row>
    <row r="4068" spans="1:8">
      <c r="A4068" s="200"/>
      <c r="B4068" s="198"/>
      <c r="C4068" s="851"/>
      <c r="D4068" s="41"/>
      <c r="E4068" s="41"/>
      <c r="F4068" s="41"/>
      <c r="G4068" s="21"/>
      <c r="H4068" s="203"/>
    </row>
    <row r="4069" spans="1:8">
      <c r="A4069" s="200"/>
      <c r="B4069" s="198"/>
      <c r="C4069" s="851"/>
      <c r="D4069" s="41"/>
      <c r="E4069" s="41"/>
      <c r="F4069" s="41"/>
      <c r="G4069" s="21"/>
      <c r="H4069" s="203"/>
    </row>
    <row r="4070" spans="1:8">
      <c r="A4070" s="200"/>
      <c r="B4070" s="198"/>
      <c r="C4070" s="851"/>
      <c r="D4070" s="41"/>
      <c r="E4070" s="41"/>
      <c r="F4070" s="41"/>
      <c r="G4070" s="21"/>
      <c r="H4070" s="203"/>
    </row>
    <row r="4071" spans="1:8">
      <c r="A4071" s="200"/>
      <c r="B4071" s="198"/>
      <c r="C4071" s="851"/>
      <c r="D4071" s="41"/>
      <c r="E4071" s="41"/>
      <c r="F4071" s="41"/>
      <c r="G4071" s="21"/>
      <c r="H4071" s="203"/>
    </row>
    <row r="4072" spans="1:8">
      <c r="A4072" s="200"/>
      <c r="B4072" s="198"/>
      <c r="C4072" s="851"/>
      <c r="D4072" s="41"/>
      <c r="E4072" s="41"/>
      <c r="F4072" s="41"/>
      <c r="G4072" s="21"/>
      <c r="H4072" s="203"/>
    </row>
    <row r="4073" spans="1:8">
      <c r="A4073" s="200"/>
      <c r="B4073" s="198"/>
      <c r="C4073" s="851"/>
      <c r="D4073" s="41"/>
      <c r="E4073" s="41"/>
      <c r="F4073" s="41"/>
      <c r="G4073" s="21"/>
      <c r="H4073" s="203"/>
    </row>
    <row r="4074" spans="1:8">
      <c r="A4074" s="200"/>
      <c r="B4074" s="198"/>
      <c r="C4074" s="851"/>
      <c r="D4074" s="41"/>
      <c r="E4074" s="41"/>
      <c r="F4074" s="41"/>
      <c r="G4074" s="21"/>
      <c r="H4074" s="203"/>
    </row>
    <row r="4075" spans="1:8">
      <c r="A4075" s="200"/>
      <c r="B4075" s="198"/>
      <c r="C4075" s="851"/>
      <c r="D4075" s="41"/>
      <c r="E4075" s="41"/>
      <c r="F4075" s="41"/>
      <c r="G4075" s="21"/>
      <c r="H4075" s="203"/>
    </row>
    <row r="4076" spans="1:8">
      <c r="A4076" s="200"/>
      <c r="B4076" s="198"/>
      <c r="C4076" s="851"/>
      <c r="D4076" s="41"/>
      <c r="E4076" s="41"/>
      <c r="F4076" s="41"/>
      <c r="G4076" s="21"/>
      <c r="H4076" s="203"/>
    </row>
    <row r="4077" spans="1:8">
      <c r="A4077" s="200"/>
      <c r="B4077" s="198"/>
      <c r="C4077" s="851"/>
      <c r="D4077" s="41"/>
      <c r="E4077" s="41"/>
      <c r="F4077" s="41"/>
      <c r="G4077" s="21"/>
      <c r="H4077" s="203"/>
    </row>
    <row r="4078" spans="1:8">
      <c r="A4078" s="200"/>
      <c r="B4078" s="198"/>
      <c r="C4078" s="851"/>
      <c r="D4078" s="41"/>
      <c r="E4078" s="41"/>
      <c r="F4078" s="41"/>
      <c r="G4078" s="21"/>
      <c r="H4078" s="203"/>
    </row>
    <row r="4079" spans="1:8">
      <c r="A4079" s="200"/>
      <c r="B4079" s="198"/>
      <c r="C4079" s="851"/>
      <c r="D4079" s="41"/>
      <c r="E4079" s="41"/>
      <c r="F4079" s="41"/>
      <c r="G4079" s="21"/>
      <c r="H4079" s="203"/>
    </row>
    <row r="4080" spans="1:8">
      <c r="A4080" s="200"/>
      <c r="B4080" s="198"/>
      <c r="C4080" s="851"/>
      <c r="D4080" s="41"/>
      <c r="E4080" s="41"/>
      <c r="F4080" s="41"/>
      <c r="G4080" s="21"/>
      <c r="H4080" s="203"/>
    </row>
    <row r="4081" spans="1:8">
      <c r="A4081" s="200"/>
      <c r="B4081" s="198"/>
      <c r="C4081" s="851"/>
      <c r="D4081" s="41"/>
      <c r="E4081" s="41"/>
      <c r="F4081" s="41"/>
      <c r="G4081" s="21"/>
      <c r="H4081" s="203"/>
    </row>
    <row r="4082" spans="1:8">
      <c r="A4082" s="200"/>
      <c r="B4082" s="198"/>
      <c r="C4082" s="851"/>
      <c r="D4082" s="41"/>
      <c r="E4082" s="41"/>
      <c r="F4082" s="41"/>
      <c r="G4082" s="21"/>
      <c r="H4082" s="203"/>
    </row>
    <row r="4083" spans="1:8">
      <c r="A4083" s="200"/>
      <c r="B4083" s="198"/>
      <c r="C4083" s="851"/>
      <c r="D4083" s="41"/>
      <c r="E4083" s="41"/>
      <c r="F4083" s="41"/>
      <c r="G4083" s="21"/>
      <c r="H4083" s="203"/>
    </row>
    <row r="4084" spans="1:8">
      <c r="A4084" s="200"/>
      <c r="B4084" s="198"/>
      <c r="C4084" s="851"/>
      <c r="D4084" s="41"/>
      <c r="E4084" s="41"/>
      <c r="F4084" s="41"/>
      <c r="G4084" s="21"/>
      <c r="H4084" s="203"/>
    </row>
    <row r="4085" spans="1:8">
      <c r="A4085" s="200"/>
      <c r="B4085" s="198"/>
      <c r="C4085" s="851"/>
      <c r="D4085" s="41"/>
      <c r="E4085" s="41"/>
      <c r="F4085" s="41"/>
      <c r="G4085" s="21"/>
      <c r="H4085" s="203"/>
    </row>
    <row r="4086" spans="1:8">
      <c r="A4086" s="200"/>
      <c r="B4086" s="198"/>
      <c r="C4086" s="851"/>
      <c r="D4086" s="41"/>
      <c r="E4086" s="41"/>
      <c r="F4086" s="41"/>
      <c r="G4086" s="21"/>
      <c r="H4086" s="203"/>
    </row>
    <row r="4087" spans="1:8">
      <c r="A4087" s="200"/>
      <c r="B4087" s="198"/>
      <c r="C4087" s="851"/>
      <c r="D4087" s="41"/>
      <c r="E4087" s="41"/>
      <c r="F4087" s="41"/>
      <c r="G4087" s="21"/>
      <c r="H4087" s="203"/>
    </row>
    <row r="4088" spans="1:8">
      <c r="A4088" s="200"/>
      <c r="B4088" s="198"/>
      <c r="C4088" s="851"/>
      <c r="D4088" s="41"/>
      <c r="E4088" s="41"/>
      <c r="F4088" s="41"/>
      <c r="G4088" s="21"/>
      <c r="H4088" s="203"/>
    </row>
    <row r="4089" spans="1:8">
      <c r="A4089" s="200"/>
      <c r="B4089" s="198"/>
      <c r="C4089" s="851"/>
      <c r="D4089" s="41"/>
      <c r="E4089" s="41"/>
      <c r="F4089" s="41"/>
      <c r="G4089" s="21"/>
      <c r="H4089" s="203"/>
    </row>
    <row r="4090" spans="1:8">
      <c r="A4090" s="200"/>
      <c r="B4090" s="198"/>
      <c r="C4090" s="851"/>
      <c r="D4090" s="41"/>
      <c r="E4090" s="41"/>
      <c r="F4090" s="41"/>
      <c r="G4090" s="21"/>
      <c r="H4090" s="203"/>
    </row>
    <row r="4091" spans="1:8">
      <c r="A4091" s="200"/>
      <c r="B4091" s="198"/>
      <c r="C4091" s="851"/>
      <c r="D4091" s="41"/>
      <c r="E4091" s="41"/>
      <c r="F4091" s="41"/>
      <c r="G4091" s="21"/>
      <c r="H4091" s="203"/>
    </row>
    <row r="4092" spans="1:8">
      <c r="A4092" s="200"/>
      <c r="B4092" s="198"/>
      <c r="C4092" s="851"/>
      <c r="D4092" s="41"/>
      <c r="E4092" s="41"/>
      <c r="F4092" s="41"/>
      <c r="G4092" s="21"/>
      <c r="H4092" s="203"/>
    </row>
    <row r="4093" spans="1:8">
      <c r="A4093" s="200"/>
      <c r="B4093" s="198"/>
      <c r="C4093" s="851"/>
      <c r="D4093" s="41"/>
      <c r="E4093" s="41"/>
      <c r="F4093" s="41"/>
      <c r="G4093" s="21"/>
      <c r="H4093" s="203"/>
    </row>
    <row r="4094" spans="1:8">
      <c r="A4094" s="200"/>
      <c r="B4094" s="198"/>
      <c r="C4094" s="851"/>
      <c r="D4094" s="41"/>
      <c r="E4094" s="41"/>
      <c r="F4094" s="41"/>
      <c r="G4094" s="21"/>
      <c r="H4094" s="203"/>
    </row>
    <row r="4095" spans="1:8">
      <c r="A4095" s="200"/>
      <c r="B4095" s="198"/>
      <c r="C4095" s="851"/>
      <c r="D4095" s="41"/>
      <c r="E4095" s="41"/>
      <c r="F4095" s="41"/>
      <c r="G4095" s="21"/>
      <c r="H4095" s="203"/>
    </row>
    <row r="4096" spans="1:8">
      <c r="A4096" s="200"/>
      <c r="B4096" s="198"/>
      <c r="C4096" s="851"/>
      <c r="D4096" s="41"/>
      <c r="E4096" s="41"/>
      <c r="F4096" s="41"/>
      <c r="G4096" s="21"/>
      <c r="H4096" s="203"/>
    </row>
    <row r="4097" spans="1:8">
      <c r="A4097" s="200"/>
      <c r="B4097" s="198"/>
      <c r="C4097" s="851"/>
      <c r="D4097" s="41"/>
      <c r="E4097" s="41"/>
      <c r="F4097" s="41"/>
      <c r="G4097" s="21"/>
      <c r="H4097" s="203"/>
    </row>
    <row r="4098" spans="1:8">
      <c r="A4098" s="200"/>
      <c r="B4098" s="198"/>
      <c r="C4098" s="851"/>
      <c r="D4098" s="41"/>
      <c r="E4098" s="41"/>
      <c r="F4098" s="41"/>
      <c r="G4098" s="21"/>
      <c r="H4098" s="203"/>
    </row>
    <row r="4099" spans="1:8">
      <c r="A4099" s="200"/>
      <c r="B4099" s="198"/>
      <c r="C4099" s="851"/>
      <c r="D4099" s="41"/>
      <c r="E4099" s="41"/>
      <c r="F4099" s="41"/>
      <c r="G4099" s="21"/>
      <c r="H4099" s="203"/>
    </row>
    <row r="4100" spans="1:8">
      <c r="A4100" s="200"/>
      <c r="B4100" s="198"/>
      <c r="C4100" s="851"/>
      <c r="D4100" s="41"/>
      <c r="E4100" s="41"/>
      <c r="F4100" s="41"/>
      <c r="G4100" s="21"/>
      <c r="H4100" s="203"/>
    </row>
    <row r="4101" spans="1:8">
      <c r="A4101" s="200"/>
      <c r="B4101" s="198"/>
      <c r="C4101" s="851"/>
      <c r="D4101" s="41"/>
      <c r="E4101" s="41"/>
      <c r="F4101" s="41"/>
      <c r="G4101" s="21"/>
      <c r="H4101" s="203"/>
    </row>
    <row r="4102" spans="1:8">
      <c r="A4102" s="200"/>
      <c r="B4102" s="198"/>
      <c r="C4102" s="851"/>
      <c r="D4102" s="41"/>
      <c r="E4102" s="41"/>
      <c r="F4102" s="41"/>
      <c r="G4102" s="21"/>
      <c r="H4102" s="203"/>
    </row>
    <row r="4103" spans="1:8">
      <c r="A4103" s="200"/>
      <c r="B4103" s="198"/>
      <c r="C4103" s="851"/>
      <c r="D4103" s="41"/>
      <c r="E4103" s="41"/>
      <c r="F4103" s="41"/>
      <c r="G4103" s="21"/>
      <c r="H4103" s="203"/>
    </row>
    <row r="4104" spans="1:8">
      <c r="A4104" s="200"/>
      <c r="B4104" s="198"/>
      <c r="C4104" s="851"/>
      <c r="D4104" s="41"/>
      <c r="E4104" s="41"/>
      <c r="F4104" s="41"/>
      <c r="G4104" s="21"/>
      <c r="H4104" s="203"/>
    </row>
    <row r="4105" spans="1:8">
      <c r="A4105" s="200"/>
      <c r="B4105" s="198"/>
      <c r="C4105" s="851"/>
      <c r="D4105" s="41"/>
      <c r="E4105" s="41"/>
      <c r="F4105" s="41"/>
      <c r="G4105" s="21"/>
      <c r="H4105" s="203"/>
    </row>
    <row r="4106" spans="1:8">
      <c r="A4106" s="200"/>
      <c r="B4106" s="198"/>
      <c r="C4106" s="851"/>
      <c r="D4106" s="41"/>
      <c r="E4106" s="41"/>
      <c r="F4106" s="41"/>
      <c r="G4106" s="21"/>
      <c r="H4106" s="203"/>
    </row>
    <row r="4107" spans="1:8">
      <c r="A4107" s="200"/>
      <c r="B4107" s="198"/>
      <c r="C4107" s="851"/>
      <c r="D4107" s="41"/>
      <c r="E4107" s="41"/>
      <c r="F4107" s="41"/>
      <c r="G4107" s="21"/>
      <c r="H4107" s="203"/>
    </row>
    <row r="4108" spans="1:8">
      <c r="A4108" s="200"/>
      <c r="B4108" s="198"/>
      <c r="C4108" s="851"/>
      <c r="D4108" s="41"/>
      <c r="E4108" s="41"/>
      <c r="F4108" s="41"/>
      <c r="G4108" s="21"/>
      <c r="H4108" s="203"/>
    </row>
    <row r="4109" spans="1:8">
      <c r="A4109" s="200"/>
      <c r="B4109" s="198"/>
      <c r="C4109" s="851"/>
      <c r="D4109" s="41"/>
      <c r="E4109" s="41"/>
      <c r="F4109" s="41"/>
      <c r="G4109" s="21"/>
      <c r="H4109" s="203"/>
    </row>
    <row r="4110" spans="1:8">
      <c r="A4110" s="200"/>
      <c r="B4110" s="198"/>
      <c r="C4110" s="851"/>
      <c r="D4110" s="41"/>
      <c r="E4110" s="41"/>
      <c r="F4110" s="41"/>
      <c r="G4110" s="21"/>
      <c r="H4110" s="203"/>
    </row>
    <row r="4111" spans="1:8">
      <c r="A4111" s="200"/>
      <c r="B4111" s="198"/>
      <c r="C4111" s="851"/>
      <c r="D4111" s="41"/>
      <c r="E4111" s="41"/>
      <c r="F4111" s="41"/>
      <c r="G4111" s="21"/>
      <c r="H4111" s="203"/>
    </row>
    <row r="4112" spans="1:8">
      <c r="A4112" s="200"/>
      <c r="B4112" s="198"/>
      <c r="C4112" s="851"/>
      <c r="D4112" s="41"/>
      <c r="E4112" s="41"/>
      <c r="F4112" s="41"/>
      <c r="G4112" s="21"/>
      <c r="H4112" s="203"/>
    </row>
    <row r="4113" spans="1:8">
      <c r="A4113" s="200"/>
      <c r="B4113" s="198"/>
      <c r="C4113" s="851"/>
      <c r="D4113" s="41"/>
      <c r="E4113" s="41"/>
      <c r="F4113" s="41"/>
      <c r="G4113" s="21"/>
      <c r="H4113" s="203"/>
    </row>
    <row r="4114" spans="1:8">
      <c r="A4114" s="200"/>
      <c r="B4114" s="198"/>
      <c r="C4114" s="851"/>
      <c r="D4114" s="41"/>
      <c r="E4114" s="41"/>
      <c r="F4114" s="41"/>
      <c r="G4114" s="21"/>
      <c r="H4114" s="203"/>
    </row>
    <row r="4115" spans="1:8">
      <c r="A4115" s="200"/>
      <c r="B4115" s="198"/>
      <c r="C4115" s="851"/>
      <c r="D4115" s="41"/>
      <c r="E4115" s="41"/>
      <c r="F4115" s="41"/>
      <c r="G4115" s="21"/>
      <c r="H4115" s="203"/>
    </row>
    <row r="4116" spans="1:8">
      <c r="A4116" s="200"/>
      <c r="B4116" s="198"/>
      <c r="C4116" s="851"/>
      <c r="D4116" s="41"/>
      <c r="E4116" s="41"/>
      <c r="F4116" s="41"/>
      <c r="G4116" s="21"/>
      <c r="H4116" s="203"/>
    </row>
    <row r="4117" spans="1:8">
      <c r="A4117" s="200"/>
      <c r="B4117" s="198"/>
      <c r="C4117" s="851"/>
      <c r="D4117" s="41"/>
      <c r="E4117" s="41"/>
      <c r="F4117" s="41"/>
      <c r="G4117" s="21"/>
      <c r="H4117" s="203"/>
    </row>
    <row r="4118" spans="1:8">
      <c r="A4118" s="200"/>
      <c r="B4118" s="198"/>
      <c r="C4118" s="851"/>
      <c r="D4118" s="41"/>
      <c r="E4118" s="41"/>
      <c r="F4118" s="41"/>
      <c r="G4118" s="21"/>
      <c r="H4118" s="203"/>
    </row>
    <row r="4119" spans="1:8">
      <c r="A4119" s="200"/>
      <c r="B4119" s="198"/>
      <c r="C4119" s="851"/>
      <c r="D4119" s="41"/>
      <c r="E4119" s="41"/>
      <c r="F4119" s="41"/>
      <c r="G4119" s="21"/>
      <c r="H4119" s="203"/>
    </row>
    <row r="4120" spans="1:8">
      <c r="A4120" s="200"/>
      <c r="B4120" s="198"/>
      <c r="C4120" s="851"/>
      <c r="D4120" s="41"/>
      <c r="E4120" s="41"/>
      <c r="F4120" s="41"/>
      <c r="G4120" s="21"/>
      <c r="H4120" s="203"/>
    </row>
    <row r="4121" spans="1:8">
      <c r="A4121" s="200"/>
      <c r="B4121" s="198"/>
      <c r="C4121" s="851"/>
      <c r="D4121" s="41"/>
      <c r="E4121" s="41"/>
      <c r="F4121" s="41"/>
      <c r="G4121" s="21"/>
      <c r="H4121" s="203"/>
    </row>
    <row r="4122" spans="1:8">
      <c r="A4122" s="200"/>
      <c r="B4122" s="198"/>
      <c r="C4122" s="851"/>
      <c r="D4122" s="41"/>
      <c r="E4122" s="41"/>
      <c r="F4122" s="41"/>
      <c r="G4122" s="21"/>
      <c r="H4122" s="203"/>
    </row>
    <row r="4123" spans="1:8">
      <c r="A4123" s="200"/>
      <c r="B4123" s="198"/>
      <c r="C4123" s="851"/>
      <c r="D4123" s="41"/>
      <c r="E4123" s="41"/>
      <c r="F4123" s="41"/>
      <c r="G4123" s="21"/>
      <c r="H4123" s="203"/>
    </row>
    <row r="4124" spans="1:8">
      <c r="A4124" s="200"/>
      <c r="B4124" s="198"/>
      <c r="C4124" s="851"/>
      <c r="D4124" s="41"/>
      <c r="E4124" s="41"/>
      <c r="F4124" s="41"/>
      <c r="G4124" s="21"/>
      <c r="H4124" s="203"/>
    </row>
    <row r="4125" spans="1:8">
      <c r="A4125" s="200"/>
      <c r="B4125" s="198"/>
      <c r="C4125" s="851"/>
      <c r="D4125" s="41"/>
      <c r="E4125" s="41"/>
      <c r="F4125" s="41"/>
      <c r="G4125" s="21"/>
      <c r="H4125" s="203"/>
    </row>
    <row r="4126" spans="1:8">
      <c r="A4126" s="200"/>
      <c r="B4126" s="198"/>
      <c r="C4126" s="851"/>
      <c r="D4126" s="41"/>
      <c r="E4126" s="41"/>
      <c r="F4126" s="41"/>
      <c r="G4126" s="21"/>
      <c r="H4126" s="203"/>
    </row>
    <row r="4127" spans="1:8">
      <c r="A4127" s="200"/>
      <c r="B4127" s="198"/>
      <c r="C4127" s="851"/>
      <c r="D4127" s="41"/>
      <c r="E4127" s="41"/>
      <c r="F4127" s="41"/>
      <c r="G4127" s="21"/>
      <c r="H4127" s="203"/>
    </row>
    <row r="4128" spans="1:8">
      <c r="A4128" s="200"/>
      <c r="B4128" s="198"/>
      <c r="C4128" s="851"/>
      <c r="D4128" s="41"/>
      <c r="E4128" s="41"/>
      <c r="F4128" s="41"/>
      <c r="G4128" s="21"/>
      <c r="H4128" s="203"/>
    </row>
    <row r="4129" spans="1:8">
      <c r="A4129" s="200"/>
      <c r="B4129" s="198"/>
      <c r="C4129" s="851"/>
      <c r="D4129" s="41"/>
      <c r="E4129" s="41"/>
      <c r="F4129" s="41"/>
      <c r="G4129" s="21"/>
      <c r="H4129" s="203"/>
    </row>
    <row r="4130" spans="1:8">
      <c r="A4130" s="200"/>
      <c r="B4130" s="198"/>
      <c r="C4130" s="851"/>
      <c r="D4130" s="41"/>
      <c r="E4130" s="41"/>
      <c r="F4130" s="41"/>
      <c r="G4130" s="21"/>
      <c r="H4130" s="203"/>
    </row>
    <row r="4131" spans="1:8">
      <c r="A4131" s="200"/>
      <c r="B4131" s="198"/>
      <c r="C4131" s="851"/>
      <c r="D4131" s="41"/>
      <c r="E4131" s="41"/>
      <c r="F4131" s="41"/>
      <c r="G4131" s="21"/>
      <c r="H4131" s="203"/>
    </row>
    <row r="4132" spans="1:8">
      <c r="A4132" s="200"/>
      <c r="B4132" s="198"/>
      <c r="C4132" s="851"/>
      <c r="D4132" s="41"/>
      <c r="E4132" s="41"/>
      <c r="F4132" s="41"/>
      <c r="G4132" s="21"/>
      <c r="H4132" s="203"/>
    </row>
    <row r="4133" spans="1:8">
      <c r="A4133" s="200"/>
      <c r="B4133" s="198"/>
      <c r="C4133" s="851"/>
      <c r="D4133" s="41"/>
      <c r="E4133" s="41"/>
      <c r="F4133" s="41"/>
      <c r="G4133" s="21"/>
      <c r="H4133" s="203"/>
    </row>
    <row r="4134" spans="1:8">
      <c r="A4134" s="200"/>
      <c r="B4134" s="198"/>
      <c r="C4134" s="851"/>
      <c r="D4134" s="41"/>
      <c r="E4134" s="41"/>
      <c r="F4134" s="41"/>
      <c r="G4134" s="21"/>
      <c r="H4134" s="203"/>
    </row>
    <row r="4135" spans="1:8">
      <c r="A4135" s="200"/>
      <c r="B4135" s="198"/>
      <c r="C4135" s="851"/>
      <c r="D4135" s="41"/>
      <c r="E4135" s="41"/>
      <c r="F4135" s="41"/>
      <c r="G4135" s="21"/>
      <c r="H4135" s="203"/>
    </row>
    <row r="4136" spans="1:8">
      <c r="A4136" s="200"/>
      <c r="B4136" s="198"/>
      <c r="C4136" s="851"/>
      <c r="D4136" s="41"/>
      <c r="E4136" s="41"/>
      <c r="F4136" s="41"/>
      <c r="G4136" s="21"/>
      <c r="H4136" s="203"/>
    </row>
    <row r="4137" spans="1:8">
      <c r="A4137" s="200"/>
      <c r="B4137" s="198"/>
      <c r="C4137" s="851"/>
      <c r="D4137" s="41"/>
      <c r="E4137" s="41"/>
      <c r="F4137" s="41"/>
      <c r="G4137" s="21"/>
      <c r="H4137" s="203"/>
    </row>
    <row r="4138" spans="1:8">
      <c r="A4138" s="200"/>
      <c r="B4138" s="198"/>
      <c r="C4138" s="851"/>
      <c r="D4138" s="41"/>
      <c r="E4138" s="41"/>
      <c r="F4138" s="41"/>
      <c r="G4138" s="21"/>
      <c r="H4138" s="203"/>
    </row>
    <row r="4139" spans="1:8">
      <c r="A4139" s="200"/>
      <c r="B4139" s="198"/>
      <c r="C4139" s="851"/>
      <c r="D4139" s="41"/>
      <c r="E4139" s="41"/>
      <c r="F4139" s="41"/>
      <c r="G4139" s="21"/>
      <c r="H4139" s="203"/>
    </row>
    <row r="4140" spans="1:8">
      <c r="A4140" s="200"/>
      <c r="B4140" s="198"/>
      <c r="C4140" s="851"/>
      <c r="D4140" s="41"/>
      <c r="E4140" s="41"/>
      <c r="F4140" s="41"/>
      <c r="G4140" s="21"/>
      <c r="H4140" s="203"/>
    </row>
    <row r="4141" spans="1:8">
      <c r="A4141" s="200"/>
      <c r="B4141" s="198"/>
      <c r="C4141" s="851"/>
      <c r="D4141" s="41"/>
      <c r="E4141" s="41"/>
      <c r="F4141" s="41"/>
      <c r="G4141" s="21"/>
      <c r="H4141" s="203"/>
    </row>
    <row r="4142" spans="1:8">
      <c r="A4142" s="200"/>
      <c r="B4142" s="198"/>
      <c r="C4142" s="851"/>
      <c r="D4142" s="41"/>
      <c r="E4142" s="41"/>
      <c r="F4142" s="41"/>
      <c r="G4142" s="21"/>
      <c r="H4142" s="203"/>
    </row>
    <row r="4143" spans="1:8">
      <c r="A4143" s="200"/>
      <c r="B4143" s="198"/>
      <c r="C4143" s="851"/>
      <c r="D4143" s="41"/>
      <c r="E4143" s="41"/>
      <c r="F4143" s="41"/>
      <c r="G4143" s="21"/>
      <c r="H4143" s="203"/>
    </row>
    <row r="4144" spans="1:8">
      <c r="A4144" s="200"/>
      <c r="B4144" s="198"/>
      <c r="C4144" s="851"/>
      <c r="D4144" s="41"/>
      <c r="E4144" s="41"/>
      <c r="F4144" s="41"/>
      <c r="G4144" s="21"/>
      <c r="H4144" s="203"/>
    </row>
    <row r="4145" spans="1:8">
      <c r="A4145" s="200"/>
      <c r="B4145" s="198"/>
      <c r="C4145" s="851"/>
      <c r="D4145" s="41"/>
      <c r="E4145" s="41"/>
      <c r="F4145" s="41"/>
      <c r="G4145" s="21"/>
      <c r="H4145" s="203"/>
    </row>
    <row r="4146" spans="1:8">
      <c r="A4146" s="200"/>
      <c r="B4146" s="198"/>
      <c r="C4146" s="851"/>
      <c r="D4146" s="41"/>
      <c r="E4146" s="41"/>
      <c r="F4146" s="41"/>
      <c r="G4146" s="21"/>
      <c r="H4146" s="203"/>
    </row>
    <row r="4147" spans="1:8">
      <c r="A4147" s="200"/>
      <c r="B4147" s="198"/>
      <c r="C4147" s="851"/>
      <c r="D4147" s="41"/>
      <c r="E4147" s="41"/>
      <c r="F4147" s="41"/>
      <c r="G4147" s="21"/>
      <c r="H4147" s="203"/>
    </row>
    <row r="4148" spans="1:8">
      <c r="A4148" s="200"/>
      <c r="B4148" s="198"/>
      <c r="C4148" s="851"/>
      <c r="D4148" s="41"/>
      <c r="E4148" s="41"/>
      <c r="F4148" s="41"/>
      <c r="G4148" s="21"/>
      <c r="H4148" s="203"/>
    </row>
    <row r="4149" spans="1:8">
      <c r="A4149" s="200"/>
      <c r="B4149" s="198"/>
      <c r="C4149" s="851"/>
      <c r="D4149" s="41"/>
      <c r="E4149" s="41"/>
      <c r="F4149" s="41"/>
      <c r="G4149" s="21"/>
      <c r="H4149" s="203"/>
    </row>
    <row r="4150" spans="1:8">
      <c r="A4150" s="200"/>
      <c r="B4150" s="198"/>
      <c r="C4150" s="851"/>
      <c r="D4150" s="41"/>
      <c r="E4150" s="41"/>
      <c r="F4150" s="41"/>
      <c r="G4150" s="21"/>
      <c r="H4150" s="203"/>
    </row>
    <row r="4151" spans="1:8">
      <c r="A4151" s="200"/>
      <c r="B4151" s="198"/>
      <c r="C4151" s="851"/>
      <c r="D4151" s="41"/>
      <c r="E4151" s="41"/>
      <c r="F4151" s="41"/>
      <c r="G4151" s="21"/>
      <c r="H4151" s="203"/>
    </row>
    <row r="4152" spans="1:8">
      <c r="A4152" s="200"/>
      <c r="B4152" s="198"/>
      <c r="C4152" s="851"/>
      <c r="D4152" s="41"/>
      <c r="E4152" s="41"/>
      <c r="F4152" s="41"/>
      <c r="G4152" s="21"/>
      <c r="H4152" s="203"/>
    </row>
    <row r="4153" spans="1:8">
      <c r="A4153" s="200"/>
      <c r="B4153" s="198"/>
      <c r="C4153" s="851"/>
      <c r="D4153" s="41"/>
      <c r="E4153" s="41"/>
      <c r="F4153" s="41"/>
      <c r="G4153" s="21"/>
      <c r="H4153" s="203"/>
    </row>
    <row r="4154" spans="1:8">
      <c r="A4154" s="200"/>
      <c r="B4154" s="198"/>
      <c r="C4154" s="851"/>
      <c r="D4154" s="41"/>
      <c r="E4154" s="41"/>
      <c r="F4154" s="41"/>
      <c r="G4154" s="21"/>
      <c r="H4154" s="203"/>
    </row>
    <row r="4155" spans="1:8">
      <c r="A4155" s="200"/>
      <c r="B4155" s="198"/>
      <c r="C4155" s="851"/>
      <c r="D4155" s="41"/>
      <c r="E4155" s="41"/>
      <c r="F4155" s="41"/>
      <c r="G4155" s="21"/>
      <c r="H4155" s="203"/>
    </row>
    <row r="4156" spans="1:8">
      <c r="A4156" s="200"/>
      <c r="B4156" s="198"/>
      <c r="C4156" s="851"/>
      <c r="D4156" s="41"/>
      <c r="E4156" s="41"/>
      <c r="F4156" s="41"/>
      <c r="G4156" s="21"/>
      <c r="H4156" s="203"/>
    </row>
    <row r="4157" spans="1:8">
      <c r="A4157" s="200"/>
      <c r="B4157" s="198"/>
      <c r="C4157" s="851"/>
      <c r="D4157" s="41"/>
      <c r="E4157" s="41"/>
      <c r="F4157" s="41"/>
      <c r="G4157" s="21"/>
      <c r="H4157" s="203"/>
    </row>
    <row r="4158" spans="1:8">
      <c r="A4158" s="200"/>
      <c r="B4158" s="198"/>
      <c r="C4158" s="851"/>
      <c r="D4158" s="41"/>
      <c r="E4158" s="41"/>
      <c r="F4158" s="41"/>
      <c r="G4158" s="21"/>
      <c r="H4158" s="203"/>
    </row>
    <row r="4159" spans="1:8">
      <c r="A4159" s="200"/>
      <c r="B4159" s="198"/>
      <c r="C4159" s="851"/>
      <c r="D4159" s="41"/>
      <c r="E4159" s="41"/>
      <c r="F4159" s="41"/>
      <c r="G4159" s="21"/>
      <c r="H4159" s="203"/>
    </row>
    <row r="4160" spans="1:8">
      <c r="A4160" s="200"/>
      <c r="B4160" s="198"/>
      <c r="C4160" s="851"/>
      <c r="D4160" s="41"/>
      <c r="E4160" s="41"/>
      <c r="F4160" s="41"/>
      <c r="G4160" s="21"/>
      <c r="H4160" s="203"/>
    </row>
    <row r="4161" spans="1:8">
      <c r="A4161" s="200"/>
      <c r="B4161" s="198"/>
      <c r="C4161" s="851"/>
      <c r="D4161" s="41"/>
      <c r="E4161" s="41"/>
      <c r="F4161" s="41"/>
      <c r="G4161" s="21"/>
      <c r="H4161" s="203"/>
    </row>
    <row r="4162" spans="1:8">
      <c r="A4162" s="200"/>
      <c r="B4162" s="198"/>
      <c r="C4162" s="851"/>
      <c r="D4162" s="41"/>
      <c r="E4162" s="41"/>
      <c r="F4162" s="41"/>
      <c r="G4162" s="21"/>
      <c r="H4162" s="203"/>
    </row>
    <row r="4163" spans="1:8">
      <c r="A4163" s="200"/>
      <c r="B4163" s="198"/>
      <c r="C4163" s="851"/>
      <c r="D4163" s="41"/>
      <c r="E4163" s="41"/>
      <c r="F4163" s="41"/>
      <c r="G4163" s="21"/>
      <c r="H4163" s="203"/>
    </row>
    <row r="4164" spans="1:8">
      <c r="A4164" s="200"/>
      <c r="B4164" s="198"/>
      <c r="C4164" s="851"/>
      <c r="D4164" s="41"/>
      <c r="E4164" s="41"/>
      <c r="F4164" s="41"/>
      <c r="G4164" s="21"/>
      <c r="H4164" s="203"/>
    </row>
    <row r="4165" spans="1:8">
      <c r="A4165" s="200"/>
      <c r="B4165" s="198"/>
      <c r="C4165" s="851"/>
      <c r="D4165" s="41"/>
      <c r="E4165" s="41"/>
      <c r="F4165" s="41"/>
      <c r="G4165" s="21"/>
      <c r="H4165" s="203"/>
    </row>
    <row r="4166" spans="1:8">
      <c r="A4166" s="200"/>
      <c r="B4166" s="198"/>
      <c r="C4166" s="851"/>
      <c r="D4166" s="41"/>
      <c r="E4166" s="41"/>
      <c r="F4166" s="41"/>
      <c r="G4166" s="21"/>
      <c r="H4166" s="203"/>
    </row>
    <row r="4167" spans="1:8">
      <c r="A4167" s="200"/>
      <c r="B4167" s="198"/>
      <c r="C4167" s="851"/>
      <c r="D4167" s="41"/>
      <c r="E4167" s="41"/>
      <c r="F4167" s="41"/>
      <c r="G4167" s="21"/>
      <c r="H4167" s="203"/>
    </row>
    <row r="4168" spans="1:8">
      <c r="A4168" s="200"/>
      <c r="B4168" s="198"/>
      <c r="C4168" s="851"/>
      <c r="D4168" s="41"/>
      <c r="E4168" s="41"/>
      <c r="F4168" s="41"/>
      <c r="G4168" s="21"/>
      <c r="H4168" s="203"/>
    </row>
    <row r="4169" spans="1:8">
      <c r="A4169" s="200"/>
      <c r="B4169" s="198"/>
      <c r="C4169" s="851"/>
      <c r="D4169" s="41"/>
      <c r="E4169" s="41"/>
      <c r="F4169" s="41"/>
      <c r="G4169" s="21"/>
      <c r="H4169" s="203"/>
    </row>
    <row r="4170" spans="1:8">
      <c r="A4170" s="200"/>
      <c r="B4170" s="198"/>
      <c r="C4170" s="851"/>
      <c r="D4170" s="41"/>
      <c r="E4170" s="41"/>
      <c r="F4170" s="41"/>
      <c r="G4170" s="21"/>
      <c r="H4170" s="203"/>
    </row>
    <row r="4171" spans="1:8">
      <c r="A4171" s="200"/>
      <c r="B4171" s="198"/>
      <c r="C4171" s="851"/>
      <c r="D4171" s="41"/>
      <c r="E4171" s="41"/>
      <c r="F4171" s="41"/>
      <c r="G4171" s="21"/>
      <c r="H4171" s="203"/>
    </row>
    <row r="4172" spans="1:8">
      <c r="A4172" s="200"/>
      <c r="B4172" s="198"/>
      <c r="C4172" s="851"/>
      <c r="D4172" s="41"/>
      <c r="E4172" s="41"/>
      <c r="F4172" s="41"/>
      <c r="G4172" s="21"/>
      <c r="H4172" s="203"/>
    </row>
    <row r="4173" spans="1:8">
      <c r="A4173" s="200"/>
      <c r="B4173" s="198"/>
      <c r="C4173" s="851"/>
      <c r="D4173" s="41"/>
      <c r="E4173" s="41"/>
      <c r="F4173" s="41"/>
      <c r="G4173" s="21"/>
      <c r="H4173" s="203"/>
    </row>
    <row r="4174" spans="1:8">
      <c r="A4174" s="200"/>
      <c r="B4174" s="198"/>
      <c r="C4174" s="851"/>
      <c r="D4174" s="41"/>
      <c r="E4174" s="41"/>
      <c r="F4174" s="41"/>
      <c r="G4174" s="21"/>
      <c r="H4174" s="203"/>
    </row>
    <row r="4175" spans="1:8">
      <c r="A4175" s="200"/>
      <c r="B4175" s="198"/>
      <c r="C4175" s="851"/>
      <c r="D4175" s="41"/>
      <c r="E4175" s="41"/>
      <c r="F4175" s="41"/>
      <c r="G4175" s="21"/>
      <c r="H4175" s="203"/>
    </row>
    <row r="4176" spans="1:8">
      <c r="A4176" s="200"/>
      <c r="B4176" s="198"/>
      <c r="C4176" s="851"/>
      <c r="D4176" s="41"/>
      <c r="E4176" s="41"/>
      <c r="F4176" s="41"/>
      <c r="G4176" s="21"/>
      <c r="H4176" s="203"/>
    </row>
    <row r="4177" spans="1:8">
      <c r="A4177" s="200"/>
      <c r="B4177" s="198"/>
      <c r="C4177" s="851"/>
      <c r="D4177" s="41"/>
      <c r="E4177" s="41"/>
      <c r="F4177" s="41"/>
      <c r="G4177" s="21"/>
      <c r="H4177" s="203"/>
    </row>
    <row r="4178" spans="1:8">
      <c r="A4178" s="200"/>
      <c r="B4178" s="198"/>
      <c r="C4178" s="851"/>
      <c r="D4178" s="41"/>
      <c r="E4178" s="41"/>
      <c r="F4178" s="41"/>
      <c r="G4178" s="21"/>
      <c r="H4178" s="203"/>
    </row>
    <row r="4179" spans="1:8">
      <c r="A4179" s="200"/>
      <c r="B4179" s="198"/>
      <c r="C4179" s="851"/>
      <c r="D4179" s="41"/>
      <c r="E4179" s="41"/>
      <c r="F4179" s="41"/>
      <c r="G4179" s="21"/>
      <c r="H4179" s="203"/>
    </row>
    <row r="4180" spans="1:8">
      <c r="A4180" s="200"/>
      <c r="B4180" s="198"/>
      <c r="C4180" s="851"/>
      <c r="D4180" s="41"/>
      <c r="E4180" s="41"/>
      <c r="F4180" s="41"/>
      <c r="G4180" s="21"/>
      <c r="H4180" s="203"/>
    </row>
    <row r="4181" spans="1:8">
      <c r="A4181" s="200"/>
      <c r="B4181" s="198"/>
      <c r="C4181" s="851"/>
      <c r="D4181" s="41"/>
      <c r="E4181" s="41"/>
      <c r="F4181" s="41"/>
      <c r="G4181" s="21"/>
      <c r="H4181" s="203"/>
    </row>
    <row r="4182" spans="1:8">
      <c r="A4182" s="200"/>
      <c r="B4182" s="198"/>
      <c r="C4182" s="851"/>
      <c r="D4182" s="41"/>
      <c r="E4182" s="41"/>
      <c r="F4182" s="41"/>
      <c r="G4182" s="21"/>
      <c r="H4182" s="203"/>
    </row>
    <row r="4183" spans="1:8">
      <c r="A4183" s="200"/>
      <c r="B4183" s="198"/>
      <c r="C4183" s="851"/>
      <c r="D4183" s="41"/>
      <c r="E4183" s="41"/>
      <c r="F4183" s="41"/>
      <c r="G4183" s="21"/>
      <c r="H4183" s="203"/>
    </row>
    <row r="4184" spans="1:8">
      <c r="A4184" s="200"/>
      <c r="B4184" s="198"/>
      <c r="C4184" s="851"/>
      <c r="D4184" s="41"/>
      <c r="E4184" s="41"/>
      <c r="F4184" s="41"/>
      <c r="G4184" s="21"/>
      <c r="H4184" s="203"/>
    </row>
    <row r="4185" spans="1:8">
      <c r="A4185" s="200"/>
      <c r="B4185" s="198"/>
      <c r="C4185" s="851"/>
      <c r="D4185" s="41"/>
      <c r="E4185" s="41"/>
      <c r="F4185" s="41"/>
      <c r="G4185" s="21"/>
      <c r="H4185" s="203"/>
    </row>
    <row r="4186" spans="1:8">
      <c r="A4186" s="200"/>
      <c r="B4186" s="198"/>
      <c r="C4186" s="851"/>
      <c r="D4186" s="41"/>
      <c r="E4186" s="41"/>
      <c r="F4186" s="41"/>
      <c r="G4186" s="21"/>
      <c r="H4186" s="203"/>
    </row>
    <row r="4187" spans="1:8">
      <c r="A4187" s="200"/>
      <c r="B4187" s="198"/>
      <c r="C4187" s="851"/>
      <c r="D4187" s="41"/>
      <c r="E4187" s="41"/>
      <c r="F4187" s="41"/>
      <c r="G4187" s="21"/>
      <c r="H4187" s="203"/>
    </row>
    <row r="4188" spans="1:8">
      <c r="A4188" s="200"/>
      <c r="B4188" s="198"/>
      <c r="C4188" s="851"/>
      <c r="D4188" s="41"/>
      <c r="E4188" s="41"/>
      <c r="F4188" s="41"/>
      <c r="G4188" s="21"/>
      <c r="H4188" s="203"/>
    </row>
    <row r="4189" spans="1:8">
      <c r="A4189" s="200"/>
      <c r="B4189" s="198"/>
      <c r="C4189" s="851"/>
      <c r="D4189" s="41"/>
      <c r="E4189" s="41"/>
      <c r="F4189" s="41"/>
      <c r="G4189" s="21"/>
      <c r="H4189" s="203"/>
    </row>
    <row r="4190" spans="1:8">
      <c r="A4190" s="200"/>
      <c r="B4190" s="198"/>
      <c r="C4190" s="851"/>
      <c r="D4190" s="41"/>
      <c r="E4190" s="41"/>
      <c r="F4190" s="41"/>
      <c r="G4190" s="21"/>
      <c r="H4190" s="203"/>
    </row>
    <row r="4191" spans="1:8">
      <c r="A4191" s="200"/>
      <c r="B4191" s="198"/>
      <c r="C4191" s="851"/>
      <c r="D4191" s="41"/>
      <c r="E4191" s="41"/>
      <c r="F4191" s="41"/>
      <c r="G4191" s="21"/>
      <c r="H4191" s="203"/>
    </row>
    <row r="4192" spans="1:8">
      <c r="A4192" s="200"/>
      <c r="B4192" s="198"/>
      <c r="C4192" s="851"/>
      <c r="D4192" s="41"/>
      <c r="E4192" s="41"/>
      <c r="F4192" s="41"/>
      <c r="G4192" s="21"/>
      <c r="H4192" s="203"/>
    </row>
    <row r="4193" spans="1:8">
      <c r="A4193" s="200"/>
      <c r="B4193" s="198"/>
      <c r="C4193" s="851"/>
      <c r="D4193" s="41"/>
      <c r="E4193" s="41"/>
      <c r="F4193" s="41"/>
      <c r="G4193" s="21"/>
      <c r="H4193" s="203"/>
    </row>
    <row r="4194" spans="1:8">
      <c r="A4194" s="200"/>
      <c r="B4194" s="198"/>
      <c r="C4194" s="851"/>
      <c r="D4194" s="41"/>
      <c r="E4194" s="41"/>
      <c r="F4194" s="41"/>
      <c r="G4194" s="21"/>
      <c r="H4194" s="203"/>
    </row>
    <row r="4195" spans="1:8">
      <c r="A4195" s="200"/>
      <c r="B4195" s="198"/>
      <c r="C4195" s="851"/>
      <c r="D4195" s="41"/>
      <c r="E4195" s="41"/>
      <c r="F4195" s="41"/>
      <c r="G4195" s="21"/>
      <c r="H4195" s="203"/>
    </row>
    <row r="4196" spans="1:8">
      <c r="A4196" s="200"/>
      <c r="B4196" s="198"/>
      <c r="C4196" s="851"/>
      <c r="D4196" s="41"/>
      <c r="E4196" s="41"/>
      <c r="F4196" s="41"/>
      <c r="G4196" s="21"/>
      <c r="H4196" s="203"/>
    </row>
    <row r="4197" spans="1:8">
      <c r="A4197" s="200"/>
      <c r="B4197" s="198"/>
      <c r="C4197" s="851"/>
      <c r="D4197" s="41"/>
      <c r="E4197" s="41"/>
      <c r="F4197" s="41"/>
      <c r="G4197" s="21"/>
      <c r="H4197" s="203"/>
    </row>
    <row r="4198" spans="1:8">
      <c r="A4198" s="200"/>
      <c r="B4198" s="198"/>
      <c r="C4198" s="851"/>
      <c r="D4198" s="41"/>
      <c r="E4198" s="41"/>
      <c r="F4198" s="41"/>
      <c r="G4198" s="21"/>
      <c r="H4198" s="203"/>
    </row>
    <row r="4199" spans="1:8">
      <c r="A4199" s="200"/>
      <c r="B4199" s="198"/>
      <c r="C4199" s="851"/>
      <c r="D4199" s="41"/>
      <c r="E4199" s="41"/>
      <c r="F4199" s="41"/>
      <c r="G4199" s="21"/>
      <c r="H4199" s="203"/>
    </row>
    <row r="4200" spans="1:8">
      <c r="A4200" s="200"/>
      <c r="B4200" s="198"/>
      <c r="C4200" s="851"/>
      <c r="D4200" s="41"/>
      <c r="E4200" s="41"/>
      <c r="F4200" s="41"/>
      <c r="G4200" s="21"/>
      <c r="H4200" s="203"/>
    </row>
    <row r="4201" spans="1:8">
      <c r="A4201" s="200"/>
      <c r="B4201" s="198"/>
      <c r="C4201" s="851"/>
      <c r="D4201" s="41"/>
      <c r="E4201" s="41"/>
      <c r="F4201" s="41"/>
      <c r="G4201" s="21"/>
      <c r="H4201" s="203"/>
    </row>
    <row r="4202" spans="1:8">
      <c r="A4202" s="200"/>
      <c r="B4202" s="198"/>
      <c r="C4202" s="851"/>
      <c r="D4202" s="41"/>
      <c r="E4202" s="41"/>
      <c r="F4202" s="41"/>
      <c r="G4202" s="21"/>
      <c r="H4202" s="203"/>
    </row>
    <row r="4203" spans="1:8">
      <c r="A4203" s="200"/>
      <c r="B4203" s="198"/>
      <c r="C4203" s="851"/>
      <c r="D4203" s="41"/>
      <c r="E4203" s="41"/>
      <c r="F4203" s="41"/>
      <c r="G4203" s="21"/>
      <c r="H4203" s="203"/>
    </row>
    <row r="4204" spans="1:8">
      <c r="A4204" s="200"/>
      <c r="B4204" s="198"/>
      <c r="C4204" s="851"/>
      <c r="D4204" s="41"/>
      <c r="E4204" s="41"/>
      <c r="F4204" s="41"/>
      <c r="G4204" s="21"/>
      <c r="H4204" s="203"/>
    </row>
    <row r="4205" spans="1:8">
      <c r="A4205" s="200"/>
      <c r="B4205" s="198"/>
      <c r="C4205" s="851"/>
      <c r="D4205" s="41"/>
      <c r="E4205" s="41"/>
      <c r="F4205" s="41"/>
      <c r="G4205" s="21"/>
      <c r="H4205" s="203"/>
    </row>
    <row r="4206" spans="1:8">
      <c r="A4206" s="200"/>
      <c r="B4206" s="198"/>
      <c r="C4206" s="851"/>
      <c r="D4206" s="41"/>
      <c r="E4206" s="41"/>
      <c r="F4206" s="41"/>
      <c r="G4206" s="21"/>
      <c r="H4206" s="203"/>
    </row>
    <row r="4207" spans="1:8">
      <c r="A4207" s="200"/>
      <c r="B4207" s="198"/>
      <c r="C4207" s="851"/>
      <c r="D4207" s="41"/>
      <c r="E4207" s="41"/>
      <c r="F4207" s="41"/>
      <c r="G4207" s="21"/>
      <c r="H4207" s="203"/>
    </row>
    <row r="4208" spans="1:8">
      <c r="A4208" s="200"/>
      <c r="B4208" s="198"/>
      <c r="C4208" s="851"/>
      <c r="D4208" s="41"/>
      <c r="E4208" s="41"/>
      <c r="F4208" s="41"/>
      <c r="G4208" s="21"/>
      <c r="H4208" s="203"/>
    </row>
    <row r="4209" spans="1:8">
      <c r="A4209" s="200"/>
      <c r="B4209" s="198"/>
      <c r="C4209" s="851"/>
      <c r="D4209" s="41"/>
      <c r="E4209" s="41"/>
      <c r="F4209" s="41"/>
      <c r="G4209" s="21"/>
      <c r="H4209" s="203"/>
    </row>
    <row r="4210" spans="1:8">
      <c r="A4210" s="200"/>
      <c r="B4210" s="198"/>
      <c r="C4210" s="851"/>
      <c r="D4210" s="41"/>
      <c r="E4210" s="41"/>
      <c r="F4210" s="41"/>
      <c r="G4210" s="21"/>
      <c r="H4210" s="203"/>
    </row>
    <row r="4211" spans="1:8">
      <c r="A4211" s="200"/>
      <c r="B4211" s="198"/>
      <c r="C4211" s="851"/>
      <c r="D4211" s="41"/>
      <c r="E4211" s="41"/>
      <c r="F4211" s="41"/>
      <c r="G4211" s="21"/>
      <c r="H4211" s="203"/>
    </row>
    <row r="4212" spans="1:8">
      <c r="A4212" s="200"/>
      <c r="B4212" s="198"/>
      <c r="C4212" s="851"/>
      <c r="D4212" s="41"/>
      <c r="E4212" s="41"/>
      <c r="F4212" s="41"/>
      <c r="G4212" s="21"/>
      <c r="H4212" s="203"/>
    </row>
    <row r="4213" spans="1:8">
      <c r="A4213" s="200"/>
      <c r="B4213" s="198"/>
      <c r="C4213" s="851"/>
      <c r="D4213" s="41"/>
      <c r="E4213" s="41"/>
      <c r="F4213" s="41"/>
      <c r="G4213" s="21"/>
      <c r="H4213" s="203"/>
    </row>
    <row r="4214" spans="1:8">
      <c r="A4214" s="200"/>
      <c r="B4214" s="198"/>
      <c r="C4214" s="851"/>
      <c r="D4214" s="41"/>
      <c r="E4214" s="41"/>
      <c r="F4214" s="41"/>
      <c r="G4214" s="21"/>
      <c r="H4214" s="203"/>
    </row>
    <row r="4215" spans="1:8">
      <c r="A4215" s="200"/>
      <c r="B4215" s="198"/>
      <c r="C4215" s="851"/>
      <c r="D4215" s="41"/>
      <c r="E4215" s="41"/>
      <c r="F4215" s="41"/>
      <c r="G4215" s="21"/>
      <c r="H4215" s="203"/>
    </row>
    <row r="4216" spans="1:8">
      <c r="A4216" s="200"/>
      <c r="B4216" s="198"/>
      <c r="C4216" s="851"/>
      <c r="D4216" s="41"/>
      <c r="E4216" s="41"/>
      <c r="F4216" s="41"/>
      <c r="G4216" s="21"/>
      <c r="H4216" s="203"/>
    </row>
    <row r="4217" spans="1:8">
      <c r="A4217" s="200"/>
      <c r="B4217" s="198"/>
      <c r="C4217" s="851"/>
      <c r="D4217" s="41"/>
      <c r="E4217" s="41"/>
      <c r="F4217" s="41"/>
      <c r="G4217" s="21"/>
      <c r="H4217" s="203"/>
    </row>
    <row r="4218" spans="1:8">
      <c r="A4218" s="200"/>
      <c r="B4218" s="198"/>
      <c r="C4218" s="851"/>
      <c r="D4218" s="41"/>
      <c r="E4218" s="41"/>
      <c r="F4218" s="41"/>
      <c r="G4218" s="21"/>
      <c r="H4218" s="203"/>
    </row>
    <row r="4219" spans="1:8">
      <c r="A4219" s="200"/>
      <c r="B4219" s="198"/>
      <c r="C4219" s="851"/>
      <c r="D4219" s="41"/>
      <c r="E4219" s="41"/>
      <c r="F4219" s="41"/>
      <c r="G4219" s="21"/>
      <c r="H4219" s="203"/>
    </row>
    <row r="4220" spans="1:8">
      <c r="A4220" s="200"/>
      <c r="B4220" s="198"/>
      <c r="C4220" s="851"/>
      <c r="D4220" s="41"/>
      <c r="E4220" s="41"/>
      <c r="F4220" s="41"/>
      <c r="G4220" s="21"/>
      <c r="H4220" s="203"/>
    </row>
    <row r="4221" spans="1:8">
      <c r="A4221" s="200"/>
      <c r="B4221" s="198"/>
      <c r="C4221" s="851"/>
      <c r="D4221" s="41"/>
      <c r="E4221" s="41"/>
      <c r="F4221" s="41"/>
      <c r="G4221" s="21"/>
      <c r="H4221" s="203"/>
    </row>
    <row r="4222" spans="1:8">
      <c r="A4222" s="200"/>
      <c r="B4222" s="198"/>
      <c r="C4222" s="851"/>
      <c r="D4222" s="41"/>
      <c r="E4222" s="41"/>
      <c r="F4222" s="41"/>
      <c r="G4222" s="21"/>
      <c r="H4222" s="203"/>
    </row>
    <row r="4223" spans="1:8">
      <c r="A4223" s="200"/>
      <c r="B4223" s="198"/>
      <c r="C4223" s="851"/>
      <c r="D4223" s="41"/>
      <c r="E4223" s="41"/>
      <c r="F4223" s="41"/>
      <c r="G4223" s="21"/>
      <c r="H4223" s="203"/>
    </row>
    <row r="4224" spans="1:8">
      <c r="A4224" s="200"/>
      <c r="B4224" s="198"/>
      <c r="C4224" s="851"/>
      <c r="D4224" s="41"/>
      <c r="E4224" s="41"/>
      <c r="F4224" s="41"/>
      <c r="G4224" s="21"/>
      <c r="H4224" s="203"/>
    </row>
    <row r="4225" spans="1:8">
      <c r="A4225" s="200"/>
      <c r="B4225" s="198"/>
      <c r="C4225" s="851"/>
      <c r="D4225" s="41"/>
      <c r="E4225" s="41"/>
      <c r="F4225" s="41"/>
      <c r="G4225" s="21"/>
      <c r="H4225" s="203"/>
    </row>
    <row r="4226" spans="1:8">
      <c r="A4226" s="200"/>
      <c r="B4226" s="198"/>
      <c r="C4226" s="851"/>
      <c r="D4226" s="41"/>
      <c r="E4226" s="41"/>
      <c r="F4226" s="41"/>
      <c r="G4226" s="21"/>
      <c r="H4226" s="203"/>
    </row>
    <row r="4227" spans="1:8">
      <c r="A4227" s="200"/>
      <c r="B4227" s="198"/>
      <c r="C4227" s="851"/>
      <c r="D4227" s="41"/>
      <c r="E4227" s="41"/>
      <c r="F4227" s="41"/>
      <c r="G4227" s="21"/>
      <c r="H4227" s="203"/>
    </row>
    <row r="4228" spans="1:8">
      <c r="A4228" s="200"/>
      <c r="B4228" s="198"/>
      <c r="C4228" s="851"/>
      <c r="D4228" s="41"/>
      <c r="E4228" s="41"/>
      <c r="F4228" s="41"/>
      <c r="G4228" s="21"/>
      <c r="H4228" s="203"/>
    </row>
    <row r="4229" spans="1:8">
      <c r="A4229" s="200"/>
      <c r="B4229" s="198"/>
      <c r="C4229" s="851"/>
      <c r="D4229" s="41"/>
      <c r="E4229" s="41"/>
      <c r="F4229" s="41"/>
      <c r="G4229" s="21"/>
      <c r="H4229" s="203"/>
    </row>
    <row r="4230" spans="1:8">
      <c r="A4230" s="200"/>
      <c r="B4230" s="198"/>
      <c r="C4230" s="851"/>
      <c r="D4230" s="41"/>
      <c r="E4230" s="41"/>
      <c r="F4230" s="41"/>
      <c r="G4230" s="21"/>
      <c r="H4230" s="203"/>
    </row>
    <row r="4231" spans="1:8">
      <c r="A4231" s="200"/>
      <c r="B4231" s="198"/>
      <c r="C4231" s="851"/>
      <c r="D4231" s="41"/>
      <c r="E4231" s="41"/>
      <c r="F4231" s="41"/>
      <c r="G4231" s="21"/>
      <c r="H4231" s="203"/>
    </row>
    <row r="4232" spans="1:8">
      <c r="A4232" s="200"/>
      <c r="B4232" s="198"/>
      <c r="C4232" s="851"/>
      <c r="D4232" s="41"/>
      <c r="E4232" s="41"/>
      <c r="F4232" s="41"/>
      <c r="G4232" s="21"/>
      <c r="H4232" s="203"/>
    </row>
    <row r="4233" spans="1:8">
      <c r="A4233" s="200"/>
      <c r="B4233" s="198"/>
      <c r="C4233" s="851"/>
      <c r="D4233" s="41"/>
      <c r="E4233" s="41"/>
      <c r="F4233" s="41"/>
      <c r="G4233" s="21"/>
      <c r="H4233" s="203"/>
    </row>
    <row r="4234" spans="1:8">
      <c r="A4234" s="200"/>
      <c r="B4234" s="198"/>
      <c r="C4234" s="851"/>
      <c r="D4234" s="41"/>
      <c r="E4234" s="41"/>
      <c r="F4234" s="41"/>
      <c r="G4234" s="21"/>
      <c r="H4234" s="203"/>
    </row>
    <row r="4235" spans="1:8">
      <c r="A4235" s="200"/>
      <c r="B4235" s="198"/>
      <c r="C4235" s="851"/>
      <c r="D4235" s="41"/>
      <c r="E4235" s="41"/>
      <c r="F4235" s="41"/>
      <c r="G4235" s="21"/>
      <c r="H4235" s="203"/>
    </row>
    <row r="4236" spans="1:8">
      <c r="A4236" s="200"/>
      <c r="B4236" s="198"/>
      <c r="C4236" s="851"/>
      <c r="D4236" s="41"/>
      <c r="E4236" s="41"/>
      <c r="F4236" s="41"/>
      <c r="G4236" s="21"/>
      <c r="H4236" s="203"/>
    </row>
    <row r="4237" spans="1:8">
      <c r="A4237" s="200"/>
      <c r="B4237" s="198"/>
      <c r="C4237" s="851"/>
      <c r="D4237" s="41"/>
      <c r="E4237" s="41"/>
      <c r="F4237" s="41"/>
      <c r="G4237" s="21"/>
      <c r="H4237" s="203"/>
    </row>
    <row r="4238" spans="1:8">
      <c r="A4238" s="200"/>
      <c r="B4238" s="198"/>
      <c r="C4238" s="851"/>
      <c r="D4238" s="41"/>
      <c r="E4238" s="41"/>
      <c r="F4238" s="41"/>
      <c r="G4238" s="21"/>
      <c r="H4238" s="203"/>
    </row>
    <row r="4239" spans="1:8">
      <c r="A4239" s="200"/>
      <c r="B4239" s="198"/>
      <c r="C4239" s="851"/>
      <c r="D4239" s="41"/>
      <c r="E4239" s="41"/>
      <c r="F4239" s="41"/>
      <c r="G4239" s="21"/>
      <c r="H4239" s="203"/>
    </row>
    <row r="4240" spans="1:8">
      <c r="A4240" s="200"/>
      <c r="B4240" s="198"/>
      <c r="C4240" s="851"/>
      <c r="D4240" s="41"/>
      <c r="E4240" s="41"/>
      <c r="F4240" s="41"/>
      <c r="G4240" s="21"/>
      <c r="H4240" s="203"/>
    </row>
    <row r="4241" spans="1:8">
      <c r="A4241" s="200"/>
      <c r="B4241" s="198"/>
      <c r="C4241" s="851"/>
      <c r="D4241" s="41"/>
      <c r="E4241" s="41"/>
      <c r="F4241" s="41"/>
      <c r="G4241" s="21"/>
      <c r="H4241" s="203"/>
    </row>
    <row r="4242" spans="1:8">
      <c r="A4242" s="200"/>
      <c r="B4242" s="198"/>
      <c r="C4242" s="851"/>
      <c r="D4242" s="41"/>
      <c r="E4242" s="41"/>
      <c r="F4242" s="41"/>
      <c r="G4242" s="21"/>
      <c r="H4242" s="203"/>
    </row>
    <row r="4243" spans="1:8">
      <c r="A4243" s="200"/>
      <c r="B4243" s="198"/>
      <c r="C4243" s="851"/>
      <c r="D4243" s="41"/>
      <c r="E4243" s="41"/>
      <c r="F4243" s="41"/>
      <c r="G4243" s="21"/>
      <c r="H4243" s="203"/>
    </row>
    <row r="4244" spans="1:8">
      <c r="A4244" s="200"/>
      <c r="B4244" s="198"/>
      <c r="C4244" s="851"/>
      <c r="D4244" s="41"/>
      <c r="E4244" s="41"/>
      <c r="F4244" s="41"/>
      <c r="G4244" s="21"/>
      <c r="H4244" s="203"/>
    </row>
    <row r="4245" spans="1:8">
      <c r="A4245" s="200"/>
      <c r="B4245" s="198"/>
      <c r="C4245" s="851"/>
      <c r="D4245" s="41"/>
      <c r="E4245" s="41"/>
      <c r="F4245" s="41"/>
      <c r="G4245" s="21"/>
      <c r="H4245" s="203"/>
    </row>
    <row r="4246" spans="1:8">
      <c r="A4246" s="200"/>
      <c r="B4246" s="198"/>
      <c r="C4246" s="851"/>
      <c r="D4246" s="41"/>
      <c r="E4246" s="41"/>
      <c r="F4246" s="41"/>
      <c r="G4246" s="21"/>
      <c r="H4246" s="203"/>
    </row>
    <row r="4247" spans="1:8">
      <c r="A4247" s="200"/>
      <c r="B4247" s="198"/>
      <c r="C4247" s="851"/>
      <c r="D4247" s="41"/>
      <c r="E4247" s="41"/>
      <c r="F4247" s="41"/>
      <c r="G4247" s="21"/>
      <c r="H4247" s="203"/>
    </row>
    <row r="4248" spans="1:8">
      <c r="A4248" s="200"/>
      <c r="B4248" s="198"/>
      <c r="C4248" s="851"/>
      <c r="D4248" s="41"/>
      <c r="E4248" s="41"/>
      <c r="F4248" s="41"/>
      <c r="G4248" s="21"/>
      <c r="H4248" s="203"/>
    </row>
    <row r="4249" spans="1:8">
      <c r="A4249" s="200"/>
      <c r="B4249" s="198"/>
      <c r="C4249" s="851"/>
      <c r="D4249" s="41"/>
      <c r="E4249" s="41"/>
      <c r="F4249" s="41"/>
      <c r="G4249" s="21"/>
      <c r="H4249" s="203"/>
    </row>
    <row r="4250" spans="1:8">
      <c r="A4250" s="200"/>
      <c r="B4250" s="198"/>
      <c r="C4250" s="851"/>
      <c r="D4250" s="41"/>
      <c r="E4250" s="41"/>
      <c r="F4250" s="41"/>
      <c r="G4250" s="21"/>
      <c r="H4250" s="203"/>
    </row>
    <row r="4251" spans="1:8">
      <c r="A4251" s="200"/>
      <c r="B4251" s="198"/>
      <c r="C4251" s="851"/>
      <c r="D4251" s="41"/>
      <c r="E4251" s="41"/>
      <c r="F4251" s="41"/>
      <c r="G4251" s="21"/>
      <c r="H4251" s="203"/>
    </row>
    <row r="4252" spans="1:8">
      <c r="A4252" s="200"/>
      <c r="B4252" s="198"/>
      <c r="C4252" s="851"/>
      <c r="D4252" s="41"/>
      <c r="E4252" s="41"/>
      <c r="F4252" s="41"/>
      <c r="G4252" s="21"/>
      <c r="H4252" s="203"/>
    </row>
    <row r="4253" spans="1:8">
      <c r="A4253" s="200"/>
      <c r="B4253" s="198"/>
      <c r="C4253" s="851"/>
      <c r="D4253" s="41"/>
      <c r="E4253" s="41"/>
      <c r="F4253" s="41"/>
      <c r="G4253" s="21"/>
      <c r="H4253" s="203"/>
    </row>
    <row r="4254" spans="1:8">
      <c r="A4254" s="200"/>
      <c r="B4254" s="198"/>
      <c r="C4254" s="851"/>
      <c r="D4254" s="41"/>
      <c r="E4254" s="41"/>
      <c r="F4254" s="41"/>
      <c r="G4254" s="21"/>
      <c r="H4254" s="203"/>
    </row>
    <row r="4255" spans="1:8">
      <c r="A4255" s="200"/>
      <c r="B4255" s="198"/>
      <c r="C4255" s="851"/>
      <c r="D4255" s="41"/>
      <c r="E4255" s="41"/>
      <c r="F4255" s="41"/>
      <c r="G4255" s="21"/>
      <c r="H4255" s="203"/>
    </row>
    <row r="4256" spans="1:8">
      <c r="A4256" s="200"/>
      <c r="B4256" s="198"/>
      <c r="C4256" s="851"/>
      <c r="D4256" s="41"/>
      <c r="E4256" s="41"/>
      <c r="F4256" s="41"/>
      <c r="G4256" s="21"/>
      <c r="H4256" s="203"/>
    </row>
    <row r="4257" spans="1:8">
      <c r="A4257" s="200"/>
      <c r="B4257" s="198"/>
      <c r="C4257" s="851"/>
      <c r="D4257" s="41"/>
      <c r="E4257" s="41"/>
      <c r="F4257" s="41"/>
      <c r="G4257" s="21"/>
      <c r="H4257" s="203"/>
    </row>
    <row r="4258" spans="1:8">
      <c r="A4258" s="200"/>
      <c r="B4258" s="198"/>
      <c r="C4258" s="851"/>
      <c r="D4258" s="41"/>
      <c r="E4258" s="41"/>
      <c r="F4258" s="41"/>
      <c r="G4258" s="21"/>
      <c r="H4258" s="203"/>
    </row>
    <row r="4259" spans="1:8">
      <c r="A4259" s="200"/>
      <c r="B4259" s="198"/>
      <c r="C4259" s="851"/>
      <c r="D4259" s="41"/>
      <c r="E4259" s="41"/>
      <c r="F4259" s="41"/>
      <c r="G4259" s="21"/>
      <c r="H4259" s="203"/>
    </row>
    <row r="4260" spans="1:8">
      <c r="A4260" s="200"/>
      <c r="B4260" s="198"/>
      <c r="C4260" s="851"/>
      <c r="D4260" s="41"/>
      <c r="E4260" s="41"/>
      <c r="F4260" s="41"/>
      <c r="G4260" s="21"/>
      <c r="H4260" s="203"/>
    </row>
    <row r="4261" spans="1:8">
      <c r="A4261" s="200"/>
      <c r="B4261" s="198"/>
      <c r="C4261" s="851"/>
      <c r="D4261" s="41"/>
      <c r="E4261" s="41"/>
      <c r="F4261" s="41"/>
      <c r="G4261" s="21"/>
      <c r="H4261" s="203"/>
    </row>
    <row r="4262" spans="1:8">
      <c r="A4262" s="200"/>
      <c r="B4262" s="198"/>
      <c r="C4262" s="851"/>
      <c r="D4262" s="41"/>
      <c r="E4262" s="41"/>
      <c r="F4262" s="41"/>
      <c r="G4262" s="21"/>
      <c r="H4262" s="203"/>
    </row>
    <row r="4263" spans="1:8">
      <c r="A4263" s="200"/>
      <c r="B4263" s="198"/>
      <c r="C4263" s="851"/>
      <c r="D4263" s="41"/>
      <c r="E4263" s="41"/>
      <c r="F4263" s="41"/>
      <c r="G4263" s="21"/>
      <c r="H4263" s="203"/>
    </row>
    <row r="4264" spans="1:8">
      <c r="A4264" s="200"/>
      <c r="B4264" s="198"/>
      <c r="C4264" s="851"/>
      <c r="D4264" s="41"/>
      <c r="E4264" s="41"/>
      <c r="F4264" s="41"/>
      <c r="G4264" s="21"/>
      <c r="H4264" s="203"/>
    </row>
    <row r="4265" spans="1:8">
      <c r="A4265" s="200"/>
      <c r="B4265" s="198"/>
      <c r="C4265" s="851"/>
      <c r="D4265" s="41"/>
      <c r="E4265" s="41"/>
      <c r="F4265" s="41"/>
      <c r="G4265" s="21"/>
      <c r="H4265" s="203"/>
    </row>
    <row r="4266" spans="1:8">
      <c r="A4266" s="200"/>
      <c r="B4266" s="198"/>
      <c r="C4266" s="851"/>
      <c r="D4266" s="41"/>
      <c r="E4266" s="41"/>
      <c r="F4266" s="41"/>
      <c r="G4266" s="21"/>
      <c r="H4266" s="203"/>
    </row>
    <row r="4267" spans="1:8">
      <c r="A4267" s="200"/>
      <c r="B4267" s="198"/>
      <c r="C4267" s="851"/>
      <c r="D4267" s="41"/>
      <c r="E4267" s="41"/>
      <c r="F4267" s="41"/>
      <c r="G4267" s="21"/>
      <c r="H4267" s="203"/>
    </row>
    <row r="4268" spans="1:8">
      <c r="A4268" s="200"/>
      <c r="B4268" s="198"/>
      <c r="C4268" s="851"/>
      <c r="D4268" s="41"/>
      <c r="E4268" s="41"/>
      <c r="F4268" s="41"/>
      <c r="G4268" s="21"/>
      <c r="H4268" s="203"/>
    </row>
    <row r="4269" spans="1:8">
      <c r="A4269" s="200"/>
      <c r="B4269" s="198"/>
      <c r="C4269" s="851"/>
      <c r="D4269" s="41"/>
      <c r="E4269" s="41"/>
      <c r="F4269" s="41"/>
      <c r="G4269" s="21"/>
      <c r="H4269" s="203"/>
    </row>
    <row r="4270" spans="1:8">
      <c r="A4270" s="200"/>
      <c r="B4270" s="198"/>
      <c r="C4270" s="851"/>
      <c r="D4270" s="41"/>
      <c r="E4270" s="41"/>
      <c r="F4270" s="41"/>
      <c r="G4270" s="21"/>
      <c r="H4270" s="203"/>
    </row>
    <row r="4271" spans="1:8">
      <c r="A4271" s="200"/>
      <c r="B4271" s="198"/>
      <c r="C4271" s="851"/>
      <c r="D4271" s="41"/>
      <c r="E4271" s="41"/>
      <c r="F4271" s="41"/>
      <c r="G4271" s="21"/>
      <c r="H4271" s="203"/>
    </row>
    <row r="4272" spans="1:8">
      <c r="A4272" s="200"/>
      <c r="B4272" s="198"/>
      <c r="C4272" s="851"/>
      <c r="D4272" s="41"/>
      <c r="E4272" s="41"/>
      <c r="F4272" s="41"/>
      <c r="G4272" s="21"/>
      <c r="H4272" s="203"/>
    </row>
    <row r="4273" spans="1:8">
      <c r="A4273" s="200"/>
      <c r="B4273" s="198"/>
      <c r="C4273" s="851"/>
      <c r="D4273" s="41"/>
      <c r="E4273" s="41"/>
      <c r="F4273" s="41"/>
      <c r="G4273" s="21"/>
      <c r="H4273" s="203"/>
    </row>
    <row r="4274" spans="1:8">
      <c r="A4274" s="200"/>
      <c r="B4274" s="198"/>
      <c r="C4274" s="851"/>
      <c r="D4274" s="41"/>
      <c r="E4274" s="41"/>
      <c r="F4274" s="41"/>
      <c r="G4274" s="21"/>
      <c r="H4274" s="203"/>
    </row>
    <row r="4275" spans="1:8">
      <c r="A4275" s="200"/>
      <c r="B4275" s="198"/>
      <c r="C4275" s="851"/>
      <c r="D4275" s="41"/>
      <c r="E4275" s="41"/>
      <c r="F4275" s="41"/>
      <c r="G4275" s="21"/>
      <c r="H4275" s="203"/>
    </row>
    <row r="4276" spans="1:8">
      <c r="A4276" s="200"/>
      <c r="B4276" s="198"/>
      <c r="C4276" s="851"/>
      <c r="D4276" s="41"/>
      <c r="E4276" s="41"/>
      <c r="F4276" s="41"/>
      <c r="G4276" s="21"/>
      <c r="H4276" s="203"/>
    </row>
    <row r="4277" spans="1:8">
      <c r="A4277" s="200"/>
      <c r="B4277" s="198"/>
      <c r="C4277" s="851"/>
      <c r="D4277" s="41"/>
      <c r="E4277" s="41"/>
      <c r="F4277" s="41"/>
      <c r="G4277" s="21"/>
      <c r="H4277" s="203"/>
    </row>
    <row r="4278" spans="1:8">
      <c r="A4278" s="200"/>
      <c r="B4278" s="198"/>
      <c r="C4278" s="851"/>
      <c r="D4278" s="41"/>
      <c r="E4278" s="41"/>
      <c r="F4278" s="41"/>
      <c r="G4278" s="21"/>
      <c r="H4278" s="203"/>
    </row>
    <row r="4279" spans="1:8">
      <c r="A4279" s="200"/>
      <c r="B4279" s="198"/>
      <c r="C4279" s="851"/>
      <c r="D4279" s="41"/>
      <c r="E4279" s="41"/>
      <c r="F4279" s="41"/>
      <c r="G4279" s="21"/>
      <c r="H4279" s="203"/>
    </row>
    <row r="4280" spans="1:8">
      <c r="A4280" s="200"/>
      <c r="B4280" s="198"/>
      <c r="C4280" s="851"/>
      <c r="D4280" s="41"/>
      <c r="E4280" s="41"/>
      <c r="F4280" s="41"/>
      <c r="G4280" s="21"/>
      <c r="H4280" s="203"/>
    </row>
    <row r="4281" spans="1:8">
      <c r="A4281" s="200"/>
      <c r="B4281" s="198"/>
      <c r="C4281" s="851"/>
      <c r="D4281" s="41"/>
      <c r="E4281" s="41"/>
      <c r="F4281" s="41"/>
      <c r="G4281" s="21"/>
      <c r="H4281" s="203"/>
    </row>
    <row r="4282" spans="1:8">
      <c r="A4282" s="200"/>
      <c r="B4282" s="198"/>
      <c r="C4282" s="851"/>
      <c r="D4282" s="41"/>
      <c r="E4282" s="41"/>
      <c r="F4282" s="41"/>
      <c r="G4282" s="21"/>
      <c r="H4282" s="203"/>
    </row>
    <row r="4283" spans="1:8">
      <c r="A4283" s="200"/>
      <c r="B4283" s="198"/>
      <c r="C4283" s="851"/>
      <c r="D4283" s="41"/>
      <c r="E4283" s="41"/>
      <c r="F4283" s="41"/>
      <c r="G4283" s="21"/>
      <c r="H4283" s="203"/>
    </row>
    <row r="4284" spans="1:8">
      <c r="A4284" s="200"/>
      <c r="B4284" s="198"/>
      <c r="C4284" s="851"/>
      <c r="D4284" s="41"/>
      <c r="E4284" s="41"/>
      <c r="F4284" s="41"/>
      <c r="G4284" s="21"/>
      <c r="H4284" s="203"/>
    </row>
    <row r="4285" spans="1:8">
      <c r="A4285" s="200"/>
      <c r="B4285" s="198"/>
      <c r="C4285" s="851"/>
      <c r="D4285" s="41"/>
      <c r="E4285" s="41"/>
      <c r="F4285" s="41"/>
      <c r="G4285" s="21"/>
      <c r="H4285" s="203"/>
    </row>
    <row r="4286" spans="1:8">
      <c r="A4286" s="200"/>
      <c r="B4286" s="198"/>
      <c r="C4286" s="851"/>
      <c r="D4286" s="41"/>
      <c r="E4286" s="41"/>
      <c r="F4286" s="41"/>
      <c r="G4286" s="21"/>
      <c r="H4286" s="203"/>
    </row>
    <row r="4287" spans="1:8">
      <c r="A4287" s="200"/>
      <c r="B4287" s="198"/>
      <c r="C4287" s="851"/>
      <c r="D4287" s="41"/>
      <c r="E4287" s="41"/>
      <c r="F4287" s="41"/>
      <c r="G4287" s="21"/>
      <c r="H4287" s="203"/>
    </row>
    <row r="4288" spans="1:8">
      <c r="A4288" s="200"/>
      <c r="B4288" s="198"/>
      <c r="C4288" s="851"/>
      <c r="D4288" s="41"/>
      <c r="E4288" s="41"/>
      <c r="F4288" s="41"/>
      <c r="G4288" s="21"/>
      <c r="H4288" s="203"/>
    </row>
    <row r="4289" spans="1:8">
      <c r="A4289" s="200"/>
      <c r="B4289" s="198"/>
      <c r="C4289" s="851"/>
      <c r="D4289" s="41"/>
      <c r="E4289" s="41"/>
      <c r="F4289" s="41"/>
      <c r="G4289" s="21"/>
      <c r="H4289" s="203"/>
    </row>
    <row r="4290" spans="1:8">
      <c r="A4290" s="200"/>
      <c r="B4290" s="198"/>
      <c r="C4290" s="851"/>
      <c r="D4290" s="41"/>
      <c r="E4290" s="41"/>
      <c r="F4290" s="41"/>
      <c r="G4290" s="21"/>
      <c r="H4290" s="203"/>
    </row>
    <row r="4291" spans="1:8">
      <c r="A4291" s="200"/>
      <c r="B4291" s="198"/>
      <c r="C4291" s="851"/>
      <c r="D4291" s="41"/>
      <c r="E4291" s="41"/>
      <c r="F4291" s="41"/>
      <c r="G4291" s="21"/>
      <c r="H4291" s="203"/>
    </row>
    <row r="4292" spans="1:8">
      <c r="A4292" s="200"/>
      <c r="B4292" s="198"/>
      <c r="C4292" s="851"/>
      <c r="D4292" s="41"/>
      <c r="E4292" s="41"/>
      <c r="F4292" s="41"/>
      <c r="G4292" s="21"/>
      <c r="H4292" s="203"/>
    </row>
    <row r="4293" spans="1:8">
      <c r="A4293" s="200"/>
      <c r="B4293" s="198"/>
      <c r="C4293" s="851"/>
      <c r="D4293" s="41"/>
      <c r="E4293" s="41"/>
      <c r="F4293" s="41"/>
      <c r="G4293" s="21"/>
      <c r="H4293" s="203"/>
    </row>
    <row r="4294" spans="1:8">
      <c r="A4294" s="200"/>
      <c r="B4294" s="198"/>
      <c r="C4294" s="851"/>
      <c r="D4294" s="41"/>
      <c r="E4294" s="41"/>
      <c r="F4294" s="41"/>
      <c r="G4294" s="21"/>
      <c r="H4294" s="203"/>
    </row>
    <row r="4295" spans="1:8">
      <c r="A4295" s="200"/>
      <c r="B4295" s="198"/>
      <c r="C4295" s="851"/>
      <c r="D4295" s="41"/>
      <c r="E4295" s="41"/>
      <c r="F4295" s="41"/>
      <c r="G4295" s="21"/>
      <c r="H4295" s="203"/>
    </row>
    <row r="4296" spans="1:8">
      <c r="A4296" s="200"/>
      <c r="B4296" s="198"/>
      <c r="C4296" s="851"/>
      <c r="D4296" s="41"/>
      <c r="E4296" s="41"/>
      <c r="F4296" s="41"/>
      <c r="G4296" s="21"/>
      <c r="H4296" s="203"/>
    </row>
    <row r="4297" spans="1:8">
      <c r="A4297" s="200"/>
      <c r="B4297" s="198"/>
      <c r="C4297" s="851"/>
      <c r="D4297" s="41"/>
      <c r="E4297" s="41"/>
      <c r="F4297" s="41"/>
      <c r="G4297" s="21"/>
      <c r="H4297" s="203"/>
    </row>
    <row r="4298" spans="1:8">
      <c r="A4298" s="200"/>
      <c r="B4298" s="198"/>
      <c r="C4298" s="851"/>
      <c r="D4298" s="41"/>
      <c r="E4298" s="41"/>
      <c r="F4298" s="41"/>
      <c r="G4298" s="21"/>
      <c r="H4298" s="203"/>
    </row>
    <row r="4299" spans="1:8">
      <c r="A4299" s="200"/>
      <c r="B4299" s="198"/>
      <c r="C4299" s="851"/>
      <c r="D4299" s="41"/>
      <c r="E4299" s="41"/>
      <c r="F4299" s="41"/>
      <c r="G4299" s="21"/>
      <c r="H4299" s="203"/>
    </row>
    <row r="4300" spans="1:8">
      <c r="A4300" s="200"/>
      <c r="B4300" s="198"/>
      <c r="C4300" s="851"/>
      <c r="D4300" s="41"/>
      <c r="E4300" s="41"/>
      <c r="F4300" s="41"/>
      <c r="G4300" s="21"/>
      <c r="H4300" s="203"/>
    </row>
    <row r="4301" spans="1:8">
      <c r="A4301" s="200"/>
      <c r="B4301" s="198"/>
      <c r="C4301" s="851"/>
      <c r="D4301" s="41"/>
      <c r="E4301" s="41"/>
      <c r="F4301" s="41"/>
      <c r="G4301" s="21"/>
      <c r="H4301" s="203"/>
    </row>
    <row r="4302" spans="1:8">
      <c r="A4302" s="200"/>
      <c r="B4302" s="198"/>
      <c r="C4302" s="851"/>
      <c r="D4302" s="41"/>
      <c r="E4302" s="41"/>
      <c r="F4302" s="41"/>
      <c r="G4302" s="21"/>
      <c r="H4302" s="203"/>
    </row>
    <row r="4303" spans="1:8">
      <c r="A4303" s="200"/>
      <c r="B4303" s="198"/>
      <c r="C4303" s="851"/>
      <c r="D4303" s="41"/>
      <c r="E4303" s="41"/>
      <c r="F4303" s="41"/>
      <c r="G4303" s="21"/>
      <c r="H4303" s="203"/>
    </row>
    <row r="4304" spans="1:8">
      <c r="A4304" s="200"/>
      <c r="B4304" s="198"/>
      <c r="C4304" s="851"/>
      <c r="D4304" s="41"/>
      <c r="E4304" s="41"/>
      <c r="F4304" s="41"/>
      <c r="G4304" s="21"/>
      <c r="H4304" s="203"/>
    </row>
    <row r="4305" spans="1:8">
      <c r="A4305" s="200"/>
      <c r="B4305" s="198"/>
      <c r="C4305" s="851"/>
      <c r="D4305" s="41"/>
      <c r="E4305" s="41"/>
      <c r="F4305" s="41"/>
      <c r="G4305" s="21"/>
      <c r="H4305" s="203"/>
    </row>
    <row r="4306" spans="1:8">
      <c r="A4306" s="200"/>
      <c r="B4306" s="198"/>
      <c r="C4306" s="851"/>
      <c r="D4306" s="41"/>
      <c r="E4306" s="41"/>
      <c r="F4306" s="41"/>
      <c r="G4306" s="21"/>
      <c r="H4306" s="203"/>
    </row>
    <row r="4307" spans="1:8">
      <c r="A4307" s="200"/>
      <c r="B4307" s="198"/>
      <c r="C4307" s="851"/>
      <c r="D4307" s="41"/>
      <c r="E4307" s="41"/>
      <c r="F4307" s="41"/>
      <c r="G4307" s="21"/>
      <c r="H4307" s="203"/>
    </row>
    <row r="4308" spans="1:8">
      <c r="A4308" s="200"/>
      <c r="B4308" s="198"/>
      <c r="C4308" s="851"/>
      <c r="D4308" s="41"/>
      <c r="E4308" s="41"/>
      <c r="F4308" s="41"/>
      <c r="G4308" s="21"/>
      <c r="H4308" s="203"/>
    </row>
    <row r="4309" spans="1:8">
      <c r="A4309" s="200"/>
      <c r="B4309" s="198"/>
      <c r="C4309" s="851"/>
      <c r="D4309" s="41"/>
      <c r="E4309" s="41"/>
      <c r="F4309" s="41"/>
      <c r="G4309" s="21"/>
      <c r="H4309" s="203"/>
    </row>
    <row r="4310" spans="1:8">
      <c r="A4310" s="200"/>
      <c r="B4310" s="198"/>
      <c r="C4310" s="851"/>
      <c r="D4310" s="41"/>
      <c r="E4310" s="41"/>
      <c r="F4310" s="41"/>
      <c r="G4310" s="21"/>
      <c r="H4310" s="203"/>
    </row>
    <row r="4311" spans="1:8">
      <c r="A4311" s="200"/>
      <c r="B4311" s="198"/>
      <c r="C4311" s="851"/>
      <c r="D4311" s="41"/>
      <c r="E4311" s="41"/>
      <c r="F4311" s="41"/>
      <c r="G4311" s="21"/>
      <c r="H4311" s="203"/>
    </row>
    <row r="4312" spans="1:8">
      <c r="A4312" s="200"/>
      <c r="B4312" s="198"/>
      <c r="C4312" s="851"/>
      <c r="D4312" s="41"/>
      <c r="E4312" s="41"/>
      <c r="F4312" s="41"/>
      <c r="G4312" s="21"/>
      <c r="H4312" s="203"/>
    </row>
    <row r="4313" spans="1:8">
      <c r="A4313" s="200"/>
      <c r="B4313" s="198"/>
      <c r="C4313" s="851"/>
      <c r="D4313" s="41"/>
      <c r="E4313" s="41"/>
      <c r="F4313" s="41"/>
      <c r="G4313" s="21"/>
      <c r="H4313" s="203"/>
    </row>
    <row r="4314" spans="1:8">
      <c r="A4314" s="200"/>
      <c r="B4314" s="198"/>
      <c r="C4314" s="851"/>
      <c r="D4314" s="41"/>
      <c r="E4314" s="41"/>
      <c r="F4314" s="41"/>
      <c r="G4314" s="21"/>
      <c r="H4314" s="203"/>
    </row>
    <row r="4315" spans="1:8">
      <c r="A4315" s="200"/>
      <c r="B4315" s="198"/>
      <c r="C4315" s="851"/>
      <c r="D4315" s="41"/>
      <c r="E4315" s="41"/>
      <c r="F4315" s="41"/>
      <c r="G4315" s="21"/>
      <c r="H4315" s="203"/>
    </row>
    <row r="4316" spans="1:8">
      <c r="A4316" s="200"/>
      <c r="B4316" s="198"/>
      <c r="C4316" s="851"/>
      <c r="D4316" s="41"/>
      <c r="E4316" s="41"/>
      <c r="F4316" s="41"/>
      <c r="G4316" s="21"/>
      <c r="H4316" s="203"/>
    </row>
    <row r="4317" spans="1:8">
      <c r="A4317" s="200"/>
      <c r="B4317" s="198"/>
      <c r="C4317" s="851"/>
      <c r="D4317" s="41"/>
      <c r="E4317" s="41"/>
      <c r="F4317" s="41"/>
      <c r="G4317" s="21"/>
      <c r="H4317" s="203"/>
    </row>
    <row r="4318" spans="1:8">
      <c r="A4318" s="200"/>
      <c r="B4318" s="198"/>
      <c r="C4318" s="851"/>
      <c r="D4318" s="41"/>
      <c r="E4318" s="41"/>
      <c r="F4318" s="41"/>
      <c r="G4318" s="21"/>
      <c r="H4318" s="203"/>
    </row>
    <row r="4319" spans="1:8">
      <c r="A4319" s="200"/>
      <c r="B4319" s="198"/>
      <c r="C4319" s="851"/>
      <c r="D4319" s="41"/>
      <c r="E4319" s="41"/>
      <c r="F4319" s="41"/>
      <c r="G4319" s="21"/>
      <c r="H4319" s="203"/>
    </row>
    <row r="4320" spans="1:8">
      <c r="A4320" s="200"/>
      <c r="B4320" s="198"/>
      <c r="C4320" s="851"/>
      <c r="D4320" s="41"/>
      <c r="E4320" s="41"/>
      <c r="F4320" s="41"/>
      <c r="G4320" s="21"/>
      <c r="H4320" s="203"/>
    </row>
    <row r="4321" spans="1:8">
      <c r="A4321" s="200"/>
      <c r="B4321" s="198"/>
      <c r="C4321" s="851"/>
      <c r="D4321" s="41"/>
      <c r="E4321" s="41"/>
      <c r="F4321" s="41"/>
      <c r="G4321" s="21"/>
      <c r="H4321" s="203"/>
    </row>
    <row r="4322" spans="1:8">
      <c r="A4322" s="200"/>
      <c r="B4322" s="198"/>
      <c r="C4322" s="851"/>
      <c r="D4322" s="41"/>
      <c r="E4322" s="41"/>
      <c r="F4322" s="41"/>
      <c r="G4322" s="21"/>
      <c r="H4322" s="203"/>
    </row>
    <row r="4323" spans="1:8">
      <c r="A4323" s="200"/>
      <c r="B4323" s="198"/>
      <c r="C4323" s="851"/>
      <c r="D4323" s="41"/>
      <c r="E4323" s="41"/>
      <c r="F4323" s="41"/>
      <c r="G4323" s="21"/>
      <c r="H4323" s="203"/>
    </row>
    <row r="4324" spans="1:8">
      <c r="A4324" s="200"/>
      <c r="B4324" s="198"/>
      <c r="C4324" s="851"/>
      <c r="D4324" s="41"/>
      <c r="E4324" s="41"/>
      <c r="F4324" s="41"/>
      <c r="G4324" s="21"/>
      <c r="H4324" s="203"/>
    </row>
    <row r="4325" spans="1:8">
      <c r="A4325" s="200"/>
      <c r="B4325" s="198"/>
      <c r="C4325" s="851"/>
      <c r="D4325" s="41"/>
      <c r="E4325" s="41"/>
      <c r="F4325" s="41"/>
      <c r="G4325" s="21"/>
      <c r="H4325" s="203"/>
    </row>
    <row r="4326" spans="1:8">
      <c r="A4326" s="200"/>
      <c r="B4326" s="198"/>
      <c r="C4326" s="851"/>
      <c r="D4326" s="41"/>
      <c r="E4326" s="41"/>
      <c r="F4326" s="41"/>
      <c r="G4326" s="21"/>
      <c r="H4326" s="203"/>
    </row>
    <row r="4327" spans="1:8">
      <c r="A4327" s="200"/>
      <c r="B4327" s="198"/>
      <c r="C4327" s="851"/>
      <c r="D4327" s="41"/>
      <c r="E4327" s="41"/>
      <c r="F4327" s="41"/>
      <c r="G4327" s="21"/>
      <c r="H4327" s="203"/>
    </row>
    <row r="4328" spans="1:8">
      <c r="A4328" s="200"/>
      <c r="B4328" s="198"/>
      <c r="C4328" s="851"/>
      <c r="D4328" s="41"/>
      <c r="E4328" s="41"/>
      <c r="F4328" s="41"/>
      <c r="G4328" s="21"/>
      <c r="H4328" s="203"/>
    </row>
    <row r="4329" spans="1:8">
      <c r="A4329" s="200"/>
      <c r="B4329" s="198"/>
      <c r="C4329" s="851"/>
      <c r="D4329" s="41"/>
      <c r="E4329" s="41"/>
      <c r="F4329" s="41"/>
      <c r="G4329" s="21"/>
      <c r="H4329" s="203"/>
    </row>
    <row r="4330" spans="1:8">
      <c r="A4330" s="200"/>
      <c r="B4330" s="198"/>
      <c r="C4330" s="851"/>
      <c r="D4330" s="41"/>
      <c r="E4330" s="41"/>
      <c r="F4330" s="41"/>
      <c r="G4330" s="21"/>
      <c r="H4330" s="203"/>
    </row>
    <row r="4331" spans="1:8">
      <c r="A4331" s="200"/>
      <c r="B4331" s="198"/>
      <c r="C4331" s="851"/>
      <c r="D4331" s="41"/>
      <c r="E4331" s="41"/>
      <c r="F4331" s="41"/>
      <c r="G4331" s="21"/>
      <c r="H4331" s="203"/>
    </row>
    <row r="4332" spans="1:8">
      <c r="A4332" s="200"/>
      <c r="B4332" s="198"/>
      <c r="C4332" s="851"/>
      <c r="D4332" s="41"/>
      <c r="E4332" s="41"/>
      <c r="F4332" s="41"/>
      <c r="G4332" s="21"/>
      <c r="H4332" s="203"/>
    </row>
    <row r="4333" spans="1:8">
      <c r="A4333" s="200"/>
      <c r="B4333" s="198"/>
      <c r="C4333" s="851"/>
      <c r="D4333" s="41"/>
      <c r="E4333" s="41"/>
      <c r="F4333" s="41"/>
      <c r="G4333" s="21"/>
      <c r="H4333" s="203"/>
    </row>
    <row r="4334" spans="1:8">
      <c r="A4334" s="200"/>
      <c r="B4334" s="198"/>
      <c r="C4334" s="851"/>
      <c r="D4334" s="41"/>
      <c r="E4334" s="41"/>
      <c r="F4334" s="41"/>
      <c r="G4334" s="21"/>
      <c r="H4334" s="203"/>
    </row>
    <row r="4335" spans="1:8">
      <c r="A4335" s="200"/>
      <c r="B4335" s="198"/>
      <c r="C4335" s="851"/>
      <c r="D4335" s="41"/>
      <c r="E4335" s="41"/>
      <c r="F4335" s="41"/>
      <c r="G4335" s="21"/>
      <c r="H4335" s="203"/>
    </row>
    <row r="4336" spans="1:8">
      <c r="A4336" s="200"/>
      <c r="B4336" s="198"/>
      <c r="C4336" s="851"/>
      <c r="D4336" s="41"/>
      <c r="E4336" s="41"/>
      <c r="F4336" s="41"/>
      <c r="G4336" s="21"/>
      <c r="H4336" s="203"/>
    </row>
    <row r="4337" spans="1:8">
      <c r="A4337" s="200"/>
      <c r="B4337" s="198"/>
      <c r="C4337" s="851"/>
      <c r="D4337" s="41"/>
      <c r="E4337" s="41"/>
      <c r="F4337" s="41"/>
      <c r="G4337" s="21"/>
      <c r="H4337" s="203"/>
    </row>
    <row r="4338" spans="1:8">
      <c r="A4338" s="200"/>
      <c r="B4338" s="198"/>
      <c r="C4338" s="851"/>
      <c r="D4338" s="41"/>
      <c r="E4338" s="41"/>
      <c r="F4338" s="41"/>
      <c r="G4338" s="21"/>
      <c r="H4338" s="203"/>
    </row>
    <row r="4339" spans="1:8">
      <c r="A4339" s="200"/>
      <c r="B4339" s="198"/>
      <c r="C4339" s="851"/>
      <c r="D4339" s="41"/>
      <c r="E4339" s="41"/>
      <c r="F4339" s="41"/>
      <c r="G4339" s="21"/>
      <c r="H4339" s="203"/>
    </row>
    <row r="4340" spans="1:8">
      <c r="A4340" s="200"/>
      <c r="B4340" s="198"/>
      <c r="C4340" s="851"/>
      <c r="D4340" s="41"/>
      <c r="E4340" s="41"/>
      <c r="F4340" s="41"/>
      <c r="G4340" s="21"/>
      <c r="H4340" s="203"/>
    </row>
    <row r="4341" spans="1:8">
      <c r="A4341" s="200"/>
      <c r="B4341" s="198"/>
      <c r="C4341" s="851"/>
      <c r="D4341" s="41"/>
      <c r="E4341" s="41"/>
      <c r="F4341" s="41"/>
      <c r="G4341" s="21"/>
      <c r="H4341" s="203"/>
    </row>
    <row r="4342" spans="1:8">
      <c r="A4342" s="200"/>
      <c r="B4342" s="198"/>
      <c r="C4342" s="851"/>
      <c r="D4342" s="41"/>
      <c r="E4342" s="41"/>
      <c r="F4342" s="41"/>
      <c r="G4342" s="21"/>
      <c r="H4342" s="203"/>
    </row>
    <row r="4343" spans="1:8">
      <c r="A4343" s="200"/>
      <c r="B4343" s="198"/>
      <c r="C4343" s="851"/>
      <c r="D4343" s="41"/>
      <c r="E4343" s="41"/>
      <c r="F4343" s="41"/>
      <c r="G4343" s="21"/>
      <c r="H4343" s="203"/>
    </row>
    <row r="4344" spans="1:8">
      <c r="A4344" s="200"/>
      <c r="B4344" s="198"/>
      <c r="C4344" s="851"/>
      <c r="D4344" s="41"/>
      <c r="E4344" s="41"/>
      <c r="F4344" s="41"/>
      <c r="G4344" s="21"/>
      <c r="H4344" s="203"/>
    </row>
    <row r="4345" spans="1:8">
      <c r="A4345" s="200"/>
      <c r="B4345" s="198"/>
      <c r="C4345" s="851"/>
      <c r="D4345" s="41"/>
      <c r="E4345" s="41"/>
      <c r="F4345" s="41"/>
      <c r="G4345" s="21"/>
      <c r="H4345" s="203"/>
    </row>
    <row r="4346" spans="1:8">
      <c r="A4346" s="200"/>
      <c r="B4346" s="198"/>
      <c r="C4346" s="851"/>
      <c r="D4346" s="41"/>
      <c r="E4346" s="41"/>
      <c r="F4346" s="41"/>
      <c r="G4346" s="21"/>
      <c r="H4346" s="203"/>
    </row>
    <row r="4347" spans="1:8">
      <c r="A4347" s="200"/>
      <c r="B4347" s="198"/>
      <c r="C4347" s="851"/>
      <c r="D4347" s="41"/>
      <c r="E4347" s="41"/>
      <c r="F4347" s="41"/>
      <c r="G4347" s="21"/>
      <c r="H4347" s="203"/>
    </row>
    <row r="4348" spans="1:8">
      <c r="A4348" s="200"/>
      <c r="B4348" s="198"/>
      <c r="C4348" s="851"/>
      <c r="D4348" s="41"/>
      <c r="E4348" s="41"/>
      <c r="F4348" s="41"/>
      <c r="G4348" s="21"/>
      <c r="H4348" s="203"/>
    </row>
    <row r="4349" spans="1:8">
      <c r="A4349" s="200"/>
      <c r="B4349" s="198"/>
      <c r="C4349" s="851"/>
      <c r="D4349" s="41"/>
      <c r="E4349" s="41"/>
      <c r="F4349" s="41"/>
      <c r="G4349" s="21"/>
      <c r="H4349" s="203"/>
    </row>
    <row r="4350" spans="1:8">
      <c r="A4350" s="200"/>
      <c r="B4350" s="198"/>
      <c r="C4350" s="851"/>
      <c r="D4350" s="41"/>
      <c r="E4350" s="41"/>
      <c r="F4350" s="41"/>
      <c r="G4350" s="21"/>
      <c r="H4350" s="203"/>
    </row>
    <row r="4351" spans="1:8">
      <c r="A4351" s="200"/>
      <c r="B4351" s="198"/>
      <c r="C4351" s="851"/>
      <c r="D4351" s="41"/>
      <c r="E4351" s="41"/>
      <c r="F4351" s="41"/>
      <c r="G4351" s="21"/>
      <c r="H4351" s="203"/>
    </row>
    <row r="4352" spans="1:8">
      <c r="A4352" s="200"/>
      <c r="B4352" s="198"/>
      <c r="C4352" s="851"/>
      <c r="D4352" s="41"/>
      <c r="E4352" s="41"/>
      <c r="F4352" s="41"/>
      <c r="G4352" s="21"/>
      <c r="H4352" s="203"/>
    </row>
    <row r="4353" spans="1:8">
      <c r="A4353" s="200"/>
      <c r="B4353" s="198"/>
      <c r="C4353" s="851"/>
      <c r="D4353" s="41"/>
      <c r="E4353" s="41"/>
      <c r="F4353" s="41"/>
      <c r="G4353" s="21"/>
      <c r="H4353" s="203"/>
    </row>
    <row r="4354" spans="1:8">
      <c r="A4354" s="200"/>
      <c r="B4354" s="198"/>
      <c r="C4354" s="851"/>
      <c r="D4354" s="41"/>
      <c r="E4354" s="41"/>
      <c r="F4354" s="41"/>
      <c r="G4354" s="21"/>
      <c r="H4354" s="203"/>
    </row>
    <row r="4355" spans="1:8">
      <c r="A4355" s="200"/>
      <c r="B4355" s="198"/>
      <c r="C4355" s="851"/>
      <c r="D4355" s="41"/>
      <c r="E4355" s="41"/>
      <c r="F4355" s="41"/>
      <c r="G4355" s="21"/>
      <c r="H4355" s="203"/>
    </row>
    <row r="4356" spans="1:8">
      <c r="A4356" s="200"/>
      <c r="B4356" s="198"/>
      <c r="C4356" s="851"/>
      <c r="D4356" s="41"/>
      <c r="E4356" s="41"/>
      <c r="F4356" s="41"/>
      <c r="G4356" s="21"/>
      <c r="H4356" s="203"/>
    </row>
    <row r="4357" spans="1:8">
      <c r="A4357" s="200"/>
      <c r="B4357" s="198"/>
      <c r="C4357" s="851"/>
      <c r="D4357" s="41"/>
      <c r="E4357" s="41"/>
      <c r="F4357" s="41"/>
      <c r="G4357" s="21"/>
      <c r="H4357" s="203"/>
    </row>
    <row r="4358" spans="1:8">
      <c r="A4358" s="200"/>
      <c r="B4358" s="198"/>
      <c r="C4358" s="851"/>
      <c r="D4358" s="41"/>
      <c r="E4358" s="41"/>
      <c r="F4358" s="41"/>
      <c r="G4358" s="21"/>
      <c r="H4358" s="203"/>
    </row>
    <row r="4359" spans="1:8">
      <c r="A4359" s="200"/>
      <c r="B4359" s="198"/>
      <c r="C4359" s="851"/>
      <c r="D4359" s="41"/>
      <c r="E4359" s="41"/>
      <c r="F4359" s="41"/>
      <c r="G4359" s="21"/>
      <c r="H4359" s="203"/>
    </row>
    <row r="4360" spans="1:8">
      <c r="A4360" s="200"/>
      <c r="B4360" s="198"/>
      <c r="C4360" s="851"/>
      <c r="D4360" s="41"/>
      <c r="E4360" s="41"/>
      <c r="F4360" s="41"/>
      <c r="G4360" s="21"/>
      <c r="H4360" s="203"/>
    </row>
    <row r="4361" spans="1:8">
      <c r="A4361" s="200"/>
      <c r="B4361" s="198"/>
      <c r="C4361" s="851"/>
      <c r="D4361" s="41"/>
      <c r="E4361" s="41"/>
      <c r="F4361" s="41"/>
      <c r="G4361" s="21"/>
      <c r="H4361" s="203"/>
    </row>
    <row r="4362" spans="1:8">
      <c r="A4362" s="200"/>
      <c r="B4362" s="198"/>
      <c r="C4362" s="851"/>
      <c r="D4362" s="41"/>
      <c r="E4362" s="41"/>
      <c r="F4362" s="41"/>
      <c r="G4362" s="21"/>
      <c r="H4362" s="203"/>
    </row>
    <row r="4363" spans="1:8">
      <c r="A4363" s="200"/>
      <c r="B4363" s="198"/>
      <c r="C4363" s="851"/>
      <c r="D4363" s="41"/>
      <c r="E4363" s="41"/>
      <c r="F4363" s="41"/>
      <c r="G4363" s="21"/>
      <c r="H4363" s="203"/>
    </row>
    <row r="4364" spans="1:8">
      <c r="A4364" s="200"/>
      <c r="B4364" s="198"/>
      <c r="C4364" s="851"/>
      <c r="D4364" s="41"/>
      <c r="E4364" s="41"/>
      <c r="F4364" s="41"/>
      <c r="G4364" s="21"/>
      <c r="H4364" s="203"/>
    </row>
    <row r="4365" spans="1:8">
      <c r="A4365" s="200"/>
      <c r="B4365" s="198"/>
      <c r="C4365" s="851"/>
      <c r="D4365" s="41"/>
      <c r="E4365" s="41"/>
      <c r="F4365" s="41"/>
      <c r="G4365" s="21"/>
      <c r="H4365" s="203"/>
    </row>
    <row r="4366" spans="1:8">
      <c r="A4366" s="200"/>
      <c r="B4366" s="198"/>
      <c r="C4366" s="851"/>
      <c r="D4366" s="41"/>
      <c r="E4366" s="41"/>
      <c r="F4366" s="41"/>
      <c r="G4366" s="21"/>
      <c r="H4366" s="203"/>
    </row>
    <row r="4367" spans="1:8">
      <c r="A4367" s="200"/>
      <c r="B4367" s="198"/>
      <c r="C4367" s="851"/>
      <c r="D4367" s="41"/>
      <c r="E4367" s="41"/>
      <c r="F4367" s="41"/>
      <c r="G4367" s="21"/>
      <c r="H4367" s="203"/>
    </row>
    <row r="4368" spans="1:8">
      <c r="A4368" s="200"/>
      <c r="B4368" s="198"/>
      <c r="C4368" s="851"/>
      <c r="D4368" s="41"/>
      <c r="E4368" s="41"/>
      <c r="F4368" s="41"/>
      <c r="G4368" s="21"/>
      <c r="H4368" s="203"/>
    </row>
    <row r="4369" spans="1:8">
      <c r="A4369" s="200"/>
      <c r="B4369" s="198"/>
      <c r="C4369" s="851"/>
      <c r="D4369" s="41"/>
      <c r="E4369" s="41"/>
      <c r="F4369" s="41"/>
      <c r="G4369" s="21"/>
      <c r="H4369" s="203"/>
    </row>
    <row r="4370" spans="1:8">
      <c r="A4370" s="200"/>
      <c r="B4370" s="198"/>
      <c r="C4370" s="851"/>
      <c r="D4370" s="41"/>
      <c r="E4370" s="41"/>
      <c r="F4370" s="41"/>
      <c r="G4370" s="21"/>
      <c r="H4370" s="203"/>
    </row>
    <row r="4371" spans="1:8">
      <c r="A4371" s="200"/>
      <c r="B4371" s="198"/>
      <c r="C4371" s="851"/>
      <c r="D4371" s="41"/>
      <c r="E4371" s="41"/>
      <c r="F4371" s="41"/>
      <c r="G4371" s="21"/>
      <c r="H4371" s="203"/>
    </row>
    <row r="4372" spans="1:8">
      <c r="A4372" s="200"/>
      <c r="B4372" s="198"/>
      <c r="C4372" s="851"/>
      <c r="D4372" s="41"/>
      <c r="E4372" s="41"/>
      <c r="F4372" s="41"/>
      <c r="G4372" s="21"/>
      <c r="H4372" s="203"/>
    </row>
    <row r="4373" spans="1:8">
      <c r="A4373" s="200"/>
      <c r="B4373" s="198"/>
      <c r="C4373" s="851"/>
      <c r="D4373" s="41"/>
      <c r="E4373" s="41"/>
      <c r="F4373" s="41"/>
      <c r="G4373" s="21"/>
      <c r="H4373" s="203"/>
    </row>
    <row r="4374" spans="1:8">
      <c r="A4374" s="200"/>
      <c r="B4374" s="198"/>
      <c r="C4374" s="851"/>
      <c r="D4374" s="41"/>
      <c r="E4374" s="41"/>
      <c r="F4374" s="41"/>
      <c r="G4374" s="21"/>
      <c r="H4374" s="203"/>
    </row>
    <row r="4375" spans="1:8">
      <c r="A4375" s="200"/>
      <c r="B4375" s="198"/>
      <c r="C4375" s="851"/>
      <c r="D4375" s="41"/>
      <c r="E4375" s="41"/>
      <c r="F4375" s="41"/>
      <c r="G4375" s="21"/>
      <c r="H4375" s="203"/>
    </row>
    <row r="4376" spans="1:8">
      <c r="A4376" s="200"/>
      <c r="B4376" s="198"/>
      <c r="C4376" s="851"/>
      <c r="D4376" s="41"/>
      <c r="E4376" s="41"/>
      <c r="F4376" s="41"/>
      <c r="G4376" s="21"/>
      <c r="H4376" s="203"/>
    </row>
    <row r="4377" spans="1:8">
      <c r="A4377" s="200"/>
      <c r="B4377" s="198"/>
      <c r="C4377" s="851"/>
      <c r="D4377" s="41"/>
      <c r="E4377" s="41"/>
      <c r="F4377" s="41"/>
      <c r="G4377" s="21"/>
      <c r="H4377" s="203"/>
    </row>
    <row r="4378" spans="1:8">
      <c r="A4378" s="200"/>
      <c r="B4378" s="198"/>
      <c r="C4378" s="851"/>
      <c r="D4378" s="41"/>
      <c r="E4378" s="41"/>
      <c r="F4378" s="41"/>
      <c r="G4378" s="21"/>
      <c r="H4378" s="203"/>
    </row>
    <row r="4379" spans="1:8">
      <c r="A4379" s="200"/>
      <c r="B4379" s="198"/>
      <c r="C4379" s="851"/>
      <c r="D4379" s="41"/>
      <c r="E4379" s="41"/>
      <c r="F4379" s="41"/>
      <c r="G4379" s="21"/>
      <c r="H4379" s="203"/>
    </row>
    <row r="4380" spans="1:8">
      <c r="A4380" s="200"/>
      <c r="B4380" s="198"/>
      <c r="C4380" s="851"/>
      <c r="D4380" s="41"/>
      <c r="E4380" s="41"/>
      <c r="F4380" s="41"/>
      <c r="G4380" s="21"/>
      <c r="H4380" s="203"/>
    </row>
    <row r="4381" spans="1:8">
      <c r="A4381" s="200"/>
      <c r="B4381" s="198"/>
      <c r="C4381" s="851"/>
      <c r="D4381" s="41"/>
      <c r="E4381" s="41"/>
      <c r="F4381" s="41"/>
      <c r="G4381" s="21"/>
      <c r="H4381" s="203"/>
    </row>
    <row r="4382" spans="1:8">
      <c r="A4382" s="200"/>
      <c r="B4382" s="198"/>
      <c r="C4382" s="851"/>
      <c r="D4382" s="41"/>
      <c r="E4382" s="41"/>
      <c r="F4382" s="41"/>
      <c r="G4382" s="21"/>
      <c r="H4382" s="203"/>
    </row>
    <row r="4383" spans="1:8">
      <c r="A4383" s="200"/>
      <c r="B4383" s="198"/>
      <c r="C4383" s="851"/>
      <c r="D4383" s="41"/>
      <c r="E4383" s="41"/>
      <c r="F4383" s="41"/>
      <c r="G4383" s="21"/>
      <c r="H4383" s="203"/>
    </row>
    <row r="4384" spans="1:8">
      <c r="A4384" s="200"/>
      <c r="B4384" s="198"/>
      <c r="C4384" s="851"/>
      <c r="D4384" s="41"/>
      <c r="E4384" s="41"/>
      <c r="F4384" s="41"/>
      <c r="G4384" s="21"/>
      <c r="H4384" s="203"/>
    </row>
    <row r="4385" spans="1:8">
      <c r="A4385" s="200"/>
      <c r="B4385" s="198"/>
      <c r="C4385" s="851"/>
      <c r="D4385" s="41"/>
      <c r="E4385" s="41"/>
      <c r="F4385" s="41"/>
      <c r="G4385" s="21"/>
      <c r="H4385" s="203"/>
    </row>
    <row r="4386" spans="1:8">
      <c r="A4386" s="200"/>
      <c r="B4386" s="198"/>
      <c r="C4386" s="851"/>
      <c r="D4386" s="41"/>
      <c r="E4386" s="41"/>
      <c r="F4386" s="41"/>
      <c r="G4386" s="21"/>
      <c r="H4386" s="203"/>
    </row>
    <row r="4387" spans="1:8">
      <c r="A4387" s="200"/>
      <c r="B4387" s="198"/>
      <c r="C4387" s="851"/>
      <c r="D4387" s="41"/>
      <c r="E4387" s="41"/>
      <c r="F4387" s="41"/>
      <c r="G4387" s="21"/>
      <c r="H4387" s="203"/>
    </row>
    <row r="4388" spans="1:8">
      <c r="A4388" s="200"/>
      <c r="B4388" s="198"/>
      <c r="C4388" s="851"/>
      <c r="D4388" s="41"/>
      <c r="E4388" s="41"/>
      <c r="F4388" s="41"/>
      <c r="G4388" s="21"/>
      <c r="H4388" s="203"/>
    </row>
    <row r="4389" spans="1:8">
      <c r="A4389" s="200"/>
      <c r="B4389" s="198"/>
      <c r="C4389" s="851"/>
      <c r="D4389" s="41"/>
      <c r="E4389" s="41"/>
      <c r="F4389" s="41"/>
      <c r="G4389" s="21"/>
      <c r="H4389" s="203"/>
    </row>
    <row r="4390" spans="1:8">
      <c r="A4390" s="200"/>
      <c r="B4390" s="198"/>
      <c r="C4390" s="851"/>
      <c r="D4390" s="41"/>
      <c r="E4390" s="41"/>
      <c r="F4390" s="41"/>
      <c r="G4390" s="21"/>
      <c r="H4390" s="203"/>
    </row>
    <row r="4391" spans="1:8">
      <c r="A4391" s="200"/>
      <c r="B4391" s="198"/>
      <c r="C4391" s="851"/>
      <c r="D4391" s="41"/>
      <c r="E4391" s="41"/>
      <c r="F4391" s="41"/>
      <c r="G4391" s="21"/>
      <c r="H4391" s="203"/>
    </row>
    <row r="4392" spans="1:8">
      <c r="A4392" s="200"/>
      <c r="B4392" s="198"/>
      <c r="C4392" s="851"/>
      <c r="D4392" s="41"/>
      <c r="E4392" s="41"/>
      <c r="F4392" s="41"/>
      <c r="G4392" s="21"/>
      <c r="H4392" s="203"/>
    </row>
    <row r="4393" spans="1:8">
      <c r="A4393" s="200"/>
      <c r="B4393" s="198"/>
      <c r="C4393" s="851"/>
      <c r="D4393" s="41"/>
      <c r="E4393" s="41"/>
      <c r="F4393" s="41"/>
      <c r="G4393" s="21"/>
      <c r="H4393" s="203"/>
    </row>
    <row r="4394" spans="1:8">
      <c r="A4394" s="200"/>
      <c r="B4394" s="198"/>
      <c r="C4394" s="851"/>
      <c r="D4394" s="41"/>
      <c r="E4394" s="41"/>
      <c r="F4394" s="41"/>
      <c r="G4394" s="21"/>
      <c r="H4394" s="203"/>
    </row>
    <row r="4395" spans="1:8">
      <c r="A4395" s="200"/>
      <c r="B4395" s="198"/>
      <c r="C4395" s="851"/>
      <c r="D4395" s="41"/>
      <c r="E4395" s="41"/>
      <c r="F4395" s="41"/>
      <c r="G4395" s="21"/>
      <c r="H4395" s="203"/>
    </row>
    <row r="4396" spans="1:8">
      <c r="A4396" s="200"/>
      <c r="B4396" s="198"/>
      <c r="C4396" s="851"/>
      <c r="D4396" s="41"/>
      <c r="E4396" s="41"/>
      <c r="F4396" s="41"/>
      <c r="G4396" s="21"/>
      <c r="H4396" s="203"/>
    </row>
    <row r="4397" spans="1:8">
      <c r="A4397" s="200"/>
      <c r="B4397" s="198"/>
      <c r="C4397" s="851"/>
      <c r="D4397" s="41"/>
      <c r="E4397" s="41"/>
      <c r="F4397" s="41"/>
      <c r="G4397" s="21"/>
      <c r="H4397" s="203"/>
    </row>
    <row r="4398" spans="1:8">
      <c r="A4398" s="200"/>
      <c r="B4398" s="198"/>
      <c r="C4398" s="851"/>
      <c r="D4398" s="41"/>
      <c r="E4398" s="41"/>
      <c r="F4398" s="41"/>
      <c r="G4398" s="21"/>
      <c r="H4398" s="203"/>
    </row>
    <row r="4399" spans="1:8">
      <c r="A4399" s="200"/>
      <c r="B4399" s="198"/>
      <c r="C4399" s="851"/>
      <c r="D4399" s="41"/>
      <c r="E4399" s="41"/>
      <c r="F4399" s="41"/>
      <c r="G4399" s="21"/>
      <c r="H4399" s="203"/>
    </row>
    <row r="4400" spans="1:8">
      <c r="A4400" s="200"/>
      <c r="B4400" s="198"/>
      <c r="C4400" s="851"/>
      <c r="D4400" s="41"/>
      <c r="E4400" s="41"/>
      <c r="F4400" s="41"/>
      <c r="G4400" s="21"/>
      <c r="H4400" s="203"/>
    </row>
    <row r="4401" spans="1:8">
      <c r="A4401" s="200"/>
      <c r="B4401" s="198"/>
      <c r="C4401" s="851"/>
      <c r="D4401" s="41"/>
      <c r="E4401" s="41"/>
      <c r="F4401" s="41"/>
      <c r="G4401" s="21"/>
      <c r="H4401" s="203"/>
    </row>
    <row r="4402" spans="1:8">
      <c r="A4402" s="200"/>
      <c r="B4402" s="198"/>
      <c r="C4402" s="851"/>
      <c r="D4402" s="41"/>
      <c r="E4402" s="41"/>
      <c r="F4402" s="41"/>
      <c r="G4402" s="21"/>
      <c r="H4402" s="203"/>
    </row>
    <row r="4403" spans="1:8">
      <c r="A4403" s="200"/>
      <c r="B4403" s="198"/>
      <c r="C4403" s="851"/>
      <c r="D4403" s="41"/>
      <c r="E4403" s="41"/>
      <c r="F4403" s="41"/>
      <c r="G4403" s="21"/>
      <c r="H4403" s="203"/>
    </row>
    <row r="4404" spans="1:8">
      <c r="A4404" s="200"/>
      <c r="B4404" s="198"/>
      <c r="C4404" s="851"/>
      <c r="D4404" s="41"/>
      <c r="E4404" s="41"/>
      <c r="F4404" s="41"/>
      <c r="G4404" s="21"/>
      <c r="H4404" s="203"/>
    </row>
    <row r="4405" spans="1:8">
      <c r="A4405" s="200"/>
      <c r="B4405" s="198"/>
      <c r="C4405" s="851"/>
      <c r="D4405" s="41"/>
      <c r="E4405" s="41"/>
      <c r="F4405" s="41"/>
      <c r="G4405" s="21"/>
      <c r="H4405" s="203"/>
    </row>
    <row r="4406" spans="1:8">
      <c r="A4406" s="200"/>
      <c r="B4406" s="198"/>
      <c r="C4406" s="851"/>
      <c r="D4406" s="41"/>
      <c r="E4406" s="41"/>
      <c r="F4406" s="41"/>
      <c r="G4406" s="21"/>
      <c r="H4406" s="203"/>
    </row>
    <row r="4407" spans="1:8">
      <c r="A4407" s="200"/>
      <c r="B4407" s="198"/>
      <c r="C4407" s="851"/>
      <c r="D4407" s="41"/>
      <c r="E4407" s="41"/>
      <c r="F4407" s="41"/>
      <c r="G4407" s="21"/>
      <c r="H4407" s="203"/>
    </row>
    <row r="4408" spans="1:8">
      <c r="A4408" s="200"/>
      <c r="B4408" s="198"/>
      <c r="C4408" s="851"/>
      <c r="D4408" s="41"/>
      <c r="E4408" s="41"/>
      <c r="F4408" s="41"/>
      <c r="G4408" s="21"/>
      <c r="H4408" s="203"/>
    </row>
    <row r="4409" spans="1:8">
      <c r="A4409" s="200"/>
      <c r="B4409" s="198"/>
      <c r="C4409" s="851"/>
      <c r="D4409" s="41"/>
      <c r="E4409" s="41"/>
      <c r="F4409" s="41"/>
      <c r="G4409" s="21"/>
      <c r="H4409" s="203"/>
    </row>
    <row r="4410" spans="1:8">
      <c r="A4410" s="200"/>
      <c r="B4410" s="198"/>
      <c r="C4410" s="851"/>
      <c r="D4410" s="41"/>
      <c r="E4410" s="41"/>
      <c r="F4410" s="41"/>
      <c r="G4410" s="21"/>
      <c r="H4410" s="203"/>
    </row>
    <row r="4411" spans="1:8">
      <c r="A4411" s="200"/>
      <c r="B4411" s="198"/>
      <c r="C4411" s="851"/>
      <c r="D4411" s="41"/>
      <c r="E4411" s="41"/>
      <c r="F4411" s="41"/>
      <c r="G4411" s="21"/>
      <c r="H4411" s="203"/>
    </row>
    <row r="4412" spans="1:8">
      <c r="A4412" s="200"/>
      <c r="B4412" s="198"/>
      <c r="C4412" s="851"/>
      <c r="D4412" s="41"/>
      <c r="E4412" s="41"/>
      <c r="F4412" s="41"/>
      <c r="G4412" s="21"/>
      <c r="H4412" s="203"/>
    </row>
    <row r="4413" spans="1:8">
      <c r="A4413" s="200"/>
      <c r="B4413" s="198"/>
      <c r="C4413" s="851"/>
      <c r="D4413" s="41"/>
      <c r="E4413" s="41"/>
      <c r="F4413" s="41"/>
      <c r="G4413" s="21"/>
      <c r="H4413" s="203"/>
    </row>
    <row r="4414" spans="1:8">
      <c r="A4414" s="200"/>
      <c r="B4414" s="198"/>
      <c r="C4414" s="851"/>
      <c r="D4414" s="41"/>
      <c r="E4414" s="41"/>
      <c r="F4414" s="41"/>
      <c r="G4414" s="21"/>
      <c r="H4414" s="203"/>
    </row>
    <row r="4415" spans="1:8">
      <c r="A4415" s="200"/>
      <c r="B4415" s="198"/>
      <c r="C4415" s="851"/>
      <c r="D4415" s="41"/>
      <c r="E4415" s="41"/>
      <c r="F4415" s="41"/>
      <c r="G4415" s="21"/>
      <c r="H4415" s="203"/>
    </row>
    <row r="4416" spans="1:8">
      <c r="A4416" s="200"/>
      <c r="B4416" s="198"/>
      <c r="C4416" s="851"/>
      <c r="D4416" s="41"/>
      <c r="E4416" s="41"/>
      <c r="F4416" s="41"/>
      <c r="G4416" s="21"/>
      <c r="H4416" s="203"/>
    </row>
    <row r="4417" spans="1:8">
      <c r="A4417" s="200"/>
      <c r="B4417" s="198"/>
      <c r="C4417" s="851"/>
      <c r="D4417" s="41"/>
      <c r="E4417" s="41"/>
      <c r="F4417" s="41"/>
      <c r="G4417" s="21"/>
      <c r="H4417" s="203"/>
    </row>
    <row r="4418" spans="1:8">
      <c r="A4418" s="200"/>
      <c r="B4418" s="198"/>
      <c r="C4418" s="851"/>
      <c r="D4418" s="41"/>
      <c r="E4418" s="41"/>
      <c r="F4418" s="41"/>
      <c r="G4418" s="21"/>
      <c r="H4418" s="203"/>
    </row>
    <row r="4419" spans="1:8">
      <c r="A4419" s="200"/>
      <c r="B4419" s="198"/>
      <c r="C4419" s="851"/>
      <c r="D4419" s="41"/>
      <c r="E4419" s="41"/>
      <c r="F4419" s="41"/>
      <c r="G4419" s="21"/>
      <c r="H4419" s="203"/>
    </row>
    <row r="4420" spans="1:8">
      <c r="A4420" s="200"/>
      <c r="B4420" s="198"/>
      <c r="C4420" s="851"/>
      <c r="D4420" s="41"/>
      <c r="E4420" s="41"/>
      <c r="F4420" s="41"/>
      <c r="G4420" s="21"/>
      <c r="H4420" s="203"/>
    </row>
    <row r="4421" spans="1:8">
      <c r="A4421" s="200"/>
      <c r="B4421" s="198"/>
      <c r="C4421" s="851"/>
      <c r="D4421" s="41"/>
      <c r="E4421" s="41"/>
      <c r="F4421" s="41"/>
      <c r="G4421" s="21"/>
      <c r="H4421" s="203"/>
    </row>
    <row r="4422" spans="1:8">
      <c r="A4422" s="200"/>
      <c r="B4422" s="198"/>
      <c r="C4422" s="851"/>
      <c r="D4422" s="41"/>
      <c r="E4422" s="41"/>
      <c r="F4422" s="41"/>
      <c r="G4422" s="21"/>
      <c r="H4422" s="203"/>
    </row>
    <row r="4423" spans="1:8">
      <c r="A4423" s="200"/>
      <c r="B4423" s="198"/>
      <c r="C4423" s="851"/>
      <c r="D4423" s="41"/>
      <c r="E4423" s="41"/>
      <c r="F4423" s="41"/>
      <c r="G4423" s="21"/>
      <c r="H4423" s="203"/>
    </row>
    <row r="4424" spans="1:8">
      <c r="A4424" s="200"/>
      <c r="B4424" s="198"/>
      <c r="C4424" s="851"/>
      <c r="D4424" s="41"/>
      <c r="E4424" s="41"/>
      <c r="F4424" s="41"/>
      <c r="G4424" s="21"/>
      <c r="H4424" s="203"/>
    </row>
    <row r="4425" spans="1:8">
      <c r="A4425" s="200"/>
      <c r="B4425" s="198"/>
      <c r="C4425" s="851"/>
      <c r="D4425" s="41"/>
      <c r="E4425" s="41"/>
      <c r="F4425" s="41"/>
      <c r="G4425" s="21"/>
      <c r="H4425" s="203"/>
    </row>
    <row r="4426" spans="1:8">
      <c r="A4426" s="200"/>
      <c r="B4426" s="198"/>
      <c r="C4426" s="851"/>
      <c r="D4426" s="41"/>
      <c r="E4426" s="41"/>
      <c r="F4426" s="41"/>
      <c r="G4426" s="21"/>
      <c r="H4426" s="203"/>
    </row>
    <row r="4427" spans="1:8">
      <c r="A4427" s="200"/>
      <c r="B4427" s="198"/>
      <c r="C4427" s="851"/>
      <c r="D4427" s="41"/>
      <c r="E4427" s="41"/>
      <c r="F4427" s="41"/>
      <c r="G4427" s="21"/>
      <c r="H4427" s="203"/>
    </row>
    <row r="4428" spans="1:8">
      <c r="A4428" s="200"/>
      <c r="B4428" s="198"/>
      <c r="C4428" s="851"/>
      <c r="D4428" s="41"/>
      <c r="E4428" s="41"/>
      <c r="F4428" s="41"/>
      <c r="G4428" s="21"/>
      <c r="H4428" s="203"/>
    </row>
    <row r="4429" spans="1:8">
      <c r="A4429" s="200"/>
      <c r="B4429" s="198"/>
      <c r="C4429" s="851"/>
      <c r="D4429" s="41"/>
      <c r="E4429" s="41"/>
      <c r="F4429" s="41"/>
      <c r="G4429" s="21"/>
      <c r="H4429" s="203"/>
    </row>
    <row r="4430" spans="1:8">
      <c r="A4430" s="200"/>
      <c r="B4430" s="198"/>
      <c r="C4430" s="851"/>
      <c r="D4430" s="41"/>
      <c r="E4430" s="41"/>
      <c r="F4430" s="41"/>
      <c r="G4430" s="21"/>
      <c r="H4430" s="203"/>
    </row>
    <row r="4431" spans="1:8">
      <c r="A4431" s="200"/>
      <c r="B4431" s="198"/>
      <c r="C4431" s="851"/>
      <c r="D4431" s="41"/>
      <c r="E4431" s="41"/>
      <c r="F4431" s="41"/>
      <c r="G4431" s="21"/>
      <c r="H4431" s="203"/>
    </row>
    <row r="4432" spans="1:8">
      <c r="A4432" s="200"/>
      <c r="B4432" s="198"/>
      <c r="C4432" s="851"/>
      <c r="D4432" s="41"/>
      <c r="E4432" s="41"/>
      <c r="F4432" s="41"/>
      <c r="G4432" s="21"/>
      <c r="H4432" s="203"/>
    </row>
    <row r="4433" spans="1:8">
      <c r="A4433" s="200"/>
      <c r="B4433" s="198"/>
      <c r="C4433" s="851"/>
      <c r="D4433" s="41"/>
      <c r="E4433" s="41"/>
      <c r="F4433" s="41"/>
      <c r="G4433" s="21"/>
      <c r="H4433" s="203"/>
    </row>
    <row r="4434" spans="1:8">
      <c r="A4434" s="200"/>
      <c r="B4434" s="198"/>
      <c r="C4434" s="851"/>
      <c r="D4434" s="41"/>
      <c r="E4434" s="41"/>
      <c r="F4434" s="41"/>
      <c r="G4434" s="21"/>
      <c r="H4434" s="203"/>
    </row>
    <row r="4435" spans="1:8">
      <c r="A4435" s="200"/>
      <c r="B4435" s="198"/>
      <c r="C4435" s="851"/>
      <c r="D4435" s="41"/>
      <c r="E4435" s="41"/>
      <c r="F4435" s="41"/>
      <c r="G4435" s="21"/>
      <c r="H4435" s="203"/>
    </row>
    <row r="4436" spans="1:8">
      <c r="A4436" s="200"/>
      <c r="B4436" s="198"/>
      <c r="C4436" s="851"/>
      <c r="D4436" s="41"/>
      <c r="E4436" s="41"/>
      <c r="F4436" s="41"/>
      <c r="G4436" s="21"/>
      <c r="H4436" s="203"/>
    </row>
    <row r="4437" spans="1:8">
      <c r="A4437" s="200"/>
      <c r="B4437" s="198"/>
      <c r="C4437" s="851"/>
      <c r="D4437" s="41"/>
      <c r="E4437" s="41"/>
      <c r="F4437" s="41"/>
      <c r="G4437" s="21"/>
      <c r="H4437" s="203"/>
    </row>
    <row r="4438" spans="1:8">
      <c r="A4438" s="200"/>
      <c r="B4438" s="198"/>
      <c r="C4438" s="851"/>
      <c r="D4438" s="41"/>
      <c r="E4438" s="41"/>
      <c r="F4438" s="41"/>
      <c r="G4438" s="21"/>
      <c r="H4438" s="203"/>
    </row>
    <row r="4439" spans="1:8">
      <c r="A4439" s="200"/>
      <c r="B4439" s="198"/>
      <c r="C4439" s="851"/>
      <c r="D4439" s="41"/>
      <c r="E4439" s="41"/>
      <c r="F4439" s="41"/>
      <c r="G4439" s="21"/>
      <c r="H4439" s="203"/>
    </row>
    <row r="4440" spans="1:8">
      <c r="A4440" s="200"/>
      <c r="B4440" s="198"/>
      <c r="C4440" s="851"/>
      <c r="D4440" s="41"/>
      <c r="E4440" s="41"/>
      <c r="F4440" s="41"/>
      <c r="G4440" s="21"/>
      <c r="H4440" s="203"/>
    </row>
    <row r="4441" spans="1:8">
      <c r="A4441" s="200"/>
      <c r="B4441" s="198"/>
      <c r="C4441" s="851"/>
      <c r="D4441" s="41"/>
      <c r="E4441" s="41"/>
      <c r="F4441" s="41"/>
      <c r="G4441" s="21"/>
      <c r="H4441" s="203"/>
    </row>
    <row r="4442" spans="1:8">
      <c r="A4442" s="200"/>
      <c r="B4442" s="198"/>
      <c r="C4442" s="851"/>
      <c r="D4442" s="41"/>
      <c r="E4442" s="41"/>
      <c r="F4442" s="41"/>
      <c r="G4442" s="21"/>
      <c r="H4442" s="203"/>
    </row>
    <row r="4443" spans="1:8">
      <c r="A4443" s="200"/>
      <c r="B4443" s="198"/>
      <c r="C4443" s="851"/>
      <c r="D4443" s="41"/>
      <c r="E4443" s="41"/>
      <c r="F4443" s="41"/>
      <c r="G4443" s="21"/>
      <c r="H4443" s="203"/>
    </row>
    <row r="4444" spans="1:8">
      <c r="A4444" s="200"/>
      <c r="B4444" s="198"/>
      <c r="C4444" s="851"/>
      <c r="D4444" s="41"/>
      <c r="E4444" s="41"/>
      <c r="F4444" s="41"/>
      <c r="G4444" s="21"/>
      <c r="H4444" s="203"/>
    </row>
    <row r="4445" spans="1:8">
      <c r="A4445" s="200"/>
      <c r="B4445" s="198"/>
      <c r="C4445" s="851"/>
      <c r="D4445" s="41"/>
      <c r="E4445" s="41"/>
      <c r="F4445" s="41"/>
      <c r="G4445" s="21"/>
      <c r="H4445" s="203"/>
    </row>
    <row r="4446" spans="1:8">
      <c r="A4446" s="200"/>
      <c r="B4446" s="198"/>
      <c r="C4446" s="851"/>
      <c r="D4446" s="41"/>
      <c r="E4446" s="41"/>
      <c r="F4446" s="41"/>
      <c r="G4446" s="21"/>
      <c r="H4446" s="203"/>
    </row>
    <row r="4447" spans="1:8">
      <c r="A4447" s="200"/>
      <c r="B4447" s="198"/>
      <c r="C4447" s="851"/>
      <c r="D4447" s="41"/>
      <c r="E4447" s="41"/>
      <c r="F4447" s="41"/>
      <c r="G4447" s="21"/>
      <c r="H4447" s="203"/>
    </row>
    <row r="4448" spans="1:8">
      <c r="A4448" s="200"/>
      <c r="B4448" s="198"/>
      <c r="C4448" s="851"/>
      <c r="D4448" s="41"/>
      <c r="E4448" s="41"/>
      <c r="F4448" s="41"/>
      <c r="G4448" s="21"/>
      <c r="H4448" s="203"/>
    </row>
    <row r="4449" spans="1:8">
      <c r="A4449" s="200"/>
      <c r="B4449" s="198"/>
      <c r="C4449" s="851"/>
      <c r="D4449" s="41"/>
      <c r="E4449" s="41"/>
      <c r="F4449" s="41"/>
      <c r="G4449" s="21"/>
      <c r="H4449" s="203"/>
    </row>
    <row r="4450" spans="1:8">
      <c r="A4450" s="200"/>
      <c r="B4450" s="198"/>
      <c r="C4450" s="851"/>
      <c r="D4450" s="41"/>
      <c r="E4450" s="41"/>
      <c r="F4450" s="41"/>
      <c r="G4450" s="21"/>
      <c r="H4450" s="203"/>
    </row>
    <row r="4451" spans="1:8">
      <c r="A4451" s="200"/>
      <c r="B4451" s="198"/>
      <c r="C4451" s="851"/>
      <c r="D4451" s="41"/>
      <c r="E4451" s="41"/>
      <c r="F4451" s="41"/>
      <c r="G4451" s="21"/>
      <c r="H4451" s="203"/>
    </row>
    <row r="4452" spans="1:8">
      <c r="A4452" s="200"/>
      <c r="B4452" s="198"/>
      <c r="C4452" s="851"/>
      <c r="D4452" s="41"/>
      <c r="E4452" s="41"/>
      <c r="F4452" s="41"/>
      <c r="G4452" s="21"/>
      <c r="H4452" s="203"/>
    </row>
    <row r="4453" spans="1:8">
      <c r="A4453" s="200"/>
      <c r="B4453" s="198"/>
      <c r="C4453" s="851"/>
      <c r="D4453" s="41"/>
      <c r="E4453" s="41"/>
      <c r="F4453" s="41"/>
      <c r="G4453" s="21"/>
      <c r="H4453" s="203"/>
    </row>
    <row r="4454" spans="1:8">
      <c r="A4454" s="200"/>
      <c r="B4454" s="198"/>
      <c r="C4454" s="851"/>
      <c r="D4454" s="41"/>
      <c r="E4454" s="41"/>
      <c r="F4454" s="41"/>
      <c r="G4454" s="21"/>
      <c r="H4454" s="203"/>
    </row>
    <row r="4455" spans="1:8">
      <c r="A4455" s="200"/>
      <c r="B4455" s="198"/>
      <c r="C4455" s="851"/>
      <c r="D4455" s="41"/>
      <c r="E4455" s="41"/>
      <c r="F4455" s="41"/>
      <c r="G4455" s="21"/>
      <c r="H4455" s="203"/>
    </row>
    <row r="4456" spans="1:8">
      <c r="A4456" s="200"/>
      <c r="B4456" s="198"/>
      <c r="C4456" s="851"/>
      <c r="D4456" s="41"/>
      <c r="E4456" s="41"/>
      <c r="F4456" s="41"/>
      <c r="G4456" s="21"/>
      <c r="H4456" s="203"/>
    </row>
    <row r="4457" spans="1:8">
      <c r="A4457" s="200"/>
      <c r="B4457" s="198"/>
      <c r="C4457" s="851"/>
      <c r="D4457" s="41"/>
      <c r="E4457" s="41"/>
      <c r="F4457" s="41"/>
      <c r="G4457" s="21"/>
      <c r="H4457" s="203"/>
    </row>
    <row r="4458" spans="1:8">
      <c r="A4458" s="200"/>
      <c r="B4458" s="198"/>
      <c r="C4458" s="851"/>
      <c r="D4458" s="41"/>
      <c r="E4458" s="41"/>
      <c r="F4458" s="41"/>
      <c r="G4458" s="21"/>
      <c r="H4458" s="203"/>
    </row>
    <row r="4459" spans="1:8">
      <c r="A4459" s="200"/>
      <c r="B4459" s="198"/>
      <c r="C4459" s="851"/>
      <c r="D4459" s="41"/>
      <c r="E4459" s="41"/>
      <c r="F4459" s="41"/>
      <c r="G4459" s="21"/>
      <c r="H4459" s="203"/>
    </row>
    <row r="4460" spans="1:8">
      <c r="A4460" s="200"/>
      <c r="B4460" s="198"/>
      <c r="C4460" s="851"/>
      <c r="D4460" s="41"/>
      <c r="E4460" s="41"/>
      <c r="F4460" s="41"/>
      <c r="G4460" s="21"/>
      <c r="H4460" s="203"/>
    </row>
    <row r="4461" spans="1:8">
      <c r="A4461" s="200"/>
      <c r="B4461" s="198"/>
      <c r="C4461" s="851"/>
      <c r="D4461" s="41"/>
      <c r="E4461" s="41"/>
      <c r="F4461" s="41"/>
      <c r="G4461" s="21"/>
      <c r="H4461" s="203"/>
    </row>
    <row r="4462" spans="1:8">
      <c r="A4462" s="200"/>
      <c r="B4462" s="198"/>
      <c r="C4462" s="851"/>
      <c r="D4462" s="41"/>
      <c r="E4462" s="41"/>
      <c r="F4462" s="41"/>
      <c r="G4462" s="21"/>
      <c r="H4462" s="203"/>
    </row>
    <row r="4463" spans="1:8">
      <c r="A4463" s="200"/>
      <c r="B4463" s="198"/>
      <c r="C4463" s="851"/>
      <c r="D4463" s="41"/>
      <c r="E4463" s="41"/>
      <c r="F4463" s="41"/>
      <c r="G4463" s="21"/>
      <c r="H4463" s="203"/>
    </row>
    <row r="4464" spans="1:8">
      <c r="A4464" s="200"/>
      <c r="B4464" s="198"/>
      <c r="C4464" s="851"/>
      <c r="D4464" s="41"/>
      <c r="E4464" s="41"/>
      <c r="F4464" s="41"/>
      <c r="G4464" s="21"/>
      <c r="H4464" s="203"/>
    </row>
    <row r="4465" spans="1:8">
      <c r="A4465" s="200"/>
      <c r="B4465" s="198"/>
      <c r="C4465" s="851"/>
      <c r="D4465" s="41"/>
      <c r="E4465" s="41"/>
      <c r="F4465" s="41"/>
      <c r="G4465" s="21"/>
      <c r="H4465" s="203"/>
    </row>
    <row r="4466" spans="1:8">
      <c r="A4466" s="200"/>
      <c r="B4466" s="198"/>
      <c r="C4466" s="851"/>
      <c r="D4466" s="41"/>
      <c r="E4466" s="41"/>
      <c r="F4466" s="41"/>
      <c r="G4466" s="21"/>
      <c r="H4466" s="203"/>
    </row>
    <row r="4467" spans="1:8">
      <c r="A4467" s="200"/>
      <c r="B4467" s="198"/>
      <c r="C4467" s="851"/>
      <c r="D4467" s="41"/>
      <c r="E4467" s="41"/>
      <c r="F4467" s="41"/>
      <c r="G4467" s="21"/>
      <c r="H4467" s="203"/>
    </row>
    <row r="4468" spans="1:8">
      <c r="A4468" s="200"/>
      <c r="B4468" s="198"/>
      <c r="C4468" s="851"/>
      <c r="D4468" s="41"/>
      <c r="E4468" s="41"/>
      <c r="F4468" s="41"/>
      <c r="G4468" s="21"/>
      <c r="H4468" s="203"/>
    </row>
    <row r="4469" spans="1:8">
      <c r="A4469" s="200"/>
      <c r="B4469" s="198"/>
      <c r="C4469" s="851"/>
      <c r="D4469" s="41"/>
      <c r="E4469" s="41"/>
      <c r="F4469" s="41"/>
      <c r="G4469" s="21"/>
      <c r="H4469" s="203"/>
    </row>
    <row r="4470" spans="1:8">
      <c r="A4470" s="200"/>
      <c r="B4470" s="198"/>
      <c r="C4470" s="851"/>
      <c r="D4470" s="41"/>
      <c r="E4470" s="41"/>
      <c r="F4470" s="41"/>
      <c r="G4470" s="21"/>
      <c r="H4470" s="203"/>
    </row>
    <row r="4471" spans="1:8">
      <c r="A4471" s="200"/>
      <c r="B4471" s="198"/>
      <c r="C4471" s="851"/>
      <c r="D4471" s="41"/>
      <c r="E4471" s="41"/>
      <c r="F4471" s="41"/>
      <c r="G4471" s="21"/>
      <c r="H4471" s="203"/>
    </row>
    <row r="4472" spans="1:8">
      <c r="A4472" s="200"/>
      <c r="B4472" s="198"/>
      <c r="C4472" s="851"/>
      <c r="D4472" s="41"/>
      <c r="E4472" s="41"/>
      <c r="F4472" s="41"/>
      <c r="G4472" s="21"/>
      <c r="H4472" s="203"/>
    </row>
    <row r="4473" spans="1:8">
      <c r="A4473" s="200"/>
      <c r="B4473" s="198"/>
      <c r="C4473" s="851"/>
      <c r="D4473" s="41"/>
      <c r="E4473" s="41"/>
      <c r="F4473" s="41"/>
      <c r="G4473" s="21"/>
      <c r="H4473" s="203"/>
    </row>
    <row r="4474" spans="1:8">
      <c r="A4474" s="200"/>
      <c r="B4474" s="198"/>
      <c r="C4474" s="851"/>
      <c r="D4474" s="41"/>
      <c r="E4474" s="41"/>
      <c r="F4474" s="41"/>
      <c r="G4474" s="21"/>
      <c r="H4474" s="203"/>
    </row>
    <row r="4475" spans="1:8">
      <c r="A4475" s="200"/>
      <c r="B4475" s="198"/>
      <c r="C4475" s="851"/>
      <c r="D4475" s="41"/>
      <c r="E4475" s="41"/>
      <c r="F4475" s="41"/>
      <c r="G4475" s="21"/>
      <c r="H4475" s="203"/>
    </row>
    <row r="4476" spans="1:8">
      <c r="A4476" s="200"/>
      <c r="B4476" s="198"/>
      <c r="C4476" s="851"/>
      <c r="D4476" s="41"/>
      <c r="E4476" s="41"/>
      <c r="F4476" s="41"/>
      <c r="G4476" s="21"/>
      <c r="H4476" s="203"/>
    </row>
    <row r="4477" spans="1:8">
      <c r="A4477" s="200"/>
      <c r="B4477" s="198"/>
      <c r="C4477" s="851"/>
      <c r="D4477" s="41"/>
      <c r="E4477" s="41"/>
      <c r="F4477" s="41"/>
      <c r="G4477" s="21"/>
      <c r="H4477" s="203"/>
    </row>
    <row r="4478" spans="1:8">
      <c r="A4478" s="200"/>
      <c r="B4478" s="198"/>
      <c r="C4478" s="851"/>
      <c r="D4478" s="41"/>
      <c r="E4478" s="41"/>
      <c r="F4478" s="41"/>
      <c r="G4478" s="21"/>
      <c r="H4478" s="203"/>
    </row>
    <row r="4479" spans="1:8">
      <c r="A4479" s="200"/>
      <c r="B4479" s="198"/>
      <c r="C4479" s="851"/>
      <c r="D4479" s="41"/>
      <c r="E4479" s="41"/>
      <c r="F4479" s="41"/>
      <c r="G4479" s="21"/>
      <c r="H4479" s="203"/>
    </row>
    <row r="4480" spans="1:8">
      <c r="A4480" s="200"/>
      <c r="B4480" s="198"/>
      <c r="C4480" s="851"/>
      <c r="D4480" s="41"/>
      <c r="E4480" s="41"/>
      <c r="F4480" s="41"/>
      <c r="G4480" s="21"/>
      <c r="H4480" s="203"/>
    </row>
    <row r="4481" spans="1:8">
      <c r="A4481" s="200"/>
      <c r="B4481" s="198"/>
      <c r="C4481" s="851"/>
      <c r="D4481" s="41"/>
      <c r="E4481" s="41"/>
      <c r="F4481" s="41"/>
      <c r="G4481" s="21"/>
      <c r="H4481" s="203"/>
    </row>
    <row r="4482" spans="1:8">
      <c r="A4482" s="200"/>
      <c r="B4482" s="198"/>
      <c r="C4482" s="851"/>
      <c r="D4482" s="41"/>
      <c r="E4482" s="41"/>
      <c r="F4482" s="41"/>
      <c r="G4482" s="21"/>
      <c r="H4482" s="203"/>
    </row>
    <row r="4483" spans="1:8">
      <c r="A4483" s="200"/>
      <c r="B4483" s="198"/>
      <c r="C4483" s="851"/>
      <c r="D4483" s="41"/>
      <c r="E4483" s="41"/>
      <c r="F4483" s="41"/>
      <c r="G4483" s="21"/>
      <c r="H4483" s="203"/>
    </row>
    <row r="4484" spans="1:8">
      <c r="A4484" s="200"/>
      <c r="B4484" s="198"/>
      <c r="C4484" s="851"/>
      <c r="D4484" s="41"/>
      <c r="E4484" s="41"/>
      <c r="F4484" s="41"/>
      <c r="G4484" s="21"/>
      <c r="H4484" s="203"/>
    </row>
    <row r="4485" spans="1:8">
      <c r="A4485" s="200"/>
      <c r="B4485" s="198"/>
      <c r="C4485" s="851"/>
      <c r="D4485" s="41"/>
      <c r="E4485" s="41"/>
      <c r="F4485" s="41"/>
      <c r="G4485" s="21"/>
      <c r="H4485" s="203"/>
    </row>
    <row r="4486" spans="1:8">
      <c r="A4486" s="200"/>
      <c r="B4486" s="198"/>
      <c r="C4486" s="851"/>
      <c r="D4486" s="41"/>
      <c r="E4486" s="41"/>
      <c r="F4486" s="41"/>
      <c r="G4486" s="21"/>
      <c r="H4486" s="203"/>
    </row>
    <row r="4487" spans="1:8">
      <c r="A4487" s="200"/>
      <c r="B4487" s="198"/>
      <c r="C4487" s="851"/>
      <c r="D4487" s="41"/>
      <c r="E4487" s="41"/>
      <c r="F4487" s="41"/>
      <c r="G4487" s="21"/>
      <c r="H4487" s="203"/>
    </row>
    <row r="4488" spans="1:8">
      <c r="A4488" s="200"/>
      <c r="B4488" s="198"/>
      <c r="C4488" s="851"/>
      <c r="D4488" s="41"/>
      <c r="E4488" s="41"/>
      <c r="F4488" s="41"/>
      <c r="G4488" s="21"/>
      <c r="H4488" s="203"/>
    </row>
    <row r="4489" spans="1:8">
      <c r="A4489" s="200"/>
      <c r="B4489" s="198"/>
      <c r="C4489" s="851"/>
      <c r="D4489" s="41"/>
      <c r="E4489" s="41"/>
      <c r="F4489" s="41"/>
      <c r="G4489" s="21"/>
      <c r="H4489" s="203"/>
    </row>
    <row r="4490" spans="1:8">
      <c r="A4490" s="200"/>
      <c r="B4490" s="198"/>
      <c r="C4490" s="851"/>
      <c r="D4490" s="41"/>
      <c r="E4490" s="41"/>
      <c r="F4490" s="41"/>
      <c r="G4490" s="21"/>
      <c r="H4490" s="203"/>
    </row>
    <row r="4491" spans="1:8">
      <c r="A4491" s="200"/>
      <c r="B4491" s="198"/>
      <c r="C4491" s="851"/>
      <c r="D4491" s="41"/>
      <c r="E4491" s="41"/>
      <c r="F4491" s="41"/>
      <c r="G4491" s="21"/>
      <c r="H4491" s="203"/>
    </row>
    <row r="4492" spans="1:8">
      <c r="A4492" s="200"/>
      <c r="B4492" s="198"/>
      <c r="C4492" s="851"/>
      <c r="D4492" s="41"/>
      <c r="E4492" s="41"/>
      <c r="F4492" s="41"/>
      <c r="G4492" s="21"/>
      <c r="H4492" s="203"/>
    </row>
    <row r="4493" spans="1:8">
      <c r="A4493" s="200"/>
      <c r="B4493" s="198"/>
      <c r="C4493" s="851"/>
      <c r="D4493" s="41"/>
      <c r="E4493" s="41"/>
      <c r="F4493" s="41"/>
      <c r="G4493" s="21"/>
      <c r="H4493" s="203"/>
    </row>
    <row r="4494" spans="1:8">
      <c r="A4494" s="200"/>
      <c r="B4494" s="198"/>
      <c r="C4494" s="851"/>
      <c r="D4494" s="41"/>
      <c r="E4494" s="41"/>
      <c r="F4494" s="41"/>
      <c r="G4494" s="21"/>
      <c r="H4494" s="203"/>
    </row>
    <row r="4495" spans="1:8">
      <c r="A4495" s="200"/>
      <c r="B4495" s="198"/>
      <c r="C4495" s="851"/>
      <c r="D4495" s="41"/>
      <c r="E4495" s="41"/>
      <c r="F4495" s="41"/>
      <c r="G4495" s="21"/>
      <c r="H4495" s="203"/>
    </row>
    <row r="4496" spans="1:8">
      <c r="A4496" s="200"/>
      <c r="B4496" s="198"/>
      <c r="C4496" s="851"/>
      <c r="D4496" s="41"/>
      <c r="E4496" s="41"/>
      <c r="F4496" s="41"/>
      <c r="G4496" s="21"/>
      <c r="H4496" s="203"/>
    </row>
    <row r="4497" spans="1:8">
      <c r="A4497" s="200"/>
      <c r="B4497" s="198"/>
      <c r="C4497" s="851"/>
      <c r="D4497" s="41"/>
      <c r="E4497" s="41"/>
      <c r="F4497" s="41"/>
      <c r="G4497" s="21"/>
      <c r="H4497" s="203"/>
    </row>
    <row r="4498" spans="1:8">
      <c r="A4498" s="200"/>
      <c r="B4498" s="198"/>
      <c r="C4498" s="851"/>
      <c r="D4498" s="41"/>
      <c r="E4498" s="41"/>
      <c r="F4498" s="41"/>
      <c r="G4498" s="21"/>
      <c r="H4498" s="203"/>
    </row>
    <row r="4499" spans="1:8">
      <c r="A4499" s="200"/>
      <c r="B4499" s="198"/>
      <c r="C4499" s="851"/>
      <c r="D4499" s="41"/>
      <c r="E4499" s="41"/>
      <c r="F4499" s="41"/>
      <c r="G4499" s="21"/>
      <c r="H4499" s="203"/>
    </row>
    <row r="4500" spans="1:8">
      <c r="A4500" s="200"/>
      <c r="B4500" s="198"/>
      <c r="C4500" s="851"/>
      <c r="D4500" s="41"/>
      <c r="E4500" s="41"/>
      <c r="F4500" s="41"/>
      <c r="G4500" s="21"/>
      <c r="H4500" s="203"/>
    </row>
    <row r="4501" spans="1:8">
      <c r="A4501" s="200"/>
      <c r="B4501" s="198"/>
      <c r="C4501" s="851"/>
      <c r="D4501" s="41"/>
      <c r="E4501" s="41"/>
      <c r="F4501" s="41"/>
      <c r="G4501" s="21"/>
      <c r="H4501" s="203"/>
    </row>
    <row r="4502" spans="1:8">
      <c r="A4502" s="200"/>
      <c r="B4502" s="198"/>
      <c r="C4502" s="851"/>
      <c r="D4502" s="41"/>
      <c r="E4502" s="41"/>
      <c r="F4502" s="41"/>
      <c r="G4502" s="21"/>
      <c r="H4502" s="203"/>
    </row>
    <row r="4503" spans="1:8">
      <c r="A4503" s="200"/>
      <c r="B4503" s="198"/>
      <c r="C4503" s="851"/>
      <c r="D4503" s="41"/>
      <c r="E4503" s="41"/>
      <c r="F4503" s="41"/>
      <c r="G4503" s="21"/>
      <c r="H4503" s="203"/>
    </row>
    <row r="4504" spans="1:8">
      <c r="A4504" s="200"/>
      <c r="B4504" s="198"/>
      <c r="C4504" s="851"/>
      <c r="D4504" s="41"/>
      <c r="E4504" s="41"/>
      <c r="F4504" s="41"/>
      <c r="G4504" s="21"/>
      <c r="H4504" s="203"/>
    </row>
    <row r="4505" spans="1:8">
      <c r="A4505" s="200"/>
      <c r="B4505" s="198"/>
      <c r="C4505" s="851"/>
      <c r="D4505" s="41"/>
      <c r="E4505" s="41"/>
      <c r="F4505" s="41"/>
      <c r="G4505" s="21"/>
      <c r="H4505" s="203"/>
    </row>
    <row r="4506" spans="1:8">
      <c r="A4506" s="200"/>
      <c r="B4506" s="198"/>
      <c r="C4506" s="851"/>
      <c r="D4506" s="41"/>
      <c r="E4506" s="41"/>
      <c r="F4506" s="41"/>
      <c r="G4506" s="21"/>
      <c r="H4506" s="203"/>
    </row>
    <row r="4507" spans="1:8">
      <c r="A4507" s="200"/>
      <c r="B4507" s="198"/>
      <c r="C4507" s="851"/>
      <c r="D4507" s="41"/>
      <c r="E4507" s="41"/>
      <c r="F4507" s="41"/>
      <c r="G4507" s="21"/>
      <c r="H4507" s="203"/>
    </row>
    <row r="4508" spans="1:8">
      <c r="A4508" s="200"/>
      <c r="B4508" s="198"/>
      <c r="C4508" s="851"/>
      <c r="D4508" s="41"/>
      <c r="E4508" s="41"/>
      <c r="F4508" s="41"/>
      <c r="G4508" s="21"/>
      <c r="H4508" s="203"/>
    </row>
    <row r="4509" spans="1:8">
      <c r="A4509" s="200"/>
      <c r="B4509" s="198"/>
      <c r="C4509" s="851"/>
      <c r="D4509" s="41"/>
      <c r="E4509" s="41"/>
      <c r="F4509" s="41"/>
      <c r="G4509" s="21"/>
      <c r="H4509" s="203"/>
    </row>
    <row r="4510" spans="1:8">
      <c r="A4510" s="200"/>
      <c r="B4510" s="198"/>
      <c r="C4510" s="851"/>
      <c r="D4510" s="41"/>
      <c r="E4510" s="41"/>
      <c r="F4510" s="41"/>
      <c r="G4510" s="21"/>
      <c r="H4510" s="203"/>
    </row>
    <row r="4511" spans="1:8">
      <c r="A4511" s="200"/>
      <c r="B4511" s="198"/>
      <c r="C4511" s="851"/>
      <c r="D4511" s="41"/>
      <c r="E4511" s="41"/>
      <c r="F4511" s="41"/>
      <c r="G4511" s="21"/>
      <c r="H4511" s="203"/>
    </row>
    <row r="4512" spans="1:8">
      <c r="A4512" s="200"/>
      <c r="B4512" s="198"/>
      <c r="C4512" s="851"/>
      <c r="D4512" s="41"/>
      <c r="E4512" s="41"/>
      <c r="F4512" s="41"/>
      <c r="G4512" s="21"/>
      <c r="H4512" s="203"/>
    </row>
    <row r="4513" spans="1:8">
      <c r="A4513" s="200"/>
      <c r="B4513" s="198"/>
      <c r="C4513" s="851"/>
      <c r="D4513" s="41"/>
      <c r="E4513" s="41"/>
      <c r="F4513" s="41"/>
      <c r="G4513" s="21"/>
      <c r="H4513" s="203"/>
    </row>
    <row r="4514" spans="1:8">
      <c r="A4514" s="200"/>
      <c r="B4514" s="198"/>
      <c r="C4514" s="851"/>
      <c r="D4514" s="41"/>
      <c r="E4514" s="41"/>
      <c r="F4514" s="41"/>
      <c r="G4514" s="21"/>
      <c r="H4514" s="203"/>
    </row>
    <row r="4515" spans="1:8">
      <c r="A4515" s="200"/>
      <c r="B4515" s="198"/>
      <c r="C4515" s="851"/>
      <c r="D4515" s="41"/>
      <c r="E4515" s="41"/>
      <c r="F4515" s="41"/>
      <c r="G4515" s="21"/>
      <c r="H4515" s="203"/>
    </row>
    <row r="4516" spans="1:8">
      <c r="A4516" s="200"/>
      <c r="B4516" s="198"/>
      <c r="C4516" s="851"/>
      <c r="D4516" s="41"/>
      <c r="E4516" s="41"/>
      <c r="F4516" s="41"/>
      <c r="G4516" s="21"/>
      <c r="H4516" s="203"/>
    </row>
    <row r="4517" spans="1:8">
      <c r="A4517" s="200"/>
      <c r="B4517" s="198"/>
      <c r="C4517" s="851"/>
      <c r="D4517" s="41"/>
      <c r="E4517" s="41"/>
      <c r="F4517" s="41"/>
      <c r="G4517" s="21"/>
      <c r="H4517" s="203"/>
    </row>
    <row r="4518" spans="1:8">
      <c r="A4518" s="200"/>
      <c r="B4518" s="198"/>
      <c r="C4518" s="851"/>
      <c r="D4518" s="41"/>
      <c r="E4518" s="41"/>
      <c r="F4518" s="41"/>
      <c r="G4518" s="21"/>
      <c r="H4518" s="203"/>
    </row>
    <row r="4519" spans="1:8">
      <c r="A4519" s="200"/>
      <c r="B4519" s="198"/>
      <c r="C4519" s="851"/>
      <c r="D4519" s="41"/>
      <c r="E4519" s="41"/>
      <c r="F4519" s="41"/>
      <c r="G4519" s="21"/>
      <c r="H4519" s="203"/>
    </row>
    <row r="4520" spans="1:8">
      <c r="A4520" s="200"/>
      <c r="B4520" s="198"/>
      <c r="C4520" s="851"/>
      <c r="D4520" s="41"/>
      <c r="E4520" s="41"/>
      <c r="F4520" s="41"/>
      <c r="G4520" s="21"/>
      <c r="H4520" s="203"/>
    </row>
    <row r="4521" spans="1:8">
      <c r="A4521" s="200"/>
      <c r="B4521" s="198"/>
      <c r="C4521" s="851"/>
      <c r="D4521" s="41"/>
      <c r="E4521" s="41"/>
      <c r="F4521" s="41"/>
      <c r="G4521" s="21"/>
      <c r="H4521" s="203"/>
    </row>
    <row r="4522" spans="1:8">
      <c r="A4522" s="200"/>
      <c r="B4522" s="198"/>
      <c r="C4522" s="851"/>
      <c r="D4522" s="41"/>
      <c r="E4522" s="41"/>
      <c r="F4522" s="41"/>
      <c r="G4522" s="21"/>
      <c r="H4522" s="203"/>
    </row>
    <row r="4523" spans="1:8">
      <c r="A4523" s="200"/>
      <c r="B4523" s="198"/>
      <c r="C4523" s="851"/>
      <c r="D4523" s="41"/>
      <c r="E4523" s="41"/>
      <c r="F4523" s="41"/>
      <c r="G4523" s="21"/>
      <c r="H4523" s="203"/>
    </row>
    <row r="4524" spans="1:8">
      <c r="A4524" s="200"/>
      <c r="B4524" s="198"/>
      <c r="C4524" s="851"/>
      <c r="D4524" s="41"/>
      <c r="E4524" s="41"/>
      <c r="F4524" s="41"/>
      <c r="G4524" s="21"/>
      <c r="H4524" s="203"/>
    </row>
    <row r="4525" spans="1:8">
      <c r="A4525" s="200"/>
      <c r="B4525" s="198"/>
      <c r="C4525" s="851"/>
      <c r="D4525" s="41"/>
      <c r="E4525" s="41"/>
      <c r="F4525" s="41"/>
      <c r="G4525" s="21"/>
      <c r="H4525" s="203"/>
    </row>
    <row r="4526" spans="1:8">
      <c r="A4526" s="200"/>
      <c r="B4526" s="198"/>
      <c r="C4526" s="851"/>
      <c r="D4526" s="41"/>
      <c r="E4526" s="41"/>
      <c r="F4526" s="41"/>
      <c r="G4526" s="21"/>
      <c r="H4526" s="203"/>
    </row>
    <row r="4527" spans="1:8">
      <c r="A4527" s="200"/>
      <c r="B4527" s="198"/>
      <c r="C4527" s="851"/>
      <c r="D4527" s="41"/>
      <c r="E4527" s="41"/>
      <c r="F4527" s="41"/>
      <c r="G4527" s="21"/>
      <c r="H4527" s="203"/>
    </row>
    <row r="4528" spans="1:8">
      <c r="A4528" s="200"/>
      <c r="B4528" s="198"/>
      <c r="C4528" s="851"/>
      <c r="D4528" s="41"/>
      <c r="E4528" s="41"/>
      <c r="F4528" s="41"/>
      <c r="G4528" s="21"/>
      <c r="H4528" s="203"/>
    </row>
    <row r="4529" spans="1:8">
      <c r="A4529" s="200"/>
      <c r="B4529" s="198"/>
      <c r="C4529" s="851"/>
      <c r="D4529" s="41"/>
      <c r="E4529" s="41"/>
      <c r="F4529" s="41"/>
      <c r="G4529" s="21"/>
      <c r="H4529" s="203"/>
    </row>
    <row r="4530" spans="1:8">
      <c r="A4530" s="200"/>
      <c r="B4530" s="198"/>
      <c r="C4530" s="851"/>
      <c r="D4530" s="41"/>
      <c r="E4530" s="41"/>
      <c r="F4530" s="41"/>
      <c r="G4530" s="21"/>
      <c r="H4530" s="203"/>
    </row>
    <row r="4531" spans="1:8">
      <c r="A4531" s="200"/>
      <c r="B4531" s="198"/>
      <c r="C4531" s="851"/>
      <c r="D4531" s="41"/>
      <c r="E4531" s="41"/>
      <c r="F4531" s="41"/>
      <c r="G4531" s="21"/>
      <c r="H4531" s="203"/>
    </row>
    <row r="4532" spans="1:8">
      <c r="A4532" s="200"/>
      <c r="B4532" s="198"/>
      <c r="C4532" s="851"/>
      <c r="D4532" s="41"/>
      <c r="E4532" s="41"/>
      <c r="F4532" s="41"/>
      <c r="G4532" s="21"/>
      <c r="H4532" s="203"/>
    </row>
    <row r="4533" spans="1:8">
      <c r="A4533" s="200"/>
      <c r="B4533" s="198"/>
      <c r="C4533" s="851"/>
      <c r="D4533" s="41"/>
      <c r="E4533" s="41"/>
      <c r="F4533" s="41"/>
      <c r="G4533" s="21"/>
      <c r="H4533" s="203"/>
    </row>
    <row r="4534" spans="1:8">
      <c r="A4534" s="200"/>
      <c r="B4534" s="198"/>
      <c r="C4534" s="851"/>
      <c r="D4534" s="41"/>
      <c r="E4534" s="41"/>
      <c r="F4534" s="41"/>
      <c r="G4534" s="21"/>
      <c r="H4534" s="203"/>
    </row>
    <row r="4535" spans="1:8">
      <c r="A4535" s="200"/>
      <c r="B4535" s="198"/>
      <c r="C4535" s="851"/>
      <c r="D4535" s="41"/>
      <c r="E4535" s="41"/>
      <c r="F4535" s="41"/>
      <c r="G4535" s="21"/>
      <c r="H4535" s="203"/>
    </row>
    <row r="4536" spans="1:8">
      <c r="A4536" s="200"/>
      <c r="B4536" s="198"/>
      <c r="C4536" s="851"/>
      <c r="D4536" s="41"/>
      <c r="E4536" s="41"/>
      <c r="F4536" s="41"/>
      <c r="G4536" s="21"/>
      <c r="H4536" s="203"/>
    </row>
    <row r="4537" spans="1:8">
      <c r="A4537" s="200"/>
      <c r="B4537" s="198"/>
      <c r="C4537" s="851"/>
      <c r="D4537" s="41"/>
      <c r="E4537" s="41"/>
      <c r="F4537" s="41"/>
      <c r="G4537" s="21"/>
      <c r="H4537" s="203"/>
    </row>
    <row r="4538" spans="1:8">
      <c r="A4538" s="200"/>
      <c r="B4538" s="198"/>
      <c r="C4538" s="851"/>
      <c r="D4538" s="41"/>
      <c r="E4538" s="41"/>
      <c r="F4538" s="41"/>
      <c r="G4538" s="21"/>
      <c r="H4538" s="203"/>
    </row>
    <row r="4539" spans="1:8">
      <c r="A4539" s="200"/>
      <c r="B4539" s="198"/>
      <c r="C4539" s="851"/>
      <c r="D4539" s="41"/>
      <c r="E4539" s="41"/>
      <c r="F4539" s="41"/>
      <c r="G4539" s="21"/>
      <c r="H4539" s="203"/>
    </row>
    <row r="4540" spans="1:8">
      <c r="A4540" s="200"/>
      <c r="B4540" s="198"/>
      <c r="C4540" s="851"/>
      <c r="D4540" s="41"/>
      <c r="E4540" s="41"/>
      <c r="F4540" s="41"/>
      <c r="G4540" s="21"/>
      <c r="H4540" s="203"/>
    </row>
    <row r="4541" spans="1:8">
      <c r="A4541" s="200"/>
      <c r="B4541" s="198"/>
      <c r="C4541" s="851"/>
      <c r="D4541" s="41"/>
      <c r="E4541" s="41"/>
      <c r="F4541" s="41"/>
      <c r="G4541" s="21"/>
      <c r="H4541" s="203"/>
    </row>
    <row r="4542" spans="1:8">
      <c r="A4542" s="200"/>
      <c r="B4542" s="198"/>
      <c r="C4542" s="851"/>
      <c r="D4542" s="41"/>
      <c r="E4542" s="41"/>
      <c r="F4542" s="41"/>
      <c r="G4542" s="21"/>
      <c r="H4542" s="203"/>
    </row>
    <row r="4543" spans="1:8">
      <c r="A4543" s="200"/>
      <c r="B4543" s="198"/>
      <c r="C4543" s="851"/>
      <c r="D4543" s="41"/>
      <c r="E4543" s="41"/>
      <c r="F4543" s="41"/>
      <c r="G4543" s="21"/>
      <c r="H4543" s="203"/>
    </row>
    <row r="4544" spans="1:8">
      <c r="A4544" s="200"/>
      <c r="B4544" s="198"/>
      <c r="C4544" s="851"/>
      <c r="D4544" s="41"/>
      <c r="E4544" s="41"/>
      <c r="F4544" s="41"/>
      <c r="G4544" s="21"/>
      <c r="H4544" s="203"/>
    </row>
    <row r="4545" spans="1:8">
      <c r="A4545" s="200"/>
      <c r="B4545" s="198"/>
      <c r="C4545" s="851"/>
      <c r="D4545" s="41"/>
      <c r="E4545" s="41"/>
      <c r="F4545" s="41"/>
      <c r="G4545" s="21"/>
      <c r="H4545" s="203"/>
    </row>
    <row r="4546" spans="1:8">
      <c r="A4546" s="200"/>
      <c r="B4546" s="198"/>
      <c r="C4546" s="851"/>
      <c r="D4546" s="41"/>
      <c r="E4546" s="41"/>
      <c r="F4546" s="41"/>
      <c r="G4546" s="21"/>
      <c r="H4546" s="203"/>
    </row>
    <row r="4547" spans="1:8">
      <c r="A4547" s="200"/>
      <c r="B4547" s="198"/>
      <c r="C4547" s="851"/>
      <c r="D4547" s="41"/>
      <c r="E4547" s="41"/>
      <c r="F4547" s="41"/>
      <c r="G4547" s="21"/>
      <c r="H4547" s="203"/>
    </row>
    <row r="4548" spans="1:8">
      <c r="A4548" s="200"/>
      <c r="B4548" s="198"/>
      <c r="C4548" s="851"/>
      <c r="D4548" s="41"/>
      <c r="E4548" s="41"/>
      <c r="F4548" s="41"/>
      <c r="G4548" s="21"/>
      <c r="H4548" s="203"/>
    </row>
    <row r="4549" spans="1:8">
      <c r="A4549" s="200"/>
      <c r="B4549" s="198"/>
      <c r="C4549" s="851"/>
      <c r="D4549" s="41"/>
      <c r="E4549" s="41"/>
      <c r="F4549" s="41"/>
      <c r="G4549" s="21"/>
      <c r="H4549" s="203"/>
    </row>
    <row r="4550" spans="1:8">
      <c r="A4550" s="200"/>
      <c r="B4550" s="198"/>
      <c r="C4550" s="851"/>
      <c r="D4550" s="41"/>
      <c r="E4550" s="41"/>
      <c r="F4550" s="41"/>
      <c r="G4550" s="21"/>
      <c r="H4550" s="203"/>
    </row>
    <row r="4551" spans="1:8">
      <c r="A4551" s="200"/>
      <c r="B4551" s="198"/>
      <c r="C4551" s="851"/>
      <c r="D4551" s="41"/>
      <c r="E4551" s="41"/>
      <c r="F4551" s="41"/>
      <c r="G4551" s="21"/>
      <c r="H4551" s="203"/>
    </row>
    <row r="4552" spans="1:8">
      <c r="A4552" s="200"/>
      <c r="B4552" s="198"/>
      <c r="C4552" s="851"/>
      <c r="D4552" s="41"/>
      <c r="E4552" s="41"/>
      <c r="F4552" s="41"/>
      <c r="G4552" s="21"/>
      <c r="H4552" s="203"/>
    </row>
    <row r="4553" spans="1:8">
      <c r="A4553" s="200"/>
      <c r="B4553" s="198"/>
      <c r="C4553" s="851"/>
      <c r="D4553" s="41"/>
      <c r="E4553" s="41"/>
      <c r="F4553" s="41"/>
      <c r="G4553" s="21"/>
      <c r="H4553" s="203"/>
    </row>
    <row r="4554" spans="1:8">
      <c r="A4554" s="200"/>
      <c r="B4554" s="198"/>
      <c r="C4554" s="851"/>
      <c r="D4554" s="41"/>
      <c r="E4554" s="41"/>
      <c r="F4554" s="41"/>
      <c r="G4554" s="21"/>
      <c r="H4554" s="203"/>
    </row>
    <row r="4555" spans="1:8">
      <c r="A4555" s="200"/>
      <c r="B4555" s="198"/>
      <c r="C4555" s="851"/>
      <c r="D4555" s="41"/>
      <c r="E4555" s="41"/>
      <c r="F4555" s="41"/>
      <c r="G4555" s="21"/>
      <c r="H4555" s="203"/>
    </row>
    <row r="4556" spans="1:8">
      <c r="A4556" s="200"/>
      <c r="B4556" s="198"/>
      <c r="C4556" s="851"/>
      <c r="D4556" s="41"/>
      <c r="E4556" s="41"/>
      <c r="F4556" s="41"/>
      <c r="G4556" s="21"/>
      <c r="H4556" s="203"/>
    </row>
    <row r="4557" spans="1:8">
      <c r="A4557" s="200"/>
      <c r="B4557" s="198"/>
      <c r="C4557" s="851"/>
      <c r="D4557" s="41"/>
      <c r="E4557" s="41"/>
      <c r="F4557" s="41"/>
      <c r="G4557" s="21"/>
      <c r="H4557" s="203"/>
    </row>
    <row r="4558" spans="1:8">
      <c r="A4558" s="200"/>
      <c r="B4558" s="198"/>
      <c r="C4558" s="851"/>
      <c r="D4558" s="41"/>
      <c r="E4558" s="41"/>
      <c r="F4558" s="41"/>
      <c r="G4558" s="21"/>
      <c r="H4558" s="203"/>
    </row>
    <row r="4559" spans="1:8">
      <c r="A4559" s="200"/>
      <c r="B4559" s="198"/>
      <c r="C4559" s="851"/>
      <c r="D4559" s="41"/>
      <c r="E4559" s="41"/>
      <c r="F4559" s="41"/>
      <c r="G4559" s="21"/>
      <c r="H4559" s="203"/>
    </row>
    <row r="4560" spans="1:8">
      <c r="A4560" s="200"/>
      <c r="B4560" s="198"/>
      <c r="C4560" s="851"/>
      <c r="D4560" s="41"/>
      <c r="E4560" s="41"/>
      <c r="F4560" s="41"/>
      <c r="G4560" s="21"/>
      <c r="H4560" s="203"/>
    </row>
    <row r="4561" spans="1:8">
      <c r="A4561" s="200"/>
      <c r="B4561" s="198"/>
      <c r="C4561" s="851"/>
      <c r="D4561" s="41"/>
      <c r="E4561" s="41"/>
      <c r="F4561" s="41"/>
      <c r="G4561" s="21"/>
      <c r="H4561" s="203"/>
    </row>
    <row r="4562" spans="1:8">
      <c r="A4562" s="200"/>
      <c r="B4562" s="198"/>
      <c r="C4562" s="851"/>
      <c r="D4562" s="41"/>
      <c r="E4562" s="41"/>
      <c r="F4562" s="41"/>
      <c r="G4562" s="21"/>
      <c r="H4562" s="203"/>
    </row>
    <row r="4563" spans="1:8">
      <c r="A4563" s="200"/>
      <c r="B4563" s="198"/>
      <c r="C4563" s="851"/>
      <c r="D4563" s="41"/>
      <c r="E4563" s="41"/>
      <c r="F4563" s="41"/>
      <c r="G4563" s="21"/>
      <c r="H4563" s="203"/>
    </row>
    <row r="4564" spans="1:8">
      <c r="A4564" s="200"/>
      <c r="B4564" s="198"/>
      <c r="C4564" s="851"/>
      <c r="D4564" s="41"/>
      <c r="E4564" s="41"/>
      <c r="F4564" s="41"/>
      <c r="G4564" s="21"/>
      <c r="H4564" s="203"/>
    </row>
    <row r="4565" spans="1:8">
      <c r="A4565" s="200"/>
      <c r="B4565" s="198"/>
      <c r="C4565" s="851"/>
      <c r="D4565" s="41"/>
      <c r="E4565" s="41"/>
      <c r="F4565" s="41"/>
      <c r="G4565" s="21"/>
      <c r="H4565" s="203"/>
    </row>
    <row r="4566" spans="1:8">
      <c r="A4566" s="200"/>
      <c r="B4566" s="198"/>
      <c r="C4566" s="851"/>
      <c r="D4566" s="41"/>
      <c r="E4566" s="41"/>
      <c r="F4566" s="41"/>
      <c r="G4566" s="21"/>
      <c r="H4566" s="203"/>
    </row>
    <row r="4567" spans="1:8">
      <c r="A4567" s="200"/>
      <c r="B4567" s="198"/>
      <c r="C4567" s="851"/>
      <c r="D4567" s="41"/>
      <c r="E4567" s="41"/>
      <c r="F4567" s="41"/>
      <c r="G4567" s="21"/>
      <c r="H4567" s="203"/>
    </row>
    <row r="4568" spans="1:8">
      <c r="A4568" s="200"/>
      <c r="B4568" s="198"/>
      <c r="C4568" s="851"/>
      <c r="D4568" s="41"/>
      <c r="E4568" s="41"/>
      <c r="F4568" s="41"/>
      <c r="G4568" s="21"/>
      <c r="H4568" s="203"/>
    </row>
    <row r="4569" spans="1:8">
      <c r="A4569" s="200"/>
      <c r="B4569" s="198"/>
      <c r="C4569" s="851"/>
      <c r="D4569" s="41"/>
      <c r="E4569" s="41"/>
      <c r="F4569" s="41"/>
      <c r="G4569" s="21"/>
      <c r="H4569" s="203"/>
    </row>
    <row r="4570" spans="1:8">
      <c r="A4570" s="200"/>
      <c r="B4570" s="198"/>
      <c r="C4570" s="851"/>
      <c r="D4570" s="41"/>
      <c r="E4570" s="41"/>
      <c r="F4570" s="41"/>
      <c r="G4570" s="21"/>
      <c r="H4570" s="203"/>
    </row>
    <row r="4571" spans="1:8">
      <c r="A4571" s="200"/>
      <c r="B4571" s="198"/>
      <c r="C4571" s="851"/>
      <c r="D4571" s="41"/>
      <c r="E4571" s="41"/>
      <c r="F4571" s="41"/>
      <c r="G4571" s="21"/>
      <c r="H4571" s="203"/>
    </row>
    <row r="4572" spans="1:8">
      <c r="A4572" s="200"/>
      <c r="B4572" s="198"/>
      <c r="C4572" s="851"/>
      <c r="D4572" s="41"/>
      <c r="E4572" s="41"/>
      <c r="F4572" s="41"/>
      <c r="G4572" s="21"/>
      <c r="H4572" s="203"/>
    </row>
    <row r="4573" spans="1:8">
      <c r="A4573" s="200"/>
      <c r="B4573" s="198"/>
      <c r="C4573" s="851"/>
      <c r="D4573" s="41"/>
      <c r="E4573" s="41"/>
      <c r="F4573" s="41"/>
      <c r="G4573" s="21"/>
      <c r="H4573" s="203"/>
    </row>
    <row r="4574" spans="1:8">
      <c r="A4574" s="200"/>
      <c r="B4574" s="198"/>
      <c r="C4574" s="851"/>
      <c r="D4574" s="41"/>
      <c r="E4574" s="41"/>
      <c r="F4574" s="41"/>
      <c r="G4574" s="21"/>
      <c r="H4574" s="203"/>
    </row>
    <row r="4575" spans="1:8">
      <c r="A4575" s="200"/>
      <c r="B4575" s="198"/>
      <c r="C4575" s="851"/>
      <c r="D4575" s="41"/>
      <c r="E4575" s="41"/>
      <c r="F4575" s="41"/>
      <c r="G4575" s="21"/>
      <c r="H4575" s="203"/>
    </row>
    <row r="4576" spans="1:8">
      <c r="A4576" s="200"/>
      <c r="B4576" s="198"/>
      <c r="C4576" s="851"/>
      <c r="D4576" s="41"/>
      <c r="E4576" s="41"/>
      <c r="F4576" s="41"/>
      <c r="G4576" s="21"/>
      <c r="H4576" s="203"/>
    </row>
    <row r="4577" spans="1:8">
      <c r="A4577" s="200"/>
      <c r="B4577" s="198"/>
      <c r="C4577" s="851"/>
      <c r="D4577" s="41"/>
      <c r="E4577" s="41"/>
      <c r="F4577" s="41"/>
      <c r="G4577" s="21"/>
      <c r="H4577" s="203"/>
    </row>
    <row r="4578" spans="1:8">
      <c r="A4578" s="200"/>
      <c r="B4578" s="198"/>
      <c r="C4578" s="851"/>
      <c r="D4578" s="41"/>
      <c r="E4578" s="41"/>
      <c r="F4578" s="41"/>
      <c r="G4578" s="21"/>
      <c r="H4578" s="203"/>
    </row>
    <row r="4579" spans="1:8">
      <c r="A4579" s="200"/>
      <c r="B4579" s="198"/>
      <c r="C4579" s="851"/>
      <c r="D4579" s="41"/>
      <c r="E4579" s="41"/>
      <c r="F4579" s="41"/>
      <c r="G4579" s="21"/>
      <c r="H4579" s="203"/>
    </row>
    <row r="4580" spans="1:8">
      <c r="A4580" s="200"/>
      <c r="B4580" s="198"/>
      <c r="C4580" s="851"/>
      <c r="D4580" s="41"/>
      <c r="E4580" s="41"/>
      <c r="F4580" s="41"/>
      <c r="G4580" s="21"/>
      <c r="H4580" s="203"/>
    </row>
    <row r="4581" spans="1:8">
      <c r="A4581" s="200"/>
      <c r="B4581" s="198"/>
      <c r="C4581" s="851"/>
      <c r="D4581" s="41"/>
      <c r="E4581" s="41"/>
      <c r="F4581" s="41"/>
      <c r="G4581" s="21"/>
      <c r="H4581" s="203"/>
    </row>
    <row r="4582" spans="1:8">
      <c r="A4582" s="200"/>
      <c r="B4582" s="198"/>
      <c r="C4582" s="851"/>
      <c r="D4582" s="41"/>
      <c r="E4582" s="41"/>
      <c r="F4582" s="41"/>
      <c r="G4582" s="21"/>
      <c r="H4582" s="203"/>
    </row>
    <row r="4583" spans="1:8">
      <c r="A4583" s="200"/>
      <c r="B4583" s="198"/>
      <c r="C4583" s="851"/>
      <c r="D4583" s="41"/>
      <c r="E4583" s="41"/>
      <c r="F4583" s="41"/>
      <c r="G4583" s="21"/>
      <c r="H4583" s="203"/>
    </row>
    <row r="4584" spans="1:8">
      <c r="A4584" s="200"/>
      <c r="B4584" s="198"/>
      <c r="C4584" s="851"/>
      <c r="D4584" s="41"/>
      <c r="E4584" s="41"/>
      <c r="F4584" s="41"/>
      <c r="G4584" s="21"/>
      <c r="H4584" s="203"/>
    </row>
    <row r="4585" spans="1:8">
      <c r="A4585" s="200"/>
      <c r="B4585" s="198"/>
      <c r="C4585" s="851"/>
      <c r="D4585" s="41"/>
      <c r="E4585" s="41"/>
      <c r="F4585" s="41"/>
      <c r="G4585" s="21"/>
      <c r="H4585" s="203"/>
    </row>
    <row r="4586" spans="1:8">
      <c r="A4586" s="200"/>
      <c r="B4586" s="198"/>
      <c r="C4586" s="851"/>
      <c r="D4586" s="41"/>
      <c r="E4586" s="41"/>
      <c r="F4586" s="41"/>
      <c r="G4586" s="21"/>
      <c r="H4586" s="203"/>
    </row>
    <row r="4587" spans="1:8">
      <c r="A4587" s="200"/>
      <c r="B4587" s="198"/>
      <c r="C4587" s="851"/>
      <c r="D4587" s="41"/>
      <c r="E4587" s="41"/>
      <c r="F4587" s="41"/>
      <c r="G4587" s="21"/>
      <c r="H4587" s="203"/>
    </row>
    <row r="4588" spans="1:8">
      <c r="A4588" s="200"/>
      <c r="B4588" s="198"/>
      <c r="C4588" s="851"/>
      <c r="D4588" s="41"/>
      <c r="E4588" s="41"/>
      <c r="F4588" s="41"/>
      <c r="G4588" s="21"/>
      <c r="H4588" s="203"/>
    </row>
    <row r="4589" spans="1:8">
      <c r="A4589" s="200"/>
      <c r="B4589" s="198"/>
      <c r="C4589" s="851"/>
      <c r="D4589" s="41"/>
      <c r="E4589" s="41"/>
      <c r="F4589" s="41"/>
      <c r="G4589" s="21"/>
      <c r="H4589" s="203"/>
    </row>
    <row r="4590" spans="1:8">
      <c r="A4590" s="200"/>
      <c r="B4590" s="198"/>
      <c r="C4590" s="851"/>
      <c r="D4590" s="41"/>
      <c r="E4590" s="41"/>
      <c r="F4590" s="41"/>
      <c r="G4590" s="21"/>
      <c r="H4590" s="203"/>
    </row>
    <row r="4591" spans="1:8">
      <c r="A4591" s="200"/>
      <c r="B4591" s="198"/>
      <c r="C4591" s="851"/>
      <c r="D4591" s="41"/>
      <c r="E4591" s="41"/>
      <c r="F4591" s="41"/>
      <c r="G4591" s="21"/>
      <c r="H4591" s="203"/>
    </row>
    <row r="4592" spans="1:8">
      <c r="A4592" s="200"/>
      <c r="B4592" s="198"/>
      <c r="C4592" s="851"/>
      <c r="D4592" s="41"/>
      <c r="E4592" s="41"/>
      <c r="F4592" s="41"/>
      <c r="G4592" s="21"/>
      <c r="H4592" s="203"/>
    </row>
    <row r="4593" spans="1:8">
      <c r="A4593" s="200"/>
      <c r="B4593" s="198"/>
      <c r="C4593" s="851"/>
      <c r="D4593" s="41"/>
      <c r="E4593" s="41"/>
      <c r="F4593" s="41"/>
      <c r="G4593" s="21"/>
      <c r="H4593" s="203"/>
    </row>
    <row r="4594" spans="1:8">
      <c r="A4594" s="200"/>
      <c r="B4594" s="198"/>
      <c r="C4594" s="851"/>
      <c r="D4594" s="41"/>
      <c r="E4594" s="41"/>
      <c r="F4594" s="41"/>
      <c r="G4594" s="21"/>
      <c r="H4594" s="203"/>
    </row>
    <row r="4595" spans="1:8">
      <c r="A4595" s="200"/>
      <c r="B4595" s="198"/>
      <c r="C4595" s="851"/>
      <c r="D4595" s="41"/>
      <c r="E4595" s="41"/>
      <c r="F4595" s="41"/>
      <c r="G4595" s="21"/>
      <c r="H4595" s="203"/>
    </row>
    <row r="4596" spans="1:8">
      <c r="A4596" s="200"/>
      <c r="B4596" s="198"/>
      <c r="C4596" s="851"/>
      <c r="D4596" s="41"/>
      <c r="E4596" s="41"/>
      <c r="F4596" s="41"/>
      <c r="G4596" s="21"/>
      <c r="H4596" s="203"/>
    </row>
    <row r="4597" spans="1:8">
      <c r="A4597" s="200"/>
      <c r="B4597" s="198"/>
      <c r="C4597" s="851"/>
      <c r="D4597" s="41"/>
      <c r="E4597" s="41"/>
      <c r="F4597" s="41"/>
      <c r="G4597" s="21"/>
      <c r="H4597" s="203"/>
    </row>
    <row r="4598" spans="1:8">
      <c r="A4598" s="200"/>
      <c r="B4598" s="198"/>
      <c r="C4598" s="851"/>
      <c r="D4598" s="41"/>
      <c r="E4598" s="41"/>
      <c r="F4598" s="41"/>
      <c r="G4598" s="21"/>
      <c r="H4598" s="203"/>
    </row>
    <row r="4599" spans="1:8">
      <c r="A4599" s="200"/>
      <c r="B4599" s="198"/>
      <c r="C4599" s="851"/>
      <c r="D4599" s="41"/>
      <c r="E4599" s="41"/>
      <c r="F4599" s="41"/>
      <c r="G4599" s="21"/>
      <c r="H4599" s="203"/>
    </row>
    <row r="4600" spans="1:8">
      <c r="A4600" s="200"/>
      <c r="B4600" s="198"/>
      <c r="C4600" s="851"/>
      <c r="D4600" s="41"/>
      <c r="E4600" s="41"/>
      <c r="F4600" s="41"/>
      <c r="G4600" s="21"/>
      <c r="H4600" s="203"/>
    </row>
    <row r="4601" spans="1:8">
      <c r="A4601" s="200"/>
      <c r="B4601" s="198"/>
      <c r="C4601" s="851"/>
      <c r="D4601" s="41"/>
      <c r="E4601" s="41"/>
      <c r="F4601" s="41"/>
      <c r="G4601" s="21"/>
      <c r="H4601" s="203"/>
    </row>
    <row r="4602" spans="1:8">
      <c r="A4602" s="200"/>
      <c r="B4602" s="198"/>
      <c r="C4602" s="851"/>
      <c r="D4602" s="41"/>
      <c r="E4602" s="41"/>
      <c r="F4602" s="41"/>
      <c r="G4602" s="21"/>
      <c r="H4602" s="203"/>
    </row>
    <row r="4603" spans="1:8">
      <c r="A4603" s="200"/>
      <c r="B4603" s="198"/>
      <c r="C4603" s="851"/>
      <c r="D4603" s="41"/>
      <c r="E4603" s="41"/>
      <c r="F4603" s="41"/>
      <c r="G4603" s="21"/>
      <c r="H4603" s="203"/>
    </row>
    <row r="4604" spans="1:8">
      <c r="A4604" s="200"/>
      <c r="B4604" s="198"/>
      <c r="C4604" s="851"/>
      <c r="D4604" s="41"/>
      <c r="E4604" s="41"/>
      <c r="F4604" s="41"/>
      <c r="G4604" s="21"/>
      <c r="H4604" s="203"/>
    </row>
    <row r="4605" spans="1:8">
      <c r="A4605" s="200"/>
      <c r="B4605" s="198"/>
      <c r="C4605" s="851"/>
      <c r="D4605" s="41"/>
      <c r="E4605" s="41"/>
      <c r="F4605" s="41"/>
      <c r="G4605" s="21"/>
      <c r="H4605" s="203"/>
    </row>
    <row r="4606" spans="1:8">
      <c r="A4606" s="200"/>
      <c r="B4606" s="198"/>
      <c r="C4606" s="851"/>
      <c r="D4606" s="41"/>
      <c r="E4606" s="41"/>
      <c r="F4606" s="41"/>
      <c r="G4606" s="21"/>
      <c r="H4606" s="203"/>
    </row>
    <row r="4607" spans="1:8">
      <c r="A4607" s="200"/>
      <c r="B4607" s="198"/>
      <c r="C4607" s="851"/>
      <c r="D4607" s="41"/>
      <c r="E4607" s="41"/>
      <c r="F4607" s="41"/>
      <c r="G4607" s="21"/>
      <c r="H4607" s="203"/>
    </row>
    <row r="4608" spans="1:8">
      <c r="A4608" s="200"/>
      <c r="B4608" s="198"/>
      <c r="C4608" s="851"/>
      <c r="D4608" s="41"/>
      <c r="E4608" s="41"/>
      <c r="F4608" s="41"/>
      <c r="G4608" s="21"/>
      <c r="H4608" s="203"/>
    </row>
    <row r="4609" spans="1:8">
      <c r="A4609" s="200"/>
      <c r="B4609" s="198"/>
      <c r="C4609" s="851"/>
      <c r="D4609" s="41"/>
      <c r="E4609" s="41"/>
      <c r="F4609" s="41"/>
      <c r="G4609" s="21"/>
      <c r="H4609" s="203"/>
    </row>
    <row r="4610" spans="1:8">
      <c r="A4610" s="200"/>
      <c r="B4610" s="198"/>
      <c r="C4610" s="851"/>
      <c r="D4610" s="41"/>
      <c r="E4610" s="41"/>
      <c r="F4610" s="41"/>
      <c r="G4610" s="21"/>
      <c r="H4610" s="203"/>
    </row>
    <row r="4611" spans="1:8">
      <c r="A4611" s="200"/>
      <c r="B4611" s="198"/>
      <c r="C4611" s="851"/>
      <c r="D4611" s="41"/>
      <c r="E4611" s="41"/>
      <c r="F4611" s="41"/>
      <c r="G4611" s="21"/>
      <c r="H4611" s="203"/>
    </row>
    <row r="4612" spans="1:8">
      <c r="A4612" s="200"/>
      <c r="B4612" s="198"/>
      <c r="C4612" s="851"/>
      <c r="D4612" s="41"/>
      <c r="E4612" s="41"/>
      <c r="F4612" s="41"/>
      <c r="G4612" s="21"/>
      <c r="H4612" s="203"/>
    </row>
    <row r="4613" spans="1:8">
      <c r="A4613" s="200"/>
      <c r="B4613" s="198"/>
      <c r="C4613" s="851"/>
      <c r="D4613" s="41"/>
      <c r="E4613" s="41"/>
      <c r="F4613" s="41"/>
      <c r="G4613" s="21"/>
      <c r="H4613" s="203"/>
    </row>
    <row r="4614" spans="1:8">
      <c r="A4614" s="200"/>
      <c r="B4614" s="198"/>
      <c r="C4614" s="851"/>
      <c r="D4614" s="41"/>
      <c r="E4614" s="41"/>
      <c r="F4614" s="41"/>
      <c r="G4614" s="21"/>
      <c r="H4614" s="203"/>
    </row>
    <row r="4615" spans="1:8">
      <c r="A4615" s="200"/>
      <c r="B4615" s="198"/>
      <c r="C4615" s="851"/>
      <c r="D4615" s="41"/>
      <c r="E4615" s="41"/>
      <c r="F4615" s="41"/>
      <c r="G4615" s="21"/>
      <c r="H4615" s="203"/>
    </row>
    <row r="4616" spans="1:8">
      <c r="A4616" s="200"/>
      <c r="B4616" s="198"/>
      <c r="C4616" s="851"/>
      <c r="D4616" s="41"/>
      <c r="E4616" s="41"/>
      <c r="F4616" s="41"/>
      <c r="G4616" s="21"/>
      <c r="H4616" s="203"/>
    </row>
    <row r="4617" spans="1:8">
      <c r="A4617" s="200"/>
      <c r="B4617" s="198"/>
      <c r="C4617" s="851"/>
      <c r="D4617" s="41"/>
      <c r="E4617" s="41"/>
      <c r="F4617" s="41"/>
      <c r="G4617" s="21"/>
      <c r="H4617" s="203"/>
    </row>
    <row r="4618" spans="1:8">
      <c r="A4618" s="200"/>
      <c r="B4618" s="198"/>
      <c r="C4618" s="851"/>
      <c r="D4618" s="41"/>
      <c r="E4618" s="41"/>
      <c r="F4618" s="41"/>
      <c r="G4618" s="21"/>
      <c r="H4618" s="203"/>
    </row>
    <row r="4619" spans="1:8">
      <c r="A4619" s="200"/>
      <c r="B4619" s="198"/>
      <c r="C4619" s="851"/>
      <c r="D4619" s="41"/>
      <c r="E4619" s="41"/>
      <c r="F4619" s="41"/>
      <c r="G4619" s="21"/>
      <c r="H4619" s="203"/>
    </row>
    <row r="4620" spans="1:8">
      <c r="A4620" s="200"/>
      <c r="B4620" s="198"/>
      <c r="C4620" s="851"/>
      <c r="D4620" s="41"/>
      <c r="E4620" s="41"/>
      <c r="F4620" s="41"/>
      <c r="G4620" s="21"/>
      <c r="H4620" s="203"/>
    </row>
    <row r="4621" spans="1:8">
      <c r="A4621" s="200"/>
      <c r="B4621" s="198"/>
      <c r="C4621" s="851"/>
      <c r="D4621" s="41"/>
      <c r="E4621" s="41"/>
      <c r="F4621" s="41"/>
      <c r="G4621" s="21"/>
      <c r="H4621" s="203"/>
    </row>
    <row r="4622" spans="1:8">
      <c r="A4622" s="200"/>
      <c r="B4622" s="198"/>
      <c r="C4622" s="851"/>
      <c r="D4622" s="41"/>
      <c r="E4622" s="41"/>
      <c r="F4622" s="41"/>
      <c r="G4622" s="21"/>
      <c r="H4622" s="203"/>
    </row>
    <row r="4623" spans="1:8">
      <c r="A4623" s="200"/>
      <c r="B4623" s="198"/>
      <c r="C4623" s="851"/>
      <c r="D4623" s="41"/>
      <c r="E4623" s="41"/>
      <c r="F4623" s="41"/>
      <c r="G4623" s="21"/>
      <c r="H4623" s="203"/>
    </row>
    <row r="4624" spans="1:8">
      <c r="A4624" s="200"/>
      <c r="B4624" s="198"/>
      <c r="C4624" s="851"/>
      <c r="D4624" s="41"/>
      <c r="E4624" s="41"/>
      <c r="F4624" s="41"/>
      <c r="G4624" s="21"/>
      <c r="H4624" s="203"/>
    </row>
    <row r="4625" spans="1:8">
      <c r="A4625" s="200"/>
      <c r="B4625" s="198"/>
      <c r="C4625" s="851"/>
      <c r="D4625" s="41"/>
      <c r="E4625" s="41"/>
      <c r="F4625" s="41"/>
      <c r="G4625" s="21"/>
      <c r="H4625" s="203"/>
    </row>
    <row r="4626" spans="1:8">
      <c r="A4626" s="200"/>
      <c r="B4626" s="198"/>
      <c r="C4626" s="851"/>
      <c r="D4626" s="41"/>
      <c r="E4626" s="41"/>
      <c r="F4626" s="41"/>
      <c r="G4626" s="21"/>
      <c r="H4626" s="203"/>
    </row>
    <row r="4627" spans="1:8">
      <c r="A4627" s="200"/>
      <c r="B4627" s="198"/>
      <c r="C4627" s="851"/>
      <c r="D4627" s="41"/>
      <c r="E4627" s="41"/>
      <c r="F4627" s="41"/>
      <c r="G4627" s="21"/>
      <c r="H4627" s="203"/>
    </row>
    <row r="4628" spans="1:8">
      <c r="A4628" s="200"/>
      <c r="B4628" s="198"/>
      <c r="C4628" s="851"/>
      <c r="D4628" s="41"/>
      <c r="E4628" s="41"/>
      <c r="F4628" s="41"/>
      <c r="G4628" s="21"/>
      <c r="H4628" s="203"/>
    </row>
    <row r="4629" spans="1:8">
      <c r="A4629" s="200"/>
      <c r="B4629" s="198"/>
      <c r="C4629" s="851"/>
      <c r="D4629" s="41"/>
      <c r="E4629" s="41"/>
      <c r="F4629" s="41"/>
      <c r="G4629" s="21"/>
      <c r="H4629" s="203"/>
    </row>
    <row r="4630" spans="1:8">
      <c r="A4630" s="200"/>
      <c r="B4630" s="198"/>
      <c r="C4630" s="851"/>
      <c r="D4630" s="41"/>
      <c r="E4630" s="41"/>
      <c r="F4630" s="41"/>
      <c r="G4630" s="21"/>
      <c r="H4630" s="203"/>
    </row>
    <row r="4631" spans="1:8">
      <c r="A4631" s="200"/>
      <c r="B4631" s="198"/>
      <c r="C4631" s="851"/>
      <c r="D4631" s="41"/>
      <c r="E4631" s="41"/>
      <c r="F4631" s="41"/>
      <c r="G4631" s="21"/>
      <c r="H4631" s="203"/>
    </row>
    <row r="4632" spans="1:8">
      <c r="A4632" s="200"/>
      <c r="B4632" s="198"/>
      <c r="C4632" s="851"/>
      <c r="D4632" s="41"/>
      <c r="E4632" s="41"/>
      <c r="F4632" s="41"/>
      <c r="G4632" s="21"/>
      <c r="H4632" s="203"/>
    </row>
    <row r="4633" spans="1:8">
      <c r="A4633" s="200"/>
      <c r="B4633" s="198"/>
      <c r="C4633" s="851"/>
      <c r="D4633" s="41"/>
      <c r="E4633" s="41"/>
      <c r="F4633" s="41"/>
      <c r="G4633" s="21"/>
      <c r="H4633" s="203"/>
    </row>
    <row r="4634" spans="1:8">
      <c r="A4634" s="200"/>
      <c r="B4634" s="198"/>
      <c r="C4634" s="851"/>
      <c r="D4634" s="41"/>
      <c r="E4634" s="41"/>
      <c r="F4634" s="41"/>
      <c r="G4634" s="21"/>
      <c r="H4634" s="203"/>
    </row>
    <row r="4635" spans="1:8">
      <c r="A4635" s="200"/>
      <c r="B4635" s="198"/>
      <c r="C4635" s="851"/>
      <c r="D4635" s="41"/>
      <c r="E4635" s="41"/>
      <c r="F4635" s="41"/>
      <c r="G4635" s="21"/>
      <c r="H4635" s="203"/>
    </row>
    <row r="4636" spans="1:8">
      <c r="A4636" s="200"/>
      <c r="B4636" s="198"/>
      <c r="C4636" s="851"/>
      <c r="D4636" s="41"/>
      <c r="E4636" s="41"/>
      <c r="F4636" s="41"/>
      <c r="G4636" s="21"/>
      <c r="H4636" s="203"/>
    </row>
    <row r="4637" spans="1:8">
      <c r="A4637" s="200"/>
      <c r="B4637" s="198"/>
      <c r="C4637" s="851"/>
      <c r="D4637" s="41"/>
      <c r="E4637" s="41"/>
      <c r="F4637" s="41"/>
      <c r="G4637" s="21"/>
      <c r="H4637" s="203"/>
    </row>
    <row r="4638" spans="1:8">
      <c r="A4638" s="200"/>
      <c r="B4638" s="198"/>
      <c r="C4638" s="851"/>
      <c r="D4638" s="41"/>
      <c r="E4638" s="41"/>
      <c r="F4638" s="41"/>
      <c r="G4638" s="21"/>
      <c r="H4638" s="203"/>
    </row>
    <row r="4639" spans="1:8">
      <c r="A4639" s="200"/>
      <c r="B4639" s="198"/>
      <c r="C4639" s="851"/>
      <c r="D4639" s="41"/>
      <c r="E4639" s="41"/>
      <c r="F4639" s="41"/>
      <c r="G4639" s="21"/>
      <c r="H4639" s="203"/>
    </row>
    <row r="4640" spans="1:8">
      <c r="A4640" s="200"/>
      <c r="B4640" s="198"/>
      <c r="C4640" s="851"/>
      <c r="D4640" s="41"/>
      <c r="E4640" s="41"/>
      <c r="F4640" s="41"/>
      <c r="G4640" s="21"/>
      <c r="H4640" s="203"/>
    </row>
    <row r="4641" spans="1:8">
      <c r="A4641" s="200"/>
      <c r="B4641" s="198"/>
      <c r="C4641" s="851"/>
      <c r="D4641" s="41"/>
      <c r="E4641" s="41"/>
      <c r="F4641" s="41"/>
      <c r="G4641" s="21"/>
      <c r="H4641" s="203"/>
    </row>
    <row r="4642" spans="1:8">
      <c r="A4642" s="200"/>
      <c r="B4642" s="198"/>
      <c r="C4642" s="851"/>
      <c r="D4642" s="41"/>
      <c r="E4642" s="41"/>
      <c r="F4642" s="41"/>
      <c r="G4642" s="21"/>
      <c r="H4642" s="203"/>
    </row>
    <row r="4643" spans="1:8">
      <c r="A4643" s="200"/>
      <c r="B4643" s="198"/>
      <c r="C4643" s="851"/>
      <c r="D4643" s="41"/>
      <c r="E4643" s="41"/>
      <c r="F4643" s="41"/>
      <c r="G4643" s="21"/>
      <c r="H4643" s="203"/>
    </row>
    <row r="4644" spans="1:8">
      <c r="A4644" s="200"/>
      <c r="B4644" s="198"/>
      <c r="C4644" s="851"/>
      <c r="D4644" s="41"/>
      <c r="E4644" s="41"/>
      <c r="F4644" s="41"/>
      <c r="G4644" s="21"/>
      <c r="H4644" s="203"/>
    </row>
    <row r="4645" spans="1:8">
      <c r="A4645" s="200"/>
      <c r="B4645" s="198"/>
      <c r="C4645" s="851"/>
      <c r="D4645" s="41"/>
      <c r="E4645" s="41"/>
      <c r="F4645" s="41"/>
      <c r="G4645" s="21"/>
      <c r="H4645" s="203"/>
    </row>
    <row r="4646" spans="1:8">
      <c r="A4646" s="200"/>
      <c r="B4646" s="198"/>
      <c r="C4646" s="851"/>
      <c r="D4646" s="41"/>
      <c r="E4646" s="41"/>
      <c r="F4646" s="41"/>
      <c r="G4646" s="21"/>
      <c r="H4646" s="203"/>
    </row>
    <row r="4647" spans="1:8">
      <c r="A4647" s="200"/>
      <c r="B4647" s="198"/>
      <c r="C4647" s="851"/>
      <c r="D4647" s="41"/>
      <c r="E4647" s="41"/>
      <c r="F4647" s="41"/>
      <c r="G4647" s="21"/>
      <c r="H4647" s="203"/>
    </row>
    <row r="4648" spans="1:8">
      <c r="A4648" s="200"/>
      <c r="B4648" s="198"/>
      <c r="C4648" s="851"/>
      <c r="D4648" s="41"/>
      <c r="E4648" s="41"/>
      <c r="F4648" s="41"/>
      <c r="G4648" s="21"/>
      <c r="H4648" s="203"/>
    </row>
    <row r="4649" spans="1:8">
      <c r="A4649" s="200"/>
      <c r="B4649" s="198"/>
      <c r="C4649" s="851"/>
      <c r="D4649" s="41"/>
      <c r="E4649" s="41"/>
      <c r="F4649" s="41"/>
      <c r="G4649" s="21"/>
      <c r="H4649" s="203"/>
    </row>
    <row r="4650" spans="1:8">
      <c r="A4650" s="200"/>
      <c r="B4650" s="198"/>
      <c r="C4650" s="851"/>
      <c r="D4650" s="41"/>
      <c r="E4650" s="41"/>
      <c r="F4650" s="41"/>
      <c r="G4650" s="21"/>
      <c r="H4650" s="203"/>
    </row>
    <row r="4651" spans="1:8">
      <c r="A4651" s="200"/>
      <c r="B4651" s="198"/>
      <c r="C4651" s="851"/>
      <c r="D4651" s="41"/>
      <c r="E4651" s="41"/>
      <c r="F4651" s="41"/>
      <c r="G4651" s="21"/>
      <c r="H4651" s="203"/>
    </row>
    <row r="4652" spans="1:8">
      <c r="A4652" s="200"/>
      <c r="B4652" s="198"/>
      <c r="C4652" s="851"/>
      <c r="D4652" s="41"/>
      <c r="E4652" s="41"/>
      <c r="F4652" s="41"/>
      <c r="G4652" s="21"/>
      <c r="H4652" s="203"/>
    </row>
    <row r="4653" spans="1:8">
      <c r="A4653" s="200"/>
      <c r="B4653" s="198"/>
      <c r="C4653" s="851"/>
      <c r="D4653" s="41"/>
      <c r="E4653" s="41"/>
      <c r="F4653" s="41"/>
      <c r="G4653" s="21"/>
      <c r="H4653" s="203"/>
    </row>
    <row r="4654" spans="1:8">
      <c r="A4654" s="200"/>
      <c r="B4654" s="198"/>
      <c r="C4654" s="851"/>
      <c r="D4654" s="41"/>
      <c r="E4654" s="41"/>
      <c r="F4654" s="41"/>
      <c r="G4654" s="21"/>
      <c r="H4654" s="203"/>
    </row>
    <row r="4655" spans="1:8">
      <c r="A4655" s="200"/>
      <c r="B4655" s="198"/>
      <c r="C4655" s="851"/>
      <c r="D4655" s="41"/>
      <c r="E4655" s="41"/>
      <c r="F4655" s="41"/>
      <c r="G4655" s="21"/>
      <c r="H4655" s="203"/>
    </row>
    <row r="4656" spans="1:8">
      <c r="A4656" s="200"/>
      <c r="B4656" s="198"/>
      <c r="C4656" s="851"/>
      <c r="D4656" s="41"/>
      <c r="E4656" s="41"/>
      <c r="F4656" s="41"/>
      <c r="G4656" s="21"/>
      <c r="H4656" s="203"/>
    </row>
    <row r="4657" spans="1:8">
      <c r="A4657" s="200"/>
      <c r="B4657" s="198"/>
      <c r="C4657" s="851"/>
      <c r="D4657" s="41"/>
      <c r="E4657" s="41"/>
      <c r="F4657" s="41"/>
      <c r="G4657" s="21"/>
      <c r="H4657" s="203"/>
    </row>
    <row r="4658" spans="1:8">
      <c r="A4658" s="200"/>
      <c r="B4658" s="198"/>
      <c r="C4658" s="851"/>
      <c r="D4658" s="41"/>
      <c r="E4658" s="41"/>
      <c r="F4658" s="41"/>
      <c r="G4658" s="21"/>
      <c r="H4658" s="203"/>
    </row>
    <row r="4659" spans="1:8">
      <c r="A4659" s="200"/>
      <c r="B4659" s="198"/>
      <c r="C4659" s="851"/>
      <c r="D4659" s="41"/>
      <c r="E4659" s="41"/>
      <c r="F4659" s="41"/>
      <c r="G4659" s="21"/>
      <c r="H4659" s="203"/>
    </row>
    <row r="4660" spans="1:8">
      <c r="A4660" s="200"/>
      <c r="B4660" s="198"/>
      <c r="C4660" s="851"/>
      <c r="D4660" s="41"/>
      <c r="E4660" s="41"/>
      <c r="F4660" s="41"/>
      <c r="G4660" s="21"/>
      <c r="H4660" s="203"/>
    </row>
    <row r="4661" spans="1:8">
      <c r="A4661" s="200"/>
      <c r="B4661" s="198"/>
      <c r="C4661" s="851"/>
      <c r="D4661" s="41"/>
      <c r="E4661" s="41"/>
      <c r="F4661" s="41"/>
      <c r="G4661" s="21"/>
      <c r="H4661" s="203"/>
    </row>
    <row r="4662" spans="1:8">
      <c r="A4662" s="200"/>
      <c r="B4662" s="198"/>
      <c r="C4662" s="851"/>
      <c r="D4662" s="41"/>
      <c r="E4662" s="41"/>
      <c r="F4662" s="41"/>
      <c r="G4662" s="21"/>
      <c r="H4662" s="203"/>
    </row>
    <row r="4663" spans="1:8">
      <c r="A4663" s="200"/>
      <c r="B4663" s="198"/>
      <c r="C4663" s="851"/>
      <c r="D4663" s="41"/>
      <c r="E4663" s="41"/>
      <c r="F4663" s="41"/>
      <c r="G4663" s="21"/>
      <c r="H4663" s="203"/>
    </row>
    <row r="4664" spans="1:8">
      <c r="A4664" s="200"/>
      <c r="B4664" s="198"/>
      <c r="C4664" s="851"/>
      <c r="D4664" s="41"/>
      <c r="E4664" s="41"/>
      <c r="F4664" s="41"/>
      <c r="G4664" s="21"/>
      <c r="H4664" s="203"/>
    </row>
    <row r="4665" spans="1:8">
      <c r="A4665" s="200"/>
      <c r="B4665" s="198"/>
      <c r="C4665" s="851"/>
      <c r="D4665" s="41"/>
      <c r="E4665" s="41"/>
      <c r="F4665" s="41"/>
      <c r="G4665" s="21"/>
      <c r="H4665" s="203"/>
    </row>
    <row r="4666" spans="1:8">
      <c r="A4666" s="200"/>
      <c r="B4666" s="198"/>
      <c r="C4666" s="851"/>
      <c r="D4666" s="41"/>
      <c r="E4666" s="41"/>
      <c r="F4666" s="41"/>
      <c r="G4666" s="21"/>
      <c r="H4666" s="203"/>
    </row>
    <row r="4667" spans="1:8">
      <c r="A4667" s="200"/>
      <c r="B4667" s="198"/>
      <c r="C4667" s="851"/>
      <c r="D4667" s="41"/>
      <c r="E4667" s="41"/>
      <c r="F4667" s="41"/>
      <c r="G4667" s="21"/>
      <c r="H4667" s="203"/>
    </row>
    <row r="4668" spans="1:8">
      <c r="A4668" s="200"/>
      <c r="B4668" s="198"/>
      <c r="C4668" s="851"/>
      <c r="D4668" s="41"/>
      <c r="E4668" s="41"/>
      <c r="F4668" s="41"/>
      <c r="G4668" s="21"/>
      <c r="H4668" s="203"/>
    </row>
    <row r="4669" spans="1:8">
      <c r="A4669" s="200"/>
      <c r="B4669" s="198"/>
      <c r="C4669" s="851"/>
      <c r="D4669" s="41"/>
      <c r="E4669" s="41"/>
      <c r="F4669" s="41"/>
      <c r="G4669" s="21"/>
      <c r="H4669" s="203"/>
    </row>
    <row r="4670" spans="1:8">
      <c r="A4670" s="200"/>
      <c r="B4670" s="198"/>
      <c r="C4670" s="851"/>
      <c r="D4670" s="41"/>
      <c r="E4670" s="41"/>
      <c r="F4670" s="41"/>
      <c r="G4670" s="21"/>
      <c r="H4670" s="203"/>
    </row>
    <row r="4671" spans="1:8">
      <c r="A4671" s="200"/>
      <c r="B4671" s="198"/>
      <c r="C4671" s="851"/>
      <c r="D4671" s="41"/>
      <c r="E4671" s="41"/>
      <c r="F4671" s="41"/>
      <c r="G4671" s="21"/>
      <c r="H4671" s="203"/>
    </row>
    <row r="4672" spans="1:8">
      <c r="A4672" s="200"/>
      <c r="B4672" s="198"/>
      <c r="C4672" s="851"/>
      <c r="D4672" s="41"/>
      <c r="E4672" s="41"/>
      <c r="F4672" s="41"/>
      <c r="G4672" s="21"/>
      <c r="H4672" s="203"/>
    </row>
    <row r="4673" spans="1:8">
      <c r="A4673" s="200"/>
      <c r="B4673" s="198"/>
      <c r="C4673" s="851"/>
      <c r="D4673" s="41"/>
      <c r="E4673" s="41"/>
      <c r="F4673" s="41"/>
      <c r="G4673" s="21"/>
      <c r="H4673" s="203"/>
    </row>
    <row r="4674" spans="1:8">
      <c r="A4674" s="200"/>
      <c r="B4674" s="198"/>
      <c r="C4674" s="851"/>
      <c r="D4674" s="41"/>
      <c r="E4674" s="41"/>
      <c r="F4674" s="41"/>
      <c r="G4674" s="21"/>
      <c r="H4674" s="203"/>
    </row>
    <row r="4675" spans="1:8">
      <c r="A4675" s="200"/>
      <c r="B4675" s="198"/>
      <c r="C4675" s="851"/>
      <c r="D4675" s="41"/>
      <c r="E4675" s="41"/>
      <c r="F4675" s="41"/>
      <c r="G4675" s="21"/>
      <c r="H4675" s="203"/>
    </row>
    <row r="4676" spans="1:8">
      <c r="A4676" s="200"/>
      <c r="B4676" s="198"/>
      <c r="C4676" s="851"/>
      <c r="D4676" s="41"/>
      <c r="E4676" s="41"/>
      <c r="F4676" s="41"/>
      <c r="G4676" s="21"/>
      <c r="H4676" s="203"/>
    </row>
    <row r="4677" spans="1:8">
      <c r="A4677" s="200"/>
      <c r="B4677" s="198"/>
      <c r="C4677" s="851"/>
      <c r="D4677" s="41"/>
      <c r="E4677" s="41"/>
      <c r="F4677" s="41"/>
      <c r="G4677" s="21"/>
      <c r="H4677" s="203"/>
    </row>
    <row r="4678" spans="1:8">
      <c r="A4678" s="200"/>
      <c r="B4678" s="198"/>
      <c r="C4678" s="851"/>
      <c r="D4678" s="41"/>
      <c r="E4678" s="41"/>
      <c r="F4678" s="41"/>
      <c r="G4678" s="21"/>
      <c r="H4678" s="203"/>
    </row>
    <row r="4679" spans="1:8">
      <c r="A4679" s="200"/>
      <c r="B4679" s="198"/>
      <c r="C4679" s="851"/>
      <c r="D4679" s="41"/>
      <c r="E4679" s="41"/>
      <c r="F4679" s="41"/>
      <c r="G4679" s="21"/>
      <c r="H4679" s="203"/>
    </row>
    <row r="4680" spans="1:8">
      <c r="A4680" s="200"/>
      <c r="B4680" s="198"/>
      <c r="C4680" s="851"/>
      <c r="D4680" s="41"/>
      <c r="E4680" s="41"/>
      <c r="F4680" s="41"/>
      <c r="G4680" s="21"/>
      <c r="H4680" s="203"/>
    </row>
    <row r="4681" spans="1:8">
      <c r="A4681" s="200"/>
      <c r="B4681" s="198"/>
      <c r="C4681" s="851"/>
      <c r="D4681" s="41"/>
      <c r="E4681" s="41"/>
      <c r="F4681" s="41"/>
      <c r="G4681" s="21"/>
      <c r="H4681" s="203"/>
    </row>
    <row r="4682" spans="1:8">
      <c r="A4682" s="200"/>
      <c r="B4682" s="198"/>
      <c r="C4682" s="851"/>
      <c r="D4682" s="41"/>
      <c r="E4682" s="41"/>
      <c r="F4682" s="41"/>
      <c r="G4682" s="21"/>
      <c r="H4682" s="203"/>
    </row>
    <row r="4683" spans="1:8">
      <c r="A4683" s="200"/>
      <c r="B4683" s="198"/>
      <c r="C4683" s="851"/>
      <c r="D4683" s="41"/>
      <c r="E4683" s="41"/>
      <c r="F4683" s="41"/>
      <c r="G4683" s="21"/>
      <c r="H4683" s="203"/>
    </row>
    <row r="4684" spans="1:8">
      <c r="A4684" s="200"/>
      <c r="B4684" s="198"/>
      <c r="C4684" s="851"/>
      <c r="D4684" s="41"/>
      <c r="E4684" s="41"/>
      <c r="F4684" s="41"/>
      <c r="G4684" s="21"/>
      <c r="H4684" s="203"/>
    </row>
    <row r="4685" spans="1:8">
      <c r="A4685" s="200"/>
      <c r="B4685" s="198"/>
      <c r="C4685" s="851"/>
      <c r="D4685" s="41"/>
      <c r="E4685" s="41"/>
      <c r="F4685" s="41"/>
      <c r="G4685" s="21"/>
      <c r="H4685" s="203"/>
    </row>
    <row r="4686" spans="1:8">
      <c r="A4686" s="200"/>
      <c r="B4686" s="198"/>
      <c r="C4686" s="851"/>
      <c r="D4686" s="41"/>
      <c r="E4686" s="41"/>
      <c r="F4686" s="41"/>
      <c r="G4686" s="21"/>
      <c r="H4686" s="203"/>
    </row>
    <row r="4687" spans="1:8">
      <c r="A4687" s="200"/>
      <c r="B4687" s="198"/>
      <c r="C4687" s="851"/>
      <c r="D4687" s="41"/>
      <c r="E4687" s="41"/>
      <c r="F4687" s="41"/>
      <c r="G4687" s="21"/>
      <c r="H4687" s="203"/>
    </row>
    <row r="4688" spans="1:8">
      <c r="A4688" s="200"/>
      <c r="B4688" s="198"/>
      <c r="C4688" s="851"/>
      <c r="D4688" s="41"/>
      <c r="E4688" s="41"/>
      <c r="F4688" s="41"/>
      <c r="G4688" s="21"/>
      <c r="H4688" s="203"/>
    </row>
    <row r="4689" spans="1:8">
      <c r="A4689" s="200"/>
      <c r="B4689" s="198"/>
      <c r="C4689" s="851"/>
      <c r="D4689" s="41"/>
      <c r="E4689" s="41"/>
      <c r="F4689" s="41"/>
      <c r="G4689" s="21"/>
      <c r="H4689" s="203"/>
    </row>
    <row r="4690" spans="1:8">
      <c r="A4690" s="200"/>
      <c r="B4690" s="198"/>
      <c r="C4690" s="851"/>
      <c r="D4690" s="41"/>
      <c r="E4690" s="41"/>
      <c r="F4690" s="41"/>
      <c r="G4690" s="21"/>
      <c r="H4690" s="203"/>
    </row>
    <row r="4691" spans="1:8">
      <c r="A4691" s="200"/>
      <c r="B4691" s="198"/>
      <c r="C4691" s="851"/>
      <c r="D4691" s="41"/>
      <c r="E4691" s="41"/>
      <c r="F4691" s="41"/>
      <c r="G4691" s="21"/>
      <c r="H4691" s="203"/>
    </row>
    <row r="4692" spans="1:8">
      <c r="A4692" s="200"/>
      <c r="B4692" s="198"/>
      <c r="C4692" s="851"/>
      <c r="D4692" s="41"/>
      <c r="E4692" s="41"/>
      <c r="F4692" s="41"/>
      <c r="G4692" s="21"/>
      <c r="H4692" s="203"/>
    </row>
    <row r="4693" spans="1:8">
      <c r="A4693" s="200"/>
      <c r="B4693" s="198"/>
      <c r="C4693" s="851"/>
      <c r="D4693" s="41"/>
      <c r="E4693" s="41"/>
      <c r="F4693" s="41"/>
      <c r="G4693" s="21"/>
      <c r="H4693" s="203"/>
    </row>
    <row r="4694" spans="1:8">
      <c r="A4694" s="200"/>
      <c r="B4694" s="198"/>
      <c r="C4694" s="851"/>
      <c r="D4694" s="41"/>
      <c r="E4694" s="41"/>
      <c r="F4694" s="41"/>
      <c r="G4694" s="21"/>
      <c r="H4694" s="203"/>
    </row>
    <row r="4695" spans="1:8">
      <c r="A4695" s="200"/>
      <c r="B4695" s="198"/>
      <c r="C4695" s="851"/>
      <c r="D4695" s="41"/>
      <c r="E4695" s="41"/>
      <c r="F4695" s="41"/>
      <c r="G4695" s="21"/>
      <c r="H4695" s="203"/>
    </row>
    <row r="4696" spans="1:8">
      <c r="A4696" s="200"/>
      <c r="B4696" s="198"/>
      <c r="C4696" s="851"/>
      <c r="D4696" s="41"/>
      <c r="E4696" s="41"/>
      <c r="F4696" s="41"/>
      <c r="G4696" s="21"/>
      <c r="H4696" s="203"/>
    </row>
    <row r="4697" spans="1:8">
      <c r="A4697" s="200"/>
      <c r="B4697" s="198"/>
      <c r="C4697" s="851"/>
      <c r="D4697" s="41"/>
      <c r="E4697" s="41"/>
      <c r="F4697" s="41"/>
      <c r="G4697" s="21"/>
      <c r="H4697" s="203"/>
    </row>
    <row r="4698" spans="1:8">
      <c r="A4698" s="200"/>
      <c r="B4698" s="198"/>
      <c r="C4698" s="851"/>
      <c r="D4698" s="41"/>
      <c r="E4698" s="41"/>
      <c r="F4698" s="41"/>
      <c r="G4698" s="21"/>
      <c r="H4698" s="203"/>
    </row>
    <row r="4699" spans="1:8">
      <c r="A4699" s="200"/>
      <c r="B4699" s="198"/>
      <c r="C4699" s="851"/>
      <c r="D4699" s="41"/>
      <c r="E4699" s="41"/>
      <c r="F4699" s="41"/>
      <c r="G4699" s="21"/>
      <c r="H4699" s="203"/>
    </row>
    <row r="4700" spans="1:8">
      <c r="A4700" s="200"/>
      <c r="B4700" s="198"/>
      <c r="C4700" s="851"/>
      <c r="D4700" s="41"/>
      <c r="E4700" s="41"/>
      <c r="F4700" s="41"/>
      <c r="G4700" s="21"/>
      <c r="H4700" s="203"/>
    </row>
    <row r="4701" spans="1:8">
      <c r="A4701" s="200"/>
      <c r="B4701" s="198"/>
      <c r="C4701" s="851"/>
      <c r="D4701" s="41"/>
      <c r="E4701" s="41"/>
      <c r="F4701" s="41"/>
      <c r="G4701" s="21"/>
      <c r="H4701" s="203"/>
    </row>
    <row r="4702" spans="1:8">
      <c r="A4702" s="200"/>
      <c r="B4702" s="198"/>
      <c r="C4702" s="851"/>
      <c r="D4702" s="41"/>
      <c r="E4702" s="41"/>
      <c r="F4702" s="41"/>
      <c r="G4702" s="21"/>
      <c r="H4702" s="203"/>
    </row>
    <row r="4703" spans="1:8">
      <c r="A4703" s="200"/>
      <c r="B4703" s="198"/>
      <c r="C4703" s="851"/>
      <c r="D4703" s="41"/>
      <c r="E4703" s="41"/>
      <c r="F4703" s="41"/>
      <c r="G4703" s="21"/>
      <c r="H4703" s="203"/>
    </row>
    <row r="4704" spans="1:8">
      <c r="A4704" s="200"/>
      <c r="B4704" s="198"/>
      <c r="C4704" s="851"/>
      <c r="D4704" s="41"/>
      <c r="E4704" s="41"/>
      <c r="F4704" s="41"/>
      <c r="G4704" s="21"/>
      <c r="H4704" s="203"/>
    </row>
    <row r="4705" spans="1:8">
      <c r="A4705" s="200"/>
      <c r="B4705" s="198"/>
      <c r="C4705" s="851"/>
      <c r="D4705" s="41"/>
      <c r="E4705" s="41"/>
      <c r="F4705" s="41"/>
      <c r="G4705" s="21"/>
      <c r="H4705" s="203"/>
    </row>
    <row r="4706" spans="1:8">
      <c r="A4706" s="200"/>
      <c r="B4706" s="198"/>
      <c r="C4706" s="851"/>
      <c r="D4706" s="41"/>
      <c r="E4706" s="41"/>
      <c r="F4706" s="41"/>
      <c r="G4706" s="21"/>
      <c r="H4706" s="203"/>
    </row>
    <row r="4707" spans="1:8">
      <c r="A4707" s="200"/>
      <c r="B4707" s="198"/>
      <c r="C4707" s="851"/>
      <c r="D4707" s="41"/>
      <c r="E4707" s="41"/>
      <c r="F4707" s="41"/>
      <c r="G4707" s="21"/>
      <c r="H4707" s="203"/>
    </row>
    <row r="4708" spans="1:8">
      <c r="A4708" s="200"/>
      <c r="B4708" s="198"/>
      <c r="C4708" s="851"/>
      <c r="D4708" s="41"/>
      <c r="E4708" s="41"/>
      <c r="F4708" s="41"/>
      <c r="G4708" s="21"/>
      <c r="H4708" s="203"/>
    </row>
    <row r="4709" spans="1:8">
      <c r="A4709" s="200"/>
      <c r="B4709" s="198"/>
      <c r="C4709" s="851"/>
      <c r="D4709" s="41"/>
      <c r="E4709" s="41"/>
      <c r="F4709" s="41"/>
      <c r="G4709" s="21"/>
      <c r="H4709" s="203"/>
    </row>
    <row r="4710" spans="1:8">
      <c r="A4710" s="200"/>
      <c r="B4710" s="198"/>
      <c r="C4710" s="851"/>
      <c r="D4710" s="41"/>
      <c r="E4710" s="41"/>
      <c r="F4710" s="41"/>
      <c r="G4710" s="21"/>
      <c r="H4710" s="203"/>
    </row>
    <row r="4711" spans="1:8">
      <c r="A4711" s="200"/>
      <c r="B4711" s="198"/>
      <c r="C4711" s="851"/>
      <c r="D4711" s="41"/>
      <c r="E4711" s="41"/>
      <c r="F4711" s="41"/>
      <c r="G4711" s="21"/>
      <c r="H4711" s="203"/>
    </row>
    <row r="4712" spans="1:8">
      <c r="A4712" s="200"/>
      <c r="B4712" s="198"/>
      <c r="C4712" s="851"/>
      <c r="D4712" s="41"/>
      <c r="E4712" s="41"/>
      <c r="F4712" s="41"/>
      <c r="G4712" s="21"/>
      <c r="H4712" s="203"/>
    </row>
    <row r="4713" spans="1:8">
      <c r="A4713" s="200"/>
      <c r="B4713" s="198"/>
      <c r="C4713" s="851"/>
      <c r="D4713" s="41"/>
      <c r="E4713" s="41"/>
      <c r="F4713" s="41"/>
      <c r="G4713" s="21"/>
      <c r="H4713" s="203"/>
    </row>
    <row r="4714" spans="1:8">
      <c r="A4714" s="200"/>
      <c r="B4714" s="198"/>
      <c r="C4714" s="851"/>
      <c r="D4714" s="41"/>
      <c r="E4714" s="41"/>
      <c r="F4714" s="41"/>
      <c r="G4714" s="21"/>
      <c r="H4714" s="203"/>
    </row>
    <row r="4715" spans="1:8">
      <c r="A4715" s="200"/>
      <c r="B4715" s="198"/>
      <c r="C4715" s="851"/>
      <c r="D4715" s="41"/>
      <c r="E4715" s="41"/>
      <c r="F4715" s="41"/>
      <c r="G4715" s="21"/>
      <c r="H4715" s="203"/>
    </row>
    <row r="4716" spans="1:8">
      <c r="A4716" s="200"/>
      <c r="B4716" s="198"/>
      <c r="C4716" s="851"/>
      <c r="D4716" s="41"/>
      <c r="E4716" s="41"/>
      <c r="F4716" s="41"/>
      <c r="G4716" s="21"/>
      <c r="H4716" s="203"/>
    </row>
    <row r="4717" spans="1:8">
      <c r="A4717" s="200"/>
      <c r="B4717" s="198"/>
      <c r="C4717" s="851"/>
      <c r="D4717" s="41"/>
      <c r="E4717" s="41"/>
      <c r="F4717" s="41"/>
      <c r="G4717" s="21"/>
      <c r="H4717" s="203"/>
    </row>
    <row r="4718" spans="1:8">
      <c r="A4718" s="200"/>
      <c r="B4718" s="198"/>
      <c r="C4718" s="851"/>
      <c r="D4718" s="41"/>
      <c r="E4718" s="41"/>
      <c r="F4718" s="41"/>
      <c r="G4718" s="21"/>
      <c r="H4718" s="203"/>
    </row>
    <row r="4719" spans="1:8">
      <c r="A4719" s="200"/>
      <c r="B4719" s="198"/>
      <c r="C4719" s="851"/>
      <c r="D4719" s="41"/>
      <c r="E4719" s="41"/>
      <c r="F4719" s="41"/>
      <c r="G4719" s="21"/>
      <c r="H4719" s="203"/>
    </row>
    <row r="4720" spans="1:8">
      <c r="A4720" s="200"/>
      <c r="B4720" s="198"/>
      <c r="C4720" s="851"/>
      <c r="D4720" s="41"/>
      <c r="E4720" s="41"/>
      <c r="F4720" s="41"/>
      <c r="G4720" s="21"/>
      <c r="H4720" s="203"/>
    </row>
    <row r="4721" spans="1:8">
      <c r="A4721" s="200"/>
      <c r="B4721" s="198"/>
      <c r="C4721" s="851"/>
      <c r="D4721" s="41"/>
      <c r="E4721" s="41"/>
      <c r="F4721" s="41"/>
      <c r="G4721" s="21"/>
      <c r="H4721" s="203"/>
    </row>
    <row r="4722" spans="1:8">
      <c r="A4722" s="200"/>
      <c r="B4722" s="198"/>
      <c r="C4722" s="851"/>
      <c r="D4722" s="41"/>
      <c r="E4722" s="41"/>
      <c r="F4722" s="41"/>
      <c r="G4722" s="21"/>
      <c r="H4722" s="203"/>
    </row>
    <row r="4723" spans="1:8">
      <c r="A4723" s="200"/>
      <c r="B4723" s="198"/>
      <c r="C4723" s="851"/>
      <c r="D4723" s="41"/>
      <c r="E4723" s="41"/>
      <c r="F4723" s="41"/>
      <c r="G4723" s="21"/>
      <c r="H4723" s="203"/>
    </row>
    <row r="4724" spans="1:8">
      <c r="A4724" s="200"/>
      <c r="B4724" s="198"/>
      <c r="C4724" s="851"/>
      <c r="D4724" s="41"/>
      <c r="E4724" s="41"/>
      <c r="F4724" s="41"/>
      <c r="G4724" s="21"/>
      <c r="H4724" s="203"/>
    </row>
    <row r="4725" spans="1:8">
      <c r="A4725" s="200"/>
      <c r="B4725" s="198"/>
      <c r="C4725" s="851"/>
      <c r="D4725" s="41"/>
      <c r="E4725" s="41"/>
      <c r="F4725" s="41"/>
      <c r="G4725" s="21"/>
      <c r="H4725" s="203"/>
    </row>
    <row r="4726" spans="1:8">
      <c r="A4726" s="200"/>
      <c r="B4726" s="198"/>
      <c r="C4726" s="851"/>
      <c r="D4726" s="41"/>
      <c r="E4726" s="41"/>
      <c r="F4726" s="41"/>
      <c r="G4726" s="21"/>
      <c r="H4726" s="203"/>
    </row>
    <row r="4727" spans="1:8">
      <c r="A4727" s="200"/>
      <c r="B4727" s="198"/>
      <c r="C4727" s="851"/>
      <c r="D4727" s="41"/>
      <c r="E4727" s="41"/>
      <c r="F4727" s="41"/>
      <c r="G4727" s="21"/>
      <c r="H4727" s="203"/>
    </row>
    <row r="4728" spans="1:8">
      <c r="A4728" s="200"/>
      <c r="B4728" s="198"/>
      <c r="C4728" s="851"/>
      <c r="D4728" s="41"/>
      <c r="E4728" s="41"/>
      <c r="F4728" s="41"/>
      <c r="G4728" s="21"/>
      <c r="H4728" s="203"/>
    </row>
    <row r="4729" spans="1:8">
      <c r="A4729" s="200"/>
      <c r="B4729" s="198"/>
      <c r="C4729" s="851"/>
      <c r="D4729" s="41"/>
      <c r="E4729" s="41"/>
      <c r="F4729" s="41"/>
      <c r="G4729" s="21"/>
      <c r="H4729" s="203"/>
    </row>
    <row r="4730" spans="1:8">
      <c r="A4730" s="200"/>
      <c r="B4730" s="198"/>
      <c r="C4730" s="851"/>
      <c r="D4730" s="41"/>
      <c r="E4730" s="41"/>
      <c r="F4730" s="41"/>
      <c r="G4730" s="21"/>
      <c r="H4730" s="203"/>
    </row>
    <row r="4731" spans="1:8">
      <c r="A4731" s="200"/>
      <c r="B4731" s="198"/>
      <c r="C4731" s="851"/>
      <c r="D4731" s="41"/>
      <c r="E4731" s="41"/>
      <c r="F4731" s="41"/>
      <c r="G4731" s="21"/>
      <c r="H4731" s="203"/>
    </row>
    <row r="4732" spans="1:8">
      <c r="A4732" s="200"/>
      <c r="B4732" s="198"/>
      <c r="C4732" s="851"/>
      <c r="D4732" s="41"/>
      <c r="E4732" s="41"/>
      <c r="F4732" s="41"/>
      <c r="G4732" s="21"/>
      <c r="H4732" s="203"/>
    </row>
    <row r="4733" spans="1:8">
      <c r="A4733" s="200"/>
      <c r="B4733" s="198"/>
      <c r="C4733" s="851"/>
      <c r="D4733" s="41"/>
      <c r="E4733" s="41"/>
      <c r="F4733" s="41"/>
      <c r="G4733" s="21"/>
      <c r="H4733" s="203"/>
    </row>
    <row r="4734" spans="1:8">
      <c r="A4734" s="200"/>
      <c r="B4734" s="198"/>
      <c r="C4734" s="851"/>
      <c r="D4734" s="41"/>
      <c r="E4734" s="41"/>
      <c r="F4734" s="41"/>
      <c r="G4734" s="21"/>
      <c r="H4734" s="203"/>
    </row>
    <row r="4735" spans="1:8">
      <c r="A4735" s="200"/>
      <c r="B4735" s="198"/>
      <c r="C4735" s="851"/>
      <c r="D4735" s="41"/>
      <c r="E4735" s="41"/>
      <c r="F4735" s="41"/>
      <c r="G4735" s="21"/>
      <c r="H4735" s="203"/>
    </row>
    <row r="4736" spans="1:8">
      <c r="A4736" s="200"/>
      <c r="B4736" s="198"/>
      <c r="C4736" s="851"/>
      <c r="D4736" s="41"/>
      <c r="E4736" s="41"/>
      <c r="F4736" s="41"/>
      <c r="G4736" s="21"/>
      <c r="H4736" s="203"/>
    </row>
    <row r="4737" spans="1:8">
      <c r="A4737" s="200"/>
      <c r="B4737" s="198"/>
      <c r="C4737" s="851"/>
      <c r="D4737" s="41"/>
      <c r="E4737" s="41"/>
      <c r="F4737" s="41"/>
      <c r="G4737" s="21"/>
      <c r="H4737" s="203"/>
    </row>
    <row r="4738" spans="1:8">
      <c r="A4738" s="200"/>
      <c r="B4738" s="198"/>
      <c r="C4738" s="851"/>
      <c r="D4738" s="41"/>
      <c r="E4738" s="41"/>
      <c r="F4738" s="41"/>
      <c r="G4738" s="21"/>
      <c r="H4738" s="203"/>
    </row>
    <row r="4739" spans="1:8">
      <c r="A4739" s="200"/>
      <c r="B4739" s="198"/>
      <c r="C4739" s="851"/>
      <c r="D4739" s="41"/>
      <c r="E4739" s="41"/>
      <c r="F4739" s="41"/>
      <c r="G4739" s="21"/>
      <c r="H4739" s="203"/>
    </row>
    <row r="4740" spans="1:8">
      <c r="A4740" s="200"/>
      <c r="B4740" s="198"/>
      <c r="C4740" s="851"/>
      <c r="D4740" s="41"/>
      <c r="E4740" s="41"/>
      <c r="F4740" s="41"/>
      <c r="G4740" s="21"/>
      <c r="H4740" s="203"/>
    </row>
    <row r="4741" spans="1:8">
      <c r="A4741" s="200"/>
      <c r="B4741" s="198"/>
      <c r="C4741" s="851"/>
      <c r="D4741" s="41"/>
      <c r="E4741" s="41"/>
      <c r="F4741" s="41"/>
      <c r="G4741" s="21"/>
      <c r="H4741" s="203"/>
    </row>
    <row r="4742" spans="1:8">
      <c r="A4742" s="200"/>
      <c r="B4742" s="198"/>
      <c r="C4742" s="851"/>
      <c r="D4742" s="41"/>
      <c r="E4742" s="41"/>
      <c r="F4742" s="41"/>
      <c r="G4742" s="21"/>
      <c r="H4742" s="203"/>
    </row>
    <row r="4743" spans="1:8">
      <c r="A4743" s="200"/>
      <c r="B4743" s="198"/>
      <c r="C4743" s="851"/>
      <c r="D4743" s="41"/>
      <c r="E4743" s="41"/>
      <c r="F4743" s="41"/>
      <c r="G4743" s="21"/>
      <c r="H4743" s="203"/>
    </row>
    <row r="4744" spans="1:8">
      <c r="A4744" s="200"/>
      <c r="B4744" s="198"/>
      <c r="C4744" s="851"/>
      <c r="D4744" s="41"/>
      <c r="E4744" s="41"/>
      <c r="F4744" s="41"/>
      <c r="G4744" s="21"/>
      <c r="H4744" s="203"/>
    </row>
    <row r="4745" spans="1:8">
      <c r="A4745" s="200"/>
      <c r="B4745" s="198"/>
      <c r="C4745" s="851"/>
      <c r="D4745" s="41"/>
      <c r="E4745" s="41"/>
      <c r="F4745" s="41"/>
      <c r="G4745" s="21"/>
      <c r="H4745" s="203"/>
    </row>
    <row r="4746" spans="1:8">
      <c r="A4746" s="200"/>
      <c r="B4746" s="198"/>
      <c r="C4746" s="851"/>
      <c r="D4746" s="41"/>
      <c r="E4746" s="41"/>
      <c r="F4746" s="41"/>
      <c r="G4746" s="21"/>
      <c r="H4746" s="203"/>
    </row>
    <row r="4747" spans="1:8">
      <c r="A4747" s="200"/>
      <c r="B4747" s="198"/>
      <c r="C4747" s="851"/>
      <c r="D4747" s="41"/>
      <c r="E4747" s="41"/>
      <c r="F4747" s="41"/>
      <c r="G4747" s="21"/>
      <c r="H4747" s="203"/>
    </row>
    <row r="4748" spans="1:8">
      <c r="A4748" s="200"/>
      <c r="B4748" s="198"/>
      <c r="C4748" s="851"/>
      <c r="D4748" s="41"/>
      <c r="E4748" s="41"/>
      <c r="F4748" s="41"/>
      <c r="G4748" s="21"/>
      <c r="H4748" s="203"/>
    </row>
    <row r="4749" spans="1:8">
      <c r="A4749" s="200"/>
      <c r="B4749" s="198"/>
      <c r="C4749" s="851"/>
      <c r="D4749" s="41"/>
      <c r="E4749" s="41"/>
      <c r="F4749" s="41"/>
      <c r="G4749" s="21"/>
      <c r="H4749" s="203"/>
    </row>
    <row r="4750" spans="1:8">
      <c r="A4750" s="200"/>
      <c r="B4750" s="198"/>
      <c r="C4750" s="851"/>
      <c r="D4750" s="41"/>
      <c r="E4750" s="41"/>
      <c r="F4750" s="41"/>
      <c r="G4750" s="21"/>
      <c r="H4750" s="203"/>
    </row>
    <row r="4751" spans="1:8">
      <c r="A4751" s="200"/>
      <c r="B4751" s="198"/>
      <c r="C4751" s="851"/>
      <c r="D4751" s="41"/>
      <c r="E4751" s="41"/>
      <c r="F4751" s="41"/>
      <c r="G4751" s="21"/>
      <c r="H4751" s="203"/>
    </row>
    <row r="4752" spans="1:8">
      <c r="A4752" s="200"/>
      <c r="B4752" s="198"/>
      <c r="C4752" s="851"/>
      <c r="D4752" s="41"/>
      <c r="E4752" s="41"/>
      <c r="F4752" s="41"/>
      <c r="G4752" s="21"/>
      <c r="H4752" s="203"/>
    </row>
    <row r="4753" spans="1:8">
      <c r="A4753" s="200"/>
      <c r="B4753" s="198"/>
      <c r="C4753" s="851"/>
      <c r="D4753" s="41"/>
      <c r="E4753" s="41"/>
      <c r="F4753" s="41"/>
      <c r="G4753" s="21"/>
      <c r="H4753" s="203"/>
    </row>
    <row r="4754" spans="1:8">
      <c r="A4754" s="200"/>
      <c r="B4754" s="198"/>
      <c r="C4754" s="851"/>
      <c r="D4754" s="41"/>
      <c r="E4754" s="41"/>
      <c r="F4754" s="41"/>
      <c r="G4754" s="21"/>
      <c r="H4754" s="203"/>
    </row>
    <row r="4755" spans="1:8">
      <c r="A4755" s="200"/>
      <c r="B4755" s="198"/>
      <c r="C4755" s="851"/>
      <c r="D4755" s="41"/>
      <c r="E4755" s="41"/>
      <c r="F4755" s="41"/>
      <c r="G4755" s="21"/>
      <c r="H4755" s="203"/>
    </row>
    <row r="4756" spans="1:8">
      <c r="A4756" s="200"/>
      <c r="B4756" s="198"/>
      <c r="C4756" s="851"/>
      <c r="D4756" s="41"/>
      <c r="E4756" s="41"/>
      <c r="F4756" s="41"/>
      <c r="G4756" s="21"/>
      <c r="H4756" s="203"/>
    </row>
    <row r="4757" spans="1:8">
      <c r="A4757" s="200"/>
      <c r="B4757" s="198"/>
      <c r="C4757" s="851"/>
      <c r="D4757" s="41"/>
      <c r="E4757" s="41"/>
      <c r="F4757" s="41"/>
      <c r="G4757" s="21"/>
      <c r="H4757" s="203"/>
    </row>
    <row r="4758" spans="1:8">
      <c r="A4758" s="200"/>
      <c r="B4758" s="198"/>
      <c r="C4758" s="851"/>
      <c r="D4758" s="41"/>
      <c r="E4758" s="41"/>
      <c r="F4758" s="41"/>
      <c r="G4758" s="21"/>
      <c r="H4758" s="203"/>
    </row>
    <row r="4759" spans="1:8">
      <c r="A4759" s="200"/>
      <c r="B4759" s="198"/>
      <c r="C4759" s="851"/>
      <c r="D4759" s="41"/>
      <c r="E4759" s="41"/>
      <c r="F4759" s="41"/>
      <c r="G4759" s="21"/>
      <c r="H4759" s="203"/>
    </row>
    <row r="4760" spans="1:8">
      <c r="A4760" s="200"/>
      <c r="B4760" s="198"/>
      <c r="C4760" s="851"/>
      <c r="D4760" s="41"/>
      <c r="E4760" s="41"/>
      <c r="F4760" s="41"/>
      <c r="G4760" s="21"/>
      <c r="H4760" s="203"/>
    </row>
    <row r="4761" spans="1:8">
      <c r="A4761" s="200"/>
      <c r="B4761" s="198"/>
      <c r="C4761" s="851"/>
      <c r="D4761" s="41"/>
      <c r="E4761" s="41"/>
      <c r="F4761" s="41"/>
      <c r="G4761" s="21"/>
      <c r="H4761" s="203"/>
    </row>
    <row r="4762" spans="1:8">
      <c r="A4762" s="200"/>
      <c r="B4762" s="198"/>
      <c r="C4762" s="851"/>
      <c r="D4762" s="41"/>
      <c r="E4762" s="41"/>
      <c r="F4762" s="41"/>
      <c r="G4762" s="21"/>
      <c r="H4762" s="203"/>
    </row>
    <row r="4763" spans="1:8">
      <c r="A4763" s="200"/>
      <c r="B4763" s="198"/>
      <c r="C4763" s="851"/>
      <c r="D4763" s="41"/>
      <c r="E4763" s="41"/>
      <c r="F4763" s="41"/>
      <c r="G4763" s="21"/>
      <c r="H4763" s="203"/>
    </row>
    <row r="4764" spans="1:8">
      <c r="A4764" s="200"/>
      <c r="B4764" s="198"/>
      <c r="C4764" s="851"/>
      <c r="D4764" s="41"/>
      <c r="E4764" s="41"/>
      <c r="F4764" s="41"/>
      <c r="G4764" s="21"/>
      <c r="H4764" s="203"/>
    </row>
    <row r="4765" spans="1:8">
      <c r="A4765" s="200"/>
      <c r="B4765" s="198"/>
      <c r="C4765" s="851"/>
      <c r="D4765" s="41"/>
      <c r="E4765" s="41"/>
      <c r="F4765" s="41"/>
      <c r="G4765" s="21"/>
      <c r="H4765" s="203"/>
    </row>
    <row r="4766" spans="1:8">
      <c r="A4766" s="200"/>
      <c r="B4766" s="198"/>
      <c r="C4766" s="851"/>
      <c r="D4766" s="41"/>
      <c r="E4766" s="41"/>
      <c r="F4766" s="41"/>
      <c r="G4766" s="21"/>
      <c r="H4766" s="203"/>
    </row>
    <row r="4767" spans="1:8">
      <c r="A4767" s="200"/>
      <c r="B4767" s="198"/>
      <c r="C4767" s="851"/>
      <c r="D4767" s="41"/>
      <c r="E4767" s="41"/>
      <c r="F4767" s="41"/>
      <c r="G4767" s="21"/>
      <c r="H4767" s="203"/>
    </row>
    <row r="4768" spans="1:8">
      <c r="A4768" s="200"/>
      <c r="B4768" s="198"/>
      <c r="C4768" s="851"/>
      <c r="D4768" s="41"/>
      <c r="E4768" s="41"/>
      <c r="F4768" s="41"/>
      <c r="G4768" s="21"/>
      <c r="H4768" s="203"/>
    </row>
    <row r="4769" spans="1:8">
      <c r="A4769" s="200"/>
      <c r="B4769" s="198"/>
      <c r="C4769" s="851"/>
      <c r="D4769" s="41"/>
      <c r="E4769" s="41"/>
      <c r="F4769" s="41"/>
      <c r="G4769" s="21"/>
      <c r="H4769" s="203"/>
    </row>
    <row r="4770" spans="1:8">
      <c r="A4770" s="200"/>
      <c r="B4770" s="198"/>
      <c r="C4770" s="851"/>
      <c r="D4770" s="41"/>
      <c r="E4770" s="41"/>
      <c r="F4770" s="41"/>
      <c r="G4770" s="21"/>
      <c r="H4770" s="203"/>
    </row>
    <row r="4771" spans="1:8">
      <c r="A4771" s="200"/>
      <c r="B4771" s="198"/>
      <c r="C4771" s="851"/>
      <c r="D4771" s="41"/>
      <c r="E4771" s="41"/>
      <c r="F4771" s="41"/>
      <c r="G4771" s="21"/>
      <c r="H4771" s="203"/>
    </row>
    <row r="4772" spans="1:8">
      <c r="A4772" s="200"/>
      <c r="B4772" s="198"/>
      <c r="C4772" s="851"/>
      <c r="D4772" s="41"/>
      <c r="E4772" s="41"/>
      <c r="F4772" s="41"/>
      <c r="G4772" s="21"/>
      <c r="H4772" s="203"/>
    </row>
    <row r="4773" spans="1:8">
      <c r="A4773" s="200"/>
      <c r="B4773" s="198"/>
      <c r="C4773" s="851"/>
      <c r="D4773" s="41"/>
      <c r="E4773" s="41"/>
      <c r="F4773" s="41"/>
      <c r="G4773" s="21"/>
      <c r="H4773" s="203"/>
    </row>
    <row r="4774" spans="1:8">
      <c r="A4774" s="200"/>
      <c r="B4774" s="198"/>
      <c r="C4774" s="851"/>
      <c r="D4774" s="41"/>
      <c r="E4774" s="41"/>
      <c r="F4774" s="41"/>
      <c r="G4774" s="21"/>
      <c r="H4774" s="203"/>
    </row>
    <row r="4775" spans="1:8">
      <c r="A4775" s="200"/>
      <c r="B4775" s="198"/>
      <c r="C4775" s="851"/>
      <c r="D4775" s="41"/>
      <c r="E4775" s="41"/>
      <c r="F4775" s="41"/>
      <c r="G4775" s="21"/>
      <c r="H4775" s="203"/>
    </row>
    <row r="4776" spans="1:8">
      <c r="A4776" s="200"/>
      <c r="B4776" s="198"/>
      <c r="C4776" s="851"/>
      <c r="D4776" s="41"/>
      <c r="E4776" s="41"/>
      <c r="F4776" s="41"/>
      <c r="G4776" s="21"/>
      <c r="H4776" s="203"/>
    </row>
    <row r="4777" spans="1:8">
      <c r="A4777" s="200"/>
      <c r="B4777" s="198"/>
      <c r="C4777" s="851"/>
      <c r="D4777" s="41"/>
      <c r="E4777" s="41"/>
      <c r="F4777" s="41"/>
      <c r="G4777" s="21"/>
      <c r="H4777" s="203"/>
    </row>
    <row r="4778" spans="1:8">
      <c r="A4778" s="200"/>
      <c r="B4778" s="198"/>
      <c r="C4778" s="851"/>
      <c r="D4778" s="41"/>
      <c r="E4778" s="41"/>
      <c r="F4778" s="41"/>
      <c r="G4778" s="21"/>
      <c r="H4778" s="203"/>
    </row>
    <row r="4779" spans="1:8">
      <c r="A4779" s="200"/>
      <c r="B4779" s="198"/>
      <c r="C4779" s="851"/>
      <c r="D4779" s="41"/>
      <c r="E4779" s="41"/>
      <c r="F4779" s="41"/>
      <c r="G4779" s="21"/>
      <c r="H4779" s="203"/>
    </row>
    <row r="4780" spans="1:8">
      <c r="A4780" s="200"/>
      <c r="B4780" s="198"/>
      <c r="C4780" s="851"/>
      <c r="D4780" s="41"/>
      <c r="E4780" s="41"/>
      <c r="F4780" s="41"/>
      <c r="G4780" s="21"/>
      <c r="H4780" s="203"/>
    </row>
    <row r="4781" spans="1:8">
      <c r="A4781" s="200"/>
      <c r="B4781" s="198"/>
      <c r="C4781" s="851"/>
      <c r="D4781" s="41"/>
      <c r="E4781" s="41"/>
      <c r="F4781" s="41"/>
      <c r="G4781" s="21"/>
      <c r="H4781" s="203"/>
    </row>
    <row r="4782" spans="1:8">
      <c r="A4782" s="200"/>
      <c r="B4782" s="198"/>
      <c r="C4782" s="851"/>
      <c r="D4782" s="41"/>
      <c r="E4782" s="41"/>
      <c r="F4782" s="41"/>
      <c r="G4782" s="21"/>
      <c r="H4782" s="203"/>
    </row>
    <row r="4783" spans="1:8">
      <c r="A4783" s="200"/>
      <c r="B4783" s="198"/>
      <c r="C4783" s="851"/>
      <c r="D4783" s="41"/>
      <c r="E4783" s="41"/>
      <c r="F4783" s="41"/>
      <c r="G4783" s="21"/>
      <c r="H4783" s="203"/>
    </row>
    <row r="4784" spans="1:8">
      <c r="A4784" s="200"/>
      <c r="B4784" s="198"/>
      <c r="C4784" s="851"/>
      <c r="D4784" s="41"/>
      <c r="E4784" s="41"/>
      <c r="F4784" s="41"/>
      <c r="G4784" s="21"/>
      <c r="H4784" s="203"/>
    </row>
    <row r="4785" spans="1:8">
      <c r="A4785" s="200"/>
      <c r="B4785" s="198"/>
      <c r="C4785" s="851"/>
      <c r="D4785" s="41"/>
      <c r="E4785" s="41"/>
      <c r="F4785" s="41"/>
      <c r="G4785" s="21"/>
      <c r="H4785" s="203"/>
    </row>
    <row r="4786" spans="1:8">
      <c r="A4786" s="200"/>
      <c r="B4786" s="198"/>
      <c r="C4786" s="851"/>
      <c r="D4786" s="41"/>
      <c r="E4786" s="41"/>
      <c r="F4786" s="41"/>
      <c r="G4786" s="21"/>
      <c r="H4786" s="203"/>
    </row>
    <row r="4787" spans="1:8">
      <c r="A4787" s="200"/>
      <c r="B4787" s="198"/>
      <c r="C4787" s="851"/>
      <c r="D4787" s="41"/>
      <c r="E4787" s="41"/>
      <c r="F4787" s="41"/>
      <c r="G4787" s="21"/>
      <c r="H4787" s="203"/>
    </row>
    <row r="4788" spans="1:8">
      <c r="A4788" s="200"/>
      <c r="B4788" s="198"/>
      <c r="C4788" s="851"/>
      <c r="D4788" s="41"/>
      <c r="E4788" s="41"/>
      <c r="F4788" s="41"/>
      <c r="G4788" s="21"/>
      <c r="H4788" s="203"/>
    </row>
    <row r="4789" spans="1:8">
      <c r="A4789" s="200"/>
      <c r="B4789" s="198"/>
      <c r="C4789" s="851"/>
      <c r="D4789" s="41"/>
      <c r="E4789" s="41"/>
      <c r="F4789" s="41"/>
      <c r="G4789" s="21"/>
      <c r="H4789" s="203"/>
    </row>
    <row r="4790" spans="1:8">
      <c r="A4790" s="200"/>
      <c r="B4790" s="198"/>
      <c r="C4790" s="851"/>
      <c r="D4790" s="41"/>
      <c r="E4790" s="41"/>
      <c r="F4790" s="41"/>
      <c r="G4790" s="21"/>
      <c r="H4790" s="203"/>
    </row>
    <row r="4791" spans="1:8">
      <c r="A4791" s="200"/>
      <c r="B4791" s="198"/>
      <c r="C4791" s="851"/>
      <c r="D4791" s="41"/>
      <c r="E4791" s="41"/>
      <c r="F4791" s="41"/>
      <c r="G4791" s="21"/>
      <c r="H4791" s="203"/>
    </row>
    <row r="4792" spans="1:8">
      <c r="A4792" s="200"/>
      <c r="B4792" s="198"/>
      <c r="C4792" s="851"/>
      <c r="D4792" s="41"/>
      <c r="E4792" s="41"/>
      <c r="F4792" s="41"/>
      <c r="G4792" s="21"/>
      <c r="H4792" s="203"/>
    </row>
    <row r="4793" spans="1:8">
      <c r="A4793" s="200"/>
      <c r="B4793" s="198"/>
      <c r="C4793" s="851"/>
      <c r="D4793" s="41"/>
      <c r="E4793" s="41"/>
      <c r="F4793" s="41"/>
      <c r="G4793" s="21"/>
      <c r="H4793" s="203"/>
    </row>
    <row r="4794" spans="1:8">
      <c r="A4794" s="200"/>
      <c r="B4794" s="198"/>
      <c r="C4794" s="851"/>
      <c r="D4794" s="41"/>
      <c r="E4794" s="41"/>
      <c r="F4794" s="41"/>
      <c r="G4794" s="21"/>
      <c r="H4794" s="203"/>
    </row>
    <row r="4795" spans="1:8">
      <c r="A4795" s="200"/>
      <c r="B4795" s="198"/>
      <c r="C4795" s="851"/>
      <c r="D4795" s="41"/>
      <c r="E4795" s="41"/>
      <c r="F4795" s="41"/>
      <c r="G4795" s="21"/>
      <c r="H4795" s="203"/>
    </row>
    <row r="4796" spans="1:8">
      <c r="A4796" s="200"/>
      <c r="B4796" s="198"/>
      <c r="C4796" s="851"/>
      <c r="D4796" s="41"/>
      <c r="E4796" s="41"/>
      <c r="F4796" s="41"/>
      <c r="G4796" s="21"/>
      <c r="H4796" s="203"/>
    </row>
    <row r="4797" spans="1:8">
      <c r="A4797" s="200"/>
      <c r="B4797" s="198"/>
      <c r="C4797" s="851"/>
      <c r="D4797" s="41"/>
      <c r="E4797" s="41"/>
      <c r="F4797" s="41"/>
      <c r="G4797" s="21"/>
      <c r="H4797" s="203"/>
    </row>
    <row r="4798" spans="1:8">
      <c r="A4798" s="200"/>
      <c r="B4798" s="198"/>
      <c r="C4798" s="851"/>
      <c r="D4798" s="41"/>
      <c r="E4798" s="41"/>
      <c r="F4798" s="41"/>
      <c r="G4798" s="21"/>
      <c r="H4798" s="203"/>
    </row>
    <row r="4799" spans="1:8">
      <c r="A4799" s="200"/>
      <c r="B4799" s="198"/>
      <c r="C4799" s="851"/>
      <c r="D4799" s="41"/>
      <c r="E4799" s="41"/>
      <c r="F4799" s="41"/>
      <c r="G4799" s="21"/>
      <c r="H4799" s="203"/>
    </row>
    <row r="4800" spans="1:8">
      <c r="A4800" s="200"/>
      <c r="B4800" s="198"/>
      <c r="C4800" s="851"/>
      <c r="D4800" s="41"/>
      <c r="E4800" s="41"/>
      <c r="F4800" s="41"/>
      <c r="G4800" s="21"/>
      <c r="H4800" s="203"/>
    </row>
    <row r="4801" spans="1:8">
      <c r="A4801" s="200"/>
      <c r="B4801" s="198"/>
      <c r="C4801" s="851"/>
      <c r="D4801" s="41"/>
      <c r="E4801" s="41"/>
      <c r="F4801" s="41"/>
      <c r="G4801" s="21"/>
      <c r="H4801" s="203"/>
    </row>
    <row r="4802" spans="1:8">
      <c r="A4802" s="200"/>
      <c r="B4802" s="198"/>
      <c r="C4802" s="851"/>
      <c r="D4802" s="41"/>
      <c r="E4802" s="41"/>
      <c r="F4802" s="41"/>
      <c r="G4802" s="21"/>
      <c r="H4802" s="203"/>
    </row>
    <row r="4803" spans="1:8">
      <c r="A4803" s="200"/>
      <c r="B4803" s="198"/>
      <c r="C4803" s="851"/>
      <c r="D4803" s="41"/>
      <c r="E4803" s="41"/>
      <c r="F4803" s="41"/>
      <c r="G4803" s="21"/>
      <c r="H4803" s="203"/>
    </row>
    <row r="4804" spans="1:8">
      <c r="A4804" s="200"/>
      <c r="B4804" s="198"/>
      <c r="C4804" s="851"/>
      <c r="D4804" s="41"/>
      <c r="E4804" s="41"/>
      <c r="F4804" s="41"/>
      <c r="G4804" s="21"/>
      <c r="H4804" s="203"/>
    </row>
    <row r="4805" spans="1:8">
      <c r="A4805" s="200"/>
      <c r="B4805" s="198"/>
      <c r="C4805" s="851"/>
      <c r="D4805" s="41"/>
      <c r="E4805" s="41"/>
      <c r="F4805" s="41"/>
      <c r="G4805" s="21"/>
      <c r="H4805" s="203"/>
    </row>
    <row r="4806" spans="1:8">
      <c r="A4806" s="200"/>
      <c r="B4806" s="198"/>
      <c r="C4806" s="851"/>
      <c r="D4806" s="41"/>
      <c r="E4806" s="41"/>
      <c r="F4806" s="41"/>
      <c r="G4806" s="21"/>
      <c r="H4806" s="203"/>
    </row>
    <row r="4807" spans="1:8">
      <c r="A4807" s="200"/>
      <c r="B4807" s="198"/>
      <c r="C4807" s="851"/>
      <c r="D4807" s="41"/>
      <c r="E4807" s="41"/>
      <c r="F4807" s="41"/>
      <c r="G4807" s="21"/>
      <c r="H4807" s="203"/>
    </row>
    <row r="4808" spans="1:8">
      <c r="A4808" s="200"/>
      <c r="B4808" s="198"/>
      <c r="C4808" s="851"/>
      <c r="D4808" s="41"/>
      <c r="E4808" s="41"/>
      <c r="F4808" s="41"/>
      <c r="G4808" s="21"/>
      <c r="H4808" s="203"/>
    </row>
    <row r="4809" spans="1:8">
      <c r="A4809" s="200"/>
      <c r="B4809" s="198"/>
      <c r="C4809" s="851"/>
      <c r="D4809" s="41"/>
      <c r="E4809" s="41"/>
      <c r="F4809" s="41"/>
      <c r="G4809" s="21"/>
      <c r="H4809" s="203"/>
    </row>
    <row r="4810" spans="1:8">
      <c r="A4810" s="200"/>
      <c r="B4810" s="198"/>
      <c r="C4810" s="851"/>
      <c r="D4810" s="41"/>
      <c r="E4810" s="41"/>
      <c r="F4810" s="41"/>
      <c r="G4810" s="21"/>
      <c r="H4810" s="203"/>
    </row>
    <row r="4811" spans="1:8">
      <c r="A4811" s="200"/>
      <c r="B4811" s="198"/>
      <c r="C4811" s="851"/>
      <c r="D4811" s="41"/>
      <c r="E4811" s="41"/>
      <c r="F4811" s="41"/>
      <c r="G4811" s="21"/>
      <c r="H4811" s="203"/>
    </row>
    <row r="4812" spans="1:8">
      <c r="A4812" s="200"/>
      <c r="B4812" s="198"/>
      <c r="C4812" s="851"/>
      <c r="D4812" s="41"/>
      <c r="E4812" s="41"/>
      <c r="F4812" s="41"/>
      <c r="G4812" s="21"/>
      <c r="H4812" s="203"/>
    </row>
    <row r="4813" spans="1:8">
      <c r="A4813" s="200"/>
      <c r="B4813" s="198"/>
      <c r="C4813" s="851"/>
      <c r="D4813" s="41"/>
      <c r="E4813" s="41"/>
      <c r="F4813" s="41"/>
      <c r="G4813" s="21"/>
      <c r="H4813" s="203"/>
    </row>
    <row r="4814" spans="1:8">
      <c r="A4814" s="200"/>
      <c r="B4814" s="198"/>
      <c r="C4814" s="851"/>
      <c r="D4814" s="41"/>
      <c r="E4814" s="41"/>
      <c r="F4814" s="41"/>
      <c r="G4814" s="21"/>
      <c r="H4814" s="203"/>
    </row>
    <row r="4815" spans="1:8">
      <c r="A4815" s="200"/>
      <c r="B4815" s="198"/>
      <c r="C4815" s="851"/>
      <c r="D4815" s="41"/>
      <c r="E4815" s="41"/>
      <c r="F4815" s="41"/>
      <c r="G4815" s="21"/>
      <c r="H4815" s="203"/>
    </row>
    <row r="4816" spans="1:8">
      <c r="A4816" s="200"/>
      <c r="B4816" s="198"/>
      <c r="C4816" s="851"/>
      <c r="D4816" s="41"/>
      <c r="E4816" s="41"/>
      <c r="F4816" s="41"/>
      <c r="G4816" s="21"/>
      <c r="H4816" s="203"/>
    </row>
    <row r="4817" spans="1:8">
      <c r="A4817" s="200"/>
      <c r="B4817" s="198"/>
      <c r="C4817" s="851"/>
      <c r="D4817" s="41"/>
      <c r="E4817" s="41"/>
      <c r="F4817" s="41"/>
      <c r="G4817" s="21"/>
      <c r="H4817" s="203"/>
    </row>
    <row r="4818" spans="1:8">
      <c r="A4818" s="200"/>
      <c r="B4818" s="198"/>
      <c r="C4818" s="851"/>
      <c r="D4818" s="41"/>
      <c r="E4818" s="41"/>
      <c r="F4818" s="41"/>
      <c r="G4818" s="21"/>
      <c r="H4818" s="203"/>
    </row>
    <row r="4819" spans="1:8">
      <c r="A4819" s="200"/>
      <c r="B4819" s="198"/>
      <c r="C4819" s="851"/>
      <c r="D4819" s="41"/>
      <c r="E4819" s="41"/>
      <c r="F4819" s="41"/>
      <c r="G4819" s="21"/>
      <c r="H4819" s="203"/>
    </row>
    <row r="4820" spans="1:8">
      <c r="A4820" s="200"/>
      <c r="B4820" s="198"/>
      <c r="C4820" s="851"/>
      <c r="D4820" s="41"/>
      <c r="E4820" s="41"/>
      <c r="F4820" s="41"/>
      <c r="G4820" s="21"/>
      <c r="H4820" s="203"/>
    </row>
    <row r="4821" spans="1:8">
      <c r="A4821" s="200"/>
      <c r="B4821" s="198"/>
      <c r="C4821" s="851"/>
      <c r="D4821" s="41"/>
      <c r="E4821" s="41"/>
      <c r="F4821" s="41"/>
      <c r="G4821" s="21"/>
      <c r="H4821" s="203"/>
    </row>
    <row r="4822" spans="1:8">
      <c r="A4822" s="200"/>
      <c r="B4822" s="198"/>
      <c r="C4822" s="851"/>
      <c r="D4822" s="41"/>
      <c r="E4822" s="41"/>
      <c r="F4822" s="41"/>
      <c r="G4822" s="21"/>
      <c r="H4822" s="203"/>
    </row>
    <row r="4823" spans="1:8">
      <c r="A4823" s="200"/>
      <c r="B4823" s="198"/>
      <c r="C4823" s="851"/>
      <c r="D4823" s="41"/>
      <c r="E4823" s="41"/>
      <c r="F4823" s="41"/>
      <c r="G4823" s="21"/>
      <c r="H4823" s="203"/>
    </row>
    <row r="4824" spans="1:8">
      <c r="A4824" s="200"/>
      <c r="B4824" s="198"/>
      <c r="C4824" s="851"/>
      <c r="D4824" s="41"/>
      <c r="E4824" s="41"/>
      <c r="F4824" s="41"/>
      <c r="G4824" s="21"/>
      <c r="H4824" s="203"/>
    </row>
    <row r="4825" spans="1:8">
      <c r="A4825" s="200"/>
      <c r="B4825" s="198"/>
      <c r="C4825" s="851"/>
      <c r="D4825" s="41"/>
      <c r="E4825" s="41"/>
      <c r="F4825" s="41"/>
      <c r="G4825" s="21"/>
      <c r="H4825" s="203"/>
    </row>
    <row r="4826" spans="1:8">
      <c r="A4826" s="200"/>
      <c r="B4826" s="198"/>
      <c r="C4826" s="851"/>
      <c r="D4826" s="41"/>
      <c r="E4826" s="41"/>
      <c r="F4826" s="41"/>
      <c r="G4826" s="21"/>
      <c r="H4826" s="203"/>
    </row>
    <row r="4827" spans="1:8">
      <c r="A4827" s="200"/>
      <c r="B4827" s="198"/>
      <c r="C4827" s="851"/>
      <c r="D4827" s="41"/>
      <c r="E4827" s="41"/>
      <c r="F4827" s="41"/>
      <c r="G4827" s="21"/>
      <c r="H4827" s="203"/>
    </row>
    <row r="4828" spans="1:8">
      <c r="A4828" s="200"/>
      <c r="B4828" s="198"/>
      <c r="C4828" s="851"/>
      <c r="D4828" s="41"/>
      <c r="E4828" s="41"/>
      <c r="F4828" s="41"/>
      <c r="G4828" s="21"/>
      <c r="H4828" s="203"/>
    </row>
    <row r="4829" spans="1:8">
      <c r="A4829" s="200"/>
      <c r="B4829" s="198"/>
      <c r="C4829" s="851"/>
      <c r="D4829" s="41"/>
      <c r="E4829" s="41"/>
      <c r="F4829" s="41"/>
      <c r="G4829" s="21"/>
      <c r="H4829" s="203"/>
    </row>
    <row r="4830" spans="1:8">
      <c r="A4830" s="200"/>
      <c r="B4830" s="198"/>
      <c r="C4830" s="851"/>
      <c r="D4830" s="41"/>
      <c r="E4830" s="41"/>
      <c r="F4830" s="41"/>
      <c r="G4830" s="21"/>
      <c r="H4830" s="203"/>
    </row>
    <row r="4831" spans="1:8">
      <c r="A4831" s="200"/>
      <c r="B4831" s="198"/>
      <c r="C4831" s="851"/>
      <c r="D4831" s="41"/>
      <c r="E4831" s="41"/>
      <c r="F4831" s="41"/>
      <c r="G4831" s="21"/>
      <c r="H4831" s="203"/>
    </row>
    <row r="4832" spans="1:8">
      <c r="A4832" s="200"/>
      <c r="B4832" s="198"/>
      <c r="C4832" s="851"/>
      <c r="D4832" s="41"/>
      <c r="E4832" s="41"/>
      <c r="F4832" s="41"/>
      <c r="G4832" s="21"/>
      <c r="H4832" s="203"/>
    </row>
    <row r="4833" spans="1:8">
      <c r="A4833" s="200"/>
      <c r="B4833" s="198"/>
      <c r="C4833" s="851"/>
      <c r="D4833" s="41"/>
      <c r="E4833" s="41"/>
      <c r="F4833" s="41"/>
      <c r="G4833" s="21"/>
      <c r="H4833" s="203"/>
    </row>
    <row r="4834" spans="1:8">
      <c r="A4834" s="200"/>
      <c r="B4834" s="198"/>
      <c r="C4834" s="851"/>
      <c r="D4834" s="41"/>
      <c r="E4834" s="41"/>
      <c r="F4834" s="41"/>
      <c r="G4834" s="21"/>
      <c r="H4834" s="203"/>
    </row>
    <row r="4835" spans="1:8">
      <c r="A4835" s="200"/>
      <c r="B4835" s="198"/>
      <c r="C4835" s="851"/>
      <c r="D4835" s="41"/>
      <c r="E4835" s="41"/>
      <c r="F4835" s="41"/>
      <c r="G4835" s="21"/>
      <c r="H4835" s="203"/>
    </row>
    <row r="4836" spans="1:8">
      <c r="A4836" s="200"/>
      <c r="B4836" s="198"/>
      <c r="C4836" s="851"/>
      <c r="D4836" s="41"/>
      <c r="E4836" s="41"/>
      <c r="F4836" s="41"/>
      <c r="G4836" s="21"/>
      <c r="H4836" s="203"/>
    </row>
    <row r="4837" spans="1:8">
      <c r="A4837" s="200"/>
      <c r="B4837" s="198"/>
      <c r="C4837" s="851"/>
      <c r="D4837" s="41"/>
      <c r="E4837" s="41"/>
      <c r="F4837" s="41"/>
      <c r="G4837" s="21"/>
      <c r="H4837" s="203"/>
    </row>
    <row r="4838" spans="1:8">
      <c r="A4838" s="200"/>
      <c r="B4838" s="198"/>
      <c r="C4838" s="851"/>
      <c r="D4838" s="41"/>
      <c r="E4838" s="41"/>
      <c r="F4838" s="41"/>
      <c r="G4838" s="21"/>
      <c r="H4838" s="203"/>
    </row>
    <row r="4839" spans="1:8">
      <c r="A4839" s="200"/>
      <c r="B4839" s="198"/>
      <c r="C4839" s="851"/>
      <c r="D4839" s="41"/>
      <c r="E4839" s="41"/>
      <c r="F4839" s="41"/>
      <c r="G4839" s="21"/>
      <c r="H4839" s="203"/>
    </row>
    <row r="4840" spans="1:8">
      <c r="A4840" s="200"/>
      <c r="B4840" s="198"/>
      <c r="C4840" s="851"/>
      <c r="D4840" s="41"/>
      <c r="E4840" s="41"/>
      <c r="F4840" s="41"/>
      <c r="G4840" s="21"/>
      <c r="H4840" s="203"/>
    </row>
    <row r="4841" spans="1:8">
      <c r="A4841" s="200"/>
      <c r="B4841" s="198"/>
      <c r="C4841" s="851"/>
      <c r="D4841" s="41"/>
      <c r="E4841" s="41"/>
      <c r="F4841" s="41"/>
      <c r="G4841" s="21"/>
      <c r="H4841" s="203"/>
    </row>
    <row r="4842" spans="1:8">
      <c r="A4842" s="200"/>
      <c r="B4842" s="198"/>
      <c r="C4842" s="851"/>
      <c r="D4842" s="41"/>
      <c r="E4842" s="41"/>
      <c r="F4842" s="41"/>
      <c r="G4842" s="21"/>
      <c r="H4842" s="203"/>
    </row>
    <row r="4843" spans="1:8">
      <c r="A4843" s="200"/>
      <c r="B4843" s="198"/>
      <c r="C4843" s="851"/>
      <c r="D4843" s="41"/>
      <c r="E4843" s="41"/>
      <c r="F4843" s="41"/>
      <c r="G4843" s="21"/>
      <c r="H4843" s="203"/>
    </row>
    <row r="4844" spans="1:8">
      <c r="A4844" s="200"/>
      <c r="B4844" s="198"/>
      <c r="C4844" s="851"/>
      <c r="D4844" s="41"/>
      <c r="E4844" s="41"/>
      <c r="F4844" s="41"/>
      <c r="G4844" s="21"/>
      <c r="H4844" s="203"/>
    </row>
    <row r="4845" spans="1:8">
      <c r="A4845" s="200"/>
      <c r="B4845" s="198"/>
      <c r="C4845" s="851"/>
      <c r="D4845" s="41"/>
      <c r="E4845" s="41"/>
      <c r="F4845" s="41"/>
      <c r="G4845" s="21"/>
      <c r="H4845" s="203"/>
    </row>
    <row r="4846" spans="1:8">
      <c r="A4846" s="200"/>
      <c r="B4846" s="198"/>
      <c r="C4846" s="851"/>
      <c r="D4846" s="41"/>
      <c r="E4846" s="41"/>
      <c r="F4846" s="41"/>
      <c r="G4846" s="21"/>
      <c r="H4846" s="203"/>
    </row>
    <row r="4847" spans="1:8">
      <c r="A4847" s="200"/>
      <c r="B4847" s="198"/>
      <c r="C4847" s="851"/>
      <c r="D4847" s="41"/>
      <c r="E4847" s="41"/>
      <c r="F4847" s="41"/>
      <c r="G4847" s="21"/>
      <c r="H4847" s="203"/>
    </row>
    <row r="4848" spans="1:8">
      <c r="A4848" s="200"/>
      <c r="B4848" s="198"/>
      <c r="C4848" s="851"/>
      <c r="D4848" s="41"/>
      <c r="E4848" s="41"/>
      <c r="F4848" s="41"/>
      <c r="G4848" s="21"/>
      <c r="H4848" s="203"/>
    </row>
    <row r="4849" spans="1:8">
      <c r="A4849" s="200"/>
      <c r="B4849" s="198"/>
      <c r="C4849" s="851"/>
      <c r="D4849" s="41"/>
      <c r="E4849" s="41"/>
      <c r="F4849" s="41"/>
      <c r="G4849" s="21"/>
      <c r="H4849" s="203"/>
    </row>
    <row r="4850" spans="1:8">
      <c r="A4850" s="200"/>
      <c r="B4850" s="198"/>
      <c r="C4850" s="851"/>
      <c r="D4850" s="41"/>
      <c r="E4850" s="41"/>
      <c r="F4850" s="41"/>
      <c r="G4850" s="21"/>
      <c r="H4850" s="203"/>
    </row>
    <row r="4851" spans="1:8">
      <c r="A4851" s="200"/>
      <c r="B4851" s="198"/>
      <c r="C4851" s="851"/>
      <c r="D4851" s="41"/>
      <c r="E4851" s="41"/>
      <c r="F4851" s="41"/>
      <c r="G4851" s="21"/>
      <c r="H4851" s="203"/>
    </row>
    <row r="4852" spans="1:8">
      <c r="A4852" s="200"/>
      <c r="B4852" s="198"/>
      <c r="C4852" s="851"/>
      <c r="D4852" s="41"/>
      <c r="E4852" s="41"/>
      <c r="F4852" s="41"/>
      <c r="G4852" s="21"/>
      <c r="H4852" s="203"/>
    </row>
    <row r="4853" spans="1:8">
      <c r="A4853" s="200"/>
      <c r="B4853" s="198"/>
      <c r="C4853" s="851"/>
      <c r="D4853" s="41"/>
      <c r="E4853" s="41"/>
      <c r="F4853" s="41"/>
      <c r="G4853" s="21"/>
      <c r="H4853" s="203"/>
    </row>
    <row r="4854" spans="1:8">
      <c r="A4854" s="200"/>
      <c r="B4854" s="198"/>
      <c r="C4854" s="851"/>
      <c r="D4854" s="41"/>
      <c r="E4854" s="41"/>
      <c r="F4854" s="41"/>
      <c r="G4854" s="21"/>
      <c r="H4854" s="203"/>
    </row>
    <row r="4855" spans="1:8">
      <c r="A4855" s="200"/>
      <c r="B4855" s="198"/>
      <c r="C4855" s="851"/>
      <c r="D4855" s="41"/>
      <c r="E4855" s="41"/>
      <c r="F4855" s="41"/>
      <c r="G4855" s="21"/>
      <c r="H4855" s="203"/>
    </row>
    <row r="4856" spans="1:8">
      <c r="A4856" s="200"/>
      <c r="B4856" s="198"/>
      <c r="C4856" s="851"/>
      <c r="D4856" s="41"/>
      <c r="E4856" s="41"/>
      <c r="F4856" s="41"/>
      <c r="G4856" s="21"/>
      <c r="H4856" s="203"/>
    </row>
    <row r="4857" spans="1:8">
      <c r="A4857" s="200"/>
      <c r="B4857" s="198"/>
      <c r="C4857" s="851"/>
      <c r="D4857" s="41"/>
      <c r="E4857" s="41"/>
      <c r="F4857" s="41"/>
      <c r="G4857" s="21"/>
      <c r="H4857" s="203"/>
    </row>
    <row r="4858" spans="1:8">
      <c r="A4858" s="200"/>
      <c r="B4858" s="198"/>
      <c r="C4858" s="851"/>
      <c r="D4858" s="41"/>
      <c r="E4858" s="41"/>
      <c r="F4858" s="41"/>
      <c r="G4858" s="21"/>
      <c r="H4858" s="203"/>
    </row>
    <row r="4859" spans="1:8">
      <c r="A4859" s="200"/>
      <c r="B4859" s="198"/>
      <c r="C4859" s="851"/>
      <c r="D4859" s="41"/>
      <c r="E4859" s="41"/>
      <c r="F4859" s="41"/>
      <c r="G4859" s="21"/>
      <c r="H4859" s="203"/>
    </row>
    <row r="4860" spans="1:8">
      <c r="A4860" s="200"/>
      <c r="B4860" s="198"/>
      <c r="C4860" s="851"/>
      <c r="D4860" s="41"/>
      <c r="E4860" s="41"/>
      <c r="F4860" s="41"/>
      <c r="G4860" s="21"/>
      <c r="H4860" s="203"/>
    </row>
    <row r="4861" spans="1:8">
      <c r="A4861" s="200"/>
      <c r="B4861" s="198"/>
      <c r="C4861" s="851"/>
      <c r="D4861" s="41"/>
      <c r="E4861" s="41"/>
      <c r="F4861" s="41"/>
      <c r="G4861" s="21"/>
      <c r="H4861" s="203"/>
    </row>
    <row r="4862" spans="1:8">
      <c r="A4862" s="200"/>
      <c r="B4862" s="198"/>
      <c r="C4862" s="851"/>
      <c r="D4862" s="41"/>
      <c r="E4862" s="41"/>
      <c r="F4862" s="41"/>
      <c r="G4862" s="21"/>
      <c r="H4862" s="203"/>
    </row>
    <row r="4863" spans="1:8">
      <c r="A4863" s="200"/>
      <c r="B4863" s="198"/>
      <c r="C4863" s="851"/>
      <c r="D4863" s="41"/>
      <c r="E4863" s="41"/>
      <c r="F4863" s="41"/>
      <c r="G4863" s="21"/>
      <c r="H4863" s="203"/>
    </row>
    <row r="4864" spans="1:8">
      <c r="A4864" s="200"/>
      <c r="B4864" s="198"/>
      <c r="C4864" s="851"/>
      <c r="D4864" s="41"/>
      <c r="E4864" s="41"/>
      <c r="F4864" s="41"/>
      <c r="G4864" s="21"/>
      <c r="H4864" s="203"/>
    </row>
    <row r="4865" spans="1:8">
      <c r="A4865" s="200"/>
      <c r="B4865" s="198"/>
      <c r="C4865" s="851"/>
      <c r="D4865" s="41"/>
      <c r="E4865" s="41"/>
      <c r="F4865" s="41"/>
      <c r="G4865" s="21"/>
      <c r="H4865" s="203"/>
    </row>
    <row r="4866" spans="1:8">
      <c r="A4866" s="200"/>
      <c r="B4866" s="198"/>
      <c r="C4866" s="851"/>
      <c r="D4866" s="41"/>
      <c r="E4866" s="41"/>
      <c r="F4866" s="41"/>
      <c r="G4866" s="21"/>
      <c r="H4866" s="203"/>
    </row>
    <row r="4867" spans="1:8">
      <c r="A4867" s="200"/>
      <c r="B4867" s="198"/>
      <c r="C4867" s="851"/>
      <c r="D4867" s="41"/>
      <c r="E4867" s="41"/>
      <c r="F4867" s="41"/>
      <c r="G4867" s="21"/>
      <c r="H4867" s="203"/>
    </row>
    <row r="4868" spans="1:8">
      <c r="A4868" s="200"/>
      <c r="B4868" s="198"/>
      <c r="C4868" s="851"/>
      <c r="D4868" s="41"/>
      <c r="E4868" s="41"/>
      <c r="F4868" s="41"/>
      <c r="G4868" s="21"/>
      <c r="H4868" s="203"/>
    </row>
    <row r="4869" spans="1:8">
      <c r="A4869" s="200"/>
      <c r="B4869" s="198"/>
      <c r="C4869" s="851"/>
      <c r="D4869" s="41"/>
      <c r="E4869" s="41"/>
      <c r="F4869" s="41"/>
      <c r="G4869" s="21"/>
      <c r="H4869" s="203"/>
    </row>
    <row r="4870" spans="1:8">
      <c r="A4870" s="200"/>
      <c r="B4870" s="198"/>
      <c r="C4870" s="851"/>
      <c r="D4870" s="41"/>
      <c r="E4870" s="41"/>
      <c r="F4870" s="41"/>
      <c r="G4870" s="21"/>
      <c r="H4870" s="203"/>
    </row>
    <row r="4871" spans="1:8">
      <c r="A4871" s="200"/>
      <c r="B4871" s="198"/>
      <c r="C4871" s="851"/>
      <c r="D4871" s="41"/>
      <c r="E4871" s="41"/>
      <c r="F4871" s="41"/>
      <c r="G4871" s="21"/>
      <c r="H4871" s="203"/>
    </row>
    <row r="4872" spans="1:8">
      <c r="A4872" s="200"/>
      <c r="B4872" s="198"/>
      <c r="C4872" s="851"/>
      <c r="D4872" s="41"/>
      <c r="E4872" s="41"/>
      <c r="F4872" s="41"/>
      <c r="G4872" s="21"/>
      <c r="H4872" s="203"/>
    </row>
    <row r="4873" spans="1:8">
      <c r="A4873" s="200"/>
      <c r="B4873" s="198"/>
      <c r="C4873" s="851"/>
      <c r="D4873" s="41"/>
      <c r="E4873" s="41"/>
      <c r="F4873" s="41"/>
      <c r="G4873" s="21"/>
      <c r="H4873" s="203"/>
    </row>
    <row r="4874" spans="1:8">
      <c r="A4874" s="200"/>
      <c r="B4874" s="198"/>
      <c r="C4874" s="851"/>
      <c r="D4874" s="41"/>
      <c r="E4874" s="41"/>
      <c r="F4874" s="41"/>
      <c r="G4874" s="21"/>
      <c r="H4874" s="203"/>
    </row>
    <row r="4875" spans="1:8">
      <c r="A4875" s="200"/>
      <c r="B4875" s="198"/>
      <c r="C4875" s="851"/>
      <c r="D4875" s="41"/>
      <c r="E4875" s="41"/>
      <c r="F4875" s="41"/>
      <c r="G4875" s="21"/>
      <c r="H4875" s="203"/>
    </row>
    <row r="4876" spans="1:8">
      <c r="A4876" s="200"/>
      <c r="B4876" s="198"/>
      <c r="C4876" s="851"/>
      <c r="D4876" s="41"/>
      <c r="E4876" s="41"/>
      <c r="F4876" s="41"/>
      <c r="G4876" s="21"/>
      <c r="H4876" s="203"/>
    </row>
    <row r="4877" spans="1:8">
      <c r="A4877" s="200"/>
      <c r="B4877" s="198"/>
      <c r="C4877" s="851"/>
      <c r="D4877" s="41"/>
      <c r="E4877" s="41"/>
      <c r="F4877" s="41"/>
      <c r="G4877" s="21"/>
      <c r="H4877" s="203"/>
    </row>
    <row r="4878" spans="1:8">
      <c r="A4878" s="200"/>
      <c r="B4878" s="198"/>
      <c r="C4878" s="851"/>
      <c r="D4878" s="41"/>
      <c r="E4878" s="41"/>
      <c r="F4878" s="41"/>
      <c r="G4878" s="21"/>
      <c r="H4878" s="203"/>
    </row>
    <row r="4879" spans="1:8">
      <c r="A4879" s="200"/>
      <c r="B4879" s="198"/>
      <c r="C4879" s="851"/>
      <c r="D4879" s="41"/>
      <c r="E4879" s="41"/>
      <c r="F4879" s="41"/>
      <c r="G4879" s="21"/>
      <c r="H4879" s="203"/>
    </row>
    <row r="4880" spans="1:8">
      <c r="A4880" s="200"/>
      <c r="B4880" s="198"/>
      <c r="C4880" s="851"/>
      <c r="D4880" s="41"/>
      <c r="E4880" s="41"/>
      <c r="F4880" s="41"/>
      <c r="G4880" s="21"/>
      <c r="H4880" s="203"/>
    </row>
    <row r="4881" spans="1:8">
      <c r="A4881" s="200"/>
      <c r="B4881" s="198"/>
      <c r="C4881" s="851"/>
      <c r="D4881" s="41"/>
      <c r="E4881" s="41"/>
      <c r="F4881" s="41"/>
      <c r="G4881" s="21"/>
      <c r="H4881" s="203"/>
    </row>
    <row r="4882" spans="1:8">
      <c r="A4882" s="200"/>
      <c r="B4882" s="198"/>
      <c r="C4882" s="851"/>
      <c r="D4882" s="41"/>
      <c r="E4882" s="41"/>
      <c r="F4882" s="41"/>
      <c r="G4882" s="21"/>
      <c r="H4882" s="203"/>
    </row>
    <row r="4883" spans="1:8">
      <c r="A4883" s="200"/>
      <c r="B4883" s="198"/>
      <c r="C4883" s="851"/>
      <c r="D4883" s="41"/>
      <c r="E4883" s="41"/>
      <c r="F4883" s="41"/>
      <c r="G4883" s="21"/>
      <c r="H4883" s="203"/>
    </row>
    <row r="4884" spans="1:8">
      <c r="A4884" s="200"/>
      <c r="B4884" s="198"/>
      <c r="C4884" s="851"/>
      <c r="D4884" s="41"/>
      <c r="E4884" s="41"/>
      <c r="F4884" s="41"/>
      <c r="G4884" s="21"/>
      <c r="H4884" s="203"/>
    </row>
    <row r="4885" spans="1:8">
      <c r="A4885" s="200"/>
      <c r="B4885" s="198"/>
      <c r="C4885" s="851"/>
      <c r="D4885" s="41"/>
      <c r="E4885" s="41"/>
      <c r="F4885" s="41"/>
      <c r="G4885" s="21"/>
      <c r="H4885" s="203"/>
    </row>
    <row r="4886" spans="1:8">
      <c r="A4886" s="200"/>
      <c r="B4886" s="198"/>
      <c r="C4886" s="851"/>
      <c r="D4886" s="41"/>
      <c r="E4886" s="41"/>
      <c r="F4886" s="41"/>
      <c r="G4886" s="21"/>
      <c r="H4886" s="203"/>
    </row>
    <row r="4887" spans="1:8">
      <c r="A4887" s="200"/>
      <c r="B4887" s="198"/>
      <c r="C4887" s="851"/>
      <c r="D4887" s="41"/>
      <c r="E4887" s="41"/>
      <c r="F4887" s="41"/>
      <c r="G4887" s="21"/>
      <c r="H4887" s="203"/>
    </row>
    <row r="4888" spans="1:8">
      <c r="A4888" s="200"/>
      <c r="B4888" s="198"/>
      <c r="C4888" s="851"/>
      <c r="D4888" s="41"/>
      <c r="E4888" s="41"/>
      <c r="F4888" s="41"/>
      <c r="G4888" s="21"/>
      <c r="H4888" s="203"/>
    </row>
    <row r="4889" spans="1:8">
      <c r="A4889" s="200"/>
      <c r="B4889" s="198"/>
      <c r="C4889" s="851"/>
      <c r="D4889" s="41"/>
      <c r="E4889" s="41"/>
      <c r="F4889" s="41"/>
      <c r="G4889" s="21"/>
      <c r="H4889" s="203"/>
    </row>
    <row r="4890" spans="1:8">
      <c r="A4890" s="200"/>
      <c r="B4890" s="198"/>
      <c r="C4890" s="851"/>
      <c r="D4890" s="41"/>
      <c r="E4890" s="41"/>
      <c r="F4890" s="41"/>
      <c r="G4890" s="21"/>
      <c r="H4890" s="203"/>
    </row>
    <row r="4891" spans="1:8">
      <c r="A4891" s="200"/>
      <c r="B4891" s="198"/>
      <c r="C4891" s="851"/>
      <c r="D4891" s="41"/>
      <c r="E4891" s="41"/>
      <c r="F4891" s="41"/>
      <c r="G4891" s="21"/>
      <c r="H4891" s="203"/>
    </row>
    <row r="4892" spans="1:8">
      <c r="A4892" s="200"/>
      <c r="B4892" s="198"/>
      <c r="C4892" s="851"/>
      <c r="D4892" s="41"/>
      <c r="E4892" s="41"/>
      <c r="F4892" s="41"/>
      <c r="G4892" s="21"/>
      <c r="H4892" s="203"/>
    </row>
    <row r="4893" spans="1:8">
      <c r="A4893" s="200"/>
      <c r="B4893" s="198"/>
      <c r="C4893" s="851"/>
      <c r="D4893" s="41"/>
      <c r="E4893" s="41"/>
      <c r="F4893" s="41"/>
      <c r="G4893" s="21"/>
      <c r="H4893" s="203"/>
    </row>
    <row r="4894" spans="1:8">
      <c r="A4894" s="200"/>
      <c r="B4894" s="198"/>
      <c r="C4894" s="851"/>
      <c r="D4894" s="41"/>
      <c r="E4894" s="41"/>
      <c r="F4894" s="41"/>
      <c r="G4894" s="21"/>
      <c r="H4894" s="203"/>
    </row>
    <row r="4895" spans="1:8">
      <c r="A4895" s="200"/>
      <c r="B4895" s="198"/>
      <c r="C4895" s="851"/>
      <c r="D4895" s="41"/>
      <c r="E4895" s="41"/>
      <c r="F4895" s="41"/>
      <c r="G4895" s="21"/>
      <c r="H4895" s="203"/>
    </row>
    <row r="4896" spans="1:8">
      <c r="A4896" s="200"/>
      <c r="B4896" s="198"/>
      <c r="C4896" s="851"/>
      <c r="D4896" s="41"/>
      <c r="E4896" s="41"/>
      <c r="F4896" s="41"/>
      <c r="G4896" s="21"/>
      <c r="H4896" s="203"/>
    </row>
    <row r="4897" spans="1:8">
      <c r="A4897" s="200"/>
      <c r="B4897" s="198"/>
      <c r="C4897" s="851"/>
      <c r="D4897" s="41"/>
      <c r="E4897" s="41"/>
      <c r="F4897" s="41"/>
      <c r="G4897" s="21"/>
      <c r="H4897" s="203"/>
    </row>
    <row r="4898" spans="1:8">
      <c r="A4898" s="200"/>
      <c r="B4898" s="198"/>
      <c r="C4898" s="851"/>
      <c r="D4898" s="41"/>
      <c r="E4898" s="41"/>
      <c r="F4898" s="41"/>
      <c r="G4898" s="21"/>
      <c r="H4898" s="203"/>
    </row>
    <row r="4899" spans="1:8">
      <c r="A4899" s="200"/>
      <c r="B4899" s="198"/>
      <c r="C4899" s="851"/>
      <c r="D4899" s="41"/>
      <c r="E4899" s="41"/>
      <c r="F4899" s="41"/>
      <c r="G4899" s="21"/>
      <c r="H4899" s="203"/>
    </row>
    <row r="4900" spans="1:8">
      <c r="A4900" s="200"/>
      <c r="B4900" s="198"/>
      <c r="C4900" s="851"/>
      <c r="D4900" s="41"/>
      <c r="E4900" s="41"/>
      <c r="F4900" s="41"/>
      <c r="G4900" s="21"/>
      <c r="H4900" s="203"/>
    </row>
    <row r="4901" spans="1:8">
      <c r="A4901" s="200"/>
      <c r="B4901" s="198"/>
      <c r="C4901" s="851"/>
      <c r="D4901" s="41"/>
      <c r="E4901" s="41"/>
      <c r="F4901" s="41"/>
      <c r="G4901" s="21"/>
      <c r="H4901" s="203"/>
    </row>
    <row r="4902" spans="1:8">
      <c r="A4902" s="200"/>
      <c r="B4902" s="198"/>
      <c r="C4902" s="851"/>
      <c r="D4902" s="41"/>
      <c r="E4902" s="41"/>
      <c r="F4902" s="41"/>
      <c r="G4902" s="21"/>
      <c r="H4902" s="203"/>
    </row>
    <row r="4903" spans="1:8">
      <c r="A4903" s="200"/>
      <c r="B4903" s="198"/>
      <c r="C4903" s="851"/>
      <c r="D4903" s="41"/>
      <c r="E4903" s="41"/>
      <c r="F4903" s="41"/>
      <c r="G4903" s="21"/>
      <c r="H4903" s="203"/>
    </row>
    <row r="4904" spans="1:8">
      <c r="A4904" s="200"/>
      <c r="B4904" s="198"/>
      <c r="C4904" s="851"/>
      <c r="D4904" s="41"/>
      <c r="E4904" s="41"/>
      <c r="F4904" s="41"/>
      <c r="G4904" s="21"/>
      <c r="H4904" s="203"/>
    </row>
    <row r="4905" spans="1:8">
      <c r="A4905" s="200"/>
      <c r="B4905" s="198"/>
      <c r="C4905" s="851"/>
      <c r="D4905" s="41"/>
      <c r="E4905" s="41"/>
      <c r="F4905" s="41"/>
      <c r="G4905" s="21"/>
      <c r="H4905" s="203"/>
    </row>
    <row r="4906" spans="1:8">
      <c r="A4906" s="200"/>
      <c r="B4906" s="198"/>
      <c r="C4906" s="851"/>
      <c r="D4906" s="41"/>
      <c r="E4906" s="41"/>
      <c r="F4906" s="41"/>
      <c r="G4906" s="21"/>
      <c r="H4906" s="203"/>
    </row>
    <row r="4907" spans="1:8">
      <c r="A4907" s="200"/>
      <c r="B4907" s="198"/>
      <c r="C4907" s="851"/>
      <c r="D4907" s="41"/>
      <c r="E4907" s="41"/>
      <c r="F4907" s="41"/>
      <c r="G4907" s="21"/>
      <c r="H4907" s="203"/>
    </row>
    <row r="4908" spans="1:8">
      <c r="A4908" s="200"/>
      <c r="B4908" s="198"/>
      <c r="C4908" s="851"/>
      <c r="D4908" s="41"/>
      <c r="E4908" s="41"/>
      <c r="F4908" s="41"/>
      <c r="G4908" s="21"/>
      <c r="H4908" s="203"/>
    </row>
    <row r="4909" spans="1:8">
      <c r="A4909" s="200"/>
      <c r="B4909" s="198"/>
      <c r="C4909" s="851"/>
      <c r="D4909" s="41"/>
      <c r="E4909" s="41"/>
      <c r="F4909" s="41"/>
      <c r="G4909" s="21"/>
      <c r="H4909" s="203"/>
    </row>
    <row r="4910" spans="1:8">
      <c r="A4910" s="200"/>
      <c r="B4910" s="198"/>
      <c r="C4910" s="851"/>
      <c r="D4910" s="41"/>
      <c r="E4910" s="41"/>
      <c r="F4910" s="41"/>
      <c r="G4910" s="21"/>
      <c r="H4910" s="203"/>
    </row>
    <row r="4911" spans="1:8">
      <c r="A4911" s="200"/>
      <c r="B4911" s="198"/>
      <c r="C4911" s="851"/>
      <c r="D4911" s="41"/>
      <c r="E4911" s="41"/>
      <c r="F4911" s="41"/>
      <c r="G4911" s="21"/>
      <c r="H4911" s="203"/>
    </row>
    <row r="4912" spans="1:8">
      <c r="A4912" s="200"/>
      <c r="B4912" s="198"/>
      <c r="C4912" s="851"/>
      <c r="D4912" s="41"/>
      <c r="E4912" s="41"/>
      <c r="F4912" s="41"/>
      <c r="G4912" s="21"/>
      <c r="H4912" s="203"/>
    </row>
    <row r="4913" spans="1:8">
      <c r="A4913" s="200"/>
      <c r="B4913" s="198"/>
      <c r="C4913" s="851"/>
      <c r="D4913" s="41"/>
      <c r="E4913" s="41"/>
      <c r="F4913" s="41"/>
      <c r="G4913" s="21"/>
      <c r="H4913" s="203"/>
    </row>
    <row r="4914" spans="1:8">
      <c r="A4914" s="200"/>
      <c r="B4914" s="198"/>
      <c r="C4914" s="851"/>
      <c r="D4914" s="41"/>
      <c r="E4914" s="41"/>
      <c r="F4914" s="41"/>
      <c r="G4914" s="21"/>
      <c r="H4914" s="203"/>
    </row>
    <row r="4915" spans="1:8">
      <c r="A4915" s="200"/>
      <c r="B4915" s="198"/>
      <c r="C4915" s="851"/>
      <c r="D4915" s="41"/>
      <c r="E4915" s="41"/>
      <c r="F4915" s="41"/>
      <c r="G4915" s="21"/>
      <c r="H4915" s="203"/>
    </row>
    <row r="4916" spans="1:8">
      <c r="A4916" s="200"/>
      <c r="B4916" s="198"/>
      <c r="C4916" s="851"/>
      <c r="D4916" s="41"/>
      <c r="E4916" s="41"/>
      <c r="F4916" s="41"/>
      <c r="G4916" s="21"/>
      <c r="H4916" s="203"/>
    </row>
    <row r="4917" spans="1:8">
      <c r="A4917" s="200"/>
      <c r="B4917" s="198"/>
      <c r="C4917" s="851"/>
      <c r="D4917" s="41"/>
      <c r="E4917" s="41"/>
      <c r="F4917" s="41"/>
      <c r="G4917" s="21"/>
      <c r="H4917" s="203"/>
    </row>
    <row r="4918" spans="1:8">
      <c r="A4918" s="200"/>
      <c r="B4918" s="198"/>
      <c r="C4918" s="851"/>
      <c r="D4918" s="41"/>
      <c r="E4918" s="41"/>
      <c r="F4918" s="41"/>
      <c r="G4918" s="21"/>
      <c r="H4918" s="203"/>
    </row>
    <row r="4919" spans="1:8">
      <c r="A4919" s="200"/>
      <c r="B4919" s="198"/>
      <c r="C4919" s="851"/>
      <c r="D4919" s="41"/>
      <c r="E4919" s="41"/>
      <c r="F4919" s="41"/>
      <c r="G4919" s="21"/>
      <c r="H4919" s="203"/>
    </row>
    <row r="4920" spans="1:8">
      <c r="A4920" s="200"/>
      <c r="B4920" s="198"/>
      <c r="C4920" s="851"/>
      <c r="D4920" s="41"/>
      <c r="E4920" s="41"/>
      <c r="F4920" s="41"/>
      <c r="G4920" s="21"/>
      <c r="H4920" s="203"/>
    </row>
    <row r="4921" spans="1:8">
      <c r="A4921" s="200"/>
      <c r="B4921" s="198"/>
      <c r="C4921" s="851"/>
      <c r="D4921" s="41"/>
      <c r="E4921" s="41"/>
      <c r="F4921" s="41"/>
      <c r="G4921" s="21"/>
      <c r="H4921" s="203"/>
    </row>
    <row r="4922" spans="1:8">
      <c r="A4922" s="200"/>
      <c r="B4922" s="198"/>
      <c r="C4922" s="851"/>
      <c r="D4922" s="41"/>
      <c r="E4922" s="41"/>
      <c r="F4922" s="41"/>
      <c r="G4922" s="21"/>
      <c r="H4922" s="203"/>
    </row>
    <row r="4923" spans="1:8">
      <c r="A4923" s="200"/>
      <c r="B4923" s="198"/>
      <c r="C4923" s="851"/>
      <c r="D4923" s="41"/>
      <c r="E4923" s="41"/>
      <c r="F4923" s="41"/>
      <c r="G4923" s="21"/>
      <c r="H4923" s="203"/>
    </row>
    <row r="4924" spans="1:8">
      <c r="A4924" s="200"/>
      <c r="B4924" s="198"/>
      <c r="C4924" s="851"/>
      <c r="D4924" s="41"/>
      <c r="E4924" s="41"/>
      <c r="F4924" s="41"/>
      <c r="G4924" s="21"/>
      <c r="H4924" s="203"/>
    </row>
    <row r="4925" spans="1:8">
      <c r="A4925" s="200"/>
      <c r="B4925" s="198"/>
      <c r="C4925" s="851"/>
      <c r="D4925" s="41"/>
      <c r="E4925" s="41"/>
      <c r="F4925" s="41"/>
      <c r="G4925" s="21"/>
      <c r="H4925" s="203"/>
    </row>
    <row r="4926" spans="1:8">
      <c r="A4926" s="200"/>
      <c r="B4926" s="198"/>
      <c r="C4926" s="851"/>
      <c r="D4926" s="41"/>
      <c r="E4926" s="41"/>
      <c r="F4926" s="41"/>
      <c r="G4926" s="21"/>
      <c r="H4926" s="203"/>
    </row>
    <row r="4927" spans="1:8">
      <c r="A4927" s="200"/>
      <c r="B4927" s="198"/>
      <c r="C4927" s="851"/>
      <c r="D4927" s="41"/>
      <c r="E4927" s="41"/>
      <c r="F4927" s="41"/>
      <c r="G4927" s="21"/>
      <c r="H4927" s="203"/>
    </row>
    <row r="4928" spans="1:8">
      <c r="A4928" s="200"/>
      <c r="B4928" s="198"/>
      <c r="C4928" s="851"/>
      <c r="D4928" s="41"/>
      <c r="E4928" s="41"/>
      <c r="F4928" s="41"/>
      <c r="G4928" s="21"/>
      <c r="H4928" s="203"/>
    </row>
    <row r="4929" spans="1:8">
      <c r="A4929" s="200"/>
      <c r="B4929" s="198"/>
      <c r="C4929" s="851"/>
      <c r="D4929" s="41"/>
      <c r="E4929" s="41"/>
      <c r="F4929" s="41"/>
      <c r="G4929" s="21"/>
      <c r="H4929" s="203"/>
    </row>
    <row r="4930" spans="1:8">
      <c r="A4930" s="200"/>
      <c r="B4930" s="198"/>
      <c r="C4930" s="851"/>
      <c r="D4930" s="41"/>
      <c r="E4930" s="41"/>
      <c r="F4930" s="41"/>
      <c r="G4930" s="21"/>
      <c r="H4930" s="203"/>
    </row>
    <row r="4931" spans="1:8">
      <c r="A4931" s="200"/>
      <c r="B4931" s="198"/>
      <c r="C4931" s="851"/>
      <c r="D4931" s="41"/>
      <c r="E4931" s="41"/>
      <c r="F4931" s="41"/>
      <c r="G4931" s="21"/>
      <c r="H4931" s="203"/>
    </row>
    <row r="4932" spans="1:8">
      <c r="A4932" s="200"/>
      <c r="B4932" s="198"/>
      <c r="C4932" s="851"/>
      <c r="D4932" s="41"/>
      <c r="E4932" s="41"/>
      <c r="F4932" s="41"/>
      <c r="G4932" s="21"/>
      <c r="H4932" s="203"/>
    </row>
    <row r="4933" spans="1:8">
      <c r="A4933" s="200"/>
      <c r="B4933" s="198"/>
      <c r="C4933" s="851"/>
      <c r="D4933" s="41"/>
      <c r="E4933" s="41"/>
      <c r="F4933" s="41"/>
      <c r="G4933" s="21"/>
      <c r="H4933" s="203"/>
    </row>
    <row r="4934" spans="1:8">
      <c r="A4934" s="200"/>
      <c r="B4934" s="198"/>
      <c r="C4934" s="851"/>
      <c r="D4934" s="41"/>
      <c r="E4934" s="41"/>
      <c r="F4934" s="41"/>
      <c r="G4934" s="21"/>
      <c r="H4934" s="203"/>
    </row>
    <row r="4935" spans="1:8">
      <c r="A4935" s="200"/>
      <c r="B4935" s="198"/>
      <c r="C4935" s="851"/>
      <c r="D4935" s="41"/>
      <c r="E4935" s="41"/>
      <c r="F4935" s="41"/>
      <c r="G4935" s="21"/>
      <c r="H4935" s="203"/>
    </row>
    <row r="4936" spans="1:8">
      <c r="A4936" s="200"/>
      <c r="B4936" s="198"/>
      <c r="C4936" s="851"/>
      <c r="D4936" s="41"/>
      <c r="E4936" s="41"/>
      <c r="F4936" s="41"/>
      <c r="G4936" s="21"/>
      <c r="H4936" s="203"/>
    </row>
    <row r="4937" spans="1:8">
      <c r="A4937" s="200"/>
      <c r="B4937" s="198"/>
      <c r="C4937" s="851"/>
      <c r="D4937" s="41"/>
      <c r="E4937" s="41"/>
      <c r="F4937" s="41"/>
      <c r="G4937" s="21"/>
      <c r="H4937" s="203"/>
    </row>
    <row r="4938" spans="1:8">
      <c r="A4938" s="200"/>
      <c r="B4938" s="198"/>
      <c r="C4938" s="851"/>
      <c r="D4938" s="41"/>
      <c r="E4938" s="41"/>
      <c r="F4938" s="41"/>
      <c r="G4938" s="21"/>
      <c r="H4938" s="203"/>
    </row>
    <row r="4939" spans="1:8">
      <c r="A4939" s="200"/>
      <c r="B4939" s="198"/>
      <c r="C4939" s="851"/>
      <c r="D4939" s="41"/>
      <c r="E4939" s="41"/>
      <c r="F4939" s="41"/>
      <c r="G4939" s="21"/>
      <c r="H4939" s="203"/>
    </row>
    <row r="4940" spans="1:8">
      <c r="A4940" s="200"/>
      <c r="B4940" s="198"/>
      <c r="C4940" s="851"/>
      <c r="D4940" s="41"/>
      <c r="E4940" s="41"/>
      <c r="F4940" s="41"/>
      <c r="G4940" s="21"/>
      <c r="H4940" s="203"/>
    </row>
    <row r="4941" spans="1:8">
      <c r="A4941" s="200"/>
      <c r="B4941" s="198"/>
      <c r="C4941" s="851"/>
      <c r="D4941" s="41"/>
      <c r="E4941" s="41"/>
      <c r="F4941" s="41"/>
      <c r="G4941" s="21"/>
      <c r="H4941" s="203"/>
    </row>
    <row r="4942" spans="1:8">
      <c r="A4942" s="200"/>
      <c r="B4942" s="198"/>
      <c r="C4942" s="851"/>
      <c r="D4942" s="41"/>
      <c r="E4942" s="41"/>
      <c r="F4942" s="41"/>
      <c r="G4942" s="21"/>
      <c r="H4942" s="203"/>
    </row>
    <row r="4943" spans="1:8">
      <c r="A4943" s="200"/>
      <c r="B4943" s="198"/>
      <c r="C4943" s="851"/>
      <c r="D4943" s="41"/>
      <c r="E4943" s="41"/>
      <c r="F4943" s="41"/>
      <c r="G4943" s="21"/>
      <c r="H4943" s="203"/>
    </row>
    <row r="4944" spans="1:8">
      <c r="A4944" s="200"/>
      <c r="B4944" s="198"/>
      <c r="C4944" s="851"/>
      <c r="D4944" s="41"/>
      <c r="E4944" s="41"/>
      <c r="F4944" s="41"/>
      <c r="G4944" s="21"/>
      <c r="H4944" s="203"/>
    </row>
    <row r="4945" spans="1:8">
      <c r="A4945" s="200"/>
      <c r="B4945" s="198"/>
      <c r="C4945" s="851"/>
      <c r="D4945" s="41"/>
      <c r="E4945" s="41"/>
      <c r="F4945" s="41"/>
      <c r="G4945" s="21"/>
      <c r="H4945" s="203"/>
    </row>
    <row r="4946" spans="1:8">
      <c r="A4946" s="200"/>
      <c r="B4946" s="198"/>
      <c r="C4946" s="851"/>
      <c r="D4946" s="41"/>
      <c r="E4946" s="41"/>
      <c r="F4946" s="41"/>
      <c r="G4946" s="21"/>
      <c r="H4946" s="203"/>
    </row>
    <row r="4947" spans="1:8">
      <c r="A4947" s="200"/>
      <c r="B4947" s="198"/>
      <c r="C4947" s="851"/>
      <c r="D4947" s="41"/>
      <c r="E4947" s="41"/>
      <c r="F4947" s="41"/>
      <c r="G4947" s="21"/>
      <c r="H4947" s="203"/>
    </row>
    <row r="4948" spans="1:8">
      <c r="A4948" s="200"/>
      <c r="B4948" s="198"/>
      <c r="C4948" s="851"/>
      <c r="D4948" s="41"/>
      <c r="E4948" s="41"/>
      <c r="F4948" s="41"/>
      <c r="G4948" s="21"/>
      <c r="H4948" s="203"/>
    </row>
    <row r="4949" spans="1:8">
      <c r="A4949" s="200"/>
      <c r="B4949" s="198"/>
      <c r="C4949" s="851"/>
      <c r="D4949" s="41"/>
      <c r="E4949" s="41"/>
      <c r="F4949" s="41"/>
      <c r="G4949" s="21"/>
      <c r="H4949" s="203"/>
    </row>
    <row r="4950" spans="1:8">
      <c r="A4950" s="200"/>
      <c r="B4950" s="198"/>
      <c r="C4950" s="851"/>
      <c r="D4950" s="41"/>
      <c r="E4950" s="41"/>
      <c r="F4950" s="41"/>
      <c r="G4950" s="21"/>
      <c r="H4950" s="203"/>
    </row>
    <row r="4951" spans="1:8">
      <c r="A4951" s="200"/>
      <c r="B4951" s="198"/>
      <c r="C4951" s="851"/>
      <c r="D4951" s="41"/>
      <c r="E4951" s="41"/>
      <c r="F4951" s="41"/>
      <c r="G4951" s="21"/>
      <c r="H4951" s="203"/>
    </row>
    <row r="4952" spans="1:8">
      <c r="A4952" s="200"/>
      <c r="B4952" s="198"/>
      <c r="C4952" s="851"/>
      <c r="D4952" s="41"/>
      <c r="E4952" s="41"/>
      <c r="F4952" s="41"/>
      <c r="G4952" s="21"/>
      <c r="H4952" s="203"/>
    </row>
    <row r="4953" spans="1:8">
      <c r="A4953" s="200"/>
      <c r="B4953" s="198"/>
      <c r="C4953" s="851"/>
      <c r="D4953" s="41"/>
      <c r="E4953" s="41"/>
      <c r="F4953" s="41"/>
      <c r="G4953" s="21"/>
      <c r="H4953" s="203"/>
    </row>
    <row r="4954" spans="1:8">
      <c r="A4954" s="200"/>
      <c r="B4954" s="198"/>
      <c r="C4954" s="851"/>
      <c r="D4954" s="41"/>
      <c r="E4954" s="41"/>
      <c r="F4954" s="41"/>
      <c r="G4954" s="21"/>
      <c r="H4954" s="203"/>
    </row>
    <row r="4955" spans="1:8">
      <c r="A4955" s="200"/>
      <c r="B4955" s="198"/>
      <c r="C4955" s="851"/>
      <c r="D4955" s="41"/>
      <c r="E4955" s="41"/>
      <c r="F4955" s="41"/>
      <c r="G4955" s="21"/>
      <c r="H4955" s="203"/>
    </row>
    <row r="4956" spans="1:8">
      <c r="A4956" s="200"/>
      <c r="B4956" s="198"/>
      <c r="C4956" s="851"/>
      <c r="D4956" s="41"/>
      <c r="E4956" s="41"/>
      <c r="F4956" s="41"/>
      <c r="G4956" s="21"/>
      <c r="H4956" s="203"/>
    </row>
    <row r="4957" spans="1:8">
      <c r="A4957" s="200"/>
      <c r="B4957" s="198"/>
      <c r="C4957" s="851"/>
      <c r="D4957" s="41"/>
      <c r="E4957" s="41"/>
      <c r="F4957" s="41"/>
      <c r="G4957" s="21"/>
      <c r="H4957" s="203"/>
    </row>
    <row r="4958" spans="1:8">
      <c r="A4958" s="200"/>
      <c r="B4958" s="198"/>
      <c r="C4958" s="851"/>
      <c r="D4958" s="41"/>
      <c r="E4958" s="41"/>
      <c r="F4958" s="41"/>
      <c r="G4958" s="21"/>
      <c r="H4958" s="203"/>
    </row>
    <row r="4959" spans="1:8">
      <c r="A4959" s="200"/>
      <c r="B4959" s="198"/>
      <c r="C4959" s="851"/>
      <c r="D4959" s="41"/>
      <c r="E4959" s="41"/>
      <c r="F4959" s="41"/>
      <c r="G4959" s="21"/>
      <c r="H4959" s="203"/>
    </row>
    <row r="4960" spans="1:8">
      <c r="A4960" s="200"/>
      <c r="B4960" s="198"/>
      <c r="C4960" s="851"/>
      <c r="D4960" s="41"/>
      <c r="E4960" s="41"/>
      <c r="F4960" s="41"/>
      <c r="G4960" s="21"/>
      <c r="H4960" s="203"/>
    </row>
    <row r="4961" spans="1:8">
      <c r="A4961" s="200"/>
      <c r="B4961" s="198"/>
      <c r="C4961" s="851"/>
      <c r="D4961" s="41"/>
      <c r="E4961" s="41"/>
      <c r="F4961" s="41"/>
      <c r="G4961" s="21"/>
      <c r="H4961" s="203"/>
    </row>
    <row r="4962" spans="1:8">
      <c r="A4962" s="200"/>
      <c r="B4962" s="198"/>
      <c r="C4962" s="851"/>
      <c r="D4962" s="41"/>
      <c r="E4962" s="41"/>
      <c r="F4962" s="41"/>
      <c r="G4962" s="21"/>
      <c r="H4962" s="203"/>
    </row>
    <row r="4963" spans="1:8">
      <c r="A4963" s="200"/>
      <c r="B4963" s="198"/>
      <c r="C4963" s="851"/>
      <c r="D4963" s="41"/>
      <c r="E4963" s="41"/>
      <c r="F4963" s="41"/>
      <c r="G4963" s="21"/>
      <c r="H4963" s="203"/>
    </row>
    <row r="4964" spans="1:8">
      <c r="A4964" s="200"/>
      <c r="B4964" s="198"/>
      <c r="C4964" s="851"/>
      <c r="D4964" s="41"/>
      <c r="E4964" s="41"/>
      <c r="F4964" s="41"/>
      <c r="G4964" s="21"/>
      <c r="H4964" s="203"/>
    </row>
    <row r="4965" spans="1:8">
      <c r="A4965" s="200"/>
      <c r="B4965" s="198"/>
      <c r="C4965" s="851"/>
      <c r="D4965" s="41"/>
      <c r="E4965" s="41"/>
      <c r="F4965" s="41"/>
      <c r="G4965" s="21"/>
      <c r="H4965" s="203"/>
    </row>
    <row r="4966" spans="1:8">
      <c r="A4966" s="200"/>
      <c r="B4966" s="198"/>
      <c r="C4966" s="851"/>
      <c r="D4966" s="41"/>
      <c r="E4966" s="41"/>
      <c r="F4966" s="41"/>
      <c r="G4966" s="21"/>
      <c r="H4966" s="203"/>
    </row>
    <row r="4967" spans="1:8">
      <c r="A4967" s="200"/>
      <c r="B4967" s="198"/>
      <c r="C4967" s="851"/>
      <c r="D4967" s="41"/>
      <c r="E4967" s="41"/>
      <c r="F4967" s="41"/>
      <c r="G4967" s="21"/>
      <c r="H4967" s="203"/>
    </row>
    <row r="4968" spans="1:8">
      <c r="A4968" s="200"/>
      <c r="B4968" s="198"/>
      <c r="C4968" s="851"/>
      <c r="D4968" s="41"/>
      <c r="E4968" s="41"/>
      <c r="F4968" s="41"/>
      <c r="G4968" s="21"/>
      <c r="H4968" s="203"/>
    </row>
    <row r="4969" spans="1:8">
      <c r="A4969" s="200"/>
      <c r="B4969" s="198"/>
      <c r="C4969" s="851"/>
      <c r="D4969" s="41"/>
      <c r="E4969" s="41"/>
      <c r="F4969" s="41"/>
      <c r="G4969" s="21"/>
      <c r="H4969" s="203"/>
    </row>
    <row r="4970" spans="1:8">
      <c r="A4970" s="200"/>
      <c r="B4970" s="198"/>
      <c r="C4970" s="851"/>
      <c r="D4970" s="41"/>
      <c r="E4970" s="41"/>
      <c r="F4970" s="41"/>
      <c r="G4970" s="21"/>
      <c r="H4970" s="203"/>
    </row>
    <row r="4971" spans="1:8">
      <c r="A4971" s="200"/>
      <c r="B4971" s="198"/>
      <c r="C4971" s="851"/>
      <c r="D4971" s="41"/>
      <c r="E4971" s="41"/>
      <c r="F4971" s="41"/>
      <c r="G4971" s="21"/>
      <c r="H4971" s="203"/>
    </row>
    <row r="4972" spans="1:8">
      <c r="A4972" s="200"/>
      <c r="B4972" s="198"/>
      <c r="C4972" s="851"/>
      <c r="D4972" s="41"/>
      <c r="E4972" s="41"/>
      <c r="F4972" s="41"/>
      <c r="G4972" s="21"/>
      <c r="H4972" s="203"/>
    </row>
    <row r="4973" spans="1:8">
      <c r="A4973" s="200"/>
      <c r="B4973" s="198"/>
      <c r="C4973" s="851"/>
      <c r="D4973" s="41"/>
      <c r="E4973" s="41"/>
      <c r="F4973" s="41"/>
      <c r="G4973" s="21"/>
      <c r="H4973" s="203"/>
    </row>
    <row r="4974" spans="1:8">
      <c r="A4974" s="200"/>
      <c r="B4974" s="198"/>
      <c r="C4974" s="851"/>
      <c r="D4974" s="41"/>
      <c r="E4974" s="41"/>
      <c r="F4974" s="41"/>
      <c r="G4974" s="21"/>
      <c r="H4974" s="203"/>
    </row>
    <row r="4975" spans="1:8">
      <c r="A4975" s="200"/>
      <c r="B4975" s="198"/>
      <c r="C4975" s="851"/>
      <c r="D4975" s="41"/>
      <c r="E4975" s="41"/>
      <c r="F4975" s="41"/>
      <c r="G4975" s="21"/>
      <c r="H4975" s="203"/>
    </row>
    <row r="4976" spans="1:8">
      <c r="A4976" s="200"/>
      <c r="B4976" s="198"/>
      <c r="C4976" s="851"/>
      <c r="D4976" s="41"/>
      <c r="E4976" s="41"/>
      <c r="F4976" s="41"/>
      <c r="G4976" s="21"/>
      <c r="H4976" s="203"/>
    </row>
    <row r="4977" spans="1:8">
      <c r="A4977" s="200"/>
      <c r="B4977" s="198"/>
      <c r="C4977" s="851"/>
      <c r="D4977" s="41"/>
      <c r="E4977" s="41"/>
      <c r="F4977" s="41"/>
      <c r="G4977" s="21"/>
      <c r="H4977" s="203"/>
    </row>
    <row r="4978" spans="1:8">
      <c r="A4978" s="200"/>
      <c r="B4978" s="198"/>
      <c r="C4978" s="851"/>
      <c r="D4978" s="41"/>
      <c r="E4978" s="41"/>
      <c r="F4978" s="41"/>
      <c r="G4978" s="21"/>
      <c r="H4978" s="203"/>
    </row>
    <row r="4979" spans="1:8">
      <c r="A4979" s="200"/>
      <c r="B4979" s="198"/>
      <c r="C4979" s="851"/>
      <c r="D4979" s="41"/>
      <c r="E4979" s="41"/>
      <c r="F4979" s="41"/>
      <c r="G4979" s="21"/>
      <c r="H4979" s="203"/>
    </row>
    <row r="4980" spans="1:8">
      <c r="A4980" s="200"/>
      <c r="B4980" s="198"/>
      <c r="C4980" s="851"/>
      <c r="D4980" s="41"/>
      <c r="E4980" s="41"/>
      <c r="F4980" s="41"/>
      <c r="G4980" s="21"/>
      <c r="H4980" s="203"/>
    </row>
    <row r="4981" spans="1:8">
      <c r="A4981" s="200"/>
      <c r="B4981" s="198"/>
      <c r="C4981" s="851"/>
      <c r="D4981" s="41"/>
      <c r="E4981" s="41"/>
      <c r="F4981" s="41"/>
      <c r="G4981" s="21"/>
      <c r="H4981" s="203"/>
    </row>
    <row r="4982" spans="1:8">
      <c r="A4982" s="200"/>
      <c r="B4982" s="198"/>
      <c r="C4982" s="851"/>
      <c r="D4982" s="41"/>
      <c r="E4982" s="41"/>
      <c r="F4982" s="41"/>
      <c r="G4982" s="21"/>
      <c r="H4982" s="203"/>
    </row>
    <row r="4983" spans="1:8">
      <c r="A4983" s="200"/>
      <c r="B4983" s="198"/>
      <c r="C4983" s="851"/>
      <c r="D4983" s="41"/>
      <c r="E4983" s="41"/>
      <c r="F4983" s="41"/>
      <c r="G4983" s="21"/>
      <c r="H4983" s="203"/>
    </row>
    <row r="4984" spans="1:8">
      <c r="A4984" s="200"/>
      <c r="B4984" s="198"/>
      <c r="C4984" s="851"/>
      <c r="D4984" s="41"/>
      <c r="E4984" s="41"/>
      <c r="F4984" s="41"/>
      <c r="G4984" s="21"/>
      <c r="H4984" s="203"/>
    </row>
    <row r="4985" spans="1:8">
      <c r="A4985" s="200"/>
      <c r="B4985" s="198"/>
      <c r="C4985" s="851"/>
      <c r="D4985" s="41"/>
      <c r="E4985" s="41"/>
      <c r="F4985" s="41"/>
      <c r="G4985" s="21"/>
      <c r="H4985" s="203"/>
    </row>
    <row r="4986" spans="1:8">
      <c r="A4986" s="200"/>
      <c r="B4986" s="198"/>
      <c r="C4986" s="851"/>
      <c r="D4986" s="41"/>
      <c r="E4986" s="41"/>
      <c r="F4986" s="41"/>
      <c r="G4986" s="21"/>
      <c r="H4986" s="203"/>
    </row>
    <row r="4987" spans="1:8">
      <c r="A4987" s="200"/>
      <c r="B4987" s="198"/>
      <c r="C4987" s="851"/>
      <c r="D4987" s="41"/>
      <c r="E4987" s="41"/>
      <c r="F4987" s="41"/>
      <c r="G4987" s="21"/>
      <c r="H4987" s="203"/>
    </row>
    <row r="4988" spans="1:8">
      <c r="A4988" s="200"/>
      <c r="B4988" s="198"/>
      <c r="C4988" s="851"/>
      <c r="D4988" s="41"/>
      <c r="E4988" s="41"/>
      <c r="F4988" s="41"/>
      <c r="G4988" s="21"/>
      <c r="H4988" s="203"/>
    </row>
    <row r="4989" spans="1:8">
      <c r="A4989" s="200"/>
      <c r="B4989" s="198"/>
      <c r="C4989" s="851"/>
      <c r="D4989" s="41"/>
      <c r="E4989" s="41"/>
      <c r="F4989" s="41"/>
      <c r="G4989" s="21"/>
      <c r="H4989" s="203"/>
    </row>
    <row r="4990" spans="1:8">
      <c r="A4990" s="200"/>
      <c r="B4990" s="198"/>
      <c r="C4990" s="851"/>
      <c r="D4990" s="41"/>
      <c r="E4990" s="41"/>
      <c r="F4990" s="41"/>
      <c r="G4990" s="21"/>
      <c r="H4990" s="203"/>
    </row>
    <row r="4991" spans="1:8">
      <c r="A4991" s="200"/>
      <c r="B4991" s="198"/>
      <c r="C4991" s="851"/>
      <c r="D4991" s="41"/>
      <c r="E4991" s="41"/>
      <c r="F4991" s="41"/>
      <c r="G4991" s="21"/>
      <c r="H4991" s="203"/>
    </row>
    <row r="4992" spans="1:8">
      <c r="A4992" s="200"/>
      <c r="B4992" s="198"/>
      <c r="C4992" s="851"/>
      <c r="D4992" s="41"/>
      <c r="E4992" s="41"/>
      <c r="F4992" s="41"/>
      <c r="G4992" s="21"/>
      <c r="H4992" s="203"/>
    </row>
    <row r="4993" spans="1:8">
      <c r="A4993" s="200"/>
      <c r="B4993" s="198"/>
      <c r="C4993" s="851"/>
      <c r="D4993" s="41"/>
      <c r="E4993" s="41"/>
      <c r="F4993" s="41"/>
      <c r="G4993" s="21"/>
      <c r="H4993" s="203"/>
    </row>
    <row r="4994" spans="1:8">
      <c r="A4994" s="200"/>
      <c r="B4994" s="198"/>
      <c r="C4994" s="851"/>
      <c r="D4994" s="41"/>
      <c r="E4994" s="41"/>
      <c r="F4994" s="41"/>
      <c r="G4994" s="21"/>
      <c r="H4994" s="203"/>
    </row>
    <row r="4995" spans="1:8">
      <c r="A4995" s="200"/>
      <c r="B4995" s="198"/>
      <c r="C4995" s="851"/>
      <c r="D4995" s="41"/>
      <c r="E4995" s="41"/>
      <c r="F4995" s="41"/>
      <c r="G4995" s="21"/>
      <c r="H4995" s="203"/>
    </row>
    <row r="4996" spans="1:8">
      <c r="A4996" s="200"/>
      <c r="B4996" s="198"/>
      <c r="C4996" s="851"/>
      <c r="D4996" s="41"/>
      <c r="E4996" s="41"/>
      <c r="F4996" s="41"/>
      <c r="G4996" s="21"/>
      <c r="H4996" s="203"/>
    </row>
    <row r="4997" spans="1:8">
      <c r="A4997" s="200"/>
      <c r="B4997" s="198"/>
      <c r="C4997" s="851"/>
      <c r="D4997" s="41"/>
      <c r="E4997" s="41"/>
      <c r="F4997" s="41"/>
      <c r="G4997" s="21"/>
      <c r="H4997" s="203"/>
    </row>
    <row r="4998" spans="1:8">
      <c r="A4998" s="200"/>
      <c r="B4998" s="198"/>
      <c r="C4998" s="851"/>
      <c r="D4998" s="41"/>
      <c r="E4998" s="41"/>
      <c r="F4998" s="41"/>
      <c r="G4998" s="21"/>
      <c r="H4998" s="203"/>
    </row>
    <row r="4999" spans="1:8">
      <c r="A4999" s="200"/>
      <c r="B4999" s="198"/>
      <c r="C4999" s="851"/>
      <c r="D4999" s="41"/>
      <c r="E4999" s="41"/>
      <c r="F4999" s="41"/>
      <c r="G4999" s="21"/>
      <c r="H4999" s="203"/>
    </row>
    <row r="5000" spans="1:8">
      <c r="A5000" s="200"/>
      <c r="B5000" s="198"/>
      <c r="C5000" s="851"/>
      <c r="D5000" s="41"/>
      <c r="E5000" s="41"/>
      <c r="F5000" s="41"/>
      <c r="G5000" s="21"/>
      <c r="H5000" s="203"/>
    </row>
    <row r="5001" spans="1:8">
      <c r="A5001" s="200"/>
      <c r="B5001" s="198"/>
      <c r="C5001" s="851"/>
      <c r="D5001" s="41"/>
      <c r="E5001" s="41"/>
      <c r="F5001" s="41"/>
      <c r="G5001" s="21"/>
      <c r="H5001" s="203"/>
    </row>
    <row r="5002" spans="1:8">
      <c r="A5002" s="200"/>
      <c r="B5002" s="198"/>
      <c r="C5002" s="851"/>
      <c r="D5002" s="41"/>
      <c r="E5002" s="41"/>
      <c r="F5002" s="41"/>
      <c r="G5002" s="21"/>
      <c r="H5002" s="203"/>
    </row>
    <row r="5003" spans="1:8">
      <c r="A5003" s="200"/>
      <c r="B5003" s="198"/>
      <c r="C5003" s="851"/>
      <c r="D5003" s="41"/>
      <c r="E5003" s="41"/>
      <c r="F5003" s="41"/>
      <c r="G5003" s="21"/>
      <c r="H5003" s="203"/>
    </row>
    <row r="5004" spans="1:8">
      <c r="A5004" s="200"/>
      <c r="B5004" s="198"/>
      <c r="C5004" s="851"/>
      <c r="D5004" s="41"/>
      <c r="E5004" s="41"/>
      <c r="F5004" s="41"/>
      <c r="G5004" s="21"/>
      <c r="H5004" s="203"/>
    </row>
    <row r="5005" spans="1:8">
      <c r="A5005" s="200"/>
      <c r="B5005" s="198"/>
      <c r="C5005" s="851"/>
      <c r="D5005" s="41"/>
      <c r="E5005" s="41"/>
      <c r="F5005" s="41"/>
      <c r="G5005" s="21"/>
      <c r="H5005" s="203"/>
    </row>
    <row r="5006" spans="1:8">
      <c r="A5006" s="200"/>
      <c r="B5006" s="198"/>
      <c r="C5006" s="851"/>
      <c r="D5006" s="41"/>
      <c r="E5006" s="41"/>
      <c r="F5006" s="41"/>
      <c r="G5006" s="21"/>
      <c r="H5006" s="203"/>
    </row>
    <row r="5007" spans="1:8">
      <c r="A5007" s="200"/>
      <c r="B5007" s="198"/>
      <c r="C5007" s="851"/>
      <c r="D5007" s="41"/>
      <c r="E5007" s="41"/>
      <c r="F5007" s="41"/>
      <c r="G5007" s="21"/>
      <c r="H5007" s="203"/>
    </row>
    <row r="5008" spans="1:8">
      <c r="A5008" s="200"/>
      <c r="B5008" s="198"/>
      <c r="C5008" s="851"/>
      <c r="D5008" s="41"/>
      <c r="E5008" s="41"/>
      <c r="F5008" s="41"/>
      <c r="G5008" s="21"/>
      <c r="H5008" s="203"/>
    </row>
    <row r="5009" spans="1:8">
      <c r="A5009" s="200"/>
      <c r="B5009" s="198"/>
      <c r="C5009" s="851"/>
      <c r="D5009" s="41"/>
      <c r="E5009" s="41"/>
      <c r="F5009" s="41"/>
      <c r="G5009" s="21"/>
      <c r="H5009" s="203"/>
    </row>
    <row r="5010" spans="1:8">
      <c r="A5010" s="200"/>
      <c r="B5010" s="198"/>
      <c r="C5010" s="851"/>
      <c r="D5010" s="41"/>
      <c r="E5010" s="41"/>
      <c r="F5010" s="41"/>
      <c r="G5010" s="21"/>
      <c r="H5010" s="203"/>
    </row>
    <row r="5011" spans="1:8">
      <c r="A5011" s="200"/>
      <c r="B5011" s="198"/>
      <c r="C5011" s="851"/>
      <c r="D5011" s="41"/>
      <c r="E5011" s="41"/>
      <c r="F5011" s="41"/>
      <c r="G5011" s="21"/>
      <c r="H5011" s="203"/>
    </row>
    <row r="5012" spans="1:8">
      <c r="A5012" s="200"/>
      <c r="B5012" s="198"/>
      <c r="C5012" s="851"/>
      <c r="D5012" s="41"/>
      <c r="E5012" s="41"/>
      <c r="F5012" s="41"/>
      <c r="G5012" s="21"/>
      <c r="H5012" s="203"/>
    </row>
    <row r="5013" spans="1:8">
      <c r="A5013" s="200"/>
      <c r="B5013" s="198"/>
      <c r="C5013" s="851"/>
      <c r="D5013" s="41"/>
      <c r="E5013" s="41"/>
      <c r="F5013" s="41"/>
      <c r="G5013" s="21"/>
      <c r="H5013" s="203"/>
    </row>
    <row r="5014" spans="1:8">
      <c r="A5014" s="200"/>
      <c r="B5014" s="198"/>
      <c r="C5014" s="851"/>
      <c r="D5014" s="41"/>
      <c r="E5014" s="41"/>
      <c r="F5014" s="41"/>
      <c r="G5014" s="21"/>
      <c r="H5014" s="203"/>
    </row>
    <row r="5015" spans="1:8">
      <c r="A5015" s="200"/>
      <c r="B5015" s="198"/>
      <c r="C5015" s="851"/>
      <c r="D5015" s="41"/>
      <c r="E5015" s="41"/>
      <c r="F5015" s="41"/>
      <c r="G5015" s="21"/>
      <c r="H5015" s="203"/>
    </row>
    <row r="5016" spans="1:8">
      <c r="A5016" s="200"/>
      <c r="B5016" s="198"/>
      <c r="C5016" s="851"/>
      <c r="D5016" s="41"/>
      <c r="E5016" s="41"/>
      <c r="F5016" s="41"/>
      <c r="G5016" s="21"/>
      <c r="H5016" s="203"/>
    </row>
    <row r="5017" spans="1:8">
      <c r="A5017" s="200"/>
      <c r="B5017" s="198"/>
      <c r="C5017" s="851"/>
      <c r="D5017" s="41"/>
      <c r="E5017" s="41"/>
      <c r="F5017" s="41"/>
      <c r="G5017" s="21"/>
      <c r="H5017" s="203"/>
    </row>
    <row r="5018" spans="1:8">
      <c r="A5018" s="200"/>
      <c r="B5018" s="198"/>
      <c r="C5018" s="851"/>
      <c r="D5018" s="41"/>
      <c r="E5018" s="41"/>
      <c r="F5018" s="41"/>
      <c r="G5018" s="21"/>
      <c r="H5018" s="203"/>
    </row>
    <row r="5019" spans="1:8">
      <c r="A5019" s="200"/>
      <c r="B5019" s="198"/>
      <c r="C5019" s="851"/>
      <c r="D5019" s="41"/>
      <c r="E5019" s="41"/>
      <c r="F5019" s="41"/>
      <c r="G5019" s="21"/>
      <c r="H5019" s="203"/>
    </row>
    <row r="5020" spans="1:8">
      <c r="A5020" s="200"/>
      <c r="B5020" s="198"/>
      <c r="C5020" s="851"/>
      <c r="D5020" s="41"/>
      <c r="E5020" s="41"/>
      <c r="F5020" s="41"/>
      <c r="G5020" s="21"/>
      <c r="H5020" s="203"/>
    </row>
    <row r="5021" spans="1:8">
      <c r="A5021" s="200"/>
      <c r="B5021" s="198"/>
      <c r="C5021" s="851"/>
      <c r="D5021" s="41"/>
      <c r="E5021" s="41"/>
      <c r="F5021" s="41"/>
      <c r="G5021" s="21"/>
      <c r="H5021" s="203"/>
    </row>
    <row r="5022" spans="1:8">
      <c r="A5022" s="200"/>
      <c r="B5022" s="198"/>
      <c r="C5022" s="851"/>
      <c r="D5022" s="41"/>
      <c r="E5022" s="41"/>
      <c r="F5022" s="41"/>
      <c r="G5022" s="21"/>
      <c r="H5022" s="203"/>
    </row>
    <row r="5023" spans="1:8">
      <c r="A5023" s="200"/>
      <c r="B5023" s="198"/>
      <c r="C5023" s="851"/>
      <c r="D5023" s="41"/>
      <c r="E5023" s="41"/>
      <c r="F5023" s="41"/>
      <c r="G5023" s="21"/>
      <c r="H5023" s="203"/>
    </row>
    <row r="5024" spans="1:8">
      <c r="A5024" s="200"/>
      <c r="B5024" s="198"/>
      <c r="C5024" s="851"/>
      <c r="D5024" s="41"/>
      <c r="E5024" s="41"/>
      <c r="F5024" s="41"/>
      <c r="G5024" s="21"/>
      <c r="H5024" s="203"/>
    </row>
    <row r="5025" spans="1:8">
      <c r="A5025" s="200"/>
      <c r="B5025" s="198"/>
      <c r="C5025" s="851"/>
      <c r="D5025" s="41"/>
      <c r="E5025" s="41"/>
      <c r="F5025" s="41"/>
      <c r="G5025" s="21"/>
      <c r="H5025" s="203"/>
    </row>
    <row r="5026" spans="1:8">
      <c r="A5026" s="200"/>
      <c r="B5026" s="198"/>
      <c r="C5026" s="851"/>
      <c r="D5026" s="41"/>
      <c r="E5026" s="41"/>
      <c r="F5026" s="41"/>
      <c r="G5026" s="21"/>
      <c r="H5026" s="203"/>
    </row>
    <row r="5027" spans="1:8">
      <c r="A5027" s="200"/>
      <c r="B5027" s="198"/>
      <c r="C5027" s="851"/>
      <c r="D5027" s="41"/>
      <c r="E5027" s="41"/>
      <c r="F5027" s="41"/>
      <c r="G5027" s="21"/>
      <c r="H5027" s="203"/>
    </row>
    <row r="5028" spans="1:8">
      <c r="A5028" s="200"/>
      <c r="B5028" s="198"/>
      <c r="C5028" s="851"/>
      <c r="D5028" s="41"/>
      <c r="E5028" s="41"/>
      <c r="F5028" s="41"/>
      <c r="G5028" s="21"/>
      <c r="H5028" s="203"/>
    </row>
    <row r="5029" spans="1:8">
      <c r="A5029" s="200"/>
      <c r="B5029" s="198"/>
      <c r="C5029" s="851"/>
      <c r="D5029" s="41"/>
      <c r="E5029" s="41"/>
      <c r="F5029" s="41"/>
      <c r="G5029" s="21"/>
      <c r="H5029" s="203"/>
    </row>
    <row r="5030" spans="1:8">
      <c r="A5030" s="200"/>
      <c r="B5030" s="198"/>
      <c r="C5030" s="851"/>
      <c r="D5030" s="41"/>
      <c r="E5030" s="41"/>
      <c r="F5030" s="41"/>
      <c r="G5030" s="21"/>
      <c r="H5030" s="203"/>
    </row>
    <row r="5031" spans="1:8">
      <c r="A5031" s="200"/>
      <c r="B5031" s="198"/>
      <c r="C5031" s="851"/>
      <c r="D5031" s="41"/>
      <c r="E5031" s="41"/>
      <c r="F5031" s="41"/>
      <c r="G5031" s="21"/>
      <c r="H5031" s="203"/>
    </row>
    <row r="5032" spans="1:8">
      <c r="A5032" s="200"/>
      <c r="B5032" s="198"/>
      <c r="C5032" s="851"/>
      <c r="D5032" s="41"/>
      <c r="E5032" s="41"/>
      <c r="F5032" s="41"/>
      <c r="G5032" s="21"/>
      <c r="H5032" s="203"/>
    </row>
    <row r="5033" spans="1:8">
      <c r="A5033" s="200"/>
      <c r="B5033" s="198"/>
      <c r="C5033" s="851"/>
      <c r="D5033" s="41"/>
      <c r="E5033" s="41"/>
      <c r="F5033" s="41"/>
      <c r="G5033" s="21"/>
      <c r="H5033" s="203"/>
    </row>
    <row r="5034" spans="1:8">
      <c r="A5034" s="200"/>
      <c r="B5034" s="198"/>
      <c r="C5034" s="851"/>
      <c r="D5034" s="41"/>
      <c r="E5034" s="41"/>
      <c r="F5034" s="41"/>
      <c r="G5034" s="21"/>
      <c r="H5034" s="203"/>
    </row>
    <row r="5035" spans="1:8">
      <c r="A5035" s="200"/>
      <c r="B5035" s="198"/>
      <c r="C5035" s="851"/>
      <c r="D5035" s="41"/>
      <c r="E5035" s="41"/>
      <c r="F5035" s="41"/>
      <c r="G5035" s="21"/>
      <c r="H5035" s="203"/>
    </row>
    <row r="5036" spans="1:8">
      <c r="A5036" s="200"/>
      <c r="B5036" s="198"/>
      <c r="C5036" s="851"/>
      <c r="D5036" s="41"/>
      <c r="E5036" s="41"/>
      <c r="F5036" s="41"/>
      <c r="G5036" s="21"/>
      <c r="H5036" s="203"/>
    </row>
    <row r="5037" spans="1:8">
      <c r="A5037" s="200"/>
      <c r="B5037" s="198"/>
      <c r="C5037" s="851"/>
      <c r="D5037" s="41"/>
      <c r="E5037" s="41"/>
      <c r="F5037" s="41"/>
      <c r="G5037" s="21"/>
      <c r="H5037" s="203"/>
    </row>
    <row r="5038" spans="1:8">
      <c r="A5038" s="200"/>
      <c r="B5038" s="198"/>
      <c r="C5038" s="851"/>
      <c r="D5038" s="41"/>
      <c r="E5038" s="41"/>
      <c r="F5038" s="41"/>
      <c r="G5038" s="21"/>
      <c r="H5038" s="203"/>
    </row>
    <row r="5039" spans="1:8">
      <c r="A5039" s="200"/>
      <c r="B5039" s="198"/>
      <c r="C5039" s="851"/>
      <c r="D5039" s="41"/>
      <c r="E5039" s="41"/>
      <c r="F5039" s="41"/>
      <c r="G5039" s="21"/>
      <c r="H5039" s="203"/>
    </row>
    <row r="5040" spans="1:8">
      <c r="A5040" s="200"/>
      <c r="B5040" s="198"/>
      <c r="C5040" s="851"/>
      <c r="D5040" s="41"/>
      <c r="E5040" s="41"/>
      <c r="F5040" s="41"/>
      <c r="G5040" s="21"/>
      <c r="H5040" s="203"/>
    </row>
    <row r="5041" spans="1:8">
      <c r="A5041" s="200"/>
      <c r="B5041" s="198"/>
      <c r="C5041" s="851"/>
      <c r="D5041" s="41"/>
      <c r="E5041" s="41"/>
      <c r="F5041" s="41"/>
      <c r="G5041" s="21"/>
      <c r="H5041" s="203"/>
    </row>
    <row r="5042" spans="1:8">
      <c r="A5042" s="200"/>
      <c r="B5042" s="198"/>
      <c r="C5042" s="851"/>
      <c r="D5042" s="41"/>
      <c r="E5042" s="41"/>
      <c r="F5042" s="41"/>
      <c r="G5042" s="21"/>
      <c r="H5042" s="203"/>
    </row>
    <row r="5043" spans="1:8">
      <c r="A5043" s="200"/>
      <c r="B5043" s="198"/>
      <c r="C5043" s="851"/>
      <c r="D5043" s="41"/>
      <c r="E5043" s="41"/>
      <c r="F5043" s="41"/>
      <c r="G5043" s="21"/>
      <c r="H5043" s="203"/>
    </row>
    <row r="5044" spans="1:8">
      <c r="A5044" s="200"/>
      <c r="B5044" s="198"/>
      <c r="C5044" s="851"/>
      <c r="D5044" s="41"/>
      <c r="E5044" s="41"/>
      <c r="F5044" s="41"/>
      <c r="G5044" s="21"/>
      <c r="H5044" s="203"/>
    </row>
    <row r="5045" spans="1:8">
      <c r="A5045" s="200"/>
      <c r="B5045" s="198"/>
      <c r="C5045" s="851"/>
      <c r="D5045" s="41"/>
      <c r="E5045" s="41"/>
      <c r="F5045" s="41"/>
      <c r="G5045" s="21"/>
      <c r="H5045" s="203"/>
    </row>
    <row r="5046" spans="1:8">
      <c r="A5046" s="200"/>
      <c r="B5046" s="198"/>
      <c r="C5046" s="851"/>
      <c r="D5046" s="41"/>
      <c r="E5046" s="41"/>
      <c r="F5046" s="41"/>
      <c r="G5046" s="21"/>
      <c r="H5046" s="203"/>
    </row>
    <row r="5047" spans="1:8">
      <c r="A5047" s="200"/>
      <c r="B5047" s="198"/>
      <c r="C5047" s="851"/>
      <c r="D5047" s="41"/>
      <c r="E5047" s="41"/>
      <c r="F5047" s="41"/>
      <c r="G5047" s="21"/>
      <c r="H5047" s="203"/>
    </row>
    <row r="5048" spans="1:8">
      <c r="A5048" s="200"/>
      <c r="B5048" s="198"/>
      <c r="C5048" s="851"/>
      <c r="D5048" s="41"/>
      <c r="E5048" s="41"/>
      <c r="F5048" s="41"/>
      <c r="G5048" s="21"/>
      <c r="H5048" s="203"/>
    </row>
    <row r="5049" spans="1:8">
      <c r="A5049" s="200"/>
      <c r="B5049" s="198"/>
      <c r="C5049" s="851"/>
      <c r="D5049" s="41"/>
      <c r="E5049" s="41"/>
      <c r="F5049" s="41"/>
      <c r="G5049" s="21"/>
      <c r="H5049" s="203"/>
    </row>
    <row r="5050" spans="1:8">
      <c r="A5050" s="200"/>
      <c r="B5050" s="198"/>
      <c r="C5050" s="851"/>
      <c r="D5050" s="41"/>
      <c r="E5050" s="41"/>
      <c r="F5050" s="41"/>
      <c r="G5050" s="21"/>
      <c r="H5050" s="203"/>
    </row>
    <row r="5051" spans="1:8">
      <c r="A5051" s="200"/>
      <c r="B5051" s="198"/>
      <c r="C5051" s="851"/>
      <c r="D5051" s="41"/>
      <c r="E5051" s="41"/>
      <c r="F5051" s="41"/>
      <c r="G5051" s="21"/>
      <c r="H5051" s="203"/>
    </row>
    <row r="5052" spans="1:8">
      <c r="A5052" s="200"/>
      <c r="B5052" s="198"/>
      <c r="C5052" s="851"/>
      <c r="D5052" s="41"/>
      <c r="E5052" s="41"/>
      <c r="F5052" s="41"/>
      <c r="G5052" s="21"/>
      <c r="H5052" s="203"/>
    </row>
    <row r="5053" spans="1:8">
      <c r="A5053" s="200"/>
      <c r="B5053" s="198"/>
      <c r="C5053" s="851"/>
      <c r="D5053" s="41"/>
      <c r="E5053" s="41"/>
      <c r="F5053" s="41"/>
      <c r="G5053" s="21"/>
      <c r="H5053" s="203"/>
    </row>
    <row r="5054" spans="1:8">
      <c r="A5054" s="200"/>
      <c r="B5054" s="198"/>
      <c r="C5054" s="851"/>
      <c r="D5054" s="41"/>
      <c r="E5054" s="41"/>
      <c r="F5054" s="41"/>
      <c r="G5054" s="21"/>
      <c r="H5054" s="203"/>
    </row>
    <row r="5055" spans="1:8">
      <c r="A5055" s="200"/>
      <c r="B5055" s="198"/>
      <c r="C5055" s="851"/>
      <c r="D5055" s="41"/>
      <c r="E5055" s="41"/>
      <c r="F5055" s="41"/>
      <c r="G5055" s="21"/>
      <c r="H5055" s="203"/>
    </row>
    <row r="5056" spans="1:8">
      <c r="A5056" s="200"/>
      <c r="B5056" s="198"/>
      <c r="C5056" s="851"/>
      <c r="D5056" s="41"/>
      <c r="E5056" s="41"/>
      <c r="F5056" s="41"/>
      <c r="G5056" s="21"/>
      <c r="H5056" s="203"/>
    </row>
  </sheetData>
  <mergeCells count="1201">
    <mergeCell ref="A1566:F1566"/>
    <mergeCell ref="G1566:G1567"/>
    <mergeCell ref="H1566:H1567"/>
    <mergeCell ref="A1578:F1578"/>
    <mergeCell ref="G1578:H1578"/>
    <mergeCell ref="A1580:F1580"/>
    <mergeCell ref="G1580:H1580"/>
    <mergeCell ref="A1581:F1582"/>
    <mergeCell ref="G1582:H1582"/>
    <mergeCell ref="A1584:F1584"/>
    <mergeCell ref="G1584:H1584"/>
    <mergeCell ref="A1585:H1585"/>
    <mergeCell ref="A1547:F1547"/>
    <mergeCell ref="G1547:H1547"/>
    <mergeCell ref="G1549:H1549"/>
    <mergeCell ref="A1550:F1551"/>
    <mergeCell ref="G1551:H1551"/>
    <mergeCell ref="A1553:F1553"/>
    <mergeCell ref="G1553:H1553"/>
    <mergeCell ref="A1555:H1555"/>
    <mergeCell ref="A1548:F1549"/>
    <mergeCell ref="A1559:H1559"/>
    <mergeCell ref="A1560:H1560"/>
    <mergeCell ref="A1561:H1561"/>
    <mergeCell ref="A1562:H1562"/>
    <mergeCell ref="A1563:H1563"/>
    <mergeCell ref="A1564:H1564"/>
    <mergeCell ref="A1565:H1565"/>
    <mergeCell ref="A1523:F1524"/>
    <mergeCell ref="G1524:H1524"/>
    <mergeCell ref="A1525:F1526"/>
    <mergeCell ref="G1526:H1526"/>
    <mergeCell ref="A1528:F1528"/>
    <mergeCell ref="G1528:H1528"/>
    <mergeCell ref="A1529:H1529"/>
    <mergeCell ref="A1533:H1533"/>
    <mergeCell ref="A1534:H1534"/>
    <mergeCell ref="A1535:H1535"/>
    <mergeCell ref="A1536:H1536"/>
    <mergeCell ref="A1537:H1537"/>
    <mergeCell ref="A1539:H1539"/>
    <mergeCell ref="A1540:H1540"/>
    <mergeCell ref="A1541:F1541"/>
    <mergeCell ref="G1541:G1542"/>
    <mergeCell ref="H1541:H1542"/>
    <mergeCell ref="A1495:F1495"/>
    <mergeCell ref="G1495:H1495"/>
    <mergeCell ref="A1496:F1497"/>
    <mergeCell ref="G1497:H1497"/>
    <mergeCell ref="A1499:F1499"/>
    <mergeCell ref="G1499:H1499"/>
    <mergeCell ref="A1500:H1500"/>
    <mergeCell ref="A1504:H1504"/>
    <mergeCell ref="A1505:H1505"/>
    <mergeCell ref="A1506:H1506"/>
    <mergeCell ref="A1507:H1507"/>
    <mergeCell ref="A1509:H1509"/>
    <mergeCell ref="A1510:H1510"/>
    <mergeCell ref="A1511:F1511"/>
    <mergeCell ref="G1511:G1512"/>
    <mergeCell ref="H1511:H1512"/>
    <mergeCell ref="A1522:F1522"/>
    <mergeCell ref="G1522:H1522"/>
    <mergeCell ref="A1467:F1468"/>
    <mergeCell ref="G1468:H1468"/>
    <mergeCell ref="A1470:F1470"/>
    <mergeCell ref="G1470:H1470"/>
    <mergeCell ref="A1471:H1471"/>
    <mergeCell ref="A1474:H1474"/>
    <mergeCell ref="A1475:H1475"/>
    <mergeCell ref="A1476:H1476"/>
    <mergeCell ref="A1477:H1477"/>
    <mergeCell ref="A1478:H1478"/>
    <mergeCell ref="A1479:H1479"/>
    <mergeCell ref="A1480:H1480"/>
    <mergeCell ref="A1481:F1481"/>
    <mergeCell ref="G1481:G1482"/>
    <mergeCell ref="H1481:H1482"/>
    <mergeCell ref="A1493:F1493"/>
    <mergeCell ref="G1493:H1493"/>
    <mergeCell ref="A1440:F1440"/>
    <mergeCell ref="G1440:H1440"/>
    <mergeCell ref="A1441:H1441"/>
    <mergeCell ref="J1387:K1388"/>
    <mergeCell ref="A1444:H1444"/>
    <mergeCell ref="A1445:H1445"/>
    <mergeCell ref="A1446:H1446"/>
    <mergeCell ref="A1447:H1447"/>
    <mergeCell ref="A1448:H1448"/>
    <mergeCell ref="A1450:H1450"/>
    <mergeCell ref="A1451:H1451"/>
    <mergeCell ref="A1452:F1452"/>
    <mergeCell ref="G1452:G1453"/>
    <mergeCell ref="H1452:H1453"/>
    <mergeCell ref="A1464:F1464"/>
    <mergeCell ref="G1464:H1464"/>
    <mergeCell ref="A1465:F1466"/>
    <mergeCell ref="G1466:H1466"/>
    <mergeCell ref="A1412:H1412"/>
    <mergeCell ref="A1406:F1407"/>
    <mergeCell ref="A1416:H1416"/>
    <mergeCell ref="A1417:H1417"/>
    <mergeCell ref="A1418:H1418"/>
    <mergeCell ref="A1419:H1419"/>
    <mergeCell ref="A1421:H1421"/>
    <mergeCell ref="A1422:H1422"/>
    <mergeCell ref="A1423:F1423"/>
    <mergeCell ref="G1423:G1424"/>
    <mergeCell ref="H1423:H1424"/>
    <mergeCell ref="A1434:F1434"/>
    <mergeCell ref="G1434:H1434"/>
    <mergeCell ref="A1435:F1436"/>
    <mergeCell ref="G1436:H1436"/>
    <mergeCell ref="A1437:F1438"/>
    <mergeCell ref="G1438:H1438"/>
    <mergeCell ref="A1386:H1386"/>
    <mergeCell ref="A1387:H1387"/>
    <mergeCell ref="A1388:H1388"/>
    <mergeCell ref="A1389:H1389"/>
    <mergeCell ref="A1390:H1390"/>
    <mergeCell ref="A1392:H1392"/>
    <mergeCell ref="A1393:H1393"/>
    <mergeCell ref="A1394:F1394"/>
    <mergeCell ref="G1394:G1395"/>
    <mergeCell ref="H1394:H1395"/>
    <mergeCell ref="A1405:F1405"/>
    <mergeCell ref="G1405:H1405"/>
    <mergeCell ref="G1407:H1407"/>
    <mergeCell ref="A1408:F1409"/>
    <mergeCell ref="G1409:H1409"/>
    <mergeCell ref="A1411:F1411"/>
    <mergeCell ref="G1411:H1411"/>
    <mergeCell ref="A753:F753"/>
    <mergeCell ref="G753:H753"/>
    <mergeCell ref="A754:F755"/>
    <mergeCell ref="G755:H755"/>
    <mergeCell ref="A756:F757"/>
    <mergeCell ref="G757:H757"/>
    <mergeCell ref="A759:F759"/>
    <mergeCell ref="G759:H759"/>
    <mergeCell ref="A760:H760"/>
    <mergeCell ref="A739:H739"/>
    <mergeCell ref="A740:H740"/>
    <mergeCell ref="A741:H741"/>
    <mergeCell ref="A742:H742"/>
    <mergeCell ref="A743:H743"/>
    <mergeCell ref="A745:H745"/>
    <mergeCell ref="A746:H746"/>
    <mergeCell ref="A747:F747"/>
    <mergeCell ref="G747:G748"/>
    <mergeCell ref="H747:H748"/>
    <mergeCell ref="A729:F729"/>
    <mergeCell ref="G729:H729"/>
    <mergeCell ref="A730:F731"/>
    <mergeCell ref="G731:H731"/>
    <mergeCell ref="A732:F733"/>
    <mergeCell ref="G733:H733"/>
    <mergeCell ref="A735:F735"/>
    <mergeCell ref="G735:H735"/>
    <mergeCell ref="A736:H736"/>
    <mergeCell ref="A710:H710"/>
    <mergeCell ref="A711:H711"/>
    <mergeCell ref="A712:H712"/>
    <mergeCell ref="A713:H713"/>
    <mergeCell ref="A714:H714"/>
    <mergeCell ref="A716:H716"/>
    <mergeCell ref="A717:H717"/>
    <mergeCell ref="A718:F718"/>
    <mergeCell ref="G718:G719"/>
    <mergeCell ref="H718:H719"/>
    <mergeCell ref="A700:F700"/>
    <mergeCell ref="G700:H700"/>
    <mergeCell ref="A701:F702"/>
    <mergeCell ref="G702:H702"/>
    <mergeCell ref="A703:F704"/>
    <mergeCell ref="G704:H704"/>
    <mergeCell ref="A706:F706"/>
    <mergeCell ref="G706:H706"/>
    <mergeCell ref="A707:H707"/>
    <mergeCell ref="A683:H683"/>
    <mergeCell ref="A686:H686"/>
    <mergeCell ref="A687:H687"/>
    <mergeCell ref="A688:H688"/>
    <mergeCell ref="A689:H689"/>
    <mergeCell ref="A690:H690"/>
    <mergeCell ref="A692:H692"/>
    <mergeCell ref="A693:H693"/>
    <mergeCell ref="A694:F694"/>
    <mergeCell ref="G694:G695"/>
    <mergeCell ref="H694:H695"/>
    <mergeCell ref="A677:F678"/>
    <mergeCell ref="G678:H678"/>
    <mergeCell ref="A679:F680"/>
    <mergeCell ref="G680:H680"/>
    <mergeCell ref="A682:F682"/>
    <mergeCell ref="G682:H682"/>
    <mergeCell ref="A653:F653"/>
    <mergeCell ref="G653:H653"/>
    <mergeCell ref="G655:H655"/>
    <mergeCell ref="A656:F657"/>
    <mergeCell ref="G657:H657"/>
    <mergeCell ref="A659:F659"/>
    <mergeCell ref="G659:H659"/>
    <mergeCell ref="A654:F655"/>
    <mergeCell ref="A662:H662"/>
    <mergeCell ref="A663:H663"/>
    <mergeCell ref="A664:H664"/>
    <mergeCell ref="A665:H665"/>
    <mergeCell ref="A666:H666"/>
    <mergeCell ref="A668:H668"/>
    <mergeCell ref="A669:H669"/>
    <mergeCell ref="A670:F670"/>
    <mergeCell ref="G670:G671"/>
    <mergeCell ref="H670:H671"/>
    <mergeCell ref="A676:F676"/>
    <mergeCell ref="G676:H676"/>
    <mergeCell ref="A660:H660"/>
    <mergeCell ref="A629:F629"/>
    <mergeCell ref="G629:H629"/>
    <mergeCell ref="A606:F607"/>
    <mergeCell ref="G607:H607"/>
    <mergeCell ref="A608:F609"/>
    <mergeCell ref="G609:H609"/>
    <mergeCell ref="A611:F611"/>
    <mergeCell ref="G611:H611"/>
    <mergeCell ref="A612:H612"/>
    <mergeCell ref="A615:H615"/>
    <mergeCell ref="A616:H616"/>
    <mergeCell ref="A641:H641"/>
    <mergeCell ref="A642:H642"/>
    <mergeCell ref="A643:H643"/>
    <mergeCell ref="A645:H645"/>
    <mergeCell ref="A646:H646"/>
    <mergeCell ref="A647:F647"/>
    <mergeCell ref="G647:G648"/>
    <mergeCell ref="H647:H648"/>
    <mergeCell ref="A630:F631"/>
    <mergeCell ref="G631:H631"/>
    <mergeCell ref="A632:F633"/>
    <mergeCell ref="G633:H633"/>
    <mergeCell ref="A635:F635"/>
    <mergeCell ref="G635:H635"/>
    <mergeCell ref="A636:H636"/>
    <mergeCell ref="A639:H639"/>
    <mergeCell ref="A640:H640"/>
    <mergeCell ref="A605:F605"/>
    <mergeCell ref="G605:H605"/>
    <mergeCell ref="A582:F583"/>
    <mergeCell ref="G583:H583"/>
    <mergeCell ref="A584:F585"/>
    <mergeCell ref="G585:H585"/>
    <mergeCell ref="A587:F587"/>
    <mergeCell ref="G587:H587"/>
    <mergeCell ref="A588:H588"/>
    <mergeCell ref="A591:H591"/>
    <mergeCell ref="A592:H592"/>
    <mergeCell ref="A617:H617"/>
    <mergeCell ref="A618:H618"/>
    <mergeCell ref="A619:H619"/>
    <mergeCell ref="A621:H621"/>
    <mergeCell ref="A622:H622"/>
    <mergeCell ref="A623:F623"/>
    <mergeCell ref="G623:G624"/>
    <mergeCell ref="H623:H624"/>
    <mergeCell ref="A581:F581"/>
    <mergeCell ref="G581:H581"/>
    <mergeCell ref="A559:F560"/>
    <mergeCell ref="G560:H560"/>
    <mergeCell ref="A561:F562"/>
    <mergeCell ref="G562:H562"/>
    <mergeCell ref="A564:F564"/>
    <mergeCell ref="G564:H564"/>
    <mergeCell ref="A565:H565"/>
    <mergeCell ref="A567:H567"/>
    <mergeCell ref="A568:H568"/>
    <mergeCell ref="A593:H593"/>
    <mergeCell ref="A594:H594"/>
    <mergeCell ref="A595:H595"/>
    <mergeCell ref="A597:H597"/>
    <mergeCell ref="A598:H598"/>
    <mergeCell ref="A599:F599"/>
    <mergeCell ref="G599:G600"/>
    <mergeCell ref="H599:H600"/>
    <mergeCell ref="A558:F558"/>
    <mergeCell ref="G558:H558"/>
    <mergeCell ref="A537:F538"/>
    <mergeCell ref="G538:H538"/>
    <mergeCell ref="A540:F540"/>
    <mergeCell ref="G540:H540"/>
    <mergeCell ref="A541:H541"/>
    <mergeCell ref="A544:H544"/>
    <mergeCell ref="A545:H545"/>
    <mergeCell ref="A546:H546"/>
    <mergeCell ref="A569:H569"/>
    <mergeCell ref="A570:H570"/>
    <mergeCell ref="A571:H571"/>
    <mergeCell ref="A573:H573"/>
    <mergeCell ref="A574:H574"/>
    <mergeCell ref="A575:F575"/>
    <mergeCell ref="G575:G576"/>
    <mergeCell ref="H575:H576"/>
    <mergeCell ref="A535:F536"/>
    <mergeCell ref="G536:H536"/>
    <mergeCell ref="A514:F515"/>
    <mergeCell ref="G515:H515"/>
    <mergeCell ref="A517:F517"/>
    <mergeCell ref="G517:H517"/>
    <mergeCell ref="A518:H518"/>
    <mergeCell ref="A520:H520"/>
    <mergeCell ref="A521:H521"/>
    <mergeCell ref="A522:H522"/>
    <mergeCell ref="A523:H523"/>
    <mergeCell ref="A547:H547"/>
    <mergeCell ref="A548:H548"/>
    <mergeCell ref="A550:H550"/>
    <mergeCell ref="A551:H551"/>
    <mergeCell ref="A552:F552"/>
    <mergeCell ref="G552:G553"/>
    <mergeCell ref="H552:H553"/>
    <mergeCell ref="G487:H487"/>
    <mergeCell ref="A489:F489"/>
    <mergeCell ref="G489:H489"/>
    <mergeCell ref="A490:H490"/>
    <mergeCell ref="A492:H492"/>
    <mergeCell ref="A493:H493"/>
    <mergeCell ref="A494:H494"/>
    <mergeCell ref="A495:H495"/>
    <mergeCell ref="A496:H496"/>
    <mergeCell ref="A486:F487"/>
    <mergeCell ref="A524:H524"/>
    <mergeCell ref="A526:H526"/>
    <mergeCell ref="A527:H527"/>
    <mergeCell ref="A528:F528"/>
    <mergeCell ref="G528:G529"/>
    <mergeCell ref="H528:H529"/>
    <mergeCell ref="A534:F534"/>
    <mergeCell ref="G534:H534"/>
    <mergeCell ref="A978:F979"/>
    <mergeCell ref="G979:H979"/>
    <mergeCell ref="A981:F981"/>
    <mergeCell ref="G981:H981"/>
    <mergeCell ref="A956:H956"/>
    <mergeCell ref="A957:H957"/>
    <mergeCell ref="A1074:H1074"/>
    <mergeCell ref="A1075:H1075"/>
    <mergeCell ref="A982:H982"/>
    <mergeCell ref="A987:H987"/>
    <mergeCell ref="A988:H988"/>
    <mergeCell ref="A989:H989"/>
    <mergeCell ref="A990:H990"/>
    <mergeCell ref="A991:H991"/>
    <mergeCell ref="A992:F992"/>
    <mergeCell ref="G992:G993"/>
    <mergeCell ref="H992:H993"/>
    <mergeCell ref="A1004:F1004"/>
    <mergeCell ref="G1004:H1004"/>
    <mergeCell ref="A1006:F1006"/>
    <mergeCell ref="G1006:H1006"/>
    <mergeCell ref="A1007:F1008"/>
    <mergeCell ref="G1008:H1008"/>
    <mergeCell ref="A977:F977"/>
    <mergeCell ref="A986:H986"/>
    <mergeCell ref="A1035:F1035"/>
    <mergeCell ref="A1036:F1037"/>
    <mergeCell ref="A1048:H1048"/>
    <mergeCell ref="A1049:F1049"/>
    <mergeCell ref="G1049:G1050"/>
    <mergeCell ref="H1049:H1050"/>
    <mergeCell ref="G1037:H1037"/>
    <mergeCell ref="A1167:H1167"/>
    <mergeCell ref="A1193:H1193"/>
    <mergeCell ref="A1186:F1186"/>
    <mergeCell ref="G1186:H1186"/>
    <mergeCell ref="A1188:F1188"/>
    <mergeCell ref="G1188:H1188"/>
    <mergeCell ref="A1189:F1190"/>
    <mergeCell ref="G1190:H1190"/>
    <mergeCell ref="A1192:F1192"/>
    <mergeCell ref="G1192:H1192"/>
    <mergeCell ref="A1130:H1130"/>
    <mergeCell ref="A1168:H1168"/>
    <mergeCell ref="A1169:H1169"/>
    <mergeCell ref="A1170:H1170"/>
    <mergeCell ref="A1171:H1171"/>
    <mergeCell ref="A1173:H1173"/>
    <mergeCell ref="A1174:H1174"/>
    <mergeCell ref="A1175:F1175"/>
    <mergeCell ref="G1175:G1176"/>
    <mergeCell ref="H1175:H1176"/>
    <mergeCell ref="A1134:H1134"/>
    <mergeCell ref="A1135:H1135"/>
    <mergeCell ref="A1136:H1136"/>
    <mergeCell ref="A1137:H1137"/>
    <mergeCell ref="A1138:H1138"/>
    <mergeCell ref="A1140:H1140"/>
    <mergeCell ref="A1141:H1141"/>
    <mergeCell ref="A1142:F1142"/>
    <mergeCell ref="G1142:G1143"/>
    <mergeCell ref="H1142:H1143"/>
    <mergeCell ref="A1153:F1153"/>
    <mergeCell ref="G1153:H1153"/>
    <mergeCell ref="A1155:F1155"/>
    <mergeCell ref="G1155:H1155"/>
    <mergeCell ref="A2324:F2324"/>
    <mergeCell ref="G2324:H2324"/>
    <mergeCell ref="A2326:F2326"/>
    <mergeCell ref="G2326:H2326"/>
    <mergeCell ref="A2327:F2328"/>
    <mergeCell ref="G2328:H2328"/>
    <mergeCell ref="A2330:F2330"/>
    <mergeCell ref="G2330:H2330"/>
    <mergeCell ref="A2305:H2305"/>
    <mergeCell ref="A2306:H2306"/>
    <mergeCell ref="A2307:H2307"/>
    <mergeCell ref="A2308:H2308"/>
    <mergeCell ref="A2309:H2309"/>
    <mergeCell ref="A2311:H2311"/>
    <mergeCell ref="A2312:H2312"/>
    <mergeCell ref="A2313:F2313"/>
    <mergeCell ref="G2313:G2314"/>
    <mergeCell ref="H2313:H2314"/>
    <mergeCell ref="A1859:F1859"/>
    <mergeCell ref="G1859:H1859"/>
    <mergeCell ref="A1863:H1863"/>
    <mergeCell ref="A1864:H1864"/>
    <mergeCell ref="A1865:H1865"/>
    <mergeCell ref="A1866:H1866"/>
    <mergeCell ref="A1867:H1867"/>
    <mergeCell ref="A1869:H1869"/>
    <mergeCell ref="A1870:H1870"/>
    <mergeCell ref="A1882:F1882"/>
    <mergeCell ref="G1882:H1882"/>
    <mergeCell ref="A1871:F1871"/>
    <mergeCell ref="G1871:G1872"/>
    <mergeCell ref="H1871:H1872"/>
    <mergeCell ref="A1876:F1876"/>
    <mergeCell ref="G1876:H1876"/>
    <mergeCell ref="A1878:F1878"/>
    <mergeCell ref="G1878:H1878"/>
    <mergeCell ref="A1879:F1880"/>
    <mergeCell ref="G1880:H1880"/>
    <mergeCell ref="A1853:F1853"/>
    <mergeCell ref="G1853:H1853"/>
    <mergeCell ref="A1855:F1855"/>
    <mergeCell ref="G1855:H1855"/>
    <mergeCell ref="A1856:F1857"/>
    <mergeCell ref="G1857:H1857"/>
    <mergeCell ref="A1831:F1831"/>
    <mergeCell ref="G1831:H1831"/>
    <mergeCell ref="A1834:H1834"/>
    <mergeCell ref="A1835:H1835"/>
    <mergeCell ref="A1836:H1836"/>
    <mergeCell ref="A1837:H1837"/>
    <mergeCell ref="A1838:H1838"/>
    <mergeCell ref="A1840:H1840"/>
    <mergeCell ref="A1841:H1841"/>
    <mergeCell ref="A1842:F1842"/>
    <mergeCell ref="G1842:G1843"/>
    <mergeCell ref="H1842:H1843"/>
    <mergeCell ref="A1818:H1818"/>
    <mergeCell ref="A1819:F1819"/>
    <mergeCell ref="G1819:G1820"/>
    <mergeCell ref="H1819:H1820"/>
    <mergeCell ref="A1825:F1825"/>
    <mergeCell ref="G1825:H1825"/>
    <mergeCell ref="A1827:F1827"/>
    <mergeCell ref="G1827:H1827"/>
    <mergeCell ref="A1828:F1829"/>
    <mergeCell ref="G1829:H1829"/>
    <mergeCell ref="A1807:F1807"/>
    <mergeCell ref="G1807:H1807"/>
    <mergeCell ref="A1809:H1809"/>
    <mergeCell ref="A1811:H1811"/>
    <mergeCell ref="A1812:H1812"/>
    <mergeCell ref="A1813:H1813"/>
    <mergeCell ref="A1814:H1814"/>
    <mergeCell ref="A1815:H1815"/>
    <mergeCell ref="A1817:H1817"/>
    <mergeCell ref="A1789:H1789"/>
    <mergeCell ref="A1790:F1790"/>
    <mergeCell ref="G1790:G1791"/>
    <mergeCell ref="H1790:H1791"/>
    <mergeCell ref="A1801:F1801"/>
    <mergeCell ref="G1801:H1801"/>
    <mergeCell ref="A1803:F1803"/>
    <mergeCell ref="G1803:H1803"/>
    <mergeCell ref="A1804:F1805"/>
    <mergeCell ref="G1805:H1805"/>
    <mergeCell ref="A1776:F1776"/>
    <mergeCell ref="G1776:H1776"/>
    <mergeCell ref="A1778:H1778"/>
    <mergeCell ref="A1782:H1782"/>
    <mergeCell ref="A1783:H1783"/>
    <mergeCell ref="A1784:H1784"/>
    <mergeCell ref="A1785:H1785"/>
    <mergeCell ref="A1786:H1786"/>
    <mergeCell ref="A1788:H1788"/>
    <mergeCell ref="A1758:H1758"/>
    <mergeCell ref="A1759:F1759"/>
    <mergeCell ref="G1759:G1760"/>
    <mergeCell ref="H1759:H1760"/>
    <mergeCell ref="A1770:F1770"/>
    <mergeCell ref="G1770:H1770"/>
    <mergeCell ref="A1772:F1772"/>
    <mergeCell ref="G1772:H1772"/>
    <mergeCell ref="A1773:F1774"/>
    <mergeCell ref="G1774:H1774"/>
    <mergeCell ref="A1359:F1359"/>
    <mergeCell ref="G1359:H1359"/>
    <mergeCell ref="A1360:H1360"/>
    <mergeCell ref="A1751:H1751"/>
    <mergeCell ref="A1752:H1752"/>
    <mergeCell ref="A1753:H1753"/>
    <mergeCell ref="A1754:H1754"/>
    <mergeCell ref="A1755:H1755"/>
    <mergeCell ref="A1757:H1757"/>
    <mergeCell ref="B1749:G1750"/>
    <mergeCell ref="A1363:H1363"/>
    <mergeCell ref="A1364:H1364"/>
    <mergeCell ref="A1365:H1365"/>
    <mergeCell ref="A1366:H1366"/>
    <mergeCell ref="A1367:H1367"/>
    <mergeCell ref="A1369:H1369"/>
    <mergeCell ref="A1370:H1370"/>
    <mergeCell ref="A1371:F1371"/>
    <mergeCell ref="G1371:G1372"/>
    <mergeCell ref="H1371:H1372"/>
    <mergeCell ref="A1376:F1376"/>
    <mergeCell ref="G1376:H1376"/>
    <mergeCell ref="A1295:H1295"/>
    <mergeCell ref="G1294:H1294"/>
    <mergeCell ref="A1378:F1378"/>
    <mergeCell ref="G1378:H1378"/>
    <mergeCell ref="A1341:H1341"/>
    <mergeCell ref="A1342:F1342"/>
    <mergeCell ref="G1342:G1343"/>
    <mergeCell ref="H1342:H1343"/>
    <mergeCell ref="A1353:F1353"/>
    <mergeCell ref="G1353:H1353"/>
    <mergeCell ref="A1354:F1355"/>
    <mergeCell ref="G1355:H1355"/>
    <mergeCell ref="A1356:F1357"/>
    <mergeCell ref="G1357:H1357"/>
    <mergeCell ref="A1334:H1334"/>
    <mergeCell ref="A1335:H1335"/>
    <mergeCell ref="A1337:H1337"/>
    <mergeCell ref="A1338:H1338"/>
    <mergeCell ref="A1336:H1336"/>
    <mergeCell ref="A1340:H1340"/>
    <mergeCell ref="A1276:F1276"/>
    <mergeCell ref="G1276:G1277"/>
    <mergeCell ref="H1276:H1277"/>
    <mergeCell ref="A1288:F1288"/>
    <mergeCell ref="G1288:H1288"/>
    <mergeCell ref="A1289:F1290"/>
    <mergeCell ref="A1270:H1270"/>
    <mergeCell ref="A1271:H1271"/>
    <mergeCell ref="A1272:H1272"/>
    <mergeCell ref="A1274:H1274"/>
    <mergeCell ref="A1325:F1326"/>
    <mergeCell ref="G1326:H1326"/>
    <mergeCell ref="A1328:F1328"/>
    <mergeCell ref="G1328:H1328"/>
    <mergeCell ref="A1329:H1329"/>
    <mergeCell ref="A1309:H1309"/>
    <mergeCell ref="A1310:H1310"/>
    <mergeCell ref="A1311:F1311"/>
    <mergeCell ref="G1311:G1312"/>
    <mergeCell ref="H1311:H1312"/>
    <mergeCell ref="A1322:F1322"/>
    <mergeCell ref="G1322:H1322"/>
    <mergeCell ref="A1323:F1324"/>
    <mergeCell ref="G1324:H1324"/>
    <mergeCell ref="A1291:F1292"/>
    <mergeCell ref="G1292:H1292"/>
    <mergeCell ref="A1294:F1294"/>
    <mergeCell ref="A1303:H1303"/>
    <mergeCell ref="A1304:H1304"/>
    <mergeCell ref="A1305:H1305"/>
    <mergeCell ref="A1306:H1306"/>
    <mergeCell ref="A1307:H1307"/>
    <mergeCell ref="A833:H833"/>
    <mergeCell ref="A834:H834"/>
    <mergeCell ref="A835:H835"/>
    <mergeCell ref="A836:H836"/>
    <mergeCell ref="A837:H837"/>
    <mergeCell ref="A839:H839"/>
    <mergeCell ref="A840:H840"/>
    <mergeCell ref="A841:F841"/>
    <mergeCell ref="G841:G842"/>
    <mergeCell ref="H841:H842"/>
    <mergeCell ref="A396:F396"/>
    <mergeCell ref="G396:H396"/>
    <mergeCell ref="A397:F398"/>
    <mergeCell ref="G398:H398"/>
    <mergeCell ref="A400:F400"/>
    <mergeCell ref="G400:H400"/>
    <mergeCell ref="A402:H402"/>
    <mergeCell ref="A773:H773"/>
    <mergeCell ref="A464:H464"/>
    <mergeCell ref="A465:H465"/>
    <mergeCell ref="A466:H466"/>
    <mergeCell ref="A467:H467"/>
    <mergeCell ref="A468:H468"/>
    <mergeCell ref="A470:H470"/>
    <mergeCell ref="A471:H471"/>
    <mergeCell ref="A472:F472"/>
    <mergeCell ref="G472:G473"/>
    <mergeCell ref="H472:H473"/>
    <mergeCell ref="A483:F483"/>
    <mergeCell ref="G483:H483"/>
    <mergeCell ref="A484:F485"/>
    <mergeCell ref="G485:H485"/>
    <mergeCell ref="A394:F394"/>
    <mergeCell ref="G394:H394"/>
    <mergeCell ref="A375:H375"/>
    <mergeCell ref="A376:H376"/>
    <mergeCell ref="A377:H377"/>
    <mergeCell ref="A378:H378"/>
    <mergeCell ref="A379:H379"/>
    <mergeCell ref="A381:H381"/>
    <mergeCell ref="A382:H382"/>
    <mergeCell ref="A383:F383"/>
    <mergeCell ref="G383:G384"/>
    <mergeCell ref="H383:H384"/>
    <mergeCell ref="A312:H312"/>
    <mergeCell ref="A248:H248"/>
    <mergeCell ref="A218:H218"/>
    <mergeCell ref="A184:H184"/>
    <mergeCell ref="A182:F182"/>
    <mergeCell ref="G182:H182"/>
    <mergeCell ref="A216:F216"/>
    <mergeCell ref="G216:H216"/>
    <mergeCell ref="A221:H221"/>
    <mergeCell ref="A222:H222"/>
    <mergeCell ref="A223:H223"/>
    <mergeCell ref="A224:H224"/>
    <mergeCell ref="A225:H225"/>
    <mergeCell ref="A227:H227"/>
    <mergeCell ref="A228:H228"/>
    <mergeCell ref="A229:F229"/>
    <mergeCell ref="G229:G230"/>
    <mergeCell ref="H229:H230"/>
    <mergeCell ref="A240:F240"/>
    <mergeCell ref="G240:H240"/>
    <mergeCell ref="A176:F176"/>
    <mergeCell ref="G176:H176"/>
    <mergeCell ref="A178:F178"/>
    <mergeCell ref="G178:H178"/>
    <mergeCell ref="A179:F180"/>
    <mergeCell ref="G180:H180"/>
    <mergeCell ref="A194:H194"/>
    <mergeCell ref="A196:H196"/>
    <mergeCell ref="A197:H197"/>
    <mergeCell ref="A198:F198"/>
    <mergeCell ref="G198:G199"/>
    <mergeCell ref="H198:H199"/>
    <mergeCell ref="A210:F210"/>
    <mergeCell ref="G210:H210"/>
    <mergeCell ref="A212:F212"/>
    <mergeCell ref="G212:H212"/>
    <mergeCell ref="A213:F214"/>
    <mergeCell ref="G214:H214"/>
    <mergeCell ref="A193:H193"/>
    <mergeCell ref="A159:H159"/>
    <mergeCell ref="A160:H160"/>
    <mergeCell ref="A162:H162"/>
    <mergeCell ref="A163:H163"/>
    <mergeCell ref="A164:F164"/>
    <mergeCell ref="G164:G165"/>
    <mergeCell ref="H164:H165"/>
    <mergeCell ref="A150:F150"/>
    <mergeCell ref="G150:H150"/>
    <mergeCell ref="A156:H156"/>
    <mergeCell ref="A157:H157"/>
    <mergeCell ref="A158:H158"/>
    <mergeCell ref="A144:F144"/>
    <mergeCell ref="G144:H144"/>
    <mergeCell ref="A146:F146"/>
    <mergeCell ref="G146:H146"/>
    <mergeCell ref="A147:F148"/>
    <mergeCell ref="G148:H148"/>
    <mergeCell ref="A152:H152"/>
    <mergeCell ref="A128:H128"/>
    <mergeCell ref="A129:H129"/>
    <mergeCell ref="A131:H131"/>
    <mergeCell ref="A132:H132"/>
    <mergeCell ref="A133:F133"/>
    <mergeCell ref="G133:G134"/>
    <mergeCell ref="H133:H134"/>
    <mergeCell ref="A122:F122"/>
    <mergeCell ref="G122:H122"/>
    <mergeCell ref="A125:H125"/>
    <mergeCell ref="A126:H126"/>
    <mergeCell ref="A127:H127"/>
    <mergeCell ref="A116:F116"/>
    <mergeCell ref="G116:H116"/>
    <mergeCell ref="A118:F118"/>
    <mergeCell ref="G118:H118"/>
    <mergeCell ref="A119:F120"/>
    <mergeCell ref="G120:H120"/>
    <mergeCell ref="A99:H99"/>
    <mergeCell ref="A100:H100"/>
    <mergeCell ref="A102:H102"/>
    <mergeCell ref="A103:H103"/>
    <mergeCell ref="A104:F104"/>
    <mergeCell ref="G104:G105"/>
    <mergeCell ref="H104:H105"/>
    <mergeCell ref="A90:F90"/>
    <mergeCell ref="G90:H90"/>
    <mergeCell ref="A96:H96"/>
    <mergeCell ref="A97:H97"/>
    <mergeCell ref="A98:H98"/>
    <mergeCell ref="A84:F84"/>
    <mergeCell ref="G84:H84"/>
    <mergeCell ref="A86:F86"/>
    <mergeCell ref="G86:H86"/>
    <mergeCell ref="A87:F88"/>
    <mergeCell ref="G88:H88"/>
    <mergeCell ref="A92:H92"/>
    <mergeCell ref="A67:H67"/>
    <mergeCell ref="A68:H68"/>
    <mergeCell ref="A70:H70"/>
    <mergeCell ref="A71:H71"/>
    <mergeCell ref="A72:F72"/>
    <mergeCell ref="G72:G73"/>
    <mergeCell ref="H72:H73"/>
    <mergeCell ref="A58:F58"/>
    <mergeCell ref="G58:H58"/>
    <mergeCell ref="A64:H64"/>
    <mergeCell ref="A65:H65"/>
    <mergeCell ref="A66:H66"/>
    <mergeCell ref="A60:H60"/>
    <mergeCell ref="A52:F52"/>
    <mergeCell ref="G52:H52"/>
    <mergeCell ref="A54:F54"/>
    <mergeCell ref="G54:H54"/>
    <mergeCell ref="A55:F56"/>
    <mergeCell ref="G56:H56"/>
    <mergeCell ref="A40:H40"/>
    <mergeCell ref="A41:F41"/>
    <mergeCell ref="G41:G42"/>
    <mergeCell ref="H41:H42"/>
    <mergeCell ref="A27:F27"/>
    <mergeCell ref="G27:H27"/>
    <mergeCell ref="A33:H33"/>
    <mergeCell ref="A34:H34"/>
    <mergeCell ref="A35:H35"/>
    <mergeCell ref="A2:H2"/>
    <mergeCell ref="A3:H3"/>
    <mergeCell ref="A4:H4"/>
    <mergeCell ref="A5:H5"/>
    <mergeCell ref="A6:H6"/>
    <mergeCell ref="A190:H190"/>
    <mergeCell ref="A191:H191"/>
    <mergeCell ref="A192:H192"/>
    <mergeCell ref="A21:F21"/>
    <mergeCell ref="G21:H21"/>
    <mergeCell ref="A23:F23"/>
    <mergeCell ref="G23:H23"/>
    <mergeCell ref="A24:F25"/>
    <mergeCell ref="G25:H25"/>
    <mergeCell ref="A29:H29"/>
    <mergeCell ref="A8:H8"/>
    <mergeCell ref="A9:H9"/>
    <mergeCell ref="A10:F10"/>
    <mergeCell ref="G10:G11"/>
    <mergeCell ref="H10:H11"/>
    <mergeCell ref="A36:H36"/>
    <mergeCell ref="A37:H37"/>
    <mergeCell ref="A39:H39"/>
    <mergeCell ref="A242:F242"/>
    <mergeCell ref="G242:H242"/>
    <mergeCell ref="A243:F244"/>
    <mergeCell ref="G244:H244"/>
    <mergeCell ref="A246:F246"/>
    <mergeCell ref="G246:H246"/>
    <mergeCell ref="A251:H251"/>
    <mergeCell ref="A252:H252"/>
    <mergeCell ref="A253:H253"/>
    <mergeCell ref="A254:H254"/>
    <mergeCell ref="A255:H255"/>
    <mergeCell ref="A257:H257"/>
    <mergeCell ref="A258:H258"/>
    <mergeCell ref="A259:F259"/>
    <mergeCell ref="G259:G260"/>
    <mergeCell ref="H259:H260"/>
    <mergeCell ref="A271:F271"/>
    <mergeCell ref="G271:H271"/>
    <mergeCell ref="A273:F273"/>
    <mergeCell ref="G273:H273"/>
    <mergeCell ref="A274:F275"/>
    <mergeCell ref="G275:H275"/>
    <mergeCell ref="A277:F277"/>
    <mergeCell ref="G277:H277"/>
    <mergeCell ref="A286:H286"/>
    <mergeCell ref="A306:F306"/>
    <mergeCell ref="G306:H306"/>
    <mergeCell ref="A307:F308"/>
    <mergeCell ref="G308:H308"/>
    <mergeCell ref="A310:F310"/>
    <mergeCell ref="G310:H310"/>
    <mergeCell ref="A284:H284"/>
    <mergeCell ref="A285:H285"/>
    <mergeCell ref="A287:H287"/>
    <mergeCell ref="A288:H288"/>
    <mergeCell ref="A290:H290"/>
    <mergeCell ref="A291:H291"/>
    <mergeCell ref="A292:F292"/>
    <mergeCell ref="G292:G293"/>
    <mergeCell ref="H292:H293"/>
    <mergeCell ref="A304:F304"/>
    <mergeCell ref="G304:H304"/>
    <mergeCell ref="A278:H278"/>
    <mergeCell ref="A316:H316"/>
    <mergeCell ref="A317:H317"/>
    <mergeCell ref="A347:H347"/>
    <mergeCell ref="A319:H319"/>
    <mergeCell ref="A320:H320"/>
    <mergeCell ref="A322:H322"/>
    <mergeCell ref="A323:H323"/>
    <mergeCell ref="A324:F324"/>
    <mergeCell ref="G324:G325"/>
    <mergeCell ref="H324:H325"/>
    <mergeCell ref="A335:F335"/>
    <mergeCell ref="G335:H335"/>
    <mergeCell ref="A318:H318"/>
    <mergeCell ref="H353:H354"/>
    <mergeCell ref="A364:F364"/>
    <mergeCell ref="G364:H364"/>
    <mergeCell ref="A337:F337"/>
    <mergeCell ref="G337:H337"/>
    <mergeCell ref="A338:F339"/>
    <mergeCell ref="G339:H339"/>
    <mergeCell ref="A341:F341"/>
    <mergeCell ref="G341:H341"/>
    <mergeCell ref="A345:H345"/>
    <mergeCell ref="A346:H346"/>
    <mergeCell ref="A366:F366"/>
    <mergeCell ref="G366:H366"/>
    <mergeCell ref="A367:F368"/>
    <mergeCell ref="G368:H368"/>
    <mergeCell ref="A370:F370"/>
    <mergeCell ref="G370:H370"/>
    <mergeCell ref="A867:H867"/>
    <mergeCell ref="A348:H348"/>
    <mergeCell ref="A349:H349"/>
    <mergeCell ref="A351:H351"/>
    <mergeCell ref="A352:H352"/>
    <mergeCell ref="A353:F353"/>
    <mergeCell ref="G353:G354"/>
    <mergeCell ref="A406:H406"/>
    <mergeCell ref="A407:H407"/>
    <mergeCell ref="A408:H408"/>
    <mergeCell ref="A409:H409"/>
    <mergeCell ref="A410:H410"/>
    <mergeCell ref="A412:H412"/>
    <mergeCell ref="A413:H413"/>
    <mergeCell ref="A414:F414"/>
    <mergeCell ref="G414:G415"/>
    <mergeCell ref="H414:H415"/>
    <mergeCell ref="A425:F425"/>
    <mergeCell ref="G425:H425"/>
    <mergeCell ref="A426:F426"/>
    <mergeCell ref="G426:H426"/>
    <mergeCell ref="A427:F428"/>
    <mergeCell ref="G428:H428"/>
    <mergeCell ref="A430:F430"/>
    <mergeCell ref="G430:H430"/>
    <mergeCell ref="A432:H432"/>
    <mergeCell ref="A2194:H2194"/>
    <mergeCell ref="A2195:H2195"/>
    <mergeCell ref="A2196:H2196"/>
    <mergeCell ref="A2197:H2197"/>
    <mergeCell ref="A2198:H2198"/>
    <mergeCell ref="A2200:H2200"/>
    <mergeCell ref="A2201:H2201"/>
    <mergeCell ref="A2202:F2202"/>
    <mergeCell ref="G2202:G2203"/>
    <mergeCell ref="H2202:H2203"/>
    <mergeCell ref="A2213:F2213"/>
    <mergeCell ref="G2213:H2213"/>
    <mergeCell ref="A2215:F2215"/>
    <mergeCell ref="G2215:H2215"/>
    <mergeCell ref="A2216:F2217"/>
    <mergeCell ref="G2217:H2217"/>
    <mergeCell ref="A2219:F2219"/>
    <mergeCell ref="G2219:H2219"/>
    <mergeCell ref="A2221:H2221"/>
    <mergeCell ref="A2224:H2224"/>
    <mergeCell ref="A2225:H2225"/>
    <mergeCell ref="A2226:H2226"/>
    <mergeCell ref="A2227:H2227"/>
    <mergeCell ref="A2267:F2267"/>
    <mergeCell ref="G2267:H2267"/>
    <mergeCell ref="A2269:F2269"/>
    <mergeCell ref="G2269:H2269"/>
    <mergeCell ref="A2270:F2271"/>
    <mergeCell ref="G2271:H2271"/>
    <mergeCell ref="A2228:H2228"/>
    <mergeCell ref="A2230:H2230"/>
    <mergeCell ref="A2231:H2231"/>
    <mergeCell ref="A2232:F2232"/>
    <mergeCell ref="G2232:G2233"/>
    <mergeCell ref="H2232:H2233"/>
    <mergeCell ref="A2243:F2243"/>
    <mergeCell ref="G2243:H2243"/>
    <mergeCell ref="A2245:F2245"/>
    <mergeCell ref="G2245:H2245"/>
    <mergeCell ref="A2273:F2273"/>
    <mergeCell ref="G2273:H2273"/>
    <mergeCell ref="A2255:H2255"/>
    <mergeCell ref="A2256:F2256"/>
    <mergeCell ref="G2256:G2257"/>
    <mergeCell ref="H2256:H2257"/>
    <mergeCell ref="A2246:F2247"/>
    <mergeCell ref="G2247:H2247"/>
    <mergeCell ref="A2249:F2249"/>
    <mergeCell ref="G2249:H2249"/>
    <mergeCell ref="A2296:F2296"/>
    <mergeCell ref="G2296:H2296"/>
    <mergeCell ref="A2298:F2298"/>
    <mergeCell ref="G2298:H2298"/>
    <mergeCell ref="A2299:F2300"/>
    <mergeCell ref="G2300:H2300"/>
    <mergeCell ref="A2302:F2302"/>
    <mergeCell ref="G2302:H2302"/>
    <mergeCell ref="A2277:H2277"/>
    <mergeCell ref="A2278:H2278"/>
    <mergeCell ref="A2279:H2279"/>
    <mergeCell ref="A2280:H2280"/>
    <mergeCell ref="A2281:H2281"/>
    <mergeCell ref="A2283:H2283"/>
    <mergeCell ref="A2284:H2284"/>
    <mergeCell ref="A2285:F2285"/>
    <mergeCell ref="G2285:G2286"/>
    <mergeCell ref="H2285:H2286"/>
    <mergeCell ref="A795:F796"/>
    <mergeCell ref="G796:H796"/>
    <mergeCell ref="A798:F798"/>
    <mergeCell ref="G798:H798"/>
    <mergeCell ref="A774:H774"/>
    <mergeCell ref="A775:H775"/>
    <mergeCell ref="A776:H776"/>
    <mergeCell ref="A777:H777"/>
    <mergeCell ref="A779:H779"/>
    <mergeCell ref="A780:H780"/>
    <mergeCell ref="A781:F781"/>
    <mergeCell ref="G781:G782"/>
    <mergeCell ref="H781:H782"/>
    <mergeCell ref="A803:H803"/>
    <mergeCell ref="A804:H804"/>
    <mergeCell ref="A805:H805"/>
    <mergeCell ref="A806:H806"/>
    <mergeCell ref="A799:H799"/>
    <mergeCell ref="A807:H807"/>
    <mergeCell ref="A809:H809"/>
    <mergeCell ref="A810:H810"/>
    <mergeCell ref="A811:F811"/>
    <mergeCell ref="G811:G812"/>
    <mergeCell ref="H811:H812"/>
    <mergeCell ref="A822:F822"/>
    <mergeCell ref="G822:H822"/>
    <mergeCell ref="A824:F824"/>
    <mergeCell ref="G824:H824"/>
    <mergeCell ref="A825:F826"/>
    <mergeCell ref="G826:H826"/>
    <mergeCell ref="A828:F828"/>
    <mergeCell ref="G828:H828"/>
    <mergeCell ref="A830:H830"/>
    <mergeCell ref="A927:H927"/>
    <mergeCell ref="A928:H928"/>
    <mergeCell ref="A884:F884"/>
    <mergeCell ref="G884:H884"/>
    <mergeCell ref="A852:F852"/>
    <mergeCell ref="G852:H852"/>
    <mergeCell ref="A865:H865"/>
    <mergeCell ref="A866:H866"/>
    <mergeCell ref="A868:H868"/>
    <mergeCell ref="A869:H869"/>
    <mergeCell ref="A871:H871"/>
    <mergeCell ref="A872:H872"/>
    <mergeCell ref="A873:F873"/>
    <mergeCell ref="G873:G874"/>
    <mergeCell ref="H873:H874"/>
    <mergeCell ref="G854:H854"/>
    <mergeCell ref="A855:F856"/>
    <mergeCell ref="A858:F858"/>
    <mergeCell ref="G858:H858"/>
    <mergeCell ref="G916:H916"/>
    <mergeCell ref="G918:H918"/>
    <mergeCell ref="A853:F854"/>
    <mergeCell ref="A932:H932"/>
    <mergeCell ref="A887:F887"/>
    <mergeCell ref="A888:F889"/>
    <mergeCell ref="G886:H886"/>
    <mergeCell ref="G888:H888"/>
    <mergeCell ref="A890:F890"/>
    <mergeCell ref="G890:H890"/>
    <mergeCell ref="A919:F920"/>
    <mergeCell ref="G920:H920"/>
    <mergeCell ref="A922:F922"/>
    <mergeCell ref="G922:H922"/>
    <mergeCell ref="A896:H896"/>
    <mergeCell ref="A897:H897"/>
    <mergeCell ref="A898:H898"/>
    <mergeCell ref="A899:H899"/>
    <mergeCell ref="A900:H900"/>
    <mergeCell ref="A902:H902"/>
    <mergeCell ref="A903:H903"/>
    <mergeCell ref="A904:F904"/>
    <mergeCell ref="G904:G905"/>
    <mergeCell ref="H904:H905"/>
    <mergeCell ref="A926:H926"/>
    <mergeCell ref="A929:H929"/>
    <mergeCell ref="A930:H930"/>
    <mergeCell ref="A371:H371"/>
    <mergeCell ref="A342:H342"/>
    <mergeCell ref="A123:H123"/>
    <mergeCell ref="A917:F918"/>
    <mergeCell ref="A1093:F1093"/>
    <mergeCell ref="G1093:H1093"/>
    <mergeCell ref="A1095:F1095"/>
    <mergeCell ref="G1095:H1095"/>
    <mergeCell ref="A1096:F1097"/>
    <mergeCell ref="G1097:H1097"/>
    <mergeCell ref="A1099:F1099"/>
    <mergeCell ref="G1099:H1099"/>
    <mergeCell ref="A859:H859"/>
    <mergeCell ref="A923:H923"/>
    <mergeCell ref="A1078:H1078"/>
    <mergeCell ref="A1080:H1080"/>
    <mergeCell ref="A1081:H1081"/>
    <mergeCell ref="A1082:F1082"/>
    <mergeCell ref="G1082:G1083"/>
    <mergeCell ref="H1082:H1083"/>
    <mergeCell ref="A916:F916"/>
    <mergeCell ref="A958:H958"/>
    <mergeCell ref="A959:H959"/>
    <mergeCell ref="A960:H960"/>
    <mergeCell ref="A961:H961"/>
    <mergeCell ref="A962:H962"/>
    <mergeCell ref="A963:F963"/>
    <mergeCell ref="G963:G964"/>
    <mergeCell ref="H963:H964"/>
    <mergeCell ref="A975:F975"/>
    <mergeCell ref="G975:H975"/>
    <mergeCell ref="G856:H856"/>
    <mergeCell ref="A933:H933"/>
    <mergeCell ref="A934:F934"/>
    <mergeCell ref="G934:G935"/>
    <mergeCell ref="H934:H935"/>
    <mergeCell ref="A945:F945"/>
    <mergeCell ref="G945:H945"/>
    <mergeCell ref="A947:F947"/>
    <mergeCell ref="G947:H947"/>
    <mergeCell ref="A948:F949"/>
    <mergeCell ref="G949:H949"/>
    <mergeCell ref="A1104:H1104"/>
    <mergeCell ref="A1105:H1105"/>
    <mergeCell ref="A1106:H1106"/>
    <mergeCell ref="A1107:H1107"/>
    <mergeCell ref="A1108:H1108"/>
    <mergeCell ref="A1110:H1110"/>
    <mergeCell ref="A1111:H1111"/>
    <mergeCell ref="G1065:H1065"/>
    <mergeCell ref="A1067:F1067"/>
    <mergeCell ref="G1067:H1067"/>
    <mergeCell ref="A1068:H1068"/>
    <mergeCell ref="A1040:H1040"/>
    <mergeCell ref="A1042:H1042"/>
    <mergeCell ref="A1043:H1043"/>
    <mergeCell ref="A1044:H1044"/>
    <mergeCell ref="A1045:H1045"/>
    <mergeCell ref="A1046:H1046"/>
    <mergeCell ref="A1047:H1047"/>
    <mergeCell ref="A1061:F1061"/>
    <mergeCell ref="G1061:H1061"/>
    <mergeCell ref="A1100:H1100"/>
    <mergeCell ref="G977:H977"/>
    <mergeCell ref="A953:H953"/>
    <mergeCell ref="A951:F951"/>
    <mergeCell ref="G951:H951"/>
    <mergeCell ref="A985:H985"/>
    <mergeCell ref="A1382:F1382"/>
    <mergeCell ref="G1382:H1382"/>
    <mergeCell ref="A1205:H1205"/>
    <mergeCell ref="A1206:H1206"/>
    <mergeCell ref="A1207:H1207"/>
    <mergeCell ref="A1208:H1208"/>
    <mergeCell ref="A1209:H1209"/>
    <mergeCell ref="A1211:H1211"/>
    <mergeCell ref="A1212:H1212"/>
    <mergeCell ref="A1213:F1213"/>
    <mergeCell ref="G1213:G1214"/>
    <mergeCell ref="H1213:H1214"/>
    <mergeCell ref="A1257:F1257"/>
    <mergeCell ref="G1257:H1257"/>
    <mergeCell ref="A1258:F1259"/>
    <mergeCell ref="A1225:F1225"/>
    <mergeCell ref="G1225:H1225"/>
    <mergeCell ref="A1226:F1227"/>
    <mergeCell ref="G1227:H1227"/>
    <mergeCell ref="A1228:F1229"/>
    <mergeCell ref="A1010:F1010"/>
    <mergeCell ref="G1010:H1010"/>
    <mergeCell ref="A1011:H1011"/>
    <mergeCell ref="A1156:F1157"/>
    <mergeCell ref="G1157:H1157"/>
    <mergeCell ref="G1261:H1261"/>
    <mergeCell ref="A1263:F1263"/>
    <mergeCell ref="G1263:H1263"/>
    <mergeCell ref="A1018:H1018"/>
    <mergeCell ref="A1033:F1033"/>
    <mergeCell ref="G1033:H1033"/>
    <mergeCell ref="G1035:H1035"/>
    <mergeCell ref="A1014:H1014"/>
    <mergeCell ref="A1123:F1123"/>
    <mergeCell ref="G1123:H1123"/>
    <mergeCell ref="A1125:F1125"/>
    <mergeCell ref="G1125:H1125"/>
    <mergeCell ref="A1015:H1015"/>
    <mergeCell ref="A1016:H1016"/>
    <mergeCell ref="A1017:H1017"/>
    <mergeCell ref="A1019:H1019"/>
    <mergeCell ref="A1020:H1020"/>
    <mergeCell ref="A1021:F1021"/>
    <mergeCell ref="G1021:G1022"/>
    <mergeCell ref="H1021:H1022"/>
    <mergeCell ref="A1039:F1039"/>
    <mergeCell ref="G1039:H1039"/>
    <mergeCell ref="A1063:F1063"/>
    <mergeCell ref="G1063:H1063"/>
    <mergeCell ref="A1064:F1065"/>
    <mergeCell ref="A1112:F1112"/>
    <mergeCell ref="G1112:G1113"/>
    <mergeCell ref="H1112:H1113"/>
    <mergeCell ref="A1379:F1380"/>
    <mergeCell ref="G1380:H1380"/>
    <mergeCell ref="A1076:H1076"/>
    <mergeCell ref="A1077:H1077"/>
    <mergeCell ref="A1237:H1237"/>
    <mergeCell ref="A1238:H1238"/>
    <mergeCell ref="A1239:H1239"/>
    <mergeCell ref="A1240:H1240"/>
    <mergeCell ref="A1241:H1241"/>
    <mergeCell ref="A1243:H1243"/>
    <mergeCell ref="A1244:H1244"/>
    <mergeCell ref="A1245:F1245"/>
    <mergeCell ref="G1245:G1246"/>
    <mergeCell ref="H1245:H1246"/>
    <mergeCell ref="G1259:H1259"/>
    <mergeCell ref="A1260:F1261"/>
    <mergeCell ref="G1229:H1229"/>
    <mergeCell ref="A1231:F1231"/>
    <mergeCell ref="G1231:H1231"/>
    <mergeCell ref="A1232:H1232"/>
    <mergeCell ref="A1126:F1127"/>
    <mergeCell ref="G1127:H1127"/>
    <mergeCell ref="A1129:F1129"/>
    <mergeCell ref="G1129:H1129"/>
    <mergeCell ref="A1159:F1159"/>
    <mergeCell ref="G1159:H1159"/>
    <mergeCell ref="A1160:H1160"/>
    <mergeCell ref="A1264:H1264"/>
    <mergeCell ref="A1268:H1268"/>
    <mergeCell ref="A1269:H1269"/>
    <mergeCell ref="G1290:H1290"/>
    <mergeCell ref="A1275:H1275"/>
    <mergeCell ref="A461:H461"/>
    <mergeCell ref="A455:F456"/>
    <mergeCell ref="A792:F792"/>
    <mergeCell ref="G792:H792"/>
    <mergeCell ref="A794:F794"/>
    <mergeCell ref="G794:H794"/>
    <mergeCell ref="A435:H435"/>
    <mergeCell ref="A436:H436"/>
    <mergeCell ref="A437:H437"/>
    <mergeCell ref="A438:H438"/>
    <mergeCell ref="A439:H439"/>
    <mergeCell ref="A441:H441"/>
    <mergeCell ref="A442:H442"/>
    <mergeCell ref="A443:F443"/>
    <mergeCell ref="G443:G444"/>
    <mergeCell ref="H443:H444"/>
    <mergeCell ref="A454:F454"/>
    <mergeCell ref="G454:H454"/>
    <mergeCell ref="G456:H456"/>
    <mergeCell ref="A457:F458"/>
    <mergeCell ref="G458:H458"/>
    <mergeCell ref="A460:F460"/>
    <mergeCell ref="G460:H460"/>
    <mergeCell ref="A498:H498"/>
    <mergeCell ref="A499:H499"/>
    <mergeCell ref="A500:F500"/>
    <mergeCell ref="G500:G501"/>
    <mergeCell ref="H500:H501"/>
    <mergeCell ref="A511:F511"/>
    <mergeCell ref="G511:H511"/>
    <mergeCell ref="A512:F513"/>
    <mergeCell ref="G513:H513"/>
  </mergeCells>
  <pageMargins left="0.65" right="0.13" top="1.1399999999999999" bottom="0.43307086614173229" header="0.31496062992125984" footer="0.31496062992125984"/>
  <pageSetup scale="80" orientation="portrait" r:id="rId1"/>
  <rowBreaks count="1" manualBreakCount="1">
    <brk id="1" max="16383" man="1"/>
  </row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A2" sqref="A2"/>
    </sheetView>
  </sheetViews>
  <sheetFormatPr baseColWidth="10" defaultRowHeight="12.75"/>
  <sheetData>
    <row r="1" spans="1:1">
      <c r="A1" t="s">
        <v>1520</v>
      </c>
    </row>
  </sheetData>
  <pageMargins left="0.7" right="0.7" top="0.75" bottom="0.75" header="0.3" footer="0.3"/>
  <pageSetup paperSize="9" orientation="portrait" horizontalDpi="0"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2.75"/>
  <sheetData/>
  <pageMargins left="0.7" right="0.7" top="0.75" bottom="0.75" header="0.3" footer="0.3"/>
  <pageSetup paperSize="9" orientation="portrait" horizontalDpi="0" verticalDpi="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2.75"/>
  <sheetData/>
  <pageMargins left="0.7" right="0.7" top="0.75" bottom="0.75"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
    <tabColor rgb="FF2F0BB5"/>
  </sheetPr>
  <dimension ref="A1:Q504"/>
  <sheetViews>
    <sheetView topLeftCell="C35" workbookViewId="0">
      <selection activeCell="H16" sqref="H16"/>
    </sheetView>
  </sheetViews>
  <sheetFormatPr baseColWidth="10" defaultRowHeight="17.25"/>
  <cols>
    <col min="1" max="1" width="12" style="93" customWidth="1"/>
    <col min="2" max="2" width="40.5703125" style="81" customWidth="1"/>
    <col min="3" max="3" width="13.85546875" style="303" customWidth="1"/>
    <col min="4" max="4" width="16.28515625" style="303" customWidth="1"/>
    <col min="5" max="5" width="15.5703125" style="303" customWidth="1"/>
    <col min="6" max="6" width="12.7109375" style="303" customWidth="1"/>
    <col min="7" max="7" width="16.85546875" style="353" customWidth="1"/>
    <col min="8" max="8" width="14.140625" style="303" customWidth="1"/>
    <col min="9" max="9" width="7.140625" style="303" hidden="1" customWidth="1"/>
    <col min="10" max="10" width="15.5703125" style="304" customWidth="1"/>
    <col min="11" max="11" width="0.5703125" style="303" customWidth="1"/>
    <col min="12" max="12" width="15.5703125" style="305" customWidth="1"/>
    <col min="13" max="13" width="17.5703125" style="6" customWidth="1"/>
  </cols>
  <sheetData>
    <row r="1" spans="1:17" ht="21.75" customHeight="1">
      <c r="A1" s="2017" t="s">
        <v>111</v>
      </c>
      <c r="B1" s="2018"/>
      <c r="C1" s="2018"/>
      <c r="D1" s="2018"/>
      <c r="E1" s="2018"/>
      <c r="F1" s="2018"/>
      <c r="G1" s="2018"/>
      <c r="H1" s="2018"/>
      <c r="I1" s="2018"/>
      <c r="J1" s="2018"/>
      <c r="K1" s="2018"/>
      <c r="L1" s="2018"/>
    </row>
    <row r="2" spans="1:17" ht="24.75" customHeight="1">
      <c r="A2" s="2017" t="s">
        <v>110</v>
      </c>
      <c r="B2" s="2018"/>
      <c r="C2" s="2018"/>
      <c r="D2" s="2018"/>
      <c r="E2" s="2018"/>
      <c r="F2" s="2018"/>
      <c r="G2" s="2018"/>
      <c r="H2" s="2018"/>
      <c r="I2" s="2018"/>
      <c r="J2" s="2018"/>
      <c r="K2" s="2018"/>
      <c r="L2" s="2018"/>
    </row>
    <row r="3" spans="1:17" ht="21.75" customHeight="1">
      <c r="A3" s="2019" t="s">
        <v>1260</v>
      </c>
      <c r="B3" s="2020"/>
      <c r="C3" s="2020"/>
      <c r="D3" s="2020"/>
      <c r="E3" s="2020"/>
      <c r="F3" s="2020"/>
      <c r="G3" s="2020"/>
      <c r="H3" s="2020"/>
      <c r="I3" s="2020"/>
      <c r="J3" s="2020"/>
      <c r="K3" s="2020"/>
      <c r="L3" s="2020"/>
    </row>
    <row r="4" spans="1:17" ht="23.25" customHeight="1">
      <c r="A4" s="2027" t="s">
        <v>30</v>
      </c>
      <c r="B4" s="2028"/>
      <c r="C4" s="2028"/>
      <c r="D4" s="2028"/>
      <c r="E4" s="2028"/>
      <c r="F4" s="2028"/>
      <c r="G4" s="2028"/>
      <c r="H4" s="2028"/>
      <c r="I4" s="2028"/>
      <c r="J4" s="2028"/>
      <c r="K4" s="2028"/>
      <c r="L4" s="2028"/>
    </row>
    <row r="5" spans="1:17" ht="29.25" customHeight="1">
      <c r="A5" s="2021" t="s">
        <v>48</v>
      </c>
      <c r="B5" s="2022"/>
      <c r="C5" s="2022"/>
      <c r="D5" s="2022"/>
      <c r="E5" s="2022"/>
      <c r="F5" s="2022"/>
      <c r="G5" s="2022"/>
      <c r="H5" s="2022"/>
      <c r="I5" s="2022"/>
      <c r="J5" s="2022"/>
      <c r="K5" s="2022"/>
      <c r="L5" s="2023"/>
    </row>
    <row r="6" spans="1:17" ht="18" customHeight="1">
      <c r="A6" s="2029" t="s">
        <v>1250</v>
      </c>
      <c r="B6" s="2024" t="s">
        <v>1251</v>
      </c>
      <c r="C6" s="2025" t="s">
        <v>1252</v>
      </c>
      <c r="D6" s="2025"/>
      <c r="E6" s="2025"/>
      <c r="F6" s="2025"/>
      <c r="G6" s="2025"/>
      <c r="H6" s="1597"/>
      <c r="I6" s="1597"/>
      <c r="J6" s="1597"/>
      <c r="K6" s="1597"/>
      <c r="L6" s="1597"/>
      <c r="M6" s="1594"/>
    </row>
    <row r="7" spans="1:17" ht="17.25" customHeight="1">
      <c r="A7" s="2029"/>
      <c r="B7" s="2024"/>
      <c r="C7" s="2026" t="s">
        <v>35</v>
      </c>
      <c r="D7" s="2026"/>
      <c r="E7" s="2026" t="s">
        <v>1253</v>
      </c>
      <c r="F7" s="2026"/>
      <c r="G7" s="1598"/>
      <c r="H7" s="2033" t="s">
        <v>1258</v>
      </c>
      <c r="I7" s="1598"/>
      <c r="J7" s="2034" t="s">
        <v>1239</v>
      </c>
      <c r="K7" s="1598"/>
      <c r="L7" s="2035" t="s">
        <v>1259</v>
      </c>
      <c r="M7" s="1594"/>
    </row>
    <row r="8" spans="1:17" ht="67.5" customHeight="1">
      <c r="A8" s="2029"/>
      <c r="B8" s="2024"/>
      <c r="C8" s="1599" t="s">
        <v>1254</v>
      </c>
      <c r="D8" s="1600" t="s">
        <v>1255</v>
      </c>
      <c r="E8" s="1599" t="s">
        <v>1256</v>
      </c>
      <c r="F8" s="1600" t="s">
        <v>1257</v>
      </c>
      <c r="G8" s="1600" t="s">
        <v>36</v>
      </c>
      <c r="H8" s="2033"/>
      <c r="I8" s="1600"/>
      <c r="J8" s="2034"/>
      <c r="K8" s="1600"/>
      <c r="L8" s="2035"/>
      <c r="M8" s="1594"/>
      <c r="Q8" s="1368" t="s">
        <v>977</v>
      </c>
    </row>
    <row r="9" spans="1:17" s="35" customFormat="1" ht="21" customHeight="1">
      <c r="A9" s="130">
        <v>11801</v>
      </c>
      <c r="B9" s="959" t="s">
        <v>70</v>
      </c>
      <c r="C9" s="960"/>
      <c r="D9" s="960"/>
      <c r="E9" s="982"/>
      <c r="F9" s="962"/>
      <c r="G9" s="960">
        <v>0</v>
      </c>
      <c r="H9" s="960"/>
      <c r="I9" s="962">
        <v>0</v>
      </c>
      <c r="J9" s="963"/>
      <c r="K9" s="1163"/>
      <c r="L9" s="1595">
        <f>+G9+H9+I9+J9+K9</f>
        <v>0</v>
      </c>
      <c r="M9" s="1167"/>
    </row>
    <row r="10" spans="1:17" s="35" customFormat="1" ht="21" customHeight="1">
      <c r="A10" s="126">
        <v>11802</v>
      </c>
      <c r="B10" s="964" t="s">
        <v>71</v>
      </c>
      <c r="C10" s="965"/>
      <c r="D10" s="965"/>
      <c r="E10" s="961"/>
      <c r="F10" s="966"/>
      <c r="G10" s="965">
        <v>0</v>
      </c>
      <c r="H10" s="960"/>
      <c r="I10" s="966">
        <v>0</v>
      </c>
      <c r="J10" s="967"/>
      <c r="K10" s="1164"/>
      <c r="L10" s="1166">
        <f t="shared" ref="L10:L16" si="0">+G10+H10+I10+J10+K10</f>
        <v>0</v>
      </c>
      <c r="M10" s="1167"/>
    </row>
    <row r="11" spans="1:17" s="35" customFormat="1" ht="21" customHeight="1">
      <c r="A11" s="126">
        <v>11804</v>
      </c>
      <c r="B11" s="964" t="s">
        <v>72</v>
      </c>
      <c r="C11" s="965"/>
      <c r="D11" s="965"/>
      <c r="E11" s="961"/>
      <c r="F11" s="966"/>
      <c r="G11" s="965">
        <v>0</v>
      </c>
      <c r="H11" s="960"/>
      <c r="I11" s="966">
        <v>0</v>
      </c>
      <c r="J11" s="967"/>
      <c r="K11" s="1164"/>
      <c r="L11" s="1166">
        <f t="shared" si="0"/>
        <v>0</v>
      </c>
      <c r="M11" s="1167"/>
    </row>
    <row r="12" spans="1:17" s="35" customFormat="1" ht="21" customHeight="1">
      <c r="A12" s="126">
        <v>11806</v>
      </c>
      <c r="B12" s="964" t="s">
        <v>73</v>
      </c>
      <c r="C12" s="965"/>
      <c r="D12" s="965"/>
      <c r="E12" s="961"/>
      <c r="F12" s="966"/>
      <c r="G12" s="965">
        <v>0</v>
      </c>
      <c r="H12" s="960"/>
      <c r="I12" s="966">
        <v>0</v>
      </c>
      <c r="J12" s="967"/>
      <c r="K12" s="1164"/>
      <c r="L12" s="1166">
        <f t="shared" si="0"/>
        <v>0</v>
      </c>
      <c r="M12" s="1167"/>
    </row>
    <row r="13" spans="1:17" s="35" customFormat="1" ht="21" customHeight="1">
      <c r="A13" s="127">
        <v>11816</v>
      </c>
      <c r="B13" s="968" t="s">
        <v>74</v>
      </c>
      <c r="C13" s="965"/>
      <c r="D13" s="965"/>
      <c r="E13" s="961"/>
      <c r="F13" s="966"/>
      <c r="G13" s="965">
        <v>0</v>
      </c>
      <c r="H13" s="960"/>
      <c r="I13" s="966"/>
      <c r="J13" s="967"/>
      <c r="K13" s="1164"/>
      <c r="L13" s="1166">
        <f t="shared" si="0"/>
        <v>0</v>
      </c>
      <c r="M13" s="1167"/>
    </row>
    <row r="14" spans="1:17" s="35" customFormat="1" ht="21" customHeight="1">
      <c r="A14" s="127">
        <v>11817</v>
      </c>
      <c r="B14" s="968" t="s">
        <v>480</v>
      </c>
      <c r="C14" s="965"/>
      <c r="D14" s="965"/>
      <c r="E14" s="961"/>
      <c r="F14" s="966"/>
      <c r="G14" s="965"/>
      <c r="H14" s="960"/>
      <c r="I14" s="966"/>
      <c r="J14" s="967"/>
      <c r="K14" s="1164"/>
      <c r="L14" s="1166">
        <f t="shared" si="0"/>
        <v>0</v>
      </c>
      <c r="M14" s="1167"/>
    </row>
    <row r="15" spans="1:17" s="35" customFormat="1" ht="21" customHeight="1">
      <c r="A15" s="126">
        <v>11818</v>
      </c>
      <c r="B15" s="964" t="s">
        <v>75</v>
      </c>
      <c r="C15" s="965"/>
      <c r="D15" s="965"/>
      <c r="E15" s="961"/>
      <c r="F15" s="966"/>
      <c r="G15" s="965">
        <v>0</v>
      </c>
      <c r="H15" s="960">
        <v>1132.4100000000001</v>
      </c>
      <c r="I15" s="966"/>
      <c r="J15" s="967"/>
      <c r="K15" s="1164"/>
      <c r="L15" s="1166">
        <f t="shared" si="0"/>
        <v>1132.4100000000001</v>
      </c>
      <c r="M15" s="1167"/>
    </row>
    <row r="16" spans="1:17" s="35" customFormat="1" ht="21" customHeight="1">
      <c r="A16" s="126">
        <v>11899</v>
      </c>
      <c r="B16" s="964" t="s">
        <v>76</v>
      </c>
      <c r="C16" s="965"/>
      <c r="D16" s="965"/>
      <c r="E16" s="961"/>
      <c r="F16" s="966"/>
      <c r="G16" s="965">
        <v>0</v>
      </c>
      <c r="H16" s="960">
        <v>47725.77</v>
      </c>
      <c r="I16" s="966"/>
      <c r="J16" s="967"/>
      <c r="K16" s="1164"/>
      <c r="L16" s="1166">
        <f t="shared" si="0"/>
        <v>47725.77</v>
      </c>
      <c r="M16" s="1171">
        <f>SUM(L9:L16)</f>
        <v>48858.18</v>
      </c>
    </row>
    <row r="17" spans="1:13" s="35" customFormat="1" ht="21" customHeight="1">
      <c r="A17" s="126">
        <v>12105</v>
      </c>
      <c r="B17" s="964" t="s">
        <v>77</v>
      </c>
      <c r="C17" s="965"/>
      <c r="D17" s="965"/>
      <c r="E17" s="961"/>
      <c r="F17" s="966"/>
      <c r="G17" s="965">
        <v>0</v>
      </c>
      <c r="H17" s="960">
        <v>8417.1200000000008</v>
      </c>
      <c r="I17" s="966"/>
      <c r="J17" s="967"/>
      <c r="K17" s="1164"/>
      <c r="L17" s="1166">
        <f t="shared" ref="L17:L49" si="1">+G17+H17+I17+J17+K17</f>
        <v>8417.1200000000008</v>
      </c>
      <c r="M17" s="1167"/>
    </row>
    <row r="18" spans="1:13" s="35" customFormat="1" ht="21" customHeight="1">
      <c r="A18" s="126">
        <v>12106</v>
      </c>
      <c r="B18" s="964" t="s">
        <v>78</v>
      </c>
      <c r="C18" s="965"/>
      <c r="D18" s="965"/>
      <c r="E18" s="961"/>
      <c r="F18" s="966"/>
      <c r="G18" s="965">
        <v>0</v>
      </c>
      <c r="H18" s="960">
        <v>232</v>
      </c>
      <c r="I18" s="966"/>
      <c r="J18" s="967"/>
      <c r="K18" s="1164"/>
      <c r="L18" s="1166">
        <f t="shared" si="1"/>
        <v>232</v>
      </c>
      <c r="M18" s="1167"/>
    </row>
    <row r="19" spans="1:13" s="35" customFormat="1" ht="21" customHeight="1">
      <c r="A19" s="126">
        <v>12108</v>
      </c>
      <c r="B19" s="964" t="s">
        <v>52</v>
      </c>
      <c r="C19" s="965"/>
      <c r="D19" s="965"/>
      <c r="E19" s="961"/>
      <c r="F19" s="966"/>
      <c r="G19" s="965">
        <v>0</v>
      </c>
      <c r="H19" s="960">
        <v>12794.7</v>
      </c>
      <c r="I19" s="966"/>
      <c r="J19" s="967"/>
      <c r="K19" s="1164"/>
      <c r="L19" s="1166">
        <f t="shared" si="1"/>
        <v>12794.7</v>
      </c>
      <c r="M19" s="1167"/>
    </row>
    <row r="20" spans="1:13" s="35" customFormat="1" ht="21" customHeight="1">
      <c r="A20" s="126">
        <v>12110</v>
      </c>
      <c r="B20" s="964" t="s">
        <v>79</v>
      </c>
      <c r="C20" s="965"/>
      <c r="D20" s="965"/>
      <c r="E20" s="961"/>
      <c r="F20" s="966"/>
      <c r="G20" s="965">
        <v>0</v>
      </c>
      <c r="H20" s="960"/>
      <c r="I20" s="966"/>
      <c r="J20" s="967"/>
      <c r="K20" s="1164"/>
      <c r="L20" s="1166">
        <f t="shared" si="1"/>
        <v>0</v>
      </c>
      <c r="M20" s="1167"/>
    </row>
    <row r="21" spans="1:13" s="35" customFormat="1" ht="21" customHeight="1">
      <c r="A21" s="126">
        <v>12111</v>
      </c>
      <c r="B21" s="964" t="s">
        <v>80</v>
      </c>
      <c r="C21" s="965"/>
      <c r="D21" s="965"/>
      <c r="E21" s="961"/>
      <c r="F21" s="966"/>
      <c r="G21" s="965">
        <v>0</v>
      </c>
      <c r="H21" s="960">
        <v>1500</v>
      </c>
      <c r="I21" s="966"/>
      <c r="J21" s="967"/>
      <c r="K21" s="1164"/>
      <c r="L21" s="1166">
        <f t="shared" si="1"/>
        <v>1500</v>
      </c>
      <c r="M21" s="1167"/>
    </row>
    <row r="22" spans="1:13" s="35" customFormat="1" ht="21" customHeight="1">
      <c r="A22" s="126">
        <v>12112</v>
      </c>
      <c r="B22" s="964" t="s">
        <v>81</v>
      </c>
      <c r="C22" s="965"/>
      <c r="D22" s="965"/>
      <c r="E22" s="961"/>
      <c r="F22" s="966"/>
      <c r="G22" s="965">
        <v>0</v>
      </c>
      <c r="H22" s="960">
        <v>20465.62</v>
      </c>
      <c r="I22" s="966"/>
      <c r="J22" s="967"/>
      <c r="K22" s="1164"/>
      <c r="L22" s="1166">
        <f t="shared" si="1"/>
        <v>20465.62</v>
      </c>
      <c r="M22" s="1167"/>
    </row>
    <row r="23" spans="1:13" s="35" customFormat="1" ht="21" customHeight="1">
      <c r="A23" s="126">
        <v>12114</v>
      </c>
      <c r="B23" s="964" t="s">
        <v>82</v>
      </c>
      <c r="C23" s="965"/>
      <c r="D23" s="965"/>
      <c r="E23" s="961"/>
      <c r="F23" s="966"/>
      <c r="G23" s="965">
        <v>0</v>
      </c>
      <c r="H23" s="960">
        <v>10067.709999999999</v>
      </c>
      <c r="I23" s="966"/>
      <c r="J23" s="967"/>
      <c r="K23" s="1164"/>
      <c r="L23" s="1166">
        <f t="shared" si="1"/>
        <v>10067.709999999999</v>
      </c>
      <c r="M23" s="1167"/>
    </row>
    <row r="24" spans="1:13" s="35" customFormat="1" ht="21" customHeight="1">
      <c r="A24" s="126">
        <v>12115</v>
      </c>
      <c r="B24" s="964" t="s">
        <v>83</v>
      </c>
      <c r="C24" s="965"/>
      <c r="D24" s="965"/>
      <c r="E24" s="961"/>
      <c r="F24" s="966"/>
      <c r="G24" s="965">
        <v>0</v>
      </c>
      <c r="H24" s="960">
        <v>844.76</v>
      </c>
      <c r="I24" s="966"/>
      <c r="J24" s="967"/>
      <c r="K24" s="1164"/>
      <c r="L24" s="1166">
        <f t="shared" si="1"/>
        <v>844.76</v>
      </c>
      <c r="M24" s="1167"/>
    </row>
    <row r="25" spans="1:13" s="35" customFormat="1" ht="21" customHeight="1">
      <c r="A25" s="126">
        <v>12117</v>
      </c>
      <c r="B25" s="964" t="s">
        <v>84</v>
      </c>
      <c r="C25" s="965"/>
      <c r="D25" s="965"/>
      <c r="E25" s="961"/>
      <c r="F25" s="966"/>
      <c r="G25" s="965">
        <v>0</v>
      </c>
      <c r="H25" s="960">
        <v>3351.15</v>
      </c>
      <c r="I25" s="966"/>
      <c r="J25" s="967"/>
      <c r="K25" s="1164"/>
      <c r="L25" s="1166">
        <f t="shared" si="1"/>
        <v>3351.15</v>
      </c>
      <c r="M25" s="1167"/>
    </row>
    <row r="26" spans="1:13" s="35" customFormat="1" ht="21" customHeight="1">
      <c r="A26" s="126">
        <v>12118</v>
      </c>
      <c r="B26" s="964" t="s">
        <v>85</v>
      </c>
      <c r="C26" s="965"/>
      <c r="D26" s="965"/>
      <c r="E26" s="961"/>
      <c r="F26" s="966"/>
      <c r="G26" s="965">
        <v>0</v>
      </c>
      <c r="H26" s="960">
        <v>53162</v>
      </c>
      <c r="I26" s="966"/>
      <c r="J26" s="967"/>
      <c r="K26" s="1164"/>
      <c r="L26" s="1166">
        <f t="shared" si="1"/>
        <v>53162</v>
      </c>
      <c r="M26" s="1167"/>
    </row>
    <row r="27" spans="1:13" s="35" customFormat="1" ht="21" customHeight="1">
      <c r="A27" s="126">
        <v>12119</v>
      </c>
      <c r="B27" s="964" t="s">
        <v>86</v>
      </c>
      <c r="C27" s="965"/>
      <c r="D27" s="965"/>
      <c r="E27" s="961"/>
      <c r="F27" s="966"/>
      <c r="G27" s="965">
        <v>0</v>
      </c>
      <c r="H27" s="960">
        <v>1124.3900000000001</v>
      </c>
      <c r="I27" s="966"/>
      <c r="J27" s="967"/>
      <c r="K27" s="1164"/>
      <c r="L27" s="1166">
        <f t="shared" si="1"/>
        <v>1124.3900000000001</v>
      </c>
      <c r="M27" s="1167"/>
    </row>
    <row r="28" spans="1:13" s="35" customFormat="1" ht="21" customHeight="1">
      <c r="A28" s="126">
        <v>12199</v>
      </c>
      <c r="B28" s="964" t="s">
        <v>87</v>
      </c>
      <c r="C28" s="965"/>
      <c r="D28" s="965"/>
      <c r="E28" s="961"/>
      <c r="F28" s="966"/>
      <c r="G28" s="965">
        <v>0</v>
      </c>
      <c r="H28" s="960">
        <v>394</v>
      </c>
      <c r="I28" s="966"/>
      <c r="J28" s="967"/>
      <c r="K28" s="1164"/>
      <c r="L28" s="1166">
        <f t="shared" si="1"/>
        <v>394</v>
      </c>
      <c r="M28" s="1167"/>
    </row>
    <row r="29" spans="1:13" s="35" customFormat="1" ht="21" customHeight="1">
      <c r="A29" s="126">
        <v>12210</v>
      </c>
      <c r="B29" s="964" t="s">
        <v>53</v>
      </c>
      <c r="C29" s="965"/>
      <c r="D29" s="965"/>
      <c r="E29" s="961"/>
      <c r="F29" s="966"/>
      <c r="G29" s="965">
        <v>0</v>
      </c>
      <c r="H29" s="960">
        <v>21843.59</v>
      </c>
      <c r="I29" s="966"/>
      <c r="J29" s="967"/>
      <c r="K29" s="1164"/>
      <c r="L29" s="1166">
        <f t="shared" si="1"/>
        <v>21843.59</v>
      </c>
      <c r="M29" s="1167"/>
    </row>
    <row r="30" spans="1:13" s="35" customFormat="1" ht="21" customHeight="1">
      <c r="A30" s="126">
        <v>12211</v>
      </c>
      <c r="B30" s="969" t="s">
        <v>54</v>
      </c>
      <c r="C30" s="965"/>
      <c r="D30" s="965"/>
      <c r="E30" s="961"/>
      <c r="F30" s="966"/>
      <c r="G30" s="965">
        <v>0</v>
      </c>
      <c r="H30" s="960">
        <v>22.97</v>
      </c>
      <c r="I30" s="966"/>
      <c r="J30" s="967"/>
      <c r="K30" s="1164"/>
      <c r="L30" s="1166">
        <f t="shared" si="1"/>
        <v>22.97</v>
      </c>
      <c r="M30" s="1167"/>
    </row>
    <row r="31" spans="1:13" s="35" customFormat="1" ht="21" customHeight="1">
      <c r="A31" s="126">
        <v>12299</v>
      </c>
      <c r="B31" s="964" t="s">
        <v>88</v>
      </c>
      <c r="C31" s="965"/>
      <c r="D31" s="965"/>
      <c r="E31" s="961"/>
      <c r="F31" s="966"/>
      <c r="G31" s="965">
        <v>0</v>
      </c>
      <c r="H31" s="960">
        <v>1750</v>
      </c>
      <c r="I31" s="966"/>
      <c r="J31" s="967"/>
      <c r="K31" s="1164"/>
      <c r="L31" s="1166">
        <f t="shared" si="1"/>
        <v>1750</v>
      </c>
      <c r="M31" s="1171">
        <f>SUM(L17:L31)</f>
        <v>135970.01</v>
      </c>
    </row>
    <row r="32" spans="1:13" s="35" customFormat="1" ht="21" customHeight="1">
      <c r="A32" s="126">
        <v>14201</v>
      </c>
      <c r="B32" s="964" t="s">
        <v>89</v>
      </c>
      <c r="C32" s="965"/>
      <c r="D32" s="965"/>
      <c r="E32" s="961"/>
      <c r="F32" s="966"/>
      <c r="G32" s="965">
        <v>0</v>
      </c>
      <c r="H32" s="960">
        <v>9894.86</v>
      </c>
      <c r="I32" s="966"/>
      <c r="J32" s="967"/>
      <c r="K32" s="1164"/>
      <c r="L32" s="1166">
        <f t="shared" si="1"/>
        <v>9894.86</v>
      </c>
      <c r="M32" s="1167"/>
    </row>
    <row r="33" spans="1:13" s="35" customFormat="1" ht="20.25" customHeight="1">
      <c r="A33" s="126">
        <v>14299</v>
      </c>
      <c r="B33" s="964" t="s">
        <v>90</v>
      </c>
      <c r="C33" s="965"/>
      <c r="D33" s="965"/>
      <c r="E33" s="961"/>
      <c r="F33" s="966"/>
      <c r="G33" s="965">
        <v>0</v>
      </c>
      <c r="H33" s="960">
        <v>600.05999999999995</v>
      </c>
      <c r="I33" s="966"/>
      <c r="J33" s="967"/>
      <c r="K33" s="1164"/>
      <c r="L33" s="1166">
        <f t="shared" si="1"/>
        <v>600.05999999999995</v>
      </c>
      <c r="M33" s="1171">
        <f>SUM(L32:L33)</f>
        <v>10494.92</v>
      </c>
    </row>
    <row r="34" spans="1:13" s="35" customFormat="1" ht="9.75" hidden="1" customHeight="1">
      <c r="A34" s="126"/>
      <c r="B34" s="964"/>
      <c r="C34" s="965"/>
      <c r="D34" s="965"/>
      <c r="E34" s="961"/>
      <c r="F34" s="966"/>
      <c r="G34" s="965"/>
      <c r="H34" s="960"/>
      <c r="I34" s="966"/>
      <c r="J34" s="967"/>
      <c r="K34" s="1164"/>
      <c r="L34" s="1166"/>
      <c r="M34" s="1167"/>
    </row>
    <row r="35" spans="1:13" s="35" customFormat="1" ht="21" customHeight="1">
      <c r="A35" s="126">
        <v>15301</v>
      </c>
      <c r="B35" s="964" t="s">
        <v>91</v>
      </c>
      <c r="C35" s="965"/>
      <c r="D35" s="965"/>
      <c r="E35" s="961"/>
      <c r="F35" s="966"/>
      <c r="G35" s="965">
        <v>0</v>
      </c>
      <c r="H35" s="960">
        <v>6896.9</v>
      </c>
      <c r="I35" s="966"/>
      <c r="J35" s="967"/>
      <c r="K35" s="1164"/>
      <c r="L35" s="1166">
        <f t="shared" si="1"/>
        <v>6896.9</v>
      </c>
      <c r="M35" s="1167"/>
    </row>
    <row r="36" spans="1:13" s="35" customFormat="1" ht="21" customHeight="1">
      <c r="A36" s="126">
        <v>15302</v>
      </c>
      <c r="B36" s="964" t="s">
        <v>92</v>
      </c>
      <c r="C36" s="965"/>
      <c r="D36" s="965"/>
      <c r="E36" s="961"/>
      <c r="F36" s="966"/>
      <c r="G36" s="965">
        <v>0</v>
      </c>
      <c r="H36" s="960">
        <v>10968.06</v>
      </c>
      <c r="I36" s="966"/>
      <c r="J36" s="967"/>
      <c r="K36" s="1164"/>
      <c r="L36" s="1166">
        <f t="shared" si="1"/>
        <v>10968.06</v>
      </c>
      <c r="M36" s="1167"/>
    </row>
    <row r="37" spans="1:13" s="35" customFormat="1" ht="21" customHeight="1">
      <c r="A37" s="126">
        <v>15312</v>
      </c>
      <c r="B37" s="964" t="s">
        <v>93</v>
      </c>
      <c r="C37" s="965"/>
      <c r="D37" s="965"/>
      <c r="E37" s="961"/>
      <c r="F37" s="966"/>
      <c r="G37" s="965"/>
      <c r="H37" s="960">
        <v>2.86</v>
      </c>
      <c r="I37" s="966"/>
      <c r="J37" s="967"/>
      <c r="K37" s="1164"/>
      <c r="L37" s="1166">
        <f t="shared" si="1"/>
        <v>2.86</v>
      </c>
      <c r="M37" s="1167"/>
    </row>
    <row r="38" spans="1:13" s="35" customFormat="1" ht="21" customHeight="1">
      <c r="A38" s="473">
        <v>15314</v>
      </c>
      <c r="B38" s="970" t="s">
        <v>455</v>
      </c>
      <c r="C38" s="971"/>
      <c r="D38" s="965"/>
      <c r="E38" s="961"/>
      <c r="F38" s="966"/>
      <c r="G38" s="965">
        <v>0</v>
      </c>
      <c r="H38" s="960"/>
      <c r="I38" s="966"/>
      <c r="J38" s="967"/>
      <c r="K38" s="1164"/>
      <c r="L38" s="1166">
        <f t="shared" si="1"/>
        <v>0</v>
      </c>
      <c r="M38" s="1167"/>
    </row>
    <row r="39" spans="1:13" s="35" customFormat="1" ht="21" customHeight="1">
      <c r="A39" s="126">
        <v>15703</v>
      </c>
      <c r="B39" s="964" t="s">
        <v>94</v>
      </c>
      <c r="C39" s="965"/>
      <c r="D39" s="965"/>
      <c r="E39" s="961"/>
      <c r="F39" s="966"/>
      <c r="G39" s="965">
        <v>0</v>
      </c>
      <c r="H39" s="963"/>
      <c r="I39" s="966"/>
      <c r="J39" s="967"/>
      <c r="K39" s="1164"/>
      <c r="L39" s="1166">
        <f t="shared" si="1"/>
        <v>0</v>
      </c>
      <c r="M39" s="1167"/>
    </row>
    <row r="40" spans="1:13" s="35" customFormat="1" ht="21" customHeight="1">
      <c r="A40" s="128">
        <v>15799</v>
      </c>
      <c r="B40" s="972" t="s">
        <v>95</v>
      </c>
      <c r="C40" s="973"/>
      <c r="D40" s="974"/>
      <c r="E40" s="975"/>
      <c r="F40" s="973"/>
      <c r="G40" s="973">
        <v>0</v>
      </c>
      <c r="H40" s="960">
        <v>20159.64</v>
      </c>
      <c r="I40" s="974"/>
      <c r="J40" s="976"/>
      <c r="K40" s="1164"/>
      <c r="L40" s="1166">
        <f>+G40+H40+I40+J40+K40</f>
        <v>20159.64</v>
      </c>
      <c r="M40" s="1171">
        <f>SUM(L35:L40)</f>
        <v>38027.46</v>
      </c>
    </row>
    <row r="41" spans="1:13" s="35" customFormat="1" ht="21" customHeight="1">
      <c r="A41" s="129">
        <v>16201</v>
      </c>
      <c r="B41" s="977" t="s">
        <v>96</v>
      </c>
      <c r="C41" s="302">
        <f>SUM('Saldos de ctas. Bancarias'!C81)</f>
        <v>406864.85</v>
      </c>
      <c r="D41" s="978"/>
      <c r="E41" s="979"/>
      <c r="F41" s="978"/>
      <c r="G41" s="980">
        <f t="shared" ref="G41:G49" si="2">+C41+D41+E41</f>
        <v>406864.85</v>
      </c>
      <c r="H41" s="960"/>
      <c r="I41" s="981"/>
      <c r="J41" s="976"/>
      <c r="K41" s="1165"/>
      <c r="L41" s="1168">
        <f>+G41+H41+I41+J41+K41</f>
        <v>406864.85</v>
      </c>
      <c r="M41" s="1168">
        <f>+H41+I41+J41+K41+L41</f>
        <v>406864.85</v>
      </c>
    </row>
    <row r="42" spans="1:13" s="35" customFormat="1" ht="27.75" customHeight="1">
      <c r="A42" s="130">
        <v>22201</v>
      </c>
      <c r="B42" s="984" t="s">
        <v>97</v>
      </c>
      <c r="C42" s="960"/>
      <c r="D42" s="301">
        <f>SUM('Saldos de ctas. Bancarias'!C86)</f>
        <v>1220594.49</v>
      </c>
      <c r="E42" s="1596">
        <f>SUM('Saldos de ctas. Bancarias'!C87)</f>
        <v>406864.9</v>
      </c>
      <c r="F42" s="962"/>
      <c r="G42" s="351">
        <f>+C42+D42+E42</f>
        <v>1627459.3900000001</v>
      </c>
      <c r="H42" s="960"/>
      <c r="I42" s="962"/>
      <c r="J42" s="963"/>
      <c r="K42" s="1163"/>
      <c r="L42" s="1169">
        <f>+G42+H42+I42+J42+K42</f>
        <v>1627459.3900000001</v>
      </c>
      <c r="M42" s="1167"/>
    </row>
    <row r="43" spans="1:13" s="35" customFormat="1" ht="29.25" customHeight="1">
      <c r="A43" s="126">
        <v>22201</v>
      </c>
      <c r="B43" s="985" t="s">
        <v>98</v>
      </c>
      <c r="C43" s="965"/>
      <c r="D43" s="965"/>
      <c r="E43" s="961"/>
      <c r="F43" s="966"/>
      <c r="G43" s="965">
        <f>+C43+D43+E43</f>
        <v>0</v>
      </c>
      <c r="H43" s="960"/>
      <c r="I43" s="966"/>
      <c r="J43" s="967"/>
      <c r="K43" s="1164"/>
      <c r="L43" s="1166">
        <f t="shared" si="1"/>
        <v>0</v>
      </c>
      <c r="M43" s="1167"/>
    </row>
    <row r="44" spans="1:13" s="35" customFormat="1" ht="27.75" customHeight="1">
      <c r="A44" s="126">
        <v>22201</v>
      </c>
      <c r="B44" s="985" t="s">
        <v>99</v>
      </c>
      <c r="C44" s="965"/>
      <c r="D44" s="965"/>
      <c r="E44" s="961"/>
      <c r="F44" s="966"/>
      <c r="G44" s="965">
        <f t="shared" si="2"/>
        <v>0</v>
      </c>
      <c r="H44" s="960"/>
      <c r="I44" s="966"/>
      <c r="J44" s="967"/>
      <c r="K44" s="1164"/>
      <c r="L44" s="1166">
        <f t="shared" si="1"/>
        <v>0</v>
      </c>
      <c r="M44" s="1171">
        <f>SUM(L42:L44)</f>
        <v>1627459.3900000001</v>
      </c>
    </row>
    <row r="45" spans="1:13" s="35" customFormat="1" ht="26.25" customHeight="1">
      <c r="A45" s="126">
        <v>22224</v>
      </c>
      <c r="B45" s="985" t="s">
        <v>976</v>
      </c>
      <c r="C45" s="965"/>
      <c r="D45" s="965"/>
      <c r="E45" s="961"/>
      <c r="F45" s="983"/>
      <c r="G45" s="965">
        <f>F45</f>
        <v>0</v>
      </c>
      <c r="H45" s="960"/>
      <c r="I45" s="966"/>
      <c r="J45" s="967"/>
      <c r="K45" s="1164"/>
      <c r="L45" s="1166">
        <f t="shared" si="1"/>
        <v>0</v>
      </c>
      <c r="M45" s="1167"/>
    </row>
    <row r="46" spans="1:13" s="35" customFormat="1" ht="21" customHeight="1">
      <c r="A46" s="126">
        <v>31304</v>
      </c>
      <c r="B46" s="964" t="s">
        <v>103</v>
      </c>
      <c r="C46" s="965"/>
      <c r="D46" s="965"/>
      <c r="E46" s="961"/>
      <c r="F46" s="966"/>
      <c r="G46" s="965">
        <f t="shared" si="2"/>
        <v>0</v>
      </c>
      <c r="H46" s="960"/>
      <c r="I46" s="966"/>
      <c r="J46" s="967"/>
      <c r="K46" s="1164"/>
      <c r="L46" s="1166">
        <f>+G46+H46+I46+J46+K46</f>
        <v>0</v>
      </c>
      <c r="M46" s="1167"/>
    </row>
    <row r="47" spans="1:13" s="35" customFormat="1" ht="21" customHeight="1">
      <c r="A47" s="126">
        <v>32101</v>
      </c>
      <c r="B47" s="964" t="s">
        <v>100</v>
      </c>
      <c r="C47" s="965"/>
      <c r="D47" s="965"/>
      <c r="E47" s="961"/>
      <c r="F47" s="966"/>
      <c r="G47" s="965">
        <f t="shared" si="2"/>
        <v>0</v>
      </c>
      <c r="H47" s="960"/>
      <c r="I47" s="966"/>
      <c r="J47" s="967"/>
      <c r="K47" s="1164"/>
      <c r="L47" s="1166">
        <f>+G47+H47+I47+J47+K47</f>
        <v>0</v>
      </c>
      <c r="M47" s="1167"/>
    </row>
    <row r="48" spans="1:13" s="35" customFormat="1" ht="21" customHeight="1">
      <c r="A48" s="126">
        <v>32102</v>
      </c>
      <c r="B48" s="964" t="s">
        <v>101</v>
      </c>
      <c r="C48" s="352">
        <f>SUM('Saldos de ctas. Bancarias'!C83)</f>
        <v>9878.15</v>
      </c>
      <c r="D48" s="965">
        <f>SUM('Saldos de ctas. Bancarias'!C92)</f>
        <v>8733.4699999999993</v>
      </c>
      <c r="E48" s="961">
        <f>SUM('Saldos de ctas. Bancarias'!C88)</f>
        <v>79110.39</v>
      </c>
      <c r="F48" s="983">
        <v>43502.73</v>
      </c>
      <c r="G48" s="965">
        <f>+C48+D48+E48+F48</f>
        <v>141224.74</v>
      </c>
      <c r="H48" s="960">
        <f>SUM('Saldos de ctas. Bancarias'!C76)</f>
        <v>895.8</v>
      </c>
      <c r="I48" s="966"/>
      <c r="J48" s="967">
        <f>SUM('Saldos de ctas. Bancarias'!C93)</f>
        <v>406554.77</v>
      </c>
      <c r="K48" s="1164"/>
      <c r="L48" s="1168">
        <f>+G48+H48+I48+J48+K48</f>
        <v>548675.31000000006</v>
      </c>
      <c r="M48" s="1167"/>
    </row>
    <row r="49" spans="1:17" s="35" customFormat="1" ht="27" customHeight="1">
      <c r="A49" s="126">
        <v>32201</v>
      </c>
      <c r="B49" s="985" t="s">
        <v>102</v>
      </c>
      <c r="C49" s="352">
        <f>SUM('Saldos de ctas. Bancarias'!C82)</f>
        <v>212501.31</v>
      </c>
      <c r="D49" s="352">
        <f>SUM('Saldos de ctas. Bancarias'!C91)</f>
        <v>607362.67999999993</v>
      </c>
      <c r="E49" s="961">
        <f>SUM('Saldos de ctas. Bancarias'!C89)</f>
        <v>213421.06</v>
      </c>
      <c r="F49" s="966"/>
      <c r="G49" s="352">
        <f t="shared" si="2"/>
        <v>1033285.05</v>
      </c>
      <c r="H49" s="960">
        <v>40546.629999999997</v>
      </c>
      <c r="I49" s="966"/>
      <c r="J49" s="967"/>
      <c r="K49" s="1164"/>
      <c r="L49" s="1169">
        <f t="shared" si="1"/>
        <v>1073831.68</v>
      </c>
      <c r="M49" s="1167"/>
    </row>
    <row r="50" spans="1:17" s="132" customFormat="1" ht="31.5" customHeight="1">
      <c r="A50" s="1363"/>
      <c r="B50" s="1364" t="s">
        <v>104</v>
      </c>
      <c r="C50" s="1365">
        <f t="shared" ref="C50:K50" si="3">SUM(C9:C49)</f>
        <v>629244.31000000006</v>
      </c>
      <c r="D50" s="1365">
        <f>SUM(D9:D49)</f>
        <v>1836690.64</v>
      </c>
      <c r="E50" s="1365">
        <f t="shared" si="3"/>
        <v>699396.35000000009</v>
      </c>
      <c r="F50" s="1365">
        <f>SUM(F9:F49)</f>
        <v>43502.73</v>
      </c>
      <c r="G50" s="1366">
        <f>SUM(G9:G49)</f>
        <v>3208834.0300000003</v>
      </c>
      <c r="H50" s="1365">
        <f>SUM(H9:H49)</f>
        <v>274792.99999999994</v>
      </c>
      <c r="I50" s="1365">
        <f t="shared" si="3"/>
        <v>0</v>
      </c>
      <c r="J50" s="1365">
        <f>SUM(J9:J49)</f>
        <v>406554.77</v>
      </c>
      <c r="K50" s="1367">
        <f t="shared" si="3"/>
        <v>0</v>
      </c>
      <c r="L50" s="1365">
        <f>+SUM(L9:L49)</f>
        <v>3890181.8</v>
      </c>
      <c r="M50" s="1170">
        <f>SUM(L50)</f>
        <v>3890181.8</v>
      </c>
    </row>
    <row r="51" spans="1:17" ht="15" customHeight="1">
      <c r="A51" s="2032" t="s">
        <v>934</v>
      </c>
      <c r="B51" s="2032"/>
      <c r="C51" s="2032"/>
      <c r="D51" s="2032"/>
      <c r="E51" s="2032"/>
      <c r="F51" s="2032"/>
      <c r="G51" s="2032"/>
      <c r="H51" s="2032"/>
      <c r="I51" s="2032"/>
      <c r="J51" s="2032"/>
      <c r="K51" s="2032"/>
      <c r="L51" s="2032"/>
      <c r="Q51" s="91"/>
    </row>
    <row r="52" spans="1:17" ht="21" customHeight="1">
      <c r="A52" s="2032"/>
      <c r="B52" s="2032"/>
      <c r="C52" s="2032"/>
      <c r="D52" s="2032"/>
      <c r="E52" s="2032"/>
      <c r="F52" s="2032"/>
      <c r="G52" s="2032"/>
      <c r="H52" s="2032"/>
      <c r="I52" s="2032"/>
      <c r="J52" s="2032"/>
      <c r="K52" s="2032"/>
      <c r="L52" s="2032"/>
    </row>
    <row r="53" spans="1:17" ht="20.25" customHeight="1">
      <c r="A53" s="2030" t="s">
        <v>934</v>
      </c>
      <c r="B53" s="2030"/>
      <c r="C53" s="2030"/>
      <c r="D53" s="2030"/>
      <c r="E53" s="2030"/>
      <c r="F53" s="2030"/>
      <c r="G53" s="2030"/>
      <c r="H53" s="2030"/>
      <c r="I53" s="2030"/>
      <c r="J53" s="2030"/>
      <c r="K53" s="2030"/>
      <c r="L53" s="2030"/>
    </row>
    <row r="54" spans="1:17" ht="15.75" customHeight="1">
      <c r="A54" s="2031" t="s">
        <v>934</v>
      </c>
      <c r="B54" s="2031"/>
      <c r="C54" s="2031"/>
      <c r="D54" s="2031"/>
      <c r="E54" s="2031"/>
      <c r="F54" s="2031"/>
      <c r="G54" s="2031"/>
      <c r="H54" s="2031"/>
      <c r="I54" s="2031"/>
      <c r="J54" s="2031"/>
      <c r="K54" s="2031"/>
      <c r="L54" s="2031"/>
    </row>
    <row r="55" spans="1:17" ht="15.75" customHeight="1">
      <c r="A55" s="2031" t="s">
        <v>934</v>
      </c>
      <c r="B55" s="2031"/>
      <c r="C55" s="2031"/>
      <c r="D55" s="2031"/>
      <c r="E55" s="2031"/>
      <c r="F55" s="2031"/>
      <c r="G55" s="2031"/>
      <c r="H55" s="2031"/>
      <c r="I55" s="2031"/>
      <c r="J55" s="2031"/>
      <c r="K55" s="2031"/>
      <c r="L55" s="2031"/>
    </row>
    <row r="56" spans="1:17">
      <c r="A56" s="2039" t="s">
        <v>934</v>
      </c>
      <c r="B56" s="2039"/>
      <c r="C56" s="2039"/>
      <c r="D56" s="2039"/>
      <c r="E56" s="2039"/>
      <c r="F56" s="2039"/>
      <c r="G56" s="2039"/>
      <c r="H56" s="2039"/>
      <c r="I56" s="360"/>
      <c r="J56" s="360"/>
      <c r="K56" s="360"/>
      <c r="L56" s="361"/>
    </row>
    <row r="57" spans="1:17" ht="15.75">
      <c r="A57" s="2038" t="s">
        <v>934</v>
      </c>
      <c r="B57" s="2038"/>
      <c r="C57" s="2038"/>
      <c r="D57" s="2038"/>
      <c r="E57" s="2038"/>
      <c r="F57" s="2038"/>
      <c r="G57" s="2038"/>
      <c r="H57" s="2038"/>
    </row>
    <row r="58" spans="1:17" ht="15.75">
      <c r="A58" s="2038" t="s">
        <v>934</v>
      </c>
      <c r="B58" s="2038"/>
      <c r="C58" s="2038"/>
      <c r="D58" s="2038"/>
      <c r="E58" s="2038"/>
      <c r="F58" s="2038"/>
      <c r="G58" s="2038"/>
      <c r="H58" s="2038"/>
    </row>
    <row r="59" spans="1:17" ht="15.75">
      <c r="A59" s="2038" t="s">
        <v>934</v>
      </c>
      <c r="B59" s="2038"/>
      <c r="C59" s="2038"/>
      <c r="D59" s="2038"/>
      <c r="E59" s="2038"/>
      <c r="F59" s="2038"/>
      <c r="G59" s="2038"/>
      <c r="H59" s="2038"/>
    </row>
    <row r="60" spans="1:17">
      <c r="A60" s="131"/>
      <c r="H60" s="303" t="s">
        <v>934</v>
      </c>
    </row>
    <row r="61" spans="1:17">
      <c r="A61" s="131"/>
      <c r="H61" s="303" t="s">
        <v>934</v>
      </c>
    </row>
    <row r="62" spans="1:17" ht="18">
      <c r="A62" s="2036" t="s">
        <v>934</v>
      </c>
      <c r="B62" s="2037"/>
      <c r="C62" s="2037"/>
      <c r="D62" s="2037"/>
      <c r="E62" s="2037"/>
      <c r="F62" s="2037"/>
      <c r="G62" s="2037"/>
      <c r="H62" s="2037"/>
      <c r="I62" s="2037"/>
      <c r="J62" s="2037"/>
      <c r="K62" s="2037"/>
      <c r="L62" s="2037"/>
    </row>
    <row r="63" spans="1:17">
      <c r="A63" s="95"/>
      <c r="B63" s="300"/>
      <c r="C63" s="306"/>
      <c r="D63" s="306"/>
      <c r="E63" s="306"/>
      <c r="F63" s="306"/>
      <c r="G63" s="354"/>
      <c r="H63" s="306" t="s">
        <v>934</v>
      </c>
      <c r="I63" s="306"/>
      <c r="J63" s="307"/>
      <c r="K63" s="306"/>
      <c r="L63" s="306"/>
    </row>
    <row r="64" spans="1:17">
      <c r="A64" s="94"/>
      <c r="B64" s="82"/>
      <c r="C64" s="308"/>
      <c r="D64" s="308"/>
      <c r="E64" s="308"/>
      <c r="F64" s="308"/>
      <c r="G64" s="355"/>
      <c r="H64" s="308" t="s">
        <v>934</v>
      </c>
      <c r="I64" s="308"/>
      <c r="J64" s="309"/>
      <c r="K64" s="308"/>
    </row>
    <row r="65" spans="1:11">
      <c r="A65" s="94"/>
      <c r="B65" s="82"/>
      <c r="C65" s="308"/>
      <c r="D65" s="308"/>
      <c r="E65" s="308"/>
      <c r="F65" s="308"/>
      <c r="G65" s="355"/>
      <c r="H65" s="308" t="s">
        <v>934</v>
      </c>
      <c r="I65" s="308"/>
      <c r="J65" s="309"/>
      <c r="K65" s="308"/>
    </row>
    <row r="66" spans="1:11">
      <c r="A66" s="94"/>
      <c r="B66" s="82"/>
      <c r="C66" s="308"/>
      <c r="D66" s="308"/>
      <c r="E66" s="308"/>
      <c r="F66" s="308"/>
      <c r="G66" s="355"/>
      <c r="H66" s="308" t="s">
        <v>934</v>
      </c>
      <c r="I66" s="308"/>
      <c r="J66" s="309"/>
      <c r="K66" s="308"/>
    </row>
    <row r="67" spans="1:11">
      <c r="A67" s="131"/>
      <c r="B67" s="82"/>
      <c r="C67" s="308"/>
      <c r="D67" s="308"/>
      <c r="E67" s="308"/>
      <c r="F67" s="308"/>
      <c r="G67" s="355"/>
      <c r="H67" s="308" t="s">
        <v>934</v>
      </c>
      <c r="I67" s="308"/>
      <c r="J67" s="309"/>
      <c r="K67" s="308"/>
    </row>
    <row r="68" spans="1:11">
      <c r="A68" s="94"/>
      <c r="B68" s="82"/>
      <c r="C68" s="308"/>
      <c r="D68" s="308"/>
      <c r="E68" s="308"/>
      <c r="F68" s="308"/>
      <c r="G68" s="355"/>
      <c r="H68" s="308" t="s">
        <v>934</v>
      </c>
      <c r="I68" s="308"/>
      <c r="J68" s="309"/>
      <c r="K68" s="308"/>
    </row>
    <row r="69" spans="1:11">
      <c r="A69" s="94"/>
      <c r="B69" s="83"/>
      <c r="C69" s="308"/>
      <c r="D69" s="308"/>
      <c r="E69" s="308"/>
      <c r="F69" s="308"/>
      <c r="G69" s="355"/>
      <c r="H69" s="308" t="s">
        <v>934</v>
      </c>
      <c r="I69" s="308"/>
      <c r="J69" s="309"/>
      <c r="K69" s="308"/>
    </row>
    <row r="70" spans="1:11">
      <c r="A70" s="94"/>
      <c r="B70" s="82"/>
      <c r="C70" s="308"/>
      <c r="D70" s="308"/>
      <c r="E70" s="308"/>
      <c r="F70" s="308"/>
      <c r="G70" s="356"/>
      <c r="H70" s="308" t="s">
        <v>934</v>
      </c>
      <c r="I70" s="308"/>
      <c r="J70" s="309"/>
      <c r="K70" s="308"/>
    </row>
    <row r="71" spans="1:11">
      <c r="A71" s="94"/>
      <c r="B71" s="82"/>
      <c r="C71" s="308"/>
      <c r="D71" s="308"/>
      <c r="E71" s="308"/>
      <c r="F71" s="308"/>
      <c r="G71" s="355"/>
      <c r="H71" s="308" t="s">
        <v>934</v>
      </c>
      <c r="I71" s="308"/>
      <c r="J71" s="309"/>
      <c r="K71" s="308"/>
    </row>
    <row r="72" spans="1:11">
      <c r="H72" s="303" t="s">
        <v>934</v>
      </c>
    </row>
    <row r="73" spans="1:11">
      <c r="H73" s="303" t="s">
        <v>934</v>
      </c>
    </row>
    <row r="74" spans="1:11">
      <c r="H74" s="303" t="s">
        <v>934</v>
      </c>
    </row>
    <row r="75" spans="1:11">
      <c r="H75" s="303" t="s">
        <v>934</v>
      </c>
    </row>
    <row r="76" spans="1:11">
      <c r="H76" s="303" t="s">
        <v>934</v>
      </c>
    </row>
    <row r="77" spans="1:11">
      <c r="H77" s="303" t="s">
        <v>934</v>
      </c>
    </row>
    <row r="78" spans="1:11">
      <c r="H78" s="303" t="s">
        <v>934</v>
      </c>
    </row>
    <row r="79" spans="1:11">
      <c r="H79" s="303" t="s">
        <v>934</v>
      </c>
    </row>
    <row r="80" spans="1:11">
      <c r="H80" s="303" t="s">
        <v>934</v>
      </c>
    </row>
    <row r="81" spans="2:8">
      <c r="B81" s="81">
        <v>0</v>
      </c>
      <c r="H81" s="303" t="s">
        <v>934</v>
      </c>
    </row>
    <row r="82" spans="2:8">
      <c r="H82" s="303" t="s">
        <v>934</v>
      </c>
    </row>
    <row r="83" spans="2:8">
      <c r="H83" s="303" t="s">
        <v>934</v>
      </c>
    </row>
    <row r="84" spans="2:8">
      <c r="H84" s="303" t="s">
        <v>934</v>
      </c>
    </row>
    <row r="85" spans="2:8">
      <c r="H85" s="303" t="s">
        <v>934</v>
      </c>
    </row>
    <row r="86" spans="2:8">
      <c r="H86" s="303" t="s">
        <v>934</v>
      </c>
    </row>
    <row r="87" spans="2:8">
      <c r="H87" s="303" t="s">
        <v>934</v>
      </c>
    </row>
    <row r="88" spans="2:8">
      <c r="H88" s="303" t="s">
        <v>934</v>
      </c>
    </row>
    <row r="89" spans="2:8">
      <c r="H89" s="303" t="s">
        <v>934</v>
      </c>
    </row>
    <row r="90" spans="2:8">
      <c r="H90" s="303" t="s">
        <v>934</v>
      </c>
    </row>
    <row r="91" spans="2:8">
      <c r="H91" s="303" t="s">
        <v>934</v>
      </c>
    </row>
    <row r="92" spans="2:8">
      <c r="H92" s="303" t="s">
        <v>934</v>
      </c>
    </row>
    <row r="93" spans="2:8">
      <c r="H93" s="303" t="s">
        <v>934</v>
      </c>
    </row>
    <row r="94" spans="2:8">
      <c r="H94" s="303" t="s">
        <v>934</v>
      </c>
    </row>
    <row r="95" spans="2:8">
      <c r="H95" s="303" t="s">
        <v>934</v>
      </c>
    </row>
    <row r="96" spans="2:8">
      <c r="H96" s="303" t="s">
        <v>934</v>
      </c>
    </row>
    <row r="97" spans="8:8">
      <c r="H97" s="303" t="s">
        <v>934</v>
      </c>
    </row>
    <row r="98" spans="8:8">
      <c r="H98" s="303" t="s">
        <v>934</v>
      </c>
    </row>
    <row r="99" spans="8:8">
      <c r="H99" s="303" t="s">
        <v>934</v>
      </c>
    </row>
    <row r="100" spans="8:8">
      <c r="H100" s="303" t="s">
        <v>934</v>
      </c>
    </row>
    <row r="101" spans="8:8">
      <c r="H101" s="303" t="s">
        <v>934</v>
      </c>
    </row>
    <row r="102" spans="8:8">
      <c r="H102" s="303" t="s">
        <v>934</v>
      </c>
    </row>
    <row r="103" spans="8:8">
      <c r="H103" s="303" t="s">
        <v>934</v>
      </c>
    </row>
    <row r="104" spans="8:8">
      <c r="H104" s="303" t="s">
        <v>934</v>
      </c>
    </row>
    <row r="105" spans="8:8">
      <c r="H105" s="303" t="s">
        <v>934</v>
      </c>
    </row>
    <row r="106" spans="8:8">
      <c r="H106" s="303" t="s">
        <v>934</v>
      </c>
    </row>
    <row r="107" spans="8:8">
      <c r="H107" s="303" t="s">
        <v>934</v>
      </c>
    </row>
    <row r="108" spans="8:8">
      <c r="H108" s="303" t="s">
        <v>934</v>
      </c>
    </row>
    <row r="109" spans="8:8">
      <c r="H109" s="303" t="s">
        <v>934</v>
      </c>
    </row>
    <row r="110" spans="8:8">
      <c r="H110" s="303" t="s">
        <v>934</v>
      </c>
    </row>
    <row r="111" spans="8:8">
      <c r="H111" s="303" t="s">
        <v>934</v>
      </c>
    </row>
    <row r="112" spans="8:8">
      <c r="H112" s="303" t="s">
        <v>934</v>
      </c>
    </row>
    <row r="113" spans="8:8">
      <c r="H113" s="303" t="s">
        <v>934</v>
      </c>
    </row>
    <row r="114" spans="8:8">
      <c r="H114" s="303" t="s">
        <v>934</v>
      </c>
    </row>
    <row r="115" spans="8:8">
      <c r="H115" s="303" t="s">
        <v>934</v>
      </c>
    </row>
    <row r="116" spans="8:8">
      <c r="H116" s="303" t="s">
        <v>934</v>
      </c>
    </row>
    <row r="117" spans="8:8">
      <c r="H117" s="303" t="s">
        <v>934</v>
      </c>
    </row>
    <row r="118" spans="8:8">
      <c r="H118" s="303" t="s">
        <v>934</v>
      </c>
    </row>
    <row r="119" spans="8:8">
      <c r="H119" s="303" t="s">
        <v>934</v>
      </c>
    </row>
    <row r="120" spans="8:8">
      <c r="H120" s="303" t="s">
        <v>934</v>
      </c>
    </row>
    <row r="121" spans="8:8">
      <c r="H121" s="303" t="s">
        <v>934</v>
      </c>
    </row>
    <row r="122" spans="8:8">
      <c r="H122" s="303" t="s">
        <v>934</v>
      </c>
    </row>
    <row r="123" spans="8:8">
      <c r="H123" s="303" t="s">
        <v>934</v>
      </c>
    </row>
    <row r="124" spans="8:8">
      <c r="H124" s="303" t="s">
        <v>934</v>
      </c>
    </row>
    <row r="125" spans="8:8">
      <c r="H125" s="303" t="s">
        <v>934</v>
      </c>
    </row>
    <row r="126" spans="8:8">
      <c r="H126" s="303" t="s">
        <v>934</v>
      </c>
    </row>
    <row r="127" spans="8:8">
      <c r="H127" s="303" t="s">
        <v>934</v>
      </c>
    </row>
    <row r="128" spans="8:8">
      <c r="H128" s="303" t="s">
        <v>934</v>
      </c>
    </row>
    <row r="129" spans="8:8">
      <c r="H129" s="303" t="s">
        <v>934</v>
      </c>
    </row>
    <row r="130" spans="8:8">
      <c r="H130" s="303" t="s">
        <v>934</v>
      </c>
    </row>
    <row r="131" spans="8:8">
      <c r="H131" s="303" t="s">
        <v>934</v>
      </c>
    </row>
    <row r="132" spans="8:8">
      <c r="H132" s="303" t="s">
        <v>934</v>
      </c>
    </row>
    <row r="133" spans="8:8">
      <c r="H133" s="303" t="s">
        <v>934</v>
      </c>
    </row>
    <row r="134" spans="8:8">
      <c r="H134" s="303" t="s">
        <v>934</v>
      </c>
    </row>
    <row r="135" spans="8:8">
      <c r="H135" s="303" t="s">
        <v>934</v>
      </c>
    </row>
    <row r="136" spans="8:8">
      <c r="H136" s="303" t="s">
        <v>934</v>
      </c>
    </row>
    <row r="137" spans="8:8">
      <c r="H137" s="303" t="s">
        <v>934</v>
      </c>
    </row>
    <row r="138" spans="8:8">
      <c r="H138" s="303" t="s">
        <v>934</v>
      </c>
    </row>
    <row r="139" spans="8:8">
      <c r="H139" s="303" t="s">
        <v>934</v>
      </c>
    </row>
    <row r="140" spans="8:8">
      <c r="H140" s="303" t="s">
        <v>934</v>
      </c>
    </row>
    <row r="141" spans="8:8">
      <c r="H141" s="303" t="s">
        <v>934</v>
      </c>
    </row>
    <row r="142" spans="8:8">
      <c r="H142" s="303" t="s">
        <v>934</v>
      </c>
    </row>
    <row r="143" spans="8:8">
      <c r="H143" s="303" t="s">
        <v>934</v>
      </c>
    </row>
    <row r="144" spans="8:8">
      <c r="H144" s="303" t="s">
        <v>934</v>
      </c>
    </row>
    <row r="145" spans="8:8">
      <c r="H145" s="303" t="s">
        <v>934</v>
      </c>
    </row>
    <row r="146" spans="8:8">
      <c r="H146" s="303" t="s">
        <v>934</v>
      </c>
    </row>
    <row r="147" spans="8:8">
      <c r="H147" s="303" t="s">
        <v>934</v>
      </c>
    </row>
    <row r="148" spans="8:8">
      <c r="H148" s="303" t="s">
        <v>934</v>
      </c>
    </row>
    <row r="149" spans="8:8">
      <c r="H149" s="303" t="s">
        <v>934</v>
      </c>
    </row>
    <row r="150" spans="8:8">
      <c r="H150" s="303" t="s">
        <v>934</v>
      </c>
    </row>
    <row r="151" spans="8:8">
      <c r="H151" s="303" t="s">
        <v>934</v>
      </c>
    </row>
    <row r="152" spans="8:8">
      <c r="H152" s="303" t="s">
        <v>934</v>
      </c>
    </row>
    <row r="153" spans="8:8">
      <c r="H153" s="303" t="s">
        <v>934</v>
      </c>
    </row>
    <row r="154" spans="8:8">
      <c r="H154" s="303" t="s">
        <v>934</v>
      </c>
    </row>
    <row r="155" spans="8:8">
      <c r="H155" s="303" t="s">
        <v>934</v>
      </c>
    </row>
    <row r="156" spans="8:8">
      <c r="H156" s="303" t="s">
        <v>934</v>
      </c>
    </row>
    <row r="157" spans="8:8">
      <c r="H157" s="303" t="s">
        <v>934</v>
      </c>
    </row>
    <row r="158" spans="8:8">
      <c r="H158" s="303" t="s">
        <v>934</v>
      </c>
    </row>
    <row r="159" spans="8:8">
      <c r="H159" s="303" t="s">
        <v>934</v>
      </c>
    </row>
    <row r="160" spans="8:8">
      <c r="H160" s="303" t="s">
        <v>934</v>
      </c>
    </row>
    <row r="161" spans="8:8">
      <c r="H161" s="303" t="s">
        <v>934</v>
      </c>
    </row>
    <row r="162" spans="8:8">
      <c r="H162" s="303" t="s">
        <v>934</v>
      </c>
    </row>
    <row r="163" spans="8:8">
      <c r="H163" s="303" t="s">
        <v>934</v>
      </c>
    </row>
    <row r="164" spans="8:8">
      <c r="H164" s="303" t="s">
        <v>934</v>
      </c>
    </row>
    <row r="165" spans="8:8">
      <c r="H165" s="303" t="s">
        <v>934</v>
      </c>
    </row>
    <row r="166" spans="8:8">
      <c r="H166" s="303" t="s">
        <v>934</v>
      </c>
    </row>
    <row r="167" spans="8:8">
      <c r="H167" s="303" t="s">
        <v>934</v>
      </c>
    </row>
    <row r="168" spans="8:8">
      <c r="H168" s="303" t="s">
        <v>934</v>
      </c>
    </row>
    <row r="169" spans="8:8">
      <c r="H169" s="303" t="s">
        <v>934</v>
      </c>
    </row>
    <row r="170" spans="8:8">
      <c r="H170" s="303" t="s">
        <v>934</v>
      </c>
    </row>
    <row r="171" spans="8:8">
      <c r="H171" s="303" t="s">
        <v>934</v>
      </c>
    </row>
    <row r="172" spans="8:8">
      <c r="H172" s="303" t="s">
        <v>934</v>
      </c>
    </row>
    <row r="173" spans="8:8">
      <c r="H173" s="303" t="s">
        <v>934</v>
      </c>
    </row>
    <row r="174" spans="8:8">
      <c r="H174" s="303" t="s">
        <v>934</v>
      </c>
    </row>
    <row r="175" spans="8:8">
      <c r="H175" s="303" t="s">
        <v>934</v>
      </c>
    </row>
    <row r="176" spans="8:8">
      <c r="H176" s="303" t="s">
        <v>934</v>
      </c>
    </row>
    <row r="177" spans="8:8">
      <c r="H177" s="303" t="s">
        <v>934</v>
      </c>
    </row>
    <row r="178" spans="8:8">
      <c r="H178" s="303" t="s">
        <v>934</v>
      </c>
    </row>
    <row r="179" spans="8:8">
      <c r="H179" s="303" t="s">
        <v>934</v>
      </c>
    </row>
    <row r="180" spans="8:8">
      <c r="H180" s="303" t="s">
        <v>934</v>
      </c>
    </row>
    <row r="181" spans="8:8">
      <c r="H181" s="303" t="s">
        <v>934</v>
      </c>
    </row>
    <row r="182" spans="8:8">
      <c r="H182" s="303" t="s">
        <v>934</v>
      </c>
    </row>
    <row r="183" spans="8:8">
      <c r="H183" s="303" t="s">
        <v>934</v>
      </c>
    </row>
    <row r="184" spans="8:8">
      <c r="H184" s="303" t="s">
        <v>934</v>
      </c>
    </row>
    <row r="185" spans="8:8">
      <c r="H185" s="303" t="s">
        <v>934</v>
      </c>
    </row>
    <row r="186" spans="8:8">
      <c r="H186" s="303" t="s">
        <v>934</v>
      </c>
    </row>
    <row r="187" spans="8:8">
      <c r="H187" s="303" t="s">
        <v>934</v>
      </c>
    </row>
    <row r="188" spans="8:8">
      <c r="H188" s="303" t="s">
        <v>934</v>
      </c>
    </row>
    <row r="189" spans="8:8">
      <c r="H189" s="303" t="s">
        <v>934</v>
      </c>
    </row>
    <row r="190" spans="8:8">
      <c r="H190" s="303" t="s">
        <v>934</v>
      </c>
    </row>
    <row r="191" spans="8:8">
      <c r="H191" s="303" t="s">
        <v>934</v>
      </c>
    </row>
    <row r="192" spans="8:8">
      <c r="H192" s="303" t="s">
        <v>934</v>
      </c>
    </row>
    <row r="193" spans="8:8">
      <c r="H193" s="303" t="s">
        <v>934</v>
      </c>
    </row>
    <row r="194" spans="8:8">
      <c r="H194" s="303" t="s">
        <v>934</v>
      </c>
    </row>
    <row r="195" spans="8:8">
      <c r="H195" s="303" t="s">
        <v>934</v>
      </c>
    </row>
    <row r="196" spans="8:8">
      <c r="H196" s="303" t="s">
        <v>934</v>
      </c>
    </row>
    <row r="197" spans="8:8">
      <c r="H197" s="303" t="s">
        <v>934</v>
      </c>
    </row>
    <row r="198" spans="8:8">
      <c r="H198" s="303" t="s">
        <v>934</v>
      </c>
    </row>
    <row r="199" spans="8:8">
      <c r="H199" s="303" t="s">
        <v>934</v>
      </c>
    </row>
    <row r="200" spans="8:8">
      <c r="H200" s="303" t="s">
        <v>934</v>
      </c>
    </row>
    <row r="201" spans="8:8">
      <c r="H201" s="303" t="s">
        <v>934</v>
      </c>
    </row>
    <row r="202" spans="8:8">
      <c r="H202" s="303" t="s">
        <v>934</v>
      </c>
    </row>
    <row r="203" spans="8:8">
      <c r="H203" s="303" t="s">
        <v>934</v>
      </c>
    </row>
    <row r="204" spans="8:8">
      <c r="H204" s="303" t="s">
        <v>934</v>
      </c>
    </row>
    <row r="205" spans="8:8">
      <c r="H205" s="303" t="s">
        <v>934</v>
      </c>
    </row>
    <row r="206" spans="8:8">
      <c r="H206" s="303" t="s">
        <v>934</v>
      </c>
    </row>
    <row r="207" spans="8:8">
      <c r="H207" s="303" t="s">
        <v>934</v>
      </c>
    </row>
    <row r="208" spans="8:8">
      <c r="H208" s="303" t="s">
        <v>934</v>
      </c>
    </row>
    <row r="209" spans="8:8">
      <c r="H209" s="303" t="s">
        <v>934</v>
      </c>
    </row>
    <row r="210" spans="8:8">
      <c r="H210" s="303" t="s">
        <v>934</v>
      </c>
    </row>
    <row r="211" spans="8:8">
      <c r="H211" s="303" t="s">
        <v>934</v>
      </c>
    </row>
    <row r="212" spans="8:8">
      <c r="H212" s="303" t="s">
        <v>934</v>
      </c>
    </row>
    <row r="213" spans="8:8">
      <c r="H213" s="303" t="s">
        <v>934</v>
      </c>
    </row>
    <row r="214" spans="8:8">
      <c r="H214" s="303" t="s">
        <v>934</v>
      </c>
    </row>
    <row r="215" spans="8:8">
      <c r="H215" s="303" t="s">
        <v>934</v>
      </c>
    </row>
    <row r="216" spans="8:8">
      <c r="H216" s="303" t="s">
        <v>934</v>
      </c>
    </row>
    <row r="217" spans="8:8">
      <c r="H217" s="303" t="s">
        <v>934</v>
      </c>
    </row>
    <row r="218" spans="8:8">
      <c r="H218" s="303" t="s">
        <v>934</v>
      </c>
    </row>
    <row r="219" spans="8:8">
      <c r="H219" s="303" t="s">
        <v>934</v>
      </c>
    </row>
    <row r="220" spans="8:8">
      <c r="H220" s="303" t="s">
        <v>934</v>
      </c>
    </row>
    <row r="221" spans="8:8">
      <c r="H221" s="303" t="s">
        <v>934</v>
      </c>
    </row>
    <row r="222" spans="8:8">
      <c r="H222" s="303" t="s">
        <v>934</v>
      </c>
    </row>
    <row r="223" spans="8:8">
      <c r="H223" s="303" t="s">
        <v>934</v>
      </c>
    </row>
    <row r="224" spans="8:8">
      <c r="H224" s="303" t="s">
        <v>934</v>
      </c>
    </row>
    <row r="225" spans="8:8">
      <c r="H225" s="303" t="s">
        <v>934</v>
      </c>
    </row>
    <row r="226" spans="8:8">
      <c r="H226" s="303" t="s">
        <v>934</v>
      </c>
    </row>
    <row r="227" spans="8:8">
      <c r="H227" s="303" t="s">
        <v>934</v>
      </c>
    </row>
    <row r="228" spans="8:8">
      <c r="H228" s="303" t="s">
        <v>934</v>
      </c>
    </row>
    <row r="229" spans="8:8">
      <c r="H229" s="303" t="s">
        <v>934</v>
      </c>
    </row>
    <row r="230" spans="8:8">
      <c r="H230" s="303" t="s">
        <v>934</v>
      </c>
    </row>
    <row r="231" spans="8:8">
      <c r="H231" s="303" t="s">
        <v>934</v>
      </c>
    </row>
    <row r="232" spans="8:8">
      <c r="H232" s="303" t="s">
        <v>934</v>
      </c>
    </row>
    <row r="233" spans="8:8">
      <c r="H233" s="303" t="s">
        <v>934</v>
      </c>
    </row>
    <row r="234" spans="8:8">
      <c r="H234" s="303" t="s">
        <v>934</v>
      </c>
    </row>
    <row r="235" spans="8:8">
      <c r="H235" s="303" t="s">
        <v>934</v>
      </c>
    </row>
    <row r="236" spans="8:8">
      <c r="H236" s="303" t="s">
        <v>934</v>
      </c>
    </row>
    <row r="237" spans="8:8">
      <c r="H237" s="303" t="s">
        <v>934</v>
      </c>
    </row>
    <row r="238" spans="8:8">
      <c r="H238" s="303" t="s">
        <v>934</v>
      </c>
    </row>
    <row r="239" spans="8:8">
      <c r="H239" s="303" t="s">
        <v>934</v>
      </c>
    </row>
    <row r="240" spans="8:8">
      <c r="H240" s="303" t="s">
        <v>934</v>
      </c>
    </row>
    <row r="241" spans="8:8">
      <c r="H241" s="303" t="s">
        <v>934</v>
      </c>
    </row>
    <row r="242" spans="8:8">
      <c r="H242" s="303" t="s">
        <v>934</v>
      </c>
    </row>
    <row r="243" spans="8:8">
      <c r="H243" s="303" t="s">
        <v>934</v>
      </c>
    </row>
    <row r="244" spans="8:8">
      <c r="H244" s="303" t="s">
        <v>934</v>
      </c>
    </row>
    <row r="245" spans="8:8">
      <c r="H245" s="303" t="s">
        <v>934</v>
      </c>
    </row>
    <row r="246" spans="8:8">
      <c r="H246" s="303" t="s">
        <v>934</v>
      </c>
    </row>
    <row r="247" spans="8:8">
      <c r="H247" s="303" t="s">
        <v>934</v>
      </c>
    </row>
    <row r="248" spans="8:8">
      <c r="H248" s="303" t="s">
        <v>934</v>
      </c>
    </row>
    <row r="249" spans="8:8">
      <c r="H249" s="303" t="s">
        <v>934</v>
      </c>
    </row>
    <row r="250" spans="8:8">
      <c r="H250" s="303" t="s">
        <v>934</v>
      </c>
    </row>
    <row r="251" spans="8:8">
      <c r="H251" s="303" t="s">
        <v>934</v>
      </c>
    </row>
    <row r="252" spans="8:8">
      <c r="H252" s="303" t="s">
        <v>934</v>
      </c>
    </row>
    <row r="253" spans="8:8">
      <c r="H253" s="303" t="s">
        <v>934</v>
      </c>
    </row>
    <row r="254" spans="8:8">
      <c r="H254" s="303" t="s">
        <v>934</v>
      </c>
    </row>
    <row r="255" spans="8:8">
      <c r="H255" s="303" t="s">
        <v>934</v>
      </c>
    </row>
    <row r="256" spans="8:8">
      <c r="H256" s="303" t="s">
        <v>934</v>
      </c>
    </row>
    <row r="257" spans="8:8">
      <c r="H257" s="303" t="s">
        <v>934</v>
      </c>
    </row>
    <row r="258" spans="8:8">
      <c r="H258" s="303" t="s">
        <v>934</v>
      </c>
    </row>
    <row r="259" spans="8:8">
      <c r="H259" s="303" t="s">
        <v>934</v>
      </c>
    </row>
    <row r="260" spans="8:8">
      <c r="H260" s="303" t="s">
        <v>934</v>
      </c>
    </row>
    <row r="261" spans="8:8">
      <c r="H261" s="303" t="s">
        <v>934</v>
      </c>
    </row>
    <row r="262" spans="8:8">
      <c r="H262" s="303" t="s">
        <v>934</v>
      </c>
    </row>
    <row r="263" spans="8:8">
      <c r="H263" s="303" t="s">
        <v>934</v>
      </c>
    </row>
    <row r="264" spans="8:8">
      <c r="H264" s="303" t="s">
        <v>934</v>
      </c>
    </row>
    <row r="265" spans="8:8">
      <c r="H265" s="303" t="s">
        <v>934</v>
      </c>
    </row>
    <row r="266" spans="8:8">
      <c r="H266" s="303" t="s">
        <v>934</v>
      </c>
    </row>
    <row r="267" spans="8:8">
      <c r="H267" s="303" t="s">
        <v>934</v>
      </c>
    </row>
    <row r="268" spans="8:8">
      <c r="H268" s="303" t="s">
        <v>934</v>
      </c>
    </row>
    <row r="269" spans="8:8">
      <c r="H269" s="303" t="s">
        <v>934</v>
      </c>
    </row>
    <row r="270" spans="8:8">
      <c r="H270" s="303" t="s">
        <v>934</v>
      </c>
    </row>
    <row r="271" spans="8:8">
      <c r="H271" s="303" t="s">
        <v>934</v>
      </c>
    </row>
    <row r="272" spans="8:8">
      <c r="H272" s="303" t="s">
        <v>934</v>
      </c>
    </row>
    <row r="273" spans="8:8">
      <c r="H273" s="303" t="s">
        <v>934</v>
      </c>
    </row>
    <row r="274" spans="8:8">
      <c r="H274" s="303" t="s">
        <v>934</v>
      </c>
    </row>
    <row r="275" spans="8:8">
      <c r="H275" s="303" t="s">
        <v>934</v>
      </c>
    </row>
    <row r="276" spans="8:8">
      <c r="H276" s="303" t="s">
        <v>934</v>
      </c>
    </row>
    <row r="277" spans="8:8">
      <c r="H277" s="303" t="s">
        <v>934</v>
      </c>
    </row>
    <row r="278" spans="8:8">
      <c r="H278" s="303" t="s">
        <v>934</v>
      </c>
    </row>
    <row r="279" spans="8:8">
      <c r="H279" s="303" t="s">
        <v>934</v>
      </c>
    </row>
    <row r="280" spans="8:8">
      <c r="H280" s="303" t="s">
        <v>934</v>
      </c>
    </row>
    <row r="281" spans="8:8">
      <c r="H281" s="303" t="s">
        <v>934</v>
      </c>
    </row>
    <row r="282" spans="8:8">
      <c r="H282" s="303" t="s">
        <v>934</v>
      </c>
    </row>
    <row r="283" spans="8:8">
      <c r="H283" s="303" t="s">
        <v>934</v>
      </c>
    </row>
    <row r="284" spans="8:8">
      <c r="H284" s="303" t="s">
        <v>934</v>
      </c>
    </row>
    <row r="285" spans="8:8">
      <c r="H285" s="303" t="s">
        <v>934</v>
      </c>
    </row>
    <row r="286" spans="8:8">
      <c r="H286" s="303" t="s">
        <v>934</v>
      </c>
    </row>
    <row r="287" spans="8:8">
      <c r="H287" s="303" t="s">
        <v>934</v>
      </c>
    </row>
    <row r="288" spans="8:8">
      <c r="H288" s="303" t="s">
        <v>934</v>
      </c>
    </row>
    <row r="289" spans="8:8">
      <c r="H289" s="303" t="s">
        <v>934</v>
      </c>
    </row>
    <row r="290" spans="8:8">
      <c r="H290" s="303" t="s">
        <v>934</v>
      </c>
    </row>
    <row r="291" spans="8:8">
      <c r="H291" s="303" t="s">
        <v>934</v>
      </c>
    </row>
    <row r="292" spans="8:8">
      <c r="H292" s="303" t="s">
        <v>934</v>
      </c>
    </row>
    <row r="293" spans="8:8">
      <c r="H293" s="303" t="s">
        <v>934</v>
      </c>
    </row>
    <row r="294" spans="8:8">
      <c r="H294" s="303" t="s">
        <v>934</v>
      </c>
    </row>
    <row r="295" spans="8:8">
      <c r="H295" s="303" t="s">
        <v>934</v>
      </c>
    </row>
    <row r="296" spans="8:8">
      <c r="H296" s="303" t="s">
        <v>934</v>
      </c>
    </row>
    <row r="297" spans="8:8">
      <c r="H297" s="303" t="s">
        <v>934</v>
      </c>
    </row>
    <row r="298" spans="8:8">
      <c r="H298" s="303" t="s">
        <v>934</v>
      </c>
    </row>
    <row r="299" spans="8:8">
      <c r="H299" s="303" t="s">
        <v>934</v>
      </c>
    </row>
    <row r="300" spans="8:8">
      <c r="H300" s="303" t="s">
        <v>934</v>
      </c>
    </row>
    <row r="301" spans="8:8">
      <c r="H301" s="303" t="s">
        <v>934</v>
      </c>
    </row>
    <row r="302" spans="8:8">
      <c r="H302" s="303" t="s">
        <v>934</v>
      </c>
    </row>
    <row r="303" spans="8:8">
      <c r="H303" s="303" t="s">
        <v>934</v>
      </c>
    </row>
    <row r="304" spans="8:8">
      <c r="H304" s="303" t="s">
        <v>934</v>
      </c>
    </row>
    <row r="305" spans="8:8">
      <c r="H305" s="303" t="s">
        <v>934</v>
      </c>
    </row>
    <row r="306" spans="8:8">
      <c r="H306" s="303" t="s">
        <v>934</v>
      </c>
    </row>
    <row r="307" spans="8:8">
      <c r="H307" s="303" t="s">
        <v>934</v>
      </c>
    </row>
    <row r="308" spans="8:8">
      <c r="H308" s="303" t="s">
        <v>934</v>
      </c>
    </row>
    <row r="309" spans="8:8">
      <c r="H309" s="303" t="s">
        <v>934</v>
      </c>
    </row>
    <row r="310" spans="8:8">
      <c r="H310" s="303" t="s">
        <v>934</v>
      </c>
    </row>
    <row r="311" spans="8:8">
      <c r="H311" s="303" t="s">
        <v>934</v>
      </c>
    </row>
    <row r="312" spans="8:8">
      <c r="H312" s="303" t="s">
        <v>934</v>
      </c>
    </row>
    <row r="313" spans="8:8">
      <c r="H313" s="303" t="s">
        <v>934</v>
      </c>
    </row>
    <row r="314" spans="8:8">
      <c r="H314" s="303" t="s">
        <v>934</v>
      </c>
    </row>
    <row r="315" spans="8:8">
      <c r="H315" s="303" t="s">
        <v>934</v>
      </c>
    </row>
    <row r="316" spans="8:8">
      <c r="H316" s="303" t="s">
        <v>934</v>
      </c>
    </row>
    <row r="317" spans="8:8">
      <c r="H317" s="303" t="s">
        <v>934</v>
      </c>
    </row>
    <row r="318" spans="8:8">
      <c r="H318" s="303" t="s">
        <v>934</v>
      </c>
    </row>
    <row r="319" spans="8:8">
      <c r="H319" s="303" t="s">
        <v>934</v>
      </c>
    </row>
    <row r="320" spans="8:8">
      <c r="H320" s="303" t="s">
        <v>934</v>
      </c>
    </row>
    <row r="321" spans="8:8">
      <c r="H321" s="303" t="s">
        <v>934</v>
      </c>
    </row>
    <row r="322" spans="8:8">
      <c r="H322" s="303" t="s">
        <v>934</v>
      </c>
    </row>
    <row r="323" spans="8:8">
      <c r="H323" s="303" t="s">
        <v>934</v>
      </c>
    </row>
    <row r="324" spans="8:8">
      <c r="H324" s="303" t="s">
        <v>934</v>
      </c>
    </row>
    <row r="325" spans="8:8">
      <c r="H325" s="303" t="s">
        <v>934</v>
      </c>
    </row>
    <row r="326" spans="8:8">
      <c r="H326" s="303" t="s">
        <v>934</v>
      </c>
    </row>
    <row r="327" spans="8:8">
      <c r="H327" s="303" t="s">
        <v>934</v>
      </c>
    </row>
    <row r="328" spans="8:8">
      <c r="H328" s="303" t="s">
        <v>934</v>
      </c>
    </row>
    <row r="329" spans="8:8">
      <c r="H329" s="303" t="s">
        <v>934</v>
      </c>
    </row>
    <row r="330" spans="8:8">
      <c r="H330" s="303" t="s">
        <v>934</v>
      </c>
    </row>
    <row r="331" spans="8:8">
      <c r="H331" s="303" t="s">
        <v>934</v>
      </c>
    </row>
    <row r="332" spans="8:8">
      <c r="H332" s="303" t="s">
        <v>934</v>
      </c>
    </row>
    <row r="333" spans="8:8">
      <c r="H333" s="303" t="s">
        <v>934</v>
      </c>
    </row>
    <row r="334" spans="8:8">
      <c r="H334" s="303" t="s">
        <v>934</v>
      </c>
    </row>
    <row r="335" spans="8:8">
      <c r="H335" s="303" t="s">
        <v>934</v>
      </c>
    </row>
    <row r="336" spans="8:8">
      <c r="H336" s="303" t="s">
        <v>934</v>
      </c>
    </row>
    <row r="337" spans="8:8">
      <c r="H337" s="303" t="s">
        <v>934</v>
      </c>
    </row>
    <row r="338" spans="8:8">
      <c r="H338" s="303" t="s">
        <v>934</v>
      </c>
    </row>
    <row r="339" spans="8:8">
      <c r="H339" s="303" t="s">
        <v>934</v>
      </c>
    </row>
    <row r="340" spans="8:8">
      <c r="H340" s="303" t="s">
        <v>934</v>
      </c>
    </row>
    <row r="341" spans="8:8">
      <c r="H341" s="303" t="s">
        <v>934</v>
      </c>
    </row>
    <row r="342" spans="8:8">
      <c r="H342" s="303" t="s">
        <v>934</v>
      </c>
    </row>
    <row r="343" spans="8:8">
      <c r="H343" s="303" t="s">
        <v>934</v>
      </c>
    </row>
    <row r="344" spans="8:8">
      <c r="H344" s="303" t="s">
        <v>934</v>
      </c>
    </row>
    <row r="345" spans="8:8">
      <c r="H345" s="303" t="s">
        <v>934</v>
      </c>
    </row>
    <row r="346" spans="8:8">
      <c r="H346" s="303" t="s">
        <v>934</v>
      </c>
    </row>
    <row r="347" spans="8:8">
      <c r="H347" s="303" t="s">
        <v>934</v>
      </c>
    </row>
    <row r="348" spans="8:8">
      <c r="H348" s="303" t="s">
        <v>934</v>
      </c>
    </row>
    <row r="349" spans="8:8">
      <c r="H349" s="303" t="s">
        <v>934</v>
      </c>
    </row>
    <row r="350" spans="8:8">
      <c r="H350" s="303" t="s">
        <v>934</v>
      </c>
    </row>
    <row r="351" spans="8:8">
      <c r="H351" s="303" t="s">
        <v>934</v>
      </c>
    </row>
    <row r="352" spans="8:8">
      <c r="H352" s="303" t="s">
        <v>934</v>
      </c>
    </row>
    <row r="353" spans="8:8">
      <c r="H353" s="303" t="s">
        <v>934</v>
      </c>
    </row>
    <row r="354" spans="8:8">
      <c r="H354" s="303" t="s">
        <v>934</v>
      </c>
    </row>
    <row r="355" spans="8:8">
      <c r="H355" s="303" t="s">
        <v>934</v>
      </c>
    </row>
    <row r="356" spans="8:8">
      <c r="H356" s="303" t="s">
        <v>934</v>
      </c>
    </row>
    <row r="357" spans="8:8">
      <c r="H357" s="303" t="s">
        <v>934</v>
      </c>
    </row>
    <row r="358" spans="8:8">
      <c r="H358" s="303" t="s">
        <v>934</v>
      </c>
    </row>
    <row r="359" spans="8:8">
      <c r="H359" s="303" t="s">
        <v>934</v>
      </c>
    </row>
    <row r="360" spans="8:8">
      <c r="H360" s="303" t="s">
        <v>934</v>
      </c>
    </row>
    <row r="361" spans="8:8">
      <c r="H361" s="303" t="s">
        <v>934</v>
      </c>
    </row>
    <row r="362" spans="8:8">
      <c r="H362" s="303" t="s">
        <v>934</v>
      </c>
    </row>
    <row r="363" spans="8:8">
      <c r="H363" s="303" t="s">
        <v>934</v>
      </c>
    </row>
    <row r="364" spans="8:8">
      <c r="H364" s="303" t="s">
        <v>934</v>
      </c>
    </row>
    <row r="365" spans="8:8">
      <c r="H365" s="303" t="s">
        <v>934</v>
      </c>
    </row>
    <row r="366" spans="8:8">
      <c r="H366" s="303" t="s">
        <v>934</v>
      </c>
    </row>
    <row r="367" spans="8:8">
      <c r="H367" s="303" t="s">
        <v>934</v>
      </c>
    </row>
    <row r="368" spans="8:8">
      <c r="H368" s="303" t="s">
        <v>934</v>
      </c>
    </row>
    <row r="369" spans="8:8">
      <c r="H369" s="303" t="s">
        <v>934</v>
      </c>
    </row>
    <row r="370" spans="8:8">
      <c r="H370" s="303" t="s">
        <v>934</v>
      </c>
    </row>
    <row r="371" spans="8:8">
      <c r="H371" s="303" t="s">
        <v>934</v>
      </c>
    </row>
    <row r="372" spans="8:8">
      <c r="H372" s="303" t="s">
        <v>934</v>
      </c>
    </row>
    <row r="373" spans="8:8">
      <c r="H373" s="303" t="s">
        <v>934</v>
      </c>
    </row>
    <row r="374" spans="8:8">
      <c r="H374" s="303" t="s">
        <v>934</v>
      </c>
    </row>
    <row r="375" spans="8:8">
      <c r="H375" s="303" t="s">
        <v>934</v>
      </c>
    </row>
    <row r="376" spans="8:8">
      <c r="H376" s="303" t="s">
        <v>934</v>
      </c>
    </row>
    <row r="377" spans="8:8">
      <c r="H377" s="303" t="s">
        <v>934</v>
      </c>
    </row>
    <row r="378" spans="8:8">
      <c r="H378" s="303" t="s">
        <v>934</v>
      </c>
    </row>
    <row r="379" spans="8:8">
      <c r="H379" s="303" t="s">
        <v>934</v>
      </c>
    </row>
    <row r="380" spans="8:8">
      <c r="H380" s="303" t="s">
        <v>934</v>
      </c>
    </row>
    <row r="381" spans="8:8">
      <c r="H381" s="303" t="s">
        <v>934</v>
      </c>
    </row>
    <row r="382" spans="8:8">
      <c r="H382" s="303" t="s">
        <v>934</v>
      </c>
    </row>
    <row r="383" spans="8:8">
      <c r="H383" s="303" t="s">
        <v>934</v>
      </c>
    </row>
    <row r="384" spans="8:8">
      <c r="H384" s="303" t="s">
        <v>934</v>
      </c>
    </row>
    <row r="385" spans="8:8">
      <c r="H385" s="303" t="s">
        <v>934</v>
      </c>
    </row>
    <row r="386" spans="8:8">
      <c r="H386" s="303" t="s">
        <v>934</v>
      </c>
    </row>
    <row r="387" spans="8:8">
      <c r="H387" s="303" t="s">
        <v>934</v>
      </c>
    </row>
    <row r="388" spans="8:8">
      <c r="H388" s="303" t="s">
        <v>934</v>
      </c>
    </row>
    <row r="389" spans="8:8">
      <c r="H389" s="303" t="s">
        <v>934</v>
      </c>
    </row>
    <row r="390" spans="8:8">
      <c r="H390" s="303" t="s">
        <v>934</v>
      </c>
    </row>
    <row r="391" spans="8:8">
      <c r="H391" s="303" t="s">
        <v>934</v>
      </c>
    </row>
    <row r="392" spans="8:8">
      <c r="H392" s="303" t="s">
        <v>934</v>
      </c>
    </row>
    <row r="393" spans="8:8">
      <c r="H393" s="303" t="s">
        <v>934</v>
      </c>
    </row>
    <row r="394" spans="8:8">
      <c r="H394" s="303" t="s">
        <v>934</v>
      </c>
    </row>
    <row r="395" spans="8:8">
      <c r="H395" s="303" t="s">
        <v>934</v>
      </c>
    </row>
    <row r="396" spans="8:8">
      <c r="H396" s="303" t="s">
        <v>934</v>
      </c>
    </row>
    <row r="397" spans="8:8">
      <c r="H397" s="303" t="s">
        <v>934</v>
      </c>
    </row>
    <row r="398" spans="8:8">
      <c r="H398" s="303" t="s">
        <v>934</v>
      </c>
    </row>
    <row r="399" spans="8:8">
      <c r="H399" s="303" t="s">
        <v>934</v>
      </c>
    </row>
    <row r="400" spans="8:8">
      <c r="H400" s="303" t="s">
        <v>934</v>
      </c>
    </row>
    <row r="401" spans="8:8">
      <c r="H401" s="303" t="s">
        <v>934</v>
      </c>
    </row>
    <row r="402" spans="8:8">
      <c r="H402" s="303" t="s">
        <v>934</v>
      </c>
    </row>
    <row r="403" spans="8:8">
      <c r="H403" s="303" t="s">
        <v>934</v>
      </c>
    </row>
    <row r="404" spans="8:8">
      <c r="H404" s="303" t="s">
        <v>934</v>
      </c>
    </row>
    <row r="405" spans="8:8">
      <c r="H405" s="303" t="s">
        <v>934</v>
      </c>
    </row>
    <row r="406" spans="8:8">
      <c r="H406" s="303" t="s">
        <v>934</v>
      </c>
    </row>
    <row r="407" spans="8:8">
      <c r="H407" s="303" t="s">
        <v>934</v>
      </c>
    </row>
    <row r="408" spans="8:8">
      <c r="H408" s="303" t="s">
        <v>934</v>
      </c>
    </row>
    <row r="409" spans="8:8">
      <c r="H409" s="303" t="s">
        <v>934</v>
      </c>
    </row>
    <row r="410" spans="8:8">
      <c r="H410" s="303" t="s">
        <v>934</v>
      </c>
    </row>
    <row r="411" spans="8:8">
      <c r="H411" s="303" t="s">
        <v>934</v>
      </c>
    </row>
    <row r="412" spans="8:8">
      <c r="H412" s="303" t="s">
        <v>934</v>
      </c>
    </row>
    <row r="413" spans="8:8">
      <c r="H413" s="303" t="s">
        <v>934</v>
      </c>
    </row>
    <row r="414" spans="8:8">
      <c r="H414" s="303" t="s">
        <v>934</v>
      </c>
    </row>
    <row r="415" spans="8:8">
      <c r="H415" s="303" t="s">
        <v>934</v>
      </c>
    </row>
    <row r="416" spans="8:8">
      <c r="H416" s="303" t="s">
        <v>934</v>
      </c>
    </row>
    <row r="417" spans="8:8">
      <c r="H417" s="303" t="s">
        <v>934</v>
      </c>
    </row>
    <row r="418" spans="8:8">
      <c r="H418" s="303" t="s">
        <v>934</v>
      </c>
    </row>
    <row r="419" spans="8:8">
      <c r="H419" s="303" t="s">
        <v>934</v>
      </c>
    </row>
    <row r="420" spans="8:8">
      <c r="H420" s="303" t="s">
        <v>934</v>
      </c>
    </row>
    <row r="421" spans="8:8">
      <c r="H421" s="303" t="s">
        <v>934</v>
      </c>
    </row>
    <row r="422" spans="8:8">
      <c r="H422" s="303" t="s">
        <v>934</v>
      </c>
    </row>
    <row r="423" spans="8:8">
      <c r="H423" s="303" t="s">
        <v>934</v>
      </c>
    </row>
    <row r="424" spans="8:8">
      <c r="H424" s="303" t="s">
        <v>934</v>
      </c>
    </row>
    <row r="425" spans="8:8">
      <c r="H425" s="303" t="s">
        <v>934</v>
      </c>
    </row>
    <row r="426" spans="8:8">
      <c r="H426" s="303" t="s">
        <v>934</v>
      </c>
    </row>
    <row r="427" spans="8:8">
      <c r="H427" s="303" t="s">
        <v>934</v>
      </c>
    </row>
    <row r="428" spans="8:8">
      <c r="H428" s="303" t="s">
        <v>934</v>
      </c>
    </row>
    <row r="429" spans="8:8">
      <c r="H429" s="303" t="s">
        <v>934</v>
      </c>
    </row>
    <row r="430" spans="8:8">
      <c r="H430" s="303" t="s">
        <v>934</v>
      </c>
    </row>
    <row r="431" spans="8:8">
      <c r="H431" s="303" t="s">
        <v>934</v>
      </c>
    </row>
    <row r="432" spans="8:8">
      <c r="H432" s="303" t="s">
        <v>934</v>
      </c>
    </row>
    <row r="433" spans="8:8">
      <c r="H433" s="303" t="s">
        <v>934</v>
      </c>
    </row>
    <row r="434" spans="8:8">
      <c r="H434" s="303" t="s">
        <v>934</v>
      </c>
    </row>
    <row r="435" spans="8:8">
      <c r="H435" s="303" t="s">
        <v>934</v>
      </c>
    </row>
    <row r="436" spans="8:8">
      <c r="H436" s="303" t="s">
        <v>934</v>
      </c>
    </row>
    <row r="437" spans="8:8">
      <c r="H437" s="303" t="s">
        <v>934</v>
      </c>
    </row>
    <row r="438" spans="8:8">
      <c r="H438" s="303" t="s">
        <v>934</v>
      </c>
    </row>
    <row r="439" spans="8:8">
      <c r="H439" s="303" t="s">
        <v>934</v>
      </c>
    </row>
    <row r="440" spans="8:8">
      <c r="H440" s="303" t="s">
        <v>934</v>
      </c>
    </row>
    <row r="441" spans="8:8">
      <c r="H441" s="303" t="s">
        <v>934</v>
      </c>
    </row>
    <row r="442" spans="8:8">
      <c r="H442" s="303" t="s">
        <v>934</v>
      </c>
    </row>
    <row r="443" spans="8:8">
      <c r="H443" s="303" t="s">
        <v>934</v>
      </c>
    </row>
    <row r="444" spans="8:8">
      <c r="H444" s="303" t="s">
        <v>934</v>
      </c>
    </row>
    <row r="445" spans="8:8">
      <c r="H445" s="303" t="s">
        <v>934</v>
      </c>
    </row>
    <row r="446" spans="8:8">
      <c r="H446" s="303" t="s">
        <v>934</v>
      </c>
    </row>
    <row r="447" spans="8:8">
      <c r="H447" s="303" t="s">
        <v>934</v>
      </c>
    </row>
    <row r="448" spans="8:8">
      <c r="H448" s="303" t="s">
        <v>934</v>
      </c>
    </row>
    <row r="449" spans="8:8">
      <c r="H449" s="303" t="s">
        <v>934</v>
      </c>
    </row>
    <row r="450" spans="8:8">
      <c r="H450" s="303" t="s">
        <v>934</v>
      </c>
    </row>
    <row r="451" spans="8:8">
      <c r="H451" s="303" t="s">
        <v>934</v>
      </c>
    </row>
    <row r="452" spans="8:8">
      <c r="H452" s="303" t="s">
        <v>934</v>
      </c>
    </row>
    <row r="453" spans="8:8">
      <c r="H453" s="303" t="s">
        <v>934</v>
      </c>
    </row>
    <row r="454" spans="8:8">
      <c r="H454" s="303" t="s">
        <v>934</v>
      </c>
    </row>
    <row r="455" spans="8:8">
      <c r="H455" s="303" t="s">
        <v>934</v>
      </c>
    </row>
    <row r="456" spans="8:8">
      <c r="H456" s="303" t="s">
        <v>934</v>
      </c>
    </row>
    <row r="457" spans="8:8">
      <c r="H457" s="303" t="s">
        <v>934</v>
      </c>
    </row>
    <row r="458" spans="8:8">
      <c r="H458" s="303" t="s">
        <v>934</v>
      </c>
    </row>
    <row r="459" spans="8:8">
      <c r="H459" s="303" t="s">
        <v>934</v>
      </c>
    </row>
    <row r="460" spans="8:8">
      <c r="H460" s="303" t="s">
        <v>934</v>
      </c>
    </row>
    <row r="461" spans="8:8">
      <c r="H461" s="303" t="s">
        <v>934</v>
      </c>
    </row>
    <row r="462" spans="8:8">
      <c r="H462" s="303" t="s">
        <v>934</v>
      </c>
    </row>
    <row r="463" spans="8:8">
      <c r="H463" s="303" t="s">
        <v>934</v>
      </c>
    </row>
    <row r="464" spans="8:8">
      <c r="H464" s="303" t="s">
        <v>934</v>
      </c>
    </row>
    <row r="465" spans="8:8">
      <c r="H465" s="303" t="s">
        <v>934</v>
      </c>
    </row>
    <row r="466" spans="8:8">
      <c r="H466" s="303" t="s">
        <v>934</v>
      </c>
    </row>
    <row r="467" spans="8:8">
      <c r="H467" s="303" t="s">
        <v>934</v>
      </c>
    </row>
    <row r="468" spans="8:8">
      <c r="H468" s="303" t="s">
        <v>934</v>
      </c>
    </row>
    <row r="469" spans="8:8">
      <c r="H469" s="303" t="s">
        <v>934</v>
      </c>
    </row>
    <row r="470" spans="8:8">
      <c r="H470" s="303" t="s">
        <v>934</v>
      </c>
    </row>
    <row r="471" spans="8:8">
      <c r="H471" s="303" t="s">
        <v>934</v>
      </c>
    </row>
    <row r="472" spans="8:8">
      <c r="H472" s="303" t="s">
        <v>934</v>
      </c>
    </row>
    <row r="473" spans="8:8">
      <c r="H473" s="303" t="s">
        <v>934</v>
      </c>
    </row>
    <row r="474" spans="8:8">
      <c r="H474" s="303" t="s">
        <v>934</v>
      </c>
    </row>
    <row r="475" spans="8:8">
      <c r="H475" s="303" t="s">
        <v>934</v>
      </c>
    </row>
    <row r="476" spans="8:8">
      <c r="H476" s="303" t="s">
        <v>934</v>
      </c>
    </row>
    <row r="477" spans="8:8">
      <c r="H477" s="303" t="s">
        <v>934</v>
      </c>
    </row>
    <row r="478" spans="8:8">
      <c r="H478" s="303" t="s">
        <v>934</v>
      </c>
    </row>
    <row r="479" spans="8:8">
      <c r="H479" s="303" t="s">
        <v>934</v>
      </c>
    </row>
    <row r="480" spans="8:8">
      <c r="H480" s="303" t="s">
        <v>934</v>
      </c>
    </row>
    <row r="481" spans="8:8">
      <c r="H481" s="303" t="s">
        <v>934</v>
      </c>
    </row>
    <row r="482" spans="8:8">
      <c r="H482" s="303" t="s">
        <v>934</v>
      </c>
    </row>
    <row r="483" spans="8:8">
      <c r="H483" s="303" t="s">
        <v>934</v>
      </c>
    </row>
    <row r="484" spans="8:8">
      <c r="H484" s="303" t="s">
        <v>934</v>
      </c>
    </row>
    <row r="485" spans="8:8">
      <c r="H485" s="303" t="s">
        <v>934</v>
      </c>
    </row>
    <row r="486" spans="8:8">
      <c r="H486" s="303" t="s">
        <v>934</v>
      </c>
    </row>
    <row r="487" spans="8:8">
      <c r="H487" s="303" t="s">
        <v>934</v>
      </c>
    </row>
    <row r="488" spans="8:8">
      <c r="H488" s="303" t="s">
        <v>934</v>
      </c>
    </row>
    <row r="489" spans="8:8">
      <c r="H489" s="303" t="s">
        <v>934</v>
      </c>
    </row>
    <row r="490" spans="8:8">
      <c r="H490" s="303" t="s">
        <v>934</v>
      </c>
    </row>
    <row r="491" spans="8:8">
      <c r="H491" s="303" t="s">
        <v>934</v>
      </c>
    </row>
    <row r="492" spans="8:8">
      <c r="H492" s="303" t="s">
        <v>934</v>
      </c>
    </row>
    <row r="493" spans="8:8">
      <c r="H493" s="303" t="s">
        <v>934</v>
      </c>
    </row>
    <row r="494" spans="8:8">
      <c r="H494" s="303" t="s">
        <v>934</v>
      </c>
    </row>
    <row r="495" spans="8:8">
      <c r="H495" s="303" t="s">
        <v>934</v>
      </c>
    </row>
    <row r="496" spans="8:8">
      <c r="H496" s="303" t="s">
        <v>934</v>
      </c>
    </row>
    <row r="497" spans="8:8">
      <c r="H497" s="303" t="s">
        <v>934</v>
      </c>
    </row>
    <row r="498" spans="8:8">
      <c r="H498" s="303" t="s">
        <v>934</v>
      </c>
    </row>
    <row r="499" spans="8:8">
      <c r="H499" s="303" t="s">
        <v>934</v>
      </c>
    </row>
    <row r="500" spans="8:8">
      <c r="H500" s="303" t="s">
        <v>934</v>
      </c>
    </row>
    <row r="501" spans="8:8">
      <c r="H501" s="303" t="s">
        <v>934</v>
      </c>
    </row>
    <row r="502" spans="8:8">
      <c r="H502" s="303" t="s">
        <v>934</v>
      </c>
    </row>
    <row r="503" spans="8:8">
      <c r="H503" s="303" t="s">
        <v>934</v>
      </c>
    </row>
    <row r="504" spans="8:8">
      <c r="H504" s="303" t="s">
        <v>934</v>
      </c>
    </row>
  </sheetData>
  <mergeCells count="22">
    <mergeCell ref="A62:L62"/>
    <mergeCell ref="A59:H59"/>
    <mergeCell ref="A56:H56"/>
    <mergeCell ref="A57:H57"/>
    <mergeCell ref="A58:H58"/>
    <mergeCell ref="A53:L53"/>
    <mergeCell ref="A54:L54"/>
    <mergeCell ref="A55:L55"/>
    <mergeCell ref="A51:L52"/>
    <mergeCell ref="E7:F7"/>
    <mergeCell ref="H7:H8"/>
    <mergeCell ref="J7:J8"/>
    <mergeCell ref="L7:L8"/>
    <mergeCell ref="A1:L1"/>
    <mergeCell ref="A2:L2"/>
    <mergeCell ref="A3:L3"/>
    <mergeCell ref="A5:L5"/>
    <mergeCell ref="B6:B8"/>
    <mergeCell ref="C6:G6"/>
    <mergeCell ref="C7:D7"/>
    <mergeCell ref="A4:L4"/>
    <mergeCell ref="A6:A8"/>
  </mergeCells>
  <phoneticPr fontId="11" type="noConversion"/>
  <pageMargins left="0.5" right="0" top="0.23622047244094491" bottom="0.27559055118110237" header="0" footer="0"/>
  <pageSetup scale="63" orientation="portrait" verticalDpi="300" r:id="rId1"/>
  <headerFooter alignWithMargins="0"/>
  <colBreaks count="1" manualBreakCount="1">
    <brk id="12" max="72" man="1"/>
  </col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2F0BB5"/>
  </sheetPr>
  <dimension ref="A1:Z136"/>
  <sheetViews>
    <sheetView topLeftCell="C85" zoomScale="96" zoomScaleNormal="96" workbookViewId="0">
      <selection activeCell="P96" sqref="P96"/>
    </sheetView>
  </sheetViews>
  <sheetFormatPr baseColWidth="10" defaultRowHeight="13.5"/>
  <cols>
    <col min="1" max="1" width="6" style="138" customWidth="1"/>
    <col min="2" max="2" width="32.28515625" style="322" customWidth="1"/>
    <col min="3" max="3" width="13.7109375" style="143" customWidth="1"/>
    <col min="4" max="4" width="11.7109375" style="143" customWidth="1"/>
    <col min="5" max="5" width="11.42578125" style="143" customWidth="1"/>
    <col min="6" max="6" width="11.7109375" style="143" customWidth="1"/>
    <col min="7" max="7" width="13.5703125" style="143" customWidth="1"/>
    <col min="8" max="8" width="14" style="143" customWidth="1"/>
    <col min="9" max="9" width="13.42578125" style="143" customWidth="1"/>
    <col min="10" max="10" width="12.7109375" style="143" customWidth="1"/>
    <col min="11" max="11" width="12.42578125" style="138" customWidth="1"/>
    <col min="12" max="12" width="0.140625" style="143" hidden="1" customWidth="1"/>
    <col min="13" max="13" width="4.140625" style="143" hidden="1" customWidth="1"/>
    <col min="14" max="14" width="14.85546875" style="143" customWidth="1"/>
    <col min="15" max="15" width="4.140625" style="311" hidden="1" customWidth="1"/>
    <col min="16" max="16" width="13.85546875" style="324" customWidth="1"/>
    <col min="17" max="17" width="8.140625" style="324" hidden="1" customWidth="1"/>
    <col min="18" max="18" width="14.140625" style="313" customWidth="1"/>
    <col min="19" max="19" width="13" style="143" customWidth="1"/>
    <col min="20" max="20" width="0.140625" style="312" hidden="1" customWidth="1"/>
    <col min="21" max="21" width="9.85546875" style="324" hidden="1" customWidth="1"/>
    <col min="22" max="22" width="9.140625" style="143" hidden="1" customWidth="1"/>
    <col min="23" max="23" width="13.5703125" style="143" customWidth="1"/>
    <col min="24" max="24" width="14.5703125" style="143" customWidth="1"/>
    <col min="25" max="25" width="22.140625" customWidth="1"/>
  </cols>
  <sheetData>
    <row r="1" spans="1:24" ht="21">
      <c r="A1" s="2060"/>
      <c r="B1" s="2060"/>
      <c r="C1" s="2060"/>
      <c r="D1" s="2060"/>
      <c r="E1" s="2060"/>
      <c r="F1" s="2060"/>
      <c r="G1" s="2060"/>
      <c r="H1" s="2060"/>
      <c r="I1" s="2060"/>
      <c r="J1" s="2060"/>
      <c r="K1" s="2060"/>
      <c r="L1" s="2060"/>
      <c r="M1" s="2060"/>
      <c r="N1" s="2060"/>
      <c r="O1" s="2060"/>
      <c r="P1" s="2060"/>
      <c r="Q1" s="2060"/>
      <c r="R1" s="2060"/>
      <c r="S1" s="2060"/>
      <c r="T1" s="2060"/>
      <c r="U1" s="2060"/>
      <c r="V1" s="2060"/>
      <c r="W1" s="2060"/>
      <c r="X1" s="2060"/>
    </row>
    <row r="2" spans="1:24" ht="24" customHeight="1">
      <c r="A2" s="2061" t="s">
        <v>110</v>
      </c>
      <c r="B2" s="2061"/>
      <c r="C2" s="2061"/>
      <c r="D2" s="2061"/>
      <c r="E2" s="2061"/>
      <c r="F2" s="2061"/>
      <c r="G2" s="2061"/>
      <c r="H2" s="2061"/>
      <c r="I2" s="2061"/>
      <c r="J2" s="2061"/>
      <c r="K2" s="2061"/>
      <c r="L2" s="2061"/>
      <c r="M2" s="2061"/>
      <c r="N2" s="2061"/>
      <c r="O2" s="2061"/>
      <c r="P2" s="2061"/>
      <c r="Q2" s="2061"/>
      <c r="R2" s="2061"/>
      <c r="S2" s="2061"/>
      <c r="T2" s="2061"/>
      <c r="U2" s="2061"/>
      <c r="V2" s="2061"/>
      <c r="W2" s="2061"/>
      <c r="X2" s="2061"/>
    </row>
    <row r="3" spans="1:24" ht="24" customHeight="1">
      <c r="A3" s="2062" t="s">
        <v>31</v>
      </c>
      <c r="B3" s="2062"/>
      <c r="C3" s="2062"/>
      <c r="D3" s="2062"/>
      <c r="E3" s="2062"/>
      <c r="F3" s="2062"/>
      <c r="G3" s="2062"/>
      <c r="H3" s="2062"/>
      <c r="I3" s="2062"/>
      <c r="J3" s="2062"/>
      <c r="K3" s="2062"/>
      <c r="L3" s="2062"/>
      <c r="M3" s="2062"/>
      <c r="N3" s="2062"/>
      <c r="O3" s="2062"/>
      <c r="P3" s="2062"/>
      <c r="Q3" s="2062"/>
      <c r="R3" s="2062"/>
      <c r="S3" s="2062"/>
      <c r="T3" s="2062"/>
      <c r="U3" s="2062"/>
      <c r="V3" s="2062"/>
      <c r="W3" s="2062"/>
      <c r="X3" s="2062"/>
    </row>
    <row r="4" spans="1:24" ht="24" customHeight="1">
      <c r="A4" s="2062" t="s">
        <v>1212</v>
      </c>
      <c r="B4" s="2062"/>
      <c r="C4" s="2062"/>
      <c r="D4" s="2062"/>
      <c r="E4" s="2062"/>
      <c r="F4" s="2062"/>
      <c r="G4" s="2062"/>
      <c r="H4" s="2062"/>
      <c r="I4" s="2062"/>
      <c r="J4" s="2062"/>
      <c r="K4" s="2062"/>
      <c r="L4" s="2062"/>
      <c r="M4" s="2062"/>
      <c r="N4" s="2062"/>
      <c r="O4" s="2062"/>
      <c r="P4" s="2062"/>
      <c r="Q4" s="2062"/>
      <c r="R4" s="2062"/>
      <c r="S4" s="2062"/>
      <c r="T4" s="2062"/>
      <c r="U4" s="2062"/>
      <c r="V4" s="2062"/>
      <c r="W4" s="2062"/>
      <c r="X4" s="2062"/>
    </row>
    <row r="5" spans="1:24" ht="24" customHeight="1">
      <c r="A5" s="2062" t="s">
        <v>32</v>
      </c>
      <c r="B5" s="2062"/>
      <c r="C5" s="2062"/>
      <c r="D5" s="2062"/>
      <c r="E5" s="2062"/>
      <c r="F5" s="2062"/>
      <c r="G5" s="2062"/>
      <c r="H5" s="2062"/>
      <c r="I5" s="2062"/>
      <c r="J5" s="2062"/>
      <c r="K5" s="2062"/>
      <c r="L5" s="2062"/>
      <c r="M5" s="2062"/>
      <c r="N5" s="2062"/>
      <c r="O5" s="2062"/>
      <c r="P5" s="2062"/>
      <c r="Q5" s="2062"/>
      <c r="R5" s="2062"/>
      <c r="S5" s="2062"/>
      <c r="T5" s="2062"/>
      <c r="U5" s="2062"/>
      <c r="V5" s="2062"/>
      <c r="W5" s="2062"/>
      <c r="X5" s="2062"/>
    </row>
    <row r="6" spans="1:24" ht="1.5" customHeight="1">
      <c r="A6" s="2040"/>
      <c r="B6" s="2040"/>
      <c r="C6" s="2040"/>
      <c r="D6" s="2040"/>
      <c r="E6" s="2040"/>
      <c r="F6" s="2040"/>
      <c r="G6" s="2040"/>
      <c r="H6" s="2040"/>
      <c r="I6" s="2040"/>
      <c r="J6" s="2040"/>
      <c r="K6" s="2040"/>
      <c r="L6" s="2040"/>
      <c r="M6" s="2040"/>
      <c r="N6" s="2040"/>
      <c r="O6" s="2040"/>
      <c r="P6" s="2040"/>
      <c r="Q6" s="2040"/>
      <c r="R6" s="2040"/>
      <c r="S6" s="2040"/>
      <c r="T6" s="2040"/>
      <c r="U6" s="2040"/>
      <c r="V6" s="2040"/>
      <c r="W6" s="2040"/>
      <c r="X6" s="2040"/>
    </row>
    <row r="7" spans="1:24" ht="28.5" customHeight="1" thickBot="1">
      <c r="A7" s="2041" t="s">
        <v>33</v>
      </c>
      <c r="B7" s="2041"/>
      <c r="C7" s="2041"/>
      <c r="D7" s="2041"/>
      <c r="E7" s="2041"/>
      <c r="F7" s="2041"/>
      <c r="G7" s="2041"/>
      <c r="H7" s="2041"/>
      <c r="I7" s="2041"/>
      <c r="J7" s="2041"/>
      <c r="K7" s="2041"/>
      <c r="L7" s="2041"/>
      <c r="M7" s="2041"/>
      <c r="N7" s="2041"/>
      <c r="O7" s="2041"/>
      <c r="P7" s="2041"/>
      <c r="Q7" s="2041"/>
      <c r="R7" s="2041"/>
      <c r="S7" s="2041"/>
      <c r="T7" s="2041"/>
      <c r="U7" s="2041"/>
      <c r="V7" s="2041"/>
      <c r="W7" s="2041"/>
      <c r="X7" s="2041"/>
    </row>
    <row r="8" spans="1:24" ht="19.5" thickBot="1">
      <c r="A8" s="1381"/>
      <c r="B8" s="1382"/>
      <c r="C8" s="2065" t="s">
        <v>815</v>
      </c>
      <c r="D8" s="2065"/>
      <c r="E8" s="2065"/>
      <c r="F8" s="2065"/>
      <c r="G8" s="2065"/>
      <c r="H8" s="2065"/>
      <c r="I8" s="2065"/>
      <c r="J8" s="2065"/>
      <c r="K8" s="2065"/>
      <c r="L8" s="2065"/>
      <c r="M8" s="2065"/>
      <c r="N8" s="2065"/>
      <c r="O8" s="2065"/>
      <c r="P8" s="2065"/>
      <c r="Q8" s="2066"/>
      <c r="R8" s="2065"/>
      <c r="S8" s="2065"/>
      <c r="T8" s="2065"/>
      <c r="U8" s="2065"/>
      <c r="V8" s="2065"/>
      <c r="W8" s="1601"/>
      <c r="X8" s="2067" t="s">
        <v>37</v>
      </c>
    </row>
    <row r="9" spans="1:24" ht="71.25" customHeight="1" thickBot="1">
      <c r="A9" s="1383" t="s">
        <v>34</v>
      </c>
      <c r="B9" s="1384" t="s">
        <v>494</v>
      </c>
      <c r="C9" s="1385" t="s">
        <v>511</v>
      </c>
      <c r="D9" s="1386" t="s">
        <v>512</v>
      </c>
      <c r="E9" s="1386" t="s">
        <v>492</v>
      </c>
      <c r="F9" s="1387" t="s">
        <v>493</v>
      </c>
      <c r="G9" s="1388" t="s">
        <v>842</v>
      </c>
      <c r="H9" s="1388" t="s">
        <v>816</v>
      </c>
      <c r="I9" s="1388" t="s">
        <v>843</v>
      </c>
      <c r="J9" s="1388" t="s">
        <v>844</v>
      </c>
      <c r="K9" s="1389" t="s">
        <v>491</v>
      </c>
      <c r="L9" s="1390" t="s">
        <v>457</v>
      </c>
      <c r="M9" s="1391" t="s">
        <v>978</v>
      </c>
      <c r="N9" s="1392" t="s">
        <v>489</v>
      </c>
      <c r="O9" s="1393" t="s">
        <v>458</v>
      </c>
      <c r="P9" s="1392" t="s">
        <v>1009</v>
      </c>
      <c r="Q9" s="1394" t="s">
        <v>1010</v>
      </c>
      <c r="R9" s="1395" t="s">
        <v>845</v>
      </c>
      <c r="S9" s="1626" t="s">
        <v>1371</v>
      </c>
      <c r="T9" s="1396" t="s">
        <v>460</v>
      </c>
      <c r="U9" s="1397" t="s">
        <v>461</v>
      </c>
      <c r="V9" s="1398" t="s">
        <v>1370</v>
      </c>
      <c r="W9" s="1610" t="s">
        <v>1275</v>
      </c>
      <c r="X9" s="2068"/>
    </row>
    <row r="10" spans="1:24" ht="24" customHeight="1" thickBot="1">
      <c r="A10" s="589" t="s">
        <v>55</v>
      </c>
      <c r="B10" s="601" t="s">
        <v>112</v>
      </c>
      <c r="C10" s="894">
        <f>SUM('Concen. de  Recursos Huma'!C22)</f>
        <v>15018</v>
      </c>
      <c r="D10" s="598">
        <f>SUM('Concen. de  Recursos Huma'!D22)</f>
        <v>19629</v>
      </c>
      <c r="E10" s="894">
        <f>SUM('Concen. de  Recursos Huma'!E22)</f>
        <v>2558</v>
      </c>
      <c r="F10" s="599">
        <f>SUM('Concen. de  Recursos Huma'!F22)</f>
        <v>12615.5</v>
      </c>
      <c r="G10" s="896">
        <f>SUM('Concen. de  Recursos Huma'!C8)</f>
        <v>75090</v>
      </c>
      <c r="H10" s="894">
        <f>SUM('Concen. de  Recursos Huma'!D8)</f>
        <v>79425</v>
      </c>
      <c r="I10" s="894">
        <f>SUM('Concen. de  Recursos Huma'!E8)</f>
        <v>12790</v>
      </c>
      <c r="J10" s="895">
        <f>SUM('Concen. de  Recursos Huma'!F8)</f>
        <v>44357.5</v>
      </c>
      <c r="K10" s="897"/>
      <c r="L10" s="898"/>
      <c r="M10" s="898"/>
      <c r="N10" s="899">
        <f>SUM('Proy. de recur.Humanos'!C106)</f>
        <v>50088</v>
      </c>
      <c r="O10" s="900"/>
      <c r="P10" s="1653"/>
      <c r="Q10" s="902"/>
      <c r="R10" s="903">
        <f>SUM('Proy. de recur.Humanos'!C107)</f>
        <v>16200</v>
      </c>
      <c r="S10" s="898"/>
      <c r="T10" s="898"/>
      <c r="U10" s="901">
        <v>0</v>
      </c>
      <c r="V10" s="904"/>
      <c r="W10" s="905"/>
      <c r="X10" s="905">
        <f>+SUM(C10:W10)</f>
        <v>327771</v>
      </c>
    </row>
    <row r="11" spans="1:24" ht="24" customHeight="1" thickBot="1">
      <c r="A11" s="318" t="s">
        <v>113</v>
      </c>
      <c r="B11" s="575" t="s">
        <v>114</v>
      </c>
      <c r="C11" s="906"/>
      <c r="D11" s="598"/>
      <c r="E11" s="898"/>
      <c r="F11" s="988"/>
      <c r="G11" s="907">
        <f>SUM('Concen. de  Recursos Huma'!C9)</f>
        <v>7509</v>
      </c>
      <c r="H11" s="908">
        <f>SUM('Concen. de  Recursos Huma'!D9)</f>
        <v>7942.5</v>
      </c>
      <c r="I11" s="908">
        <f>SUM('Concen. de  Recursos Huma'!E9)</f>
        <v>1279</v>
      </c>
      <c r="J11" s="909">
        <f>SUM('Concen. de  Recursos Huma'!F9)</f>
        <v>4435.75</v>
      </c>
      <c r="K11" s="910"/>
      <c r="L11" s="902"/>
      <c r="M11" s="902"/>
      <c r="N11" s="911">
        <f>SUM('Proy. de recur.Humanos'!C109)</f>
        <v>4174</v>
      </c>
      <c r="O11" s="912"/>
      <c r="P11" s="902"/>
      <c r="Q11" s="902"/>
      <c r="R11" s="912">
        <f>SUM('Proy. de recur.Humanos'!C110)</f>
        <v>1350</v>
      </c>
      <c r="S11" s="902"/>
      <c r="T11" s="902"/>
      <c r="U11" s="913">
        <v>0</v>
      </c>
      <c r="V11" s="904"/>
      <c r="W11" s="905"/>
      <c r="X11" s="905">
        <f t="shared" ref="X11:X74" si="0">+SUM(C11:W11)</f>
        <v>26690.25</v>
      </c>
    </row>
    <row r="12" spans="1:24" ht="24" customHeight="1" thickBot="1">
      <c r="A12" s="318" t="s">
        <v>115</v>
      </c>
      <c r="B12" s="575" t="s">
        <v>116</v>
      </c>
      <c r="C12" s="914">
        <f>SUM('Concen. de  Recursos Huma'!C24)</f>
        <v>93600</v>
      </c>
      <c r="D12" s="598"/>
      <c r="E12" s="902"/>
      <c r="F12" s="911"/>
      <c r="G12" s="900"/>
      <c r="H12" s="898"/>
      <c r="I12" s="898"/>
      <c r="J12" s="899"/>
      <c r="K12" s="912"/>
      <c r="L12" s="902"/>
      <c r="M12" s="902"/>
      <c r="N12" s="911"/>
      <c r="O12" s="912"/>
      <c r="P12" s="902"/>
      <c r="Q12" s="902"/>
      <c r="R12" s="912"/>
      <c r="S12" s="902"/>
      <c r="T12" s="902"/>
      <c r="U12" s="913">
        <v>0</v>
      </c>
      <c r="V12" s="904"/>
      <c r="W12" s="905"/>
      <c r="X12" s="905">
        <f t="shared" si="0"/>
        <v>93600</v>
      </c>
    </row>
    <row r="13" spans="1:24" ht="24" customHeight="1" thickBot="1">
      <c r="A13" s="325">
        <v>51201</v>
      </c>
      <c r="B13" s="576" t="s">
        <v>112</v>
      </c>
      <c r="C13" s="912"/>
      <c r="D13" s="598">
        <f>SUM('Proy. de recur.Humanos'!C71)</f>
        <v>3744</v>
      </c>
      <c r="E13" s="902"/>
      <c r="F13" s="911"/>
      <c r="G13" s="912"/>
      <c r="H13" s="902"/>
      <c r="I13" s="902"/>
      <c r="J13" s="911"/>
      <c r="K13" s="912"/>
      <c r="L13" s="902"/>
      <c r="M13" s="902"/>
      <c r="N13" s="911">
        <f>SUM(' 75% FODES AG3 '!H44)</f>
        <v>0</v>
      </c>
      <c r="O13" s="912"/>
      <c r="P13" s="902"/>
      <c r="Q13" s="902"/>
      <c r="R13" s="912"/>
      <c r="S13" s="902"/>
      <c r="T13" s="902"/>
      <c r="U13" s="913">
        <v>0</v>
      </c>
      <c r="V13" s="904"/>
      <c r="W13" s="905"/>
      <c r="X13" s="905">
        <f t="shared" si="0"/>
        <v>3744</v>
      </c>
    </row>
    <row r="14" spans="1:24" ht="24" customHeight="1" thickBot="1">
      <c r="A14" s="325">
        <v>51202</v>
      </c>
      <c r="B14" s="576" t="s">
        <v>117</v>
      </c>
      <c r="C14" s="912"/>
      <c r="D14" s="902"/>
      <c r="E14" s="902"/>
      <c r="F14" s="911">
        <f>SUM('FONDOS PROPIOS'!H45)</f>
        <v>24368</v>
      </c>
      <c r="G14" s="912">
        <f>SUM('25% FODES '!H13)</f>
        <v>0</v>
      </c>
      <c r="H14" s="902"/>
      <c r="I14" s="902"/>
      <c r="J14" s="911">
        <f>SUM('25% FODES '!H89)</f>
        <v>57459.33</v>
      </c>
      <c r="K14" s="912">
        <f>SUM(' 75% FODES AG3 '!H10)</f>
        <v>36500</v>
      </c>
      <c r="L14" s="902"/>
      <c r="M14" s="902"/>
      <c r="N14" s="911">
        <f>SUM(' 75% FODES AG3 '!H45)</f>
        <v>29354</v>
      </c>
      <c r="O14" s="915"/>
      <c r="P14" s="917"/>
      <c r="Q14" s="917">
        <f>SUM(' 75% FODES AG3 '!H27)</f>
        <v>0</v>
      </c>
      <c r="R14" s="912">
        <f>SUM('INVER.FODES 75% AG 4'!H15)</f>
        <v>153849.18</v>
      </c>
      <c r="S14" s="902">
        <f>SUM('AG 4 0402  2% FODES'!H10)</f>
        <v>38450</v>
      </c>
      <c r="T14" s="902"/>
      <c r="U14" s="913">
        <v>0</v>
      </c>
      <c r="V14" s="904"/>
      <c r="W14" s="905">
        <f>SUM('FOND GENE.109'!H10)</f>
        <v>19018</v>
      </c>
      <c r="X14" s="905">
        <f t="shared" si="0"/>
        <v>358998.51</v>
      </c>
    </row>
    <row r="15" spans="1:24" ht="24" customHeight="1" thickBot="1">
      <c r="A15" s="325">
        <v>51203</v>
      </c>
      <c r="B15" s="576" t="s">
        <v>114</v>
      </c>
      <c r="C15" s="912"/>
      <c r="D15" s="902">
        <f>SUM('Proy. de recur.Humanos'!F89:G89)</f>
        <v>312</v>
      </c>
      <c r="E15" s="902"/>
      <c r="F15" s="911">
        <f>SUM('Proy. de recur.Humanos'!F91:G91)</f>
        <v>312</v>
      </c>
      <c r="G15" s="912"/>
      <c r="H15" s="902"/>
      <c r="I15" s="902"/>
      <c r="J15" s="911"/>
      <c r="K15" s="912"/>
      <c r="L15" s="902"/>
      <c r="M15" s="902"/>
      <c r="N15" s="911"/>
      <c r="O15" s="915"/>
      <c r="P15" s="917"/>
      <c r="Q15" s="917"/>
      <c r="R15" s="912"/>
      <c r="S15" s="902"/>
      <c r="T15" s="902"/>
      <c r="U15" s="913"/>
      <c r="V15" s="904"/>
      <c r="W15" s="905"/>
      <c r="X15" s="905">
        <f t="shared" si="0"/>
        <v>624</v>
      </c>
    </row>
    <row r="16" spans="1:24" ht="24" customHeight="1" thickBot="1">
      <c r="A16" s="318" t="s">
        <v>204</v>
      </c>
      <c r="B16" s="575" t="s">
        <v>205</v>
      </c>
      <c r="C16" s="918">
        <f>SUM('Concen. de  Recursos Huma'!C27)</f>
        <v>7509</v>
      </c>
      <c r="D16" s="919">
        <f>SUM('Concen. de  Recursos Huma'!D27)</f>
        <v>8254.5</v>
      </c>
      <c r="E16" s="919">
        <f>SUM('Concen. de  Recursos Huma'!E27)</f>
        <v>1279</v>
      </c>
      <c r="F16" s="920">
        <f>SUM('Concen. de  Recursos Huma'!F27)</f>
        <v>4747.75</v>
      </c>
      <c r="G16" s="912"/>
      <c r="H16" s="902"/>
      <c r="I16" s="902"/>
      <c r="J16" s="911"/>
      <c r="K16" s="912"/>
      <c r="L16" s="902"/>
      <c r="M16" s="902"/>
      <c r="N16" s="911">
        <f>SUM('Proy. de recur.Humanos'!D109)</f>
        <v>4174</v>
      </c>
      <c r="O16" s="912"/>
      <c r="P16" s="902"/>
      <c r="Q16" s="902"/>
      <c r="R16" s="912">
        <f>SUM('Proy. de recur.Humanos'!D110)</f>
        <v>1350</v>
      </c>
      <c r="S16" s="902"/>
      <c r="T16" s="902"/>
      <c r="U16" s="913"/>
      <c r="V16" s="904"/>
      <c r="W16" s="905"/>
      <c r="X16" s="905">
        <f t="shared" si="0"/>
        <v>27314.25</v>
      </c>
    </row>
    <row r="17" spans="1:25" ht="24" customHeight="1" thickBot="1">
      <c r="A17" s="318" t="s">
        <v>371</v>
      </c>
      <c r="B17" s="575" t="s">
        <v>66</v>
      </c>
      <c r="C17" s="912"/>
      <c r="D17" s="902"/>
      <c r="E17" s="921"/>
      <c r="F17" s="911"/>
      <c r="G17" s="912"/>
      <c r="H17" s="902">
        <f>SUM('25% FODES '!H62)</f>
        <v>0</v>
      </c>
      <c r="I17" s="902"/>
      <c r="J17" s="911"/>
      <c r="K17" s="912"/>
      <c r="L17" s="902"/>
      <c r="M17" s="902"/>
      <c r="N17" s="911"/>
      <c r="O17" s="912"/>
      <c r="P17" s="902"/>
      <c r="Q17" s="902"/>
      <c r="R17" s="912"/>
      <c r="S17" s="902"/>
      <c r="T17" s="902"/>
      <c r="U17" s="913"/>
      <c r="V17" s="904"/>
      <c r="W17" s="905"/>
      <c r="X17" s="905">
        <f t="shared" si="0"/>
        <v>0</v>
      </c>
    </row>
    <row r="18" spans="1:25" ht="24" customHeight="1" thickBot="1">
      <c r="A18" s="325">
        <v>51302</v>
      </c>
      <c r="B18" s="576" t="s">
        <v>120</v>
      </c>
      <c r="C18" s="912"/>
      <c r="D18" s="902"/>
      <c r="E18" s="902"/>
      <c r="F18" s="911"/>
      <c r="G18" s="912"/>
      <c r="H18" s="902"/>
      <c r="I18" s="902"/>
      <c r="J18" s="911"/>
      <c r="K18" s="912"/>
      <c r="L18" s="902"/>
      <c r="M18" s="902"/>
      <c r="N18" s="911"/>
      <c r="O18" s="912"/>
      <c r="P18" s="902"/>
      <c r="Q18" s="902"/>
      <c r="R18" s="912"/>
      <c r="S18" s="902"/>
      <c r="T18" s="902"/>
      <c r="U18" s="913">
        <v>0</v>
      </c>
      <c r="V18" s="904"/>
      <c r="W18" s="905"/>
      <c r="X18" s="905">
        <f t="shared" si="0"/>
        <v>0</v>
      </c>
    </row>
    <row r="19" spans="1:25" ht="24" customHeight="1" thickBot="1">
      <c r="A19" s="318" t="s">
        <v>121</v>
      </c>
      <c r="B19" s="575" t="s">
        <v>122</v>
      </c>
      <c r="C19" s="918">
        <f>SUM('Concen. de  Recursos Huma'!C29)</f>
        <v>8224</v>
      </c>
      <c r="D19" s="922">
        <f>SUM('Concen. de  Recursos Huma'!D29)</f>
        <v>1339.7650000000001</v>
      </c>
      <c r="E19" s="922">
        <f>SUM('Concen. de  Recursos Huma'!E29)</f>
        <v>217.42499999999998</v>
      </c>
      <c r="F19" s="923">
        <f>SUM('Concen. de  Recursos Huma'!F29)</f>
        <v>1167.5125</v>
      </c>
      <c r="G19" s="918">
        <f>SUM('Concen. de  Recursos Huma'!C13)</f>
        <v>1699.9949999999999</v>
      </c>
      <c r="H19" s="919">
        <f>SUM('Concen. de  Recursos Huma'!D13)</f>
        <v>5107.625</v>
      </c>
      <c r="I19" s="919">
        <f>SUM('Concen. de  Recursos Huma'!E13)</f>
        <v>1087.1499999999999</v>
      </c>
      <c r="J19" s="923">
        <f>SUM('Concen. de  Recursos Huma'!F13)</f>
        <v>4246.3874999999998</v>
      </c>
      <c r="K19" s="912"/>
      <c r="L19" s="902"/>
      <c r="M19" s="902"/>
      <c r="N19" s="911">
        <f>SUM('Proy. de recur.Humanos'!L107:M107)</f>
        <v>4257.4799999999996</v>
      </c>
      <c r="O19" s="912"/>
      <c r="P19" s="902"/>
      <c r="Q19" s="902"/>
      <c r="R19" s="912">
        <f>SUM('Proy. de recur.Humanos'!L108:M108)</f>
        <v>1020</v>
      </c>
      <c r="S19" s="902"/>
      <c r="T19" s="902"/>
      <c r="U19" s="913">
        <v>0</v>
      </c>
      <c r="V19" s="904"/>
      <c r="W19" s="905"/>
      <c r="X19" s="905">
        <f t="shared" si="0"/>
        <v>28367.34</v>
      </c>
    </row>
    <row r="20" spans="1:25" ht="24" customHeight="1" thickBot="1">
      <c r="A20" s="318" t="s">
        <v>123</v>
      </c>
      <c r="B20" s="575" t="s">
        <v>124</v>
      </c>
      <c r="C20" s="924">
        <f>SUM('Concen. de  Recursos Huma'!C30)</f>
        <v>7825.7950000000001</v>
      </c>
      <c r="D20" s="925">
        <f>SUM('Concen. de  Recursos Huma'!D30)</f>
        <v>1275.5725</v>
      </c>
      <c r="E20" s="925">
        <f>SUM('Concen. de  Recursos Huma'!E30)</f>
        <v>198.245</v>
      </c>
      <c r="F20" s="920">
        <f>SUM('Concen. de  Recursos Huma'!F30)</f>
        <v>977.70124999999985</v>
      </c>
      <c r="G20" s="924">
        <f>SUM('Concen. de  Recursos Huma'!C14)</f>
        <v>2858.9749999999999</v>
      </c>
      <c r="H20" s="926">
        <f>SUM('Concen. de  Recursos Huma'!D14)</f>
        <v>4927.0625</v>
      </c>
      <c r="I20" s="926">
        <f>SUM('Concen. de  Recursos Huma'!E14)</f>
        <v>991.22500000000002</v>
      </c>
      <c r="J20" s="920">
        <f>SUM('Concen. de  Recursos Huma'!F14)</f>
        <v>3437.7062499999993</v>
      </c>
      <c r="K20" s="912"/>
      <c r="L20" s="902"/>
      <c r="M20" s="902"/>
      <c r="N20" s="911">
        <f>SUM('Proy. de recur.Humanos'!Q107)</f>
        <v>3881.82</v>
      </c>
      <c r="O20" s="912"/>
      <c r="P20" s="902"/>
      <c r="Q20" s="902"/>
      <c r="R20" s="912">
        <f>SUM('Proy. de recur.Humanos'!Q108)</f>
        <v>1255.5</v>
      </c>
      <c r="S20" s="902"/>
      <c r="T20" s="902"/>
      <c r="U20" s="913">
        <v>0</v>
      </c>
      <c r="V20" s="904"/>
      <c r="W20" s="905"/>
      <c r="X20" s="905">
        <f t="shared" si="0"/>
        <v>27629.602499999997</v>
      </c>
    </row>
    <row r="21" spans="1:25" ht="24" customHeight="1" thickBot="1">
      <c r="A21" s="325">
        <v>51901</v>
      </c>
      <c r="B21" s="576" t="s">
        <v>191</v>
      </c>
      <c r="C21" s="912"/>
      <c r="D21" s="902"/>
      <c r="E21" s="902"/>
      <c r="F21" s="911"/>
      <c r="G21" s="912"/>
      <c r="H21" s="902"/>
      <c r="I21" s="902"/>
      <c r="J21" s="911"/>
      <c r="K21" s="912"/>
      <c r="L21" s="902"/>
      <c r="M21" s="902"/>
      <c r="N21" s="911"/>
      <c r="O21" s="912"/>
      <c r="P21" s="902"/>
      <c r="Q21" s="902"/>
      <c r="R21" s="912"/>
      <c r="S21" s="902"/>
      <c r="T21" s="902"/>
      <c r="U21" s="913">
        <v>0</v>
      </c>
      <c r="V21" s="904"/>
      <c r="W21" s="905"/>
      <c r="X21" s="905">
        <f t="shared" si="0"/>
        <v>0</v>
      </c>
    </row>
    <row r="22" spans="1:25" ht="24" customHeight="1" thickBot="1">
      <c r="A22" s="325">
        <v>51999</v>
      </c>
      <c r="B22" s="576" t="s">
        <v>125</v>
      </c>
      <c r="C22" s="912"/>
      <c r="D22" s="902"/>
      <c r="E22" s="902"/>
      <c r="F22" s="911"/>
      <c r="G22" s="912"/>
      <c r="H22" s="902"/>
      <c r="I22" s="902"/>
      <c r="J22" s="911"/>
      <c r="K22" s="912"/>
      <c r="L22" s="902"/>
      <c r="M22" s="902"/>
      <c r="N22" s="911"/>
      <c r="O22" s="912"/>
      <c r="P22" s="902"/>
      <c r="Q22" s="902"/>
      <c r="R22" s="912"/>
      <c r="S22" s="902"/>
      <c r="T22" s="902"/>
      <c r="U22" s="913"/>
      <c r="V22" s="904"/>
      <c r="W22" s="905"/>
      <c r="X22" s="905">
        <f t="shared" si="0"/>
        <v>0</v>
      </c>
      <c r="Y22" s="91">
        <f>SUM(X10:X22)</f>
        <v>894738.95250000001</v>
      </c>
    </row>
    <row r="23" spans="1:25" ht="24" customHeight="1" thickBot="1">
      <c r="A23" s="325">
        <v>54101</v>
      </c>
      <c r="B23" s="576" t="s">
        <v>159</v>
      </c>
      <c r="C23" s="912">
        <f>SUM('FONDOS PROPIOS'!H15)</f>
        <v>5000</v>
      </c>
      <c r="D23" s="902"/>
      <c r="E23" s="902"/>
      <c r="F23" s="911"/>
      <c r="G23" s="912">
        <f>SUM('25% FODES '!H16)</f>
        <v>2000</v>
      </c>
      <c r="H23" s="902"/>
      <c r="I23" s="902"/>
      <c r="J23" s="911"/>
      <c r="K23" s="912"/>
      <c r="L23" s="902"/>
      <c r="M23" s="902"/>
      <c r="N23" s="911">
        <f>SUM(' 75% FODES AG3 '!H50)</f>
        <v>500</v>
      </c>
      <c r="O23" s="912"/>
      <c r="P23" s="902"/>
      <c r="Q23" s="902"/>
      <c r="R23" s="912"/>
      <c r="S23" s="902"/>
      <c r="T23" s="902"/>
      <c r="U23" s="913"/>
      <c r="V23" s="904"/>
      <c r="W23" s="905"/>
      <c r="X23" s="905">
        <f t="shared" si="0"/>
        <v>7500</v>
      </c>
    </row>
    <row r="24" spans="1:25" ht="24" customHeight="1" thickBot="1">
      <c r="A24" s="325">
        <v>54103</v>
      </c>
      <c r="B24" s="576" t="s">
        <v>160</v>
      </c>
      <c r="C24" s="915"/>
      <c r="D24" s="917"/>
      <c r="E24" s="917"/>
      <c r="F24" s="927">
        <f>SUM('FONDOS PROPIOS'!H50)</f>
        <v>0</v>
      </c>
      <c r="G24" s="915"/>
      <c r="H24" s="917"/>
      <c r="I24" s="917"/>
      <c r="J24" s="927"/>
      <c r="K24" s="915"/>
      <c r="L24" s="917"/>
      <c r="M24" s="917"/>
      <c r="N24" s="927">
        <f>SUM(' 75% FODES AG3 '!H51)</f>
        <v>0</v>
      </c>
      <c r="O24" s="915"/>
      <c r="P24" s="917"/>
      <c r="Q24" s="917"/>
      <c r="R24" s="915"/>
      <c r="S24" s="917"/>
      <c r="T24" s="917"/>
      <c r="U24" s="916"/>
      <c r="V24" s="904"/>
      <c r="W24" s="1604"/>
      <c r="X24" s="905">
        <f t="shared" si="0"/>
        <v>0</v>
      </c>
    </row>
    <row r="25" spans="1:25" ht="24" customHeight="1" thickBot="1">
      <c r="A25" s="325">
        <v>54104</v>
      </c>
      <c r="B25" s="576" t="s">
        <v>161</v>
      </c>
      <c r="C25" s="915"/>
      <c r="D25" s="917"/>
      <c r="E25" s="917"/>
      <c r="F25" s="927"/>
      <c r="G25" s="915">
        <f>SUM('25% FODES '!H17)</f>
        <v>5000</v>
      </c>
      <c r="H25" s="917"/>
      <c r="I25" s="917"/>
      <c r="J25" s="927"/>
      <c r="K25" s="915">
        <v>0</v>
      </c>
      <c r="L25" s="917"/>
      <c r="M25" s="917"/>
      <c r="N25" s="927">
        <f>SUM(' 75% FODES AG3 '!H52)</f>
        <v>1100</v>
      </c>
      <c r="O25" s="915"/>
      <c r="P25" s="917"/>
      <c r="Q25" s="917"/>
      <c r="R25" s="915"/>
      <c r="S25" s="917"/>
      <c r="T25" s="917"/>
      <c r="U25" s="916"/>
      <c r="V25" s="904"/>
      <c r="W25" s="1604"/>
      <c r="X25" s="905">
        <f t="shared" si="0"/>
        <v>6100</v>
      </c>
    </row>
    <row r="26" spans="1:25" ht="24" customHeight="1" thickBot="1">
      <c r="A26" s="325">
        <v>54105</v>
      </c>
      <c r="B26" s="576" t="s">
        <v>162</v>
      </c>
      <c r="C26" s="915"/>
      <c r="D26" s="917"/>
      <c r="E26" s="917"/>
      <c r="F26" s="927"/>
      <c r="G26" s="915">
        <f>SUM('25% FODES '!H18)</f>
        <v>5000</v>
      </c>
      <c r="H26" s="917">
        <f>SUM('25% FODES '!H65)</f>
        <v>700</v>
      </c>
      <c r="I26" s="917">
        <f>SUM('25% FODES '!H81)</f>
        <v>500</v>
      </c>
      <c r="J26" s="927">
        <f>SUM('25% FODES '!H92)</f>
        <v>2452.2099999999996</v>
      </c>
      <c r="K26" s="915"/>
      <c r="L26" s="917"/>
      <c r="M26" s="917"/>
      <c r="N26" s="927">
        <f>SUM(' 75% FODES AG3 '!H53)</f>
        <v>700</v>
      </c>
      <c r="O26" s="915"/>
      <c r="P26" s="917"/>
      <c r="Q26" s="917"/>
      <c r="R26" s="915"/>
      <c r="S26" s="917"/>
      <c r="T26" s="917"/>
      <c r="U26" s="916"/>
      <c r="V26" s="904"/>
      <c r="W26" s="1604"/>
      <c r="X26" s="905">
        <f t="shared" si="0"/>
        <v>9352.2099999999991</v>
      </c>
    </row>
    <row r="27" spans="1:25" ht="24" customHeight="1" thickBot="1">
      <c r="A27" s="325">
        <v>54107</v>
      </c>
      <c r="B27" s="576" t="s">
        <v>163</v>
      </c>
      <c r="C27" s="915"/>
      <c r="D27" s="917"/>
      <c r="E27" s="917"/>
      <c r="F27" s="927">
        <f>SUM('FONDOS PROPIOS'!H51)</f>
        <v>800</v>
      </c>
      <c r="G27" s="915">
        <f>SUM('25% FODES '!H19)</f>
        <v>3000</v>
      </c>
      <c r="H27" s="917"/>
      <c r="I27" s="917"/>
      <c r="J27" s="927">
        <f>SUM('25% FODES '!H93)</f>
        <v>1413.78</v>
      </c>
      <c r="K27" s="915">
        <f>SUM(' 75% FODES AG3 '!H11)</f>
        <v>5500</v>
      </c>
      <c r="L27" s="917"/>
      <c r="M27" s="917"/>
      <c r="N27" s="927">
        <f>SUM(' 75% FODES AG3 '!H54)</f>
        <v>1000</v>
      </c>
      <c r="O27" s="915"/>
      <c r="P27" s="917"/>
      <c r="Q27" s="917">
        <f>SUM(' 75% FODES AG3 '!H28)</f>
        <v>0</v>
      </c>
      <c r="R27" s="915">
        <f>SUM('INVER.FODES 75% AG 4'!H18)</f>
        <v>10400</v>
      </c>
      <c r="S27" s="917">
        <f>SUM('AG 4 0402  2% FODES'!H11)</f>
        <v>3000</v>
      </c>
      <c r="T27" s="917"/>
      <c r="U27" s="916"/>
      <c r="V27" s="904"/>
      <c r="W27" s="1604"/>
      <c r="X27" s="905">
        <f t="shared" si="0"/>
        <v>25113.78</v>
      </c>
    </row>
    <row r="28" spans="1:25" ht="24" customHeight="1" thickBot="1">
      <c r="A28" s="325">
        <v>54108</v>
      </c>
      <c r="B28" s="576" t="s">
        <v>164</v>
      </c>
      <c r="C28" s="915"/>
      <c r="D28" s="917"/>
      <c r="E28" s="917"/>
      <c r="F28" s="927"/>
      <c r="G28" s="915"/>
      <c r="H28" s="917"/>
      <c r="I28" s="917"/>
      <c r="J28" s="927"/>
      <c r="K28" s="915"/>
      <c r="L28" s="917"/>
      <c r="M28" s="917"/>
      <c r="N28" s="927"/>
      <c r="O28" s="915"/>
      <c r="P28" s="917"/>
      <c r="Q28" s="917"/>
      <c r="R28" s="915"/>
      <c r="S28" s="917"/>
      <c r="T28" s="917"/>
      <c r="U28" s="916"/>
      <c r="V28" s="904"/>
      <c r="W28" s="1604"/>
      <c r="X28" s="905">
        <f t="shared" si="0"/>
        <v>0</v>
      </c>
    </row>
    <row r="29" spans="1:25" ht="24" customHeight="1" thickBot="1">
      <c r="A29" s="325">
        <v>54109</v>
      </c>
      <c r="B29" s="576" t="s">
        <v>165</v>
      </c>
      <c r="C29" s="915"/>
      <c r="D29" s="917"/>
      <c r="E29" s="917"/>
      <c r="F29" s="927"/>
      <c r="G29" s="915">
        <f>SUM('25% FODES '!H20)</f>
        <v>7000</v>
      </c>
      <c r="H29" s="917"/>
      <c r="I29" s="917"/>
      <c r="J29" s="927"/>
      <c r="K29" s="915"/>
      <c r="L29" s="917"/>
      <c r="M29" s="917"/>
      <c r="N29" s="927">
        <f>SUM(' 75% FODES AG3 '!H55)</f>
        <v>1000</v>
      </c>
      <c r="O29" s="915"/>
      <c r="P29" s="917"/>
      <c r="Q29" s="917"/>
      <c r="R29" s="915"/>
      <c r="S29" s="917"/>
      <c r="T29" s="917"/>
      <c r="U29" s="916"/>
      <c r="V29" s="904"/>
      <c r="W29" s="1604"/>
      <c r="X29" s="905">
        <f t="shared" si="0"/>
        <v>8000</v>
      </c>
    </row>
    <row r="30" spans="1:25" ht="24" customHeight="1" thickBot="1">
      <c r="A30" s="325">
        <v>54110</v>
      </c>
      <c r="B30" s="577" t="s">
        <v>166</v>
      </c>
      <c r="C30" s="915">
        <f>SUM('FONDOS PROPIOS'!H16)</f>
        <v>4000</v>
      </c>
      <c r="D30" s="917"/>
      <c r="E30" s="917"/>
      <c r="F30" s="927"/>
      <c r="G30" s="915">
        <f>SUM('25% FODES '!H21)</f>
        <v>12000</v>
      </c>
      <c r="H30" s="917"/>
      <c r="I30" s="917"/>
      <c r="J30" s="927"/>
      <c r="K30" s="915"/>
      <c r="L30" s="917"/>
      <c r="M30" s="917"/>
      <c r="N30" s="927">
        <f>SUM(' 75% FODES AG3 '!H56)</f>
        <v>5500</v>
      </c>
      <c r="O30" s="915"/>
      <c r="P30" s="917"/>
      <c r="Q30" s="917"/>
      <c r="R30" s="915">
        <f>SUM('INVER.FODES 75% AG 4'!H19)</f>
        <v>0</v>
      </c>
      <c r="S30" s="917"/>
      <c r="T30" s="917"/>
      <c r="U30" s="916"/>
      <c r="V30" s="1855"/>
      <c r="W30" s="1604"/>
      <c r="X30" s="905">
        <f t="shared" si="0"/>
        <v>21500</v>
      </c>
    </row>
    <row r="31" spans="1:25" ht="24" customHeight="1" thickBot="1">
      <c r="A31" s="325">
        <v>54111</v>
      </c>
      <c r="B31" s="576" t="s">
        <v>524</v>
      </c>
      <c r="C31" s="915"/>
      <c r="D31" s="917"/>
      <c r="E31" s="917"/>
      <c r="F31" s="927">
        <f>SUM('FONDOS PROPIOS'!H52)</f>
        <v>1000</v>
      </c>
      <c r="G31" s="915"/>
      <c r="H31" s="917"/>
      <c r="I31" s="917"/>
      <c r="J31" s="927"/>
      <c r="K31" s="915">
        <f>SUM(' 75% FODES AG3 '!H12)</f>
        <v>33550</v>
      </c>
      <c r="L31" s="917"/>
      <c r="M31" s="917"/>
      <c r="N31" s="927">
        <f>SUM(' 75% FODES AG3 '!H57)</f>
        <v>1200</v>
      </c>
      <c r="O31" s="915"/>
      <c r="P31" s="917"/>
      <c r="Q31" s="917">
        <f>SUM(' 75% FODES AG3 '!H29)</f>
        <v>0</v>
      </c>
      <c r="R31" s="915">
        <f>SUM('INVER.FODES 75% AG 4'!H20)</f>
        <v>181651.64</v>
      </c>
      <c r="S31" s="917">
        <f>SUM('AG 4 0402  2% FODES'!H12)</f>
        <v>54100</v>
      </c>
      <c r="T31" s="917"/>
      <c r="U31" s="916"/>
      <c r="V31" s="904"/>
      <c r="W31" s="1604"/>
      <c r="X31" s="905">
        <f t="shared" si="0"/>
        <v>271501.64</v>
      </c>
    </row>
    <row r="32" spans="1:25" ht="24" customHeight="1" thickBot="1">
      <c r="A32" s="325">
        <v>54112</v>
      </c>
      <c r="B32" s="576" t="s">
        <v>168</v>
      </c>
      <c r="C32" s="915"/>
      <c r="D32" s="917"/>
      <c r="E32" s="917"/>
      <c r="F32" s="927">
        <f>SUM('FONDOS PROPIOS'!H53)</f>
        <v>800</v>
      </c>
      <c r="G32" s="915"/>
      <c r="H32" s="917"/>
      <c r="I32" s="917"/>
      <c r="J32" s="927"/>
      <c r="K32" s="915">
        <f>SUM(' 75% FODES AG3 '!H13)</f>
        <v>27350</v>
      </c>
      <c r="L32" s="917"/>
      <c r="M32" s="917"/>
      <c r="N32" s="927">
        <f>SUM(' 75% FODES AG3 '!H58)</f>
        <v>1300</v>
      </c>
      <c r="O32" s="915"/>
      <c r="P32" s="917"/>
      <c r="Q32" s="917">
        <f>SUM(' 75% FODES AG3 '!H30)</f>
        <v>0</v>
      </c>
      <c r="R32" s="915">
        <f>SUM('INVER.FODES 75% AG 4'!H21)</f>
        <v>23800</v>
      </c>
      <c r="S32" s="917">
        <f>SUM('AG 4 0402  2% FODES'!H13)</f>
        <v>6307.34</v>
      </c>
      <c r="T32" s="917"/>
      <c r="U32" s="916"/>
      <c r="V32" s="904"/>
      <c r="W32" s="1604"/>
      <c r="X32" s="905">
        <f t="shared" si="0"/>
        <v>59557.34</v>
      </c>
    </row>
    <row r="33" spans="1:26" ht="24" customHeight="1" thickBot="1">
      <c r="A33" s="325">
        <v>54114</v>
      </c>
      <c r="B33" s="576" t="s">
        <v>169</v>
      </c>
      <c r="C33" s="915"/>
      <c r="D33" s="917"/>
      <c r="E33" s="917"/>
      <c r="F33" s="927"/>
      <c r="G33" s="915">
        <f>SUM('25% FODES '!H22)</f>
        <v>5000</v>
      </c>
      <c r="H33" s="917">
        <f>SUM('25% FODES '!H66)</f>
        <v>300</v>
      </c>
      <c r="I33" s="917">
        <f>SUM('25% FODES '!H82)</f>
        <v>600</v>
      </c>
      <c r="J33" s="927">
        <f>SUM('25% FODES '!H94)</f>
        <v>800</v>
      </c>
      <c r="K33" s="915"/>
      <c r="L33" s="917"/>
      <c r="M33" s="917"/>
      <c r="N33" s="927">
        <f>SUM(' 75% FODES AG3 '!H59)</f>
        <v>200</v>
      </c>
      <c r="O33" s="915"/>
      <c r="P33" s="917"/>
      <c r="Q33" s="917"/>
      <c r="R33" s="915"/>
      <c r="S33" s="917"/>
      <c r="T33" s="917"/>
      <c r="U33" s="916"/>
      <c r="V33" s="904"/>
      <c r="W33" s="1604"/>
      <c r="X33" s="905">
        <f t="shared" si="0"/>
        <v>6900</v>
      </c>
    </row>
    <row r="34" spans="1:26" ht="24" customHeight="1" thickBot="1">
      <c r="A34" s="325">
        <v>54115</v>
      </c>
      <c r="B34" s="576" t="s">
        <v>170</v>
      </c>
      <c r="C34" s="915"/>
      <c r="D34" s="917"/>
      <c r="E34" s="917"/>
      <c r="F34" s="927"/>
      <c r="G34" s="915">
        <f>SUM('25% FODES '!H23)</f>
        <v>5000</v>
      </c>
      <c r="H34" s="917">
        <f>SUM('25% FODES '!H67)</f>
        <v>500</v>
      </c>
      <c r="I34" s="917">
        <f>SUM('25% FODES '!H83)</f>
        <v>850</v>
      </c>
      <c r="J34" s="927">
        <f>SUM('25% FODES '!H95)</f>
        <v>800</v>
      </c>
      <c r="K34" s="915"/>
      <c r="L34" s="917"/>
      <c r="M34" s="917"/>
      <c r="N34" s="927">
        <f>SUM(' 75% FODES AG3 '!H60)</f>
        <v>600</v>
      </c>
      <c r="O34" s="915"/>
      <c r="P34" s="917"/>
      <c r="Q34" s="917"/>
      <c r="R34" s="915"/>
      <c r="S34" s="917"/>
      <c r="T34" s="917"/>
      <c r="U34" s="916"/>
      <c r="V34" s="904"/>
      <c r="W34" s="1604"/>
      <c r="X34" s="905">
        <f t="shared" si="0"/>
        <v>7750</v>
      </c>
    </row>
    <row r="35" spans="1:26" ht="24" customHeight="1" thickBot="1">
      <c r="A35" s="325">
        <v>54117</v>
      </c>
      <c r="B35" s="576" t="s">
        <v>171</v>
      </c>
      <c r="C35" s="915"/>
      <c r="D35" s="917"/>
      <c r="E35" s="917"/>
      <c r="F35" s="927"/>
      <c r="G35" s="915"/>
      <c r="H35" s="917"/>
      <c r="I35" s="917"/>
      <c r="J35" s="927"/>
      <c r="K35" s="915"/>
      <c r="L35" s="917"/>
      <c r="M35" s="917"/>
      <c r="N35" s="927">
        <f>SUM(' 75% FODES AG3 '!H61)</f>
        <v>2102.6999999999998</v>
      </c>
      <c r="O35" s="915"/>
      <c r="P35" s="917"/>
      <c r="Q35" s="917"/>
      <c r="R35" s="915"/>
      <c r="S35" s="917"/>
      <c r="T35" s="917"/>
      <c r="U35" s="916"/>
      <c r="V35" s="904"/>
      <c r="W35" s="1604"/>
      <c r="X35" s="905">
        <f t="shared" si="0"/>
        <v>2102.6999999999998</v>
      </c>
    </row>
    <row r="36" spans="1:26" ht="24" customHeight="1" thickBot="1">
      <c r="A36" s="325">
        <v>54118</v>
      </c>
      <c r="B36" s="576" t="s">
        <v>172</v>
      </c>
      <c r="C36" s="915"/>
      <c r="D36" s="917"/>
      <c r="E36" s="917"/>
      <c r="F36" s="927">
        <f>SUM('FONDOS PROPIOS'!H54)</f>
        <v>700</v>
      </c>
      <c r="G36" s="915">
        <f>SUM('25% FODES '!H24)</f>
        <v>1800</v>
      </c>
      <c r="H36" s="917"/>
      <c r="I36" s="917"/>
      <c r="J36" s="927">
        <f>SUM('25% FODES '!H96)</f>
        <v>900</v>
      </c>
      <c r="K36" s="915">
        <f>SUM(' 75% FODES AG3 '!H14)</f>
        <v>2700</v>
      </c>
      <c r="L36" s="917"/>
      <c r="M36" s="917"/>
      <c r="N36" s="927">
        <f>SUM(' 75% FODES AG3 '!H62)</f>
        <v>100</v>
      </c>
      <c r="O36" s="915"/>
      <c r="P36" s="917"/>
      <c r="Q36" s="917">
        <f>SUM(' 75% FODES AG3 '!H31)</f>
        <v>0</v>
      </c>
      <c r="R36" s="915">
        <f>SUM('INVER.FODES 75% AG 4'!H22)</f>
        <v>9700</v>
      </c>
      <c r="S36" s="917">
        <f>SUM('AG 4 0402  2% FODES'!H14)</f>
        <v>3000</v>
      </c>
      <c r="T36" s="917"/>
      <c r="U36" s="916"/>
      <c r="V36" s="904"/>
      <c r="W36" s="1604"/>
      <c r="X36" s="905">
        <f t="shared" si="0"/>
        <v>18900</v>
      </c>
    </row>
    <row r="37" spans="1:26" ht="24" customHeight="1" thickBot="1">
      <c r="A37" s="325">
        <v>54119</v>
      </c>
      <c r="B37" s="576" t="s">
        <v>173</v>
      </c>
      <c r="C37" s="915"/>
      <c r="D37" s="917"/>
      <c r="E37" s="917"/>
      <c r="F37" s="927">
        <f>SUM('FONDOS PROPIOS'!H55)</f>
        <v>3500</v>
      </c>
      <c r="G37" s="915">
        <f>SUM('25% FODES '!H25)</f>
        <v>3500</v>
      </c>
      <c r="H37" s="917"/>
      <c r="I37" s="917"/>
      <c r="J37" s="927">
        <f>SUM('25% FODES '!H97)</f>
        <v>4000</v>
      </c>
      <c r="K37" s="915"/>
      <c r="L37" s="917"/>
      <c r="M37" s="917"/>
      <c r="N37" s="927">
        <f>SUM(' 75% FODES AG3 '!H63)</f>
        <v>8150</v>
      </c>
      <c r="O37" s="915"/>
      <c r="P37" s="917"/>
      <c r="Q37" s="917"/>
      <c r="R37" s="915"/>
      <c r="S37" s="917"/>
      <c r="T37" s="917"/>
      <c r="U37" s="916"/>
      <c r="V37" s="904"/>
      <c r="W37" s="1604"/>
      <c r="X37" s="905">
        <f t="shared" si="0"/>
        <v>19150</v>
      </c>
    </row>
    <row r="38" spans="1:26" ht="24" customHeight="1" thickBot="1">
      <c r="A38" s="325">
        <v>54121</v>
      </c>
      <c r="B38" s="576" t="s">
        <v>174</v>
      </c>
      <c r="C38" s="915"/>
      <c r="D38" s="917"/>
      <c r="E38" s="917"/>
      <c r="F38" s="927"/>
      <c r="G38" s="915">
        <f>SUM('25% FODES '!H26)</f>
        <v>3500</v>
      </c>
      <c r="H38" s="917">
        <f>SUM('25% FODES '!H68)</f>
        <v>0</v>
      </c>
      <c r="I38" s="917"/>
      <c r="J38" s="927"/>
      <c r="K38" s="915"/>
      <c r="L38" s="917"/>
      <c r="M38" s="917"/>
      <c r="N38" s="927"/>
      <c r="O38" s="915"/>
      <c r="P38" s="917"/>
      <c r="Q38" s="917"/>
      <c r="R38" s="915"/>
      <c r="S38" s="917"/>
      <c r="T38" s="917"/>
      <c r="U38" s="916"/>
      <c r="V38" s="904"/>
      <c r="W38" s="1604"/>
      <c r="X38" s="905">
        <f t="shared" si="0"/>
        <v>3500</v>
      </c>
    </row>
    <row r="39" spans="1:26" ht="24" customHeight="1" thickBot="1">
      <c r="A39" s="325">
        <v>54199</v>
      </c>
      <c r="B39" s="576" t="s">
        <v>477</v>
      </c>
      <c r="C39" s="915">
        <f>SUM('FONDOS PROPIOS'!H17)</f>
        <v>1500</v>
      </c>
      <c r="D39" s="917"/>
      <c r="E39" s="917"/>
      <c r="F39" s="927">
        <f>SUM('FONDOS PROPIOS'!H56)</f>
        <v>500</v>
      </c>
      <c r="G39" s="915">
        <f>SUM('25% FODES '!H27)</f>
        <v>7000</v>
      </c>
      <c r="H39" s="917">
        <f>SUM('25% FODES '!H69)</f>
        <v>700</v>
      </c>
      <c r="I39" s="917"/>
      <c r="J39" s="927">
        <f>SUM('25% FODES '!H98)</f>
        <v>1200</v>
      </c>
      <c r="K39" s="915">
        <f>SUM(' 75% FODES AG3 '!H15)</f>
        <v>1500</v>
      </c>
      <c r="L39" s="917"/>
      <c r="M39" s="917"/>
      <c r="N39" s="927">
        <f>SUM(' 75% FODES AG3 '!H64)</f>
        <v>1748.5</v>
      </c>
      <c r="O39" s="915"/>
      <c r="P39" s="917"/>
      <c r="Q39" s="917">
        <f>SUM(' 75% FODES AG3 '!H32)</f>
        <v>0</v>
      </c>
      <c r="R39" s="915">
        <f>SUM('INVER.FODES 75% AG 4'!H23)</f>
        <v>8200</v>
      </c>
      <c r="S39" s="917">
        <f>SUM('AG 4 0402  2% FODES'!H15)</f>
        <v>2553.2600000000002</v>
      </c>
      <c r="T39" s="917"/>
      <c r="U39" s="916"/>
      <c r="V39" s="904"/>
      <c r="W39" s="1604"/>
      <c r="X39" s="905">
        <f t="shared" si="0"/>
        <v>24901.760000000002</v>
      </c>
    </row>
    <row r="40" spans="1:26" ht="24" customHeight="1" thickBot="1">
      <c r="A40" s="325">
        <v>54201</v>
      </c>
      <c r="B40" s="576" t="s">
        <v>176</v>
      </c>
      <c r="C40" s="915">
        <f>SUM('FONDOS PROPIOS'!H18)</f>
        <v>2000</v>
      </c>
      <c r="D40" s="917"/>
      <c r="E40" s="917"/>
      <c r="F40" s="927">
        <f>SUM('FONDOS PROPIOS'!H57)</f>
        <v>5200</v>
      </c>
      <c r="G40" s="915">
        <f>SUM('25% FODES '!H28)</f>
        <v>12000</v>
      </c>
      <c r="H40" s="917"/>
      <c r="I40" s="917"/>
      <c r="J40" s="927"/>
      <c r="K40" s="915"/>
      <c r="L40" s="917"/>
      <c r="M40" s="917"/>
      <c r="N40" s="927">
        <f>SUM(' 75% FODES AG3 '!H65)</f>
        <v>800</v>
      </c>
      <c r="O40" s="915"/>
      <c r="P40" s="917"/>
      <c r="Q40" s="917"/>
      <c r="R40" s="915"/>
      <c r="S40" s="917"/>
      <c r="T40" s="917"/>
      <c r="U40" s="916"/>
      <c r="V40" s="904"/>
      <c r="W40" s="1604"/>
      <c r="X40" s="905">
        <f t="shared" si="0"/>
        <v>20000</v>
      </c>
    </row>
    <row r="41" spans="1:26" ht="24" customHeight="1" thickBot="1">
      <c r="A41" s="325">
        <v>54202</v>
      </c>
      <c r="B41" s="576" t="s">
        <v>177</v>
      </c>
      <c r="C41" s="915">
        <f>SUM('FONDOS PROPIOS'!H19)</f>
        <v>1200</v>
      </c>
      <c r="D41" s="917"/>
      <c r="E41" s="917"/>
      <c r="F41" s="927">
        <f>SUM('FONDOS PROPIOS'!H58)</f>
        <v>300</v>
      </c>
      <c r="G41" s="915">
        <f>SUM('25% FODES '!H29)</f>
        <v>7471.13</v>
      </c>
      <c r="H41" s="917"/>
      <c r="I41" s="917"/>
      <c r="J41" s="927"/>
      <c r="K41" s="915"/>
      <c r="L41" s="917"/>
      <c r="M41" s="917"/>
      <c r="N41" s="927">
        <f>SUM(' 75% FODES AG3 '!H66)</f>
        <v>2100</v>
      </c>
      <c r="O41" s="915"/>
      <c r="P41" s="917"/>
      <c r="Q41" s="917"/>
      <c r="R41" s="915"/>
      <c r="S41" s="917"/>
      <c r="T41" s="917"/>
      <c r="U41" s="916"/>
      <c r="V41" s="904"/>
      <c r="W41" s="1604"/>
      <c r="X41" s="905">
        <f t="shared" si="0"/>
        <v>11071.130000000001</v>
      </c>
    </row>
    <row r="42" spans="1:26" ht="24" customHeight="1" thickBot="1">
      <c r="A42" s="325">
        <v>54203</v>
      </c>
      <c r="B42" s="576" t="s">
        <v>178</v>
      </c>
      <c r="C42" s="915">
        <f>SUM('FONDOS PROPIOS'!H20)</f>
        <v>7348</v>
      </c>
      <c r="D42" s="917"/>
      <c r="E42" s="917"/>
      <c r="F42" s="927"/>
      <c r="G42" s="915">
        <f>SUM('25% FODES '!H30)</f>
        <v>18000</v>
      </c>
      <c r="H42" s="917"/>
      <c r="I42" s="917"/>
      <c r="J42" s="927"/>
      <c r="K42" s="915"/>
      <c r="L42" s="917"/>
      <c r="M42" s="917"/>
      <c r="N42" s="927">
        <f>SUM(' 75% FODES AG3 '!H67)</f>
        <v>0</v>
      </c>
      <c r="O42" s="915"/>
      <c r="P42" s="917"/>
      <c r="Q42" s="917"/>
      <c r="R42" s="915"/>
      <c r="S42" s="917"/>
      <c r="T42" s="917"/>
      <c r="U42" s="916"/>
      <c r="V42" s="904"/>
      <c r="W42" s="1604"/>
      <c r="X42" s="905">
        <f t="shared" si="0"/>
        <v>25348</v>
      </c>
    </row>
    <row r="43" spans="1:26" ht="24" customHeight="1" thickBot="1">
      <c r="A43" s="325">
        <v>54204</v>
      </c>
      <c r="B43" s="576" t="s">
        <v>179</v>
      </c>
      <c r="C43" s="915"/>
      <c r="D43" s="917"/>
      <c r="E43" s="917"/>
      <c r="F43" s="927"/>
      <c r="G43" s="915">
        <f>SUM('25% FODES '!H31)</f>
        <v>200</v>
      </c>
      <c r="H43" s="917"/>
      <c r="I43" s="917"/>
      <c r="J43" s="927"/>
      <c r="K43" s="915"/>
      <c r="L43" s="917"/>
      <c r="M43" s="917"/>
      <c r="N43" s="927"/>
      <c r="O43" s="915"/>
      <c r="P43" s="917"/>
      <c r="Q43" s="917"/>
      <c r="R43" s="915"/>
      <c r="S43" s="917"/>
      <c r="T43" s="917"/>
      <c r="U43" s="916"/>
      <c r="V43" s="904"/>
      <c r="W43" s="1604"/>
      <c r="X43" s="905">
        <f t="shared" si="0"/>
        <v>200</v>
      </c>
      <c r="Z43" s="488"/>
    </row>
    <row r="44" spans="1:26" ht="24" customHeight="1" thickBot="1">
      <c r="A44" s="325">
        <v>54205</v>
      </c>
      <c r="B44" s="576" t="s">
        <v>180</v>
      </c>
      <c r="C44" s="915"/>
      <c r="D44" s="917"/>
      <c r="E44" s="917"/>
      <c r="F44" s="927"/>
      <c r="G44" s="915"/>
      <c r="H44" s="917"/>
      <c r="I44" s="917"/>
      <c r="J44" s="927"/>
      <c r="K44" s="915"/>
      <c r="L44" s="917"/>
      <c r="M44" s="917"/>
      <c r="N44" s="927">
        <f>SUM(' 75% FODES AG3 '!H68)</f>
        <v>65000</v>
      </c>
      <c r="O44" s="915"/>
      <c r="P44" s="917"/>
      <c r="Q44" s="917"/>
      <c r="R44" s="915"/>
      <c r="S44" s="917"/>
      <c r="T44" s="917"/>
      <c r="U44" s="916"/>
      <c r="V44" s="904"/>
      <c r="W44" s="1604"/>
      <c r="X44" s="905">
        <f t="shared" si="0"/>
        <v>65000</v>
      </c>
    </row>
    <row r="45" spans="1:26" ht="24" customHeight="1" thickBot="1">
      <c r="A45" s="325">
        <v>54301</v>
      </c>
      <c r="B45" s="576" t="s">
        <v>181</v>
      </c>
      <c r="C45" s="915">
        <f>SUM('FONDOS PROPIOS'!H21)</f>
        <v>300</v>
      </c>
      <c r="D45" s="917"/>
      <c r="E45" s="917"/>
      <c r="F45" s="927"/>
      <c r="G45" s="915">
        <f>SUM('25% FODES '!H32)</f>
        <v>8000</v>
      </c>
      <c r="H45" s="917"/>
      <c r="I45" s="917"/>
      <c r="J45" s="927">
        <f>SUM('25% FODES '!H99)</f>
        <v>2500</v>
      </c>
      <c r="K45" s="915"/>
      <c r="L45" s="917"/>
      <c r="M45" s="917"/>
      <c r="N45" s="927"/>
      <c r="O45" s="915"/>
      <c r="P45" s="917"/>
      <c r="Q45" s="917"/>
      <c r="R45" s="915"/>
      <c r="S45" s="917"/>
      <c r="T45" s="917"/>
      <c r="U45" s="916"/>
      <c r="V45" s="904"/>
      <c r="W45" s="1604"/>
      <c r="X45" s="905">
        <f t="shared" si="0"/>
        <v>10800</v>
      </c>
    </row>
    <row r="46" spans="1:26" ht="24" customHeight="1" thickBot="1">
      <c r="A46" s="325">
        <v>54302</v>
      </c>
      <c r="B46" s="576" t="s">
        <v>182</v>
      </c>
      <c r="C46" s="915">
        <f>SUM('FONDOS PROPIOS'!H22)</f>
        <v>3000</v>
      </c>
      <c r="D46" s="917"/>
      <c r="E46" s="917"/>
      <c r="F46" s="927"/>
      <c r="G46" s="915">
        <f>SUM('25% FODES '!H33)</f>
        <v>17000</v>
      </c>
      <c r="H46" s="917"/>
      <c r="I46" s="917"/>
      <c r="J46" s="927"/>
      <c r="K46" s="915"/>
      <c r="L46" s="917"/>
      <c r="M46" s="917"/>
      <c r="N46" s="927">
        <f>SUM(' 75% FODES AG3 '!H69)</f>
        <v>2500</v>
      </c>
      <c r="O46" s="915"/>
      <c r="P46" s="917"/>
      <c r="Q46" s="917"/>
      <c r="R46" s="915"/>
      <c r="S46" s="917"/>
      <c r="T46" s="917"/>
      <c r="U46" s="916"/>
      <c r="V46" s="904"/>
      <c r="W46" s="1604"/>
      <c r="X46" s="905">
        <f t="shared" si="0"/>
        <v>22500</v>
      </c>
    </row>
    <row r="47" spans="1:26" ht="24" customHeight="1" thickBot="1">
      <c r="A47" s="325">
        <v>54303</v>
      </c>
      <c r="B47" s="576" t="s">
        <v>183</v>
      </c>
      <c r="C47" s="915"/>
      <c r="D47" s="917"/>
      <c r="E47" s="917"/>
      <c r="F47" s="927">
        <f>SUM('FONDOS PROPIOS'!H59)</f>
        <v>3500</v>
      </c>
      <c r="G47" s="915">
        <f>SUM('25% FODES '!H34)</f>
        <v>8000</v>
      </c>
      <c r="H47" s="917"/>
      <c r="I47" s="917"/>
      <c r="J47" s="927">
        <f>SUM('25% FODES '!H100)</f>
        <v>3000</v>
      </c>
      <c r="K47" s="915"/>
      <c r="L47" s="917"/>
      <c r="M47" s="917"/>
      <c r="N47" s="928">
        <f>SUM(' 75% FODES AG3 '!H70)</f>
        <v>7000</v>
      </c>
      <c r="O47" s="915"/>
      <c r="P47" s="917"/>
      <c r="Q47" s="917"/>
      <c r="R47" s="915"/>
      <c r="S47" s="917"/>
      <c r="T47" s="917"/>
      <c r="U47" s="916"/>
      <c r="V47" s="904"/>
      <c r="W47" s="1604"/>
      <c r="X47" s="905">
        <f t="shared" si="0"/>
        <v>21500</v>
      </c>
    </row>
    <row r="48" spans="1:26" ht="24" customHeight="1" thickBot="1">
      <c r="A48" s="325">
        <v>54304</v>
      </c>
      <c r="B48" s="577" t="s">
        <v>184</v>
      </c>
      <c r="C48" s="915">
        <f>SUM('FONDOS PROPIOS'!H23)</f>
        <v>1000</v>
      </c>
      <c r="D48" s="917"/>
      <c r="E48" s="917"/>
      <c r="F48" s="927"/>
      <c r="G48" s="915">
        <f>SUM('25% FODES '!H35)</f>
        <v>2000</v>
      </c>
      <c r="H48" s="917">
        <f>SUM('25% FODES '!H70)</f>
        <v>2000</v>
      </c>
      <c r="I48" s="917"/>
      <c r="J48" s="927">
        <f>SUM('25% FODES '!H101)</f>
        <v>1000</v>
      </c>
      <c r="K48" s="915">
        <f>SUM(' 75% FODES AG3 '!H16)</f>
        <v>1500</v>
      </c>
      <c r="L48" s="917"/>
      <c r="M48" s="917"/>
      <c r="N48" s="927">
        <f>SUM(' 75% FODES AG3 '!H71)</f>
        <v>1602.78</v>
      </c>
      <c r="O48" s="915"/>
      <c r="P48" s="917"/>
      <c r="Q48" s="917">
        <f>SUM(' 75% FODES AG3 '!H33)</f>
        <v>0</v>
      </c>
      <c r="R48" s="915">
        <f>SUM('INVER.FODES 75% AG 4'!H24)</f>
        <v>15200</v>
      </c>
      <c r="S48" s="917">
        <f>SUM('AG 4 0402  2% FODES'!H16)</f>
        <v>3700</v>
      </c>
      <c r="T48" s="917"/>
      <c r="U48" s="916"/>
      <c r="V48" s="904"/>
      <c r="W48" s="1604"/>
      <c r="X48" s="905">
        <f t="shared" si="0"/>
        <v>28002.78</v>
      </c>
    </row>
    <row r="49" spans="1:24" ht="24" customHeight="1" thickBot="1">
      <c r="A49" s="325">
        <v>54305</v>
      </c>
      <c r="B49" s="576" t="s">
        <v>185</v>
      </c>
      <c r="C49" s="915"/>
      <c r="D49" s="917"/>
      <c r="E49" s="917"/>
      <c r="F49" s="927"/>
      <c r="G49" s="915">
        <f>SUM('25% FODES '!H36)</f>
        <v>1000</v>
      </c>
      <c r="H49" s="917"/>
      <c r="I49" s="917"/>
      <c r="J49" s="927"/>
      <c r="K49" s="915"/>
      <c r="L49" s="917"/>
      <c r="M49" s="917"/>
      <c r="N49" s="927"/>
      <c r="O49" s="915"/>
      <c r="P49" s="917"/>
      <c r="Q49" s="917"/>
      <c r="R49" s="915"/>
      <c r="S49" s="917"/>
      <c r="T49" s="917"/>
      <c r="U49" s="916"/>
      <c r="V49" s="904"/>
      <c r="W49" s="1604"/>
      <c r="X49" s="905">
        <f t="shared" si="0"/>
        <v>1000</v>
      </c>
    </row>
    <row r="50" spans="1:24" ht="24" customHeight="1" thickBot="1">
      <c r="A50" s="325">
        <v>54313</v>
      </c>
      <c r="B50" s="576" t="s">
        <v>186</v>
      </c>
      <c r="C50" s="915"/>
      <c r="D50" s="917"/>
      <c r="E50" s="917"/>
      <c r="F50" s="927"/>
      <c r="G50" s="915">
        <f>SUM('25% FODES '!H37)</f>
        <v>4000</v>
      </c>
      <c r="H50" s="917"/>
      <c r="I50" s="917"/>
      <c r="J50" s="927"/>
      <c r="K50" s="915"/>
      <c r="L50" s="917"/>
      <c r="M50" s="917"/>
      <c r="N50" s="928">
        <f>SUM(' 75% FODES AG3 '!H72)</f>
        <v>0</v>
      </c>
      <c r="O50" s="915"/>
      <c r="P50" s="917"/>
      <c r="Q50" s="917"/>
      <c r="R50" s="915"/>
      <c r="S50" s="917"/>
      <c r="T50" s="917"/>
      <c r="U50" s="916"/>
      <c r="V50" s="904"/>
      <c r="W50" s="1604"/>
      <c r="X50" s="905">
        <f t="shared" si="0"/>
        <v>4000</v>
      </c>
    </row>
    <row r="51" spans="1:24" ht="24" customHeight="1" thickBot="1">
      <c r="A51" s="325">
        <v>54314</v>
      </c>
      <c r="B51" s="576" t="s">
        <v>187</v>
      </c>
      <c r="C51" s="915">
        <f>SUM('FONDOS PROPIOS'!H24)</f>
        <v>800</v>
      </c>
      <c r="D51" s="917"/>
      <c r="E51" s="917"/>
      <c r="F51" s="927"/>
      <c r="G51" s="915">
        <f>SUM('25% FODES '!H38)</f>
        <v>3000</v>
      </c>
      <c r="H51" s="917"/>
      <c r="I51" s="917"/>
      <c r="J51" s="927"/>
      <c r="K51" s="915"/>
      <c r="L51" s="917"/>
      <c r="M51" s="917"/>
      <c r="N51" s="929"/>
      <c r="O51" s="915"/>
      <c r="P51" s="917"/>
      <c r="Q51" s="917"/>
      <c r="R51" s="915"/>
      <c r="S51" s="917"/>
      <c r="T51" s="917"/>
      <c r="U51" s="916"/>
      <c r="V51" s="904"/>
      <c r="W51" s="1604"/>
      <c r="X51" s="905">
        <f t="shared" si="0"/>
        <v>3800</v>
      </c>
    </row>
    <row r="52" spans="1:24" ht="24" customHeight="1" thickBot="1">
      <c r="A52" s="325">
        <v>54316</v>
      </c>
      <c r="B52" s="577" t="s">
        <v>188</v>
      </c>
      <c r="C52" s="915">
        <f>SUM('FONDOS PROPIOS'!H25)</f>
        <v>0</v>
      </c>
      <c r="D52" s="917"/>
      <c r="E52" s="917"/>
      <c r="F52" s="927"/>
      <c r="G52" s="915"/>
      <c r="H52" s="917"/>
      <c r="I52" s="917"/>
      <c r="J52" s="927"/>
      <c r="K52" s="915"/>
      <c r="L52" s="917"/>
      <c r="M52" s="917"/>
      <c r="N52" s="927">
        <f>SUM(' 75% FODES AG3 '!H73)</f>
        <v>0</v>
      </c>
      <c r="O52" s="915"/>
      <c r="P52" s="917"/>
      <c r="Q52" s="917"/>
      <c r="R52" s="915">
        <f>SUM('INVER.FODES 75% AG 4'!H25)</f>
        <v>9750</v>
      </c>
      <c r="S52" s="917"/>
      <c r="T52" s="917"/>
      <c r="U52" s="916"/>
      <c r="V52" s="904"/>
      <c r="W52" s="1604"/>
      <c r="X52" s="905">
        <f t="shared" si="0"/>
        <v>9750</v>
      </c>
    </row>
    <row r="53" spans="1:24" ht="24" customHeight="1" thickBot="1">
      <c r="A53" s="325">
        <v>54317</v>
      </c>
      <c r="B53" s="577" t="s">
        <v>189</v>
      </c>
      <c r="C53" s="915"/>
      <c r="D53" s="917"/>
      <c r="E53" s="917"/>
      <c r="F53" s="927"/>
      <c r="G53" s="915"/>
      <c r="H53" s="917"/>
      <c r="I53" s="917"/>
      <c r="J53" s="927"/>
      <c r="K53" s="915"/>
      <c r="L53" s="917"/>
      <c r="M53" s="917"/>
      <c r="N53" s="927">
        <f>SUM(' 75% FODES AG3 '!H74)</f>
        <v>0</v>
      </c>
      <c r="O53" s="915"/>
      <c r="P53" s="917"/>
      <c r="Q53" s="917"/>
      <c r="R53" s="915">
        <f>SUM('INVER.FODES 75% AG 4'!H26)</f>
        <v>0</v>
      </c>
      <c r="S53" s="917"/>
      <c r="T53" s="917"/>
      <c r="U53" s="916"/>
      <c r="V53" s="904"/>
      <c r="W53" s="1604"/>
      <c r="X53" s="905">
        <f t="shared" si="0"/>
        <v>0</v>
      </c>
    </row>
    <row r="54" spans="1:24" ht="24" customHeight="1" thickBot="1">
      <c r="A54" s="325">
        <v>54399</v>
      </c>
      <c r="B54" s="576" t="s">
        <v>190</v>
      </c>
      <c r="C54" s="915">
        <f>SUM('FONDOS PROPIOS'!H26)</f>
        <v>6000</v>
      </c>
      <c r="D54" s="917"/>
      <c r="E54" s="917"/>
      <c r="F54" s="927"/>
      <c r="G54" s="915">
        <f>SUM('25% FODES '!H39)</f>
        <v>500</v>
      </c>
      <c r="H54" s="917"/>
      <c r="I54" s="917"/>
      <c r="J54" s="927"/>
      <c r="K54" s="915"/>
      <c r="L54" s="917"/>
      <c r="M54" s="917"/>
      <c r="N54" s="927">
        <f>SUM(' 75% FODES AG3 '!H75)</f>
        <v>28000</v>
      </c>
      <c r="O54" s="915"/>
      <c r="P54" s="917"/>
      <c r="Q54" s="917"/>
      <c r="R54" s="915"/>
      <c r="S54" s="917"/>
      <c r="T54" s="917"/>
      <c r="U54" s="916"/>
      <c r="V54" s="1855"/>
      <c r="W54" s="1604"/>
      <c r="X54" s="905">
        <f t="shared" si="0"/>
        <v>34500</v>
      </c>
    </row>
    <row r="55" spans="1:24" ht="24" customHeight="1" thickBot="1">
      <c r="A55" s="325">
        <v>54401</v>
      </c>
      <c r="B55" s="576" t="s">
        <v>126</v>
      </c>
      <c r="C55" s="915"/>
      <c r="D55" s="917"/>
      <c r="E55" s="917"/>
      <c r="F55" s="927"/>
      <c r="G55" s="915">
        <f>SUM('25% FODES '!H40)</f>
        <v>2500</v>
      </c>
      <c r="H55" s="917">
        <f>SUM('25% FODES '!H71)</f>
        <v>900</v>
      </c>
      <c r="I55" s="917">
        <f>SUM('25% FODES '!H84)</f>
        <v>800</v>
      </c>
      <c r="J55" s="927">
        <f>SUM('25% FODES '!H102)</f>
        <v>2000</v>
      </c>
      <c r="K55" s="915"/>
      <c r="L55" s="917"/>
      <c r="M55" s="917"/>
      <c r="N55" s="927"/>
      <c r="O55" s="915"/>
      <c r="P55" s="917"/>
      <c r="Q55" s="917"/>
      <c r="R55" s="915"/>
      <c r="S55" s="917"/>
      <c r="T55" s="917"/>
      <c r="U55" s="916"/>
      <c r="V55" s="904"/>
      <c r="W55" s="1604"/>
      <c r="X55" s="905">
        <f t="shared" si="0"/>
        <v>6200</v>
      </c>
    </row>
    <row r="56" spans="1:24" ht="24" customHeight="1" thickBot="1">
      <c r="A56" s="325">
        <v>54403</v>
      </c>
      <c r="B56" s="576" t="s">
        <v>127</v>
      </c>
      <c r="C56" s="915"/>
      <c r="D56" s="917"/>
      <c r="E56" s="917"/>
      <c r="F56" s="927"/>
      <c r="G56" s="915">
        <f>SUM('25% FODES '!H41)</f>
        <v>3500</v>
      </c>
      <c r="H56" s="917">
        <f>SUM('25% FODES '!H72)</f>
        <v>1600</v>
      </c>
      <c r="I56" s="917">
        <f>SUM('25% FODES '!H85)</f>
        <v>900</v>
      </c>
      <c r="J56" s="927">
        <f>SUM('25% FODES '!H103)</f>
        <v>3000</v>
      </c>
      <c r="K56" s="915"/>
      <c r="L56" s="917"/>
      <c r="M56" s="917"/>
      <c r="N56" s="927">
        <f>SUM(' 75% FODES AG3 '!H76)</f>
        <v>0</v>
      </c>
      <c r="O56" s="915"/>
      <c r="P56" s="917"/>
      <c r="Q56" s="917"/>
      <c r="R56" s="915"/>
      <c r="S56" s="917"/>
      <c r="T56" s="917"/>
      <c r="U56" s="916"/>
      <c r="V56" s="904"/>
      <c r="W56" s="1604"/>
      <c r="X56" s="905">
        <f t="shared" si="0"/>
        <v>9000</v>
      </c>
    </row>
    <row r="57" spans="1:24" ht="24" customHeight="1" thickBot="1">
      <c r="A57" s="325">
        <v>54404</v>
      </c>
      <c r="B57" s="576" t="s">
        <v>212</v>
      </c>
      <c r="C57" s="915"/>
      <c r="D57" s="917"/>
      <c r="E57" s="917"/>
      <c r="F57" s="927"/>
      <c r="G57" s="915"/>
      <c r="H57" s="917"/>
      <c r="I57" s="917"/>
      <c r="J57" s="927"/>
      <c r="K57" s="915"/>
      <c r="L57" s="917"/>
      <c r="M57" s="917"/>
      <c r="N57" s="927"/>
      <c r="O57" s="915"/>
      <c r="P57" s="917"/>
      <c r="Q57" s="917"/>
      <c r="R57" s="915"/>
      <c r="S57" s="917"/>
      <c r="T57" s="917"/>
      <c r="U57" s="916"/>
      <c r="V57" s="904"/>
      <c r="W57" s="1604"/>
      <c r="X57" s="905">
        <f t="shared" si="0"/>
        <v>0</v>
      </c>
    </row>
    <row r="58" spans="1:24" ht="24" customHeight="1" thickBot="1">
      <c r="A58" s="325">
        <v>54503</v>
      </c>
      <c r="B58" s="576" t="s">
        <v>128</v>
      </c>
      <c r="C58" s="915"/>
      <c r="D58" s="917"/>
      <c r="E58" s="917"/>
      <c r="F58" s="927"/>
      <c r="G58" s="915">
        <f>SUM('25% FODES '!H42)</f>
        <v>10452.69</v>
      </c>
      <c r="H58" s="917"/>
      <c r="I58" s="917"/>
      <c r="J58" s="927"/>
      <c r="K58" s="915"/>
      <c r="L58" s="917"/>
      <c r="M58" s="917"/>
      <c r="N58" s="927"/>
      <c r="O58" s="915"/>
      <c r="P58" s="917"/>
      <c r="Q58" s="917"/>
      <c r="R58" s="915"/>
      <c r="S58" s="917"/>
      <c r="T58" s="917"/>
      <c r="U58" s="916"/>
      <c r="V58" s="904"/>
      <c r="W58" s="1604"/>
      <c r="X58" s="905">
        <f t="shared" si="0"/>
        <v>10452.69</v>
      </c>
    </row>
    <row r="59" spans="1:24" ht="24" customHeight="1" thickBot="1">
      <c r="A59" s="325">
        <v>54504</v>
      </c>
      <c r="B59" s="577" t="s">
        <v>203</v>
      </c>
      <c r="C59" s="915"/>
      <c r="D59" s="917"/>
      <c r="E59" s="917"/>
      <c r="F59" s="927"/>
      <c r="G59" s="915">
        <f>SUM('25% FODES '!H43)</f>
        <v>10000</v>
      </c>
      <c r="H59" s="917"/>
      <c r="I59" s="917"/>
      <c r="J59" s="927"/>
      <c r="K59" s="915"/>
      <c r="L59" s="917"/>
      <c r="M59" s="917"/>
      <c r="N59" s="927"/>
      <c r="O59" s="915"/>
      <c r="P59" s="917"/>
      <c r="Q59" s="917"/>
      <c r="R59" s="915"/>
      <c r="S59" s="917"/>
      <c r="T59" s="917"/>
      <c r="U59" s="916"/>
      <c r="V59" s="904"/>
      <c r="W59" s="1604"/>
      <c r="X59" s="905">
        <f t="shared" si="0"/>
        <v>10000</v>
      </c>
    </row>
    <row r="60" spans="1:24" ht="24" customHeight="1" thickBot="1">
      <c r="A60" s="325">
        <v>54505</v>
      </c>
      <c r="B60" s="576" t="s">
        <v>520</v>
      </c>
      <c r="C60" s="915"/>
      <c r="D60" s="917"/>
      <c r="E60" s="917"/>
      <c r="F60" s="927"/>
      <c r="G60" s="915">
        <f>SUM('25% FODES '!H44)</f>
        <v>2500</v>
      </c>
      <c r="H60" s="917"/>
      <c r="I60" s="917"/>
      <c r="J60" s="927"/>
      <c r="K60" s="915"/>
      <c r="L60" s="917"/>
      <c r="M60" s="917"/>
      <c r="N60" s="927">
        <f>SUM(' 75% FODES AG3 '!H77)</f>
        <v>3596.72</v>
      </c>
      <c r="O60" s="915"/>
      <c r="P60" s="917"/>
      <c r="Q60" s="917"/>
      <c r="R60" s="915"/>
      <c r="S60" s="917"/>
      <c r="T60" s="917"/>
      <c r="U60" s="916"/>
      <c r="V60" s="904"/>
      <c r="W60" s="1604"/>
      <c r="X60" s="905">
        <f t="shared" si="0"/>
        <v>6096.7199999999993</v>
      </c>
    </row>
    <row r="61" spans="1:24" ht="24" customHeight="1" thickBot="1">
      <c r="A61" s="325">
        <v>54507</v>
      </c>
      <c r="B61" s="576" t="s">
        <v>487</v>
      </c>
      <c r="C61" s="915"/>
      <c r="D61" s="917"/>
      <c r="E61" s="917"/>
      <c r="F61" s="927"/>
      <c r="G61" s="915">
        <f>SUM('25% FODES '!H45)</f>
        <v>2800</v>
      </c>
      <c r="H61" s="917"/>
      <c r="I61" s="917"/>
      <c r="J61" s="927"/>
      <c r="K61" s="915"/>
      <c r="L61" s="917"/>
      <c r="M61" s="917"/>
      <c r="N61" s="927"/>
      <c r="O61" s="915"/>
      <c r="P61" s="917"/>
      <c r="Q61" s="917"/>
      <c r="R61" s="915"/>
      <c r="S61" s="917"/>
      <c r="T61" s="917"/>
      <c r="U61" s="916"/>
      <c r="V61" s="904"/>
      <c r="W61" s="1604"/>
      <c r="X61" s="905">
        <f t="shared" si="0"/>
        <v>2800</v>
      </c>
    </row>
    <row r="62" spans="1:24" ht="24" customHeight="1" thickBot="1">
      <c r="A62" s="325">
        <v>54599</v>
      </c>
      <c r="B62" s="576" t="s">
        <v>129</v>
      </c>
      <c r="C62" s="915">
        <f>SUM('FONDOS PROPIOS'!H27)</f>
        <v>6200</v>
      </c>
      <c r="D62" s="917"/>
      <c r="E62" s="917"/>
      <c r="F62" s="927"/>
      <c r="G62" s="915">
        <f>SUM('25% FODES '!H46)</f>
        <v>15000</v>
      </c>
      <c r="H62" s="917"/>
      <c r="I62" s="917"/>
      <c r="J62" s="927"/>
      <c r="K62" s="915"/>
      <c r="L62" s="917"/>
      <c r="M62" s="917"/>
      <c r="N62" s="927"/>
      <c r="O62" s="915"/>
      <c r="P62" s="917"/>
      <c r="Q62" s="917"/>
      <c r="R62" s="915">
        <f>SUM('INVER.FODES 75% AG 4'!H27)</f>
        <v>0</v>
      </c>
      <c r="S62" s="917"/>
      <c r="T62" s="917"/>
      <c r="U62" s="916"/>
      <c r="V62" s="904"/>
      <c r="W62" s="1604"/>
      <c r="X62" s="905">
        <f t="shared" si="0"/>
        <v>21200</v>
      </c>
    </row>
    <row r="63" spans="1:24" ht="24" customHeight="1" thickBot="1">
      <c r="A63" s="325">
        <v>54601</v>
      </c>
      <c r="B63" s="576" t="s">
        <v>130</v>
      </c>
      <c r="C63" s="915"/>
      <c r="D63" s="917"/>
      <c r="E63" s="917"/>
      <c r="F63" s="927"/>
      <c r="G63" s="915"/>
      <c r="H63" s="917"/>
      <c r="I63" s="917"/>
      <c r="J63" s="927"/>
      <c r="K63" s="915"/>
      <c r="L63" s="917"/>
      <c r="M63" s="917"/>
      <c r="N63" s="927"/>
      <c r="O63" s="915"/>
      <c r="P63" s="917"/>
      <c r="Q63" s="917"/>
      <c r="R63" s="915"/>
      <c r="S63" s="917"/>
      <c r="T63" s="917"/>
      <c r="U63" s="916"/>
      <c r="V63" s="904"/>
      <c r="W63" s="1604"/>
      <c r="X63" s="905">
        <f t="shared" si="0"/>
        <v>0</v>
      </c>
    </row>
    <row r="64" spans="1:24" ht="24" customHeight="1" thickBot="1">
      <c r="A64" s="325">
        <v>54602</v>
      </c>
      <c r="B64" s="576" t="s">
        <v>131</v>
      </c>
      <c r="C64" s="915"/>
      <c r="D64" s="917"/>
      <c r="E64" s="917"/>
      <c r="F64" s="927"/>
      <c r="G64" s="915"/>
      <c r="H64" s="917"/>
      <c r="I64" s="917"/>
      <c r="J64" s="927"/>
      <c r="K64" s="915"/>
      <c r="L64" s="917"/>
      <c r="M64" s="917"/>
      <c r="N64" s="927"/>
      <c r="O64" s="915"/>
      <c r="P64" s="917"/>
      <c r="Q64" s="917"/>
      <c r="R64" s="915"/>
      <c r="S64" s="917"/>
      <c r="T64" s="917"/>
      <c r="U64" s="916"/>
      <c r="V64" s="904"/>
      <c r="W64" s="1604"/>
      <c r="X64" s="905">
        <f t="shared" si="0"/>
        <v>0</v>
      </c>
    </row>
    <row r="65" spans="1:25" ht="24" customHeight="1" thickBot="1">
      <c r="A65" s="325">
        <v>54603</v>
      </c>
      <c r="B65" s="576" t="s">
        <v>132</v>
      </c>
      <c r="C65" s="915"/>
      <c r="D65" s="917"/>
      <c r="E65" s="917"/>
      <c r="F65" s="927"/>
      <c r="G65" s="915"/>
      <c r="H65" s="917"/>
      <c r="I65" s="917"/>
      <c r="J65" s="927"/>
      <c r="K65" s="915"/>
      <c r="L65" s="917"/>
      <c r="M65" s="917"/>
      <c r="N65" s="927"/>
      <c r="O65" s="915"/>
      <c r="P65" s="917"/>
      <c r="Q65" s="917"/>
      <c r="R65" s="915"/>
      <c r="S65" s="917"/>
      <c r="T65" s="917"/>
      <c r="U65" s="916"/>
      <c r="V65" s="904"/>
      <c r="W65" s="1604"/>
      <c r="X65" s="905">
        <f t="shared" si="0"/>
        <v>0</v>
      </c>
    </row>
    <row r="66" spans="1:25" ht="24" customHeight="1" thickBot="1">
      <c r="A66" s="325">
        <v>54699</v>
      </c>
      <c r="B66" s="576" t="s">
        <v>133</v>
      </c>
      <c r="C66" s="915"/>
      <c r="D66" s="917"/>
      <c r="E66" s="917"/>
      <c r="F66" s="927"/>
      <c r="G66" s="915"/>
      <c r="H66" s="917"/>
      <c r="I66" s="917"/>
      <c r="J66" s="927"/>
      <c r="K66" s="915"/>
      <c r="L66" s="917"/>
      <c r="M66" s="917"/>
      <c r="N66" s="927"/>
      <c r="O66" s="915"/>
      <c r="P66" s="917"/>
      <c r="Q66" s="917"/>
      <c r="R66" s="915"/>
      <c r="S66" s="917"/>
      <c r="T66" s="917"/>
      <c r="U66" s="916"/>
      <c r="V66" s="904"/>
      <c r="W66" s="1604"/>
      <c r="X66" s="905">
        <f t="shared" si="0"/>
        <v>0</v>
      </c>
      <c r="Y66" s="91">
        <f>SUM(X23:X66)</f>
        <v>815050.75</v>
      </c>
    </row>
    <row r="67" spans="1:25" ht="24" customHeight="1" thickBot="1">
      <c r="A67" s="325">
        <v>55302</v>
      </c>
      <c r="B67" s="577" t="s">
        <v>134</v>
      </c>
      <c r="C67" s="915"/>
      <c r="D67" s="917"/>
      <c r="E67" s="917"/>
      <c r="F67" s="927"/>
      <c r="G67" s="915"/>
      <c r="H67" s="917"/>
      <c r="I67" s="917"/>
      <c r="J67" s="927"/>
      <c r="K67" s="915"/>
      <c r="L67" s="917"/>
      <c r="M67" s="917"/>
      <c r="N67" s="927"/>
      <c r="O67" s="915"/>
      <c r="P67" s="917"/>
      <c r="Q67" s="917"/>
      <c r="R67" s="915"/>
      <c r="S67" s="917"/>
      <c r="T67" s="917"/>
      <c r="U67" s="916"/>
      <c r="V67" s="904"/>
      <c r="W67" s="1604"/>
      <c r="X67" s="905">
        <f t="shared" si="0"/>
        <v>0</v>
      </c>
    </row>
    <row r="68" spans="1:25" ht="24" customHeight="1" thickBot="1">
      <c r="A68" s="325">
        <v>55304</v>
      </c>
      <c r="B68" s="577" t="s">
        <v>215</v>
      </c>
      <c r="C68" s="915"/>
      <c r="D68" s="917"/>
      <c r="E68" s="917"/>
      <c r="F68" s="927"/>
      <c r="G68" s="915"/>
      <c r="H68" s="917"/>
      <c r="I68" s="917"/>
      <c r="J68" s="927"/>
      <c r="K68" s="915"/>
      <c r="L68" s="917"/>
      <c r="M68" s="917"/>
      <c r="N68" s="927"/>
      <c r="O68" s="915"/>
      <c r="P68" s="917"/>
      <c r="Q68" s="917"/>
      <c r="R68" s="915"/>
      <c r="S68" s="917"/>
      <c r="T68" s="917"/>
      <c r="U68" s="916"/>
      <c r="V68" s="904"/>
      <c r="W68" s="1605"/>
      <c r="X68" s="905">
        <f t="shared" si="0"/>
        <v>0</v>
      </c>
    </row>
    <row r="69" spans="1:25" ht="24" customHeight="1" thickBot="1">
      <c r="A69" s="325">
        <v>55599</v>
      </c>
      <c r="B69" s="577" t="s">
        <v>958</v>
      </c>
      <c r="C69" s="915"/>
      <c r="D69" s="917"/>
      <c r="E69" s="917"/>
      <c r="F69" s="927"/>
      <c r="G69" s="915">
        <f>SUM('25% FODES '!H47)</f>
        <v>200</v>
      </c>
      <c r="H69" s="917"/>
      <c r="I69" s="917"/>
      <c r="J69" s="927"/>
      <c r="K69" s="915"/>
      <c r="L69" s="917"/>
      <c r="M69" s="917"/>
      <c r="N69" s="927"/>
      <c r="O69" s="915"/>
      <c r="P69" s="917"/>
      <c r="Q69" s="917"/>
      <c r="R69" s="915"/>
      <c r="S69" s="917"/>
      <c r="T69" s="917"/>
      <c r="U69" s="916"/>
      <c r="V69" s="904"/>
      <c r="W69" s="1605"/>
      <c r="X69" s="905">
        <f t="shared" si="0"/>
        <v>200</v>
      </c>
    </row>
    <row r="70" spans="1:25" ht="24" customHeight="1" thickBot="1">
      <c r="A70" s="325">
        <v>55601</v>
      </c>
      <c r="B70" s="576" t="s">
        <v>213</v>
      </c>
      <c r="C70" s="915"/>
      <c r="D70" s="917"/>
      <c r="E70" s="917"/>
      <c r="F70" s="927"/>
      <c r="G70" s="915"/>
      <c r="H70" s="917"/>
      <c r="I70" s="917"/>
      <c r="J70" s="927"/>
      <c r="K70" s="915"/>
      <c r="L70" s="917"/>
      <c r="M70" s="917"/>
      <c r="N70" s="927"/>
      <c r="O70" s="915"/>
      <c r="P70" s="917"/>
      <c r="Q70" s="917"/>
      <c r="R70" s="915"/>
      <c r="S70" s="917"/>
      <c r="T70" s="917"/>
      <c r="U70" s="916"/>
      <c r="V70" s="904"/>
      <c r="W70" s="1604"/>
      <c r="X70" s="905">
        <f t="shared" si="0"/>
        <v>0</v>
      </c>
    </row>
    <row r="71" spans="1:25" ht="24" customHeight="1" thickBot="1">
      <c r="A71" s="325">
        <v>55602</v>
      </c>
      <c r="B71" s="576" t="s">
        <v>135</v>
      </c>
      <c r="C71" s="915"/>
      <c r="D71" s="917"/>
      <c r="E71" s="917"/>
      <c r="F71" s="927"/>
      <c r="G71" s="915">
        <f>SUM('25% FODES '!H48)</f>
        <v>3000</v>
      </c>
      <c r="H71" s="917"/>
      <c r="I71" s="917"/>
      <c r="J71" s="927"/>
      <c r="K71" s="915"/>
      <c r="L71" s="917"/>
      <c r="M71" s="917"/>
      <c r="N71" s="927"/>
      <c r="O71" s="915"/>
      <c r="P71" s="917"/>
      <c r="Q71" s="917"/>
      <c r="R71" s="915"/>
      <c r="S71" s="917"/>
      <c r="T71" s="917"/>
      <c r="U71" s="916"/>
      <c r="V71" s="904"/>
      <c r="W71" s="1604"/>
      <c r="X71" s="905">
        <f t="shared" si="0"/>
        <v>3000</v>
      </c>
    </row>
    <row r="72" spans="1:25" ht="24" customHeight="1" thickBot="1">
      <c r="A72" s="325">
        <v>55603</v>
      </c>
      <c r="B72" s="576" t="s">
        <v>136</v>
      </c>
      <c r="C72" s="915"/>
      <c r="D72" s="917"/>
      <c r="E72" s="917"/>
      <c r="F72" s="927"/>
      <c r="G72" s="915">
        <f>SUM('25% FODES '!H49)</f>
        <v>1800</v>
      </c>
      <c r="H72" s="930">
        <f>SUM('25% FODES '!H73)</f>
        <v>150</v>
      </c>
      <c r="I72" s="917"/>
      <c r="J72" s="927"/>
      <c r="K72" s="915"/>
      <c r="L72" s="917"/>
      <c r="M72" s="917"/>
      <c r="N72" s="927"/>
      <c r="O72" s="915"/>
      <c r="P72" s="917"/>
      <c r="Q72" s="917"/>
      <c r="R72" s="915"/>
      <c r="S72" s="917"/>
      <c r="T72" s="917"/>
      <c r="U72" s="916"/>
      <c r="V72" s="904"/>
      <c r="W72" s="1604"/>
      <c r="X72" s="905">
        <f t="shared" si="0"/>
        <v>1950</v>
      </c>
    </row>
    <row r="73" spans="1:25" ht="24" customHeight="1" thickBot="1">
      <c r="A73" s="325">
        <v>55799</v>
      </c>
      <c r="B73" s="576" t="s">
        <v>137</v>
      </c>
      <c r="C73" s="915"/>
      <c r="D73" s="917"/>
      <c r="E73" s="917"/>
      <c r="F73" s="927"/>
      <c r="G73" s="915">
        <f>SUM('25% FODES '!H50)</f>
        <v>1500</v>
      </c>
      <c r="H73" s="917">
        <f>SUM('25% FODES '!H74)</f>
        <v>200</v>
      </c>
      <c r="I73" s="917"/>
      <c r="J73" s="927"/>
      <c r="K73" s="915"/>
      <c r="L73" s="917"/>
      <c r="M73" s="917"/>
      <c r="N73" s="927"/>
      <c r="O73" s="915"/>
      <c r="P73" s="917"/>
      <c r="Q73" s="917"/>
      <c r="R73" s="915"/>
      <c r="S73" s="917"/>
      <c r="T73" s="917"/>
      <c r="U73" s="916"/>
      <c r="V73" s="904"/>
      <c r="W73" s="1604"/>
      <c r="X73" s="905">
        <f t="shared" si="0"/>
        <v>1700</v>
      </c>
      <c r="Y73" s="91">
        <f>SUM(X67:X73)</f>
        <v>6850</v>
      </c>
    </row>
    <row r="74" spans="1:25" ht="24" customHeight="1" thickBot="1">
      <c r="A74" s="325">
        <v>56201</v>
      </c>
      <c r="B74" s="577" t="s">
        <v>139</v>
      </c>
      <c r="C74" s="915">
        <f>SUM('Concen. de  Recursos Huma'!C31)</f>
        <v>0</v>
      </c>
      <c r="D74" s="917"/>
      <c r="E74" s="917"/>
      <c r="F74" s="927"/>
      <c r="G74" s="915">
        <f>SUM('25% FODES '!H51)</f>
        <v>21571.48</v>
      </c>
      <c r="H74" s="917"/>
      <c r="I74" s="917"/>
      <c r="J74" s="927"/>
      <c r="K74" s="915"/>
      <c r="L74" s="917"/>
      <c r="M74" s="917"/>
      <c r="N74" s="927"/>
      <c r="O74" s="915"/>
      <c r="P74" s="917"/>
      <c r="Q74" s="917"/>
      <c r="R74" s="915"/>
      <c r="S74" s="917"/>
      <c r="T74" s="917"/>
      <c r="U74" s="916"/>
      <c r="V74" s="904"/>
      <c r="W74" s="1604"/>
      <c r="X74" s="905">
        <f t="shared" si="0"/>
        <v>21571.48</v>
      </c>
    </row>
    <row r="75" spans="1:25" ht="24" customHeight="1" thickBot="1">
      <c r="A75" s="325">
        <v>56303</v>
      </c>
      <c r="B75" s="576" t="s">
        <v>140</v>
      </c>
      <c r="C75" s="915"/>
      <c r="D75" s="917"/>
      <c r="E75" s="917"/>
      <c r="F75" s="927"/>
      <c r="G75" s="915"/>
      <c r="H75" s="917"/>
      <c r="I75" s="917"/>
      <c r="J75" s="927"/>
      <c r="K75" s="915"/>
      <c r="L75" s="917"/>
      <c r="M75" s="917"/>
      <c r="N75" s="927"/>
      <c r="O75" s="915"/>
      <c r="P75" s="917"/>
      <c r="Q75" s="917"/>
      <c r="R75" s="915"/>
      <c r="S75" s="917"/>
      <c r="T75" s="917"/>
      <c r="U75" s="916"/>
      <c r="V75" s="904"/>
      <c r="W75" s="1604"/>
      <c r="X75" s="905">
        <f t="shared" ref="X75:X95" si="1">+SUM(C75:W75)</f>
        <v>0</v>
      </c>
    </row>
    <row r="76" spans="1:25" ht="24" customHeight="1" thickBot="1">
      <c r="A76" s="325">
        <v>56304</v>
      </c>
      <c r="B76" s="576" t="s">
        <v>141</v>
      </c>
      <c r="C76" s="915">
        <f>SUM('FONDOS PROPIOS'!H29)</f>
        <v>4972.2299999999996</v>
      </c>
      <c r="D76" s="917"/>
      <c r="E76" s="917"/>
      <c r="F76" s="927"/>
      <c r="G76" s="915">
        <f>SUM('25% FODES '!H52)</f>
        <v>11430.22</v>
      </c>
      <c r="H76" s="917"/>
      <c r="I76" s="917"/>
      <c r="J76" s="927"/>
      <c r="K76" s="915"/>
      <c r="L76" s="917"/>
      <c r="M76" s="917"/>
      <c r="N76" s="986">
        <f>SUM(' 75% FODES AG3 '!H78)</f>
        <v>179202.50999999998</v>
      </c>
      <c r="O76" s="915"/>
      <c r="P76" s="917">
        <f>SUM(' 75% FODES AG3 '!H93)</f>
        <v>43502.73</v>
      </c>
      <c r="Q76" s="917">
        <f>SUM(' 75% FODES AG3 '!H34)</f>
        <v>0</v>
      </c>
      <c r="R76" s="915">
        <f>SUM('INVER.FODES 75% AG 4'!H28)</f>
        <v>280614.95</v>
      </c>
      <c r="S76" s="917"/>
      <c r="T76" s="917"/>
      <c r="U76" s="916"/>
      <c r="V76" s="904"/>
      <c r="W76" s="1604">
        <f>SUM('FOND GENE.109'!H23)</f>
        <v>67017.41</v>
      </c>
      <c r="X76" s="905">
        <f t="shared" si="1"/>
        <v>586740.05000000005</v>
      </c>
    </row>
    <row r="77" spans="1:25" ht="24" customHeight="1" thickBot="1">
      <c r="A77" s="325">
        <v>56305</v>
      </c>
      <c r="B77" s="576" t="s">
        <v>142</v>
      </c>
      <c r="C77" s="915"/>
      <c r="D77" s="917"/>
      <c r="E77" s="917"/>
      <c r="F77" s="927"/>
      <c r="G77" s="915"/>
      <c r="H77" s="917"/>
      <c r="I77" s="917"/>
      <c r="J77" s="927"/>
      <c r="K77" s="915"/>
      <c r="L77" s="917"/>
      <c r="M77" s="917"/>
      <c r="N77" s="927">
        <f>SUM(' 75% FODES AG3 '!H79)</f>
        <v>90000</v>
      </c>
      <c r="O77" s="915"/>
      <c r="P77" s="917"/>
      <c r="Q77" s="917"/>
      <c r="R77" s="915"/>
      <c r="S77" s="917"/>
      <c r="T77" s="917"/>
      <c r="U77" s="916"/>
      <c r="V77" s="1855"/>
      <c r="W77" s="1604"/>
      <c r="X77" s="905">
        <f t="shared" si="1"/>
        <v>90000</v>
      </c>
      <c r="Y77" s="91">
        <f>SUM(X74:X77)</f>
        <v>698311.53</v>
      </c>
    </row>
    <row r="78" spans="1:25" ht="24" customHeight="1" thickBot="1">
      <c r="A78" s="325">
        <v>61101</v>
      </c>
      <c r="B78" s="576" t="s">
        <v>214</v>
      </c>
      <c r="C78" s="915"/>
      <c r="D78" s="917"/>
      <c r="E78" s="917"/>
      <c r="F78" s="927"/>
      <c r="G78" s="915">
        <f>SUM('25% FODES '!H53)</f>
        <v>12000</v>
      </c>
      <c r="H78" s="917"/>
      <c r="I78" s="917"/>
      <c r="J78" s="927"/>
      <c r="K78" s="915"/>
      <c r="L78" s="917"/>
      <c r="M78" s="917"/>
      <c r="N78" s="927"/>
      <c r="O78" s="915"/>
      <c r="P78" s="917"/>
      <c r="Q78" s="917"/>
      <c r="R78" s="915"/>
      <c r="S78" s="917"/>
      <c r="T78" s="917"/>
      <c r="U78" s="916"/>
      <c r="V78" s="904"/>
      <c r="W78" s="1604"/>
      <c r="X78" s="905">
        <f t="shared" si="1"/>
        <v>12000</v>
      </c>
    </row>
    <row r="79" spans="1:25" ht="24" customHeight="1" thickBot="1">
      <c r="A79" s="325">
        <v>61102</v>
      </c>
      <c r="B79" s="576" t="s">
        <v>196</v>
      </c>
      <c r="C79" s="915"/>
      <c r="D79" s="917"/>
      <c r="E79" s="917"/>
      <c r="F79" s="927"/>
      <c r="G79" s="915">
        <f>SUM('25% FODES '!H54)</f>
        <v>15108.59</v>
      </c>
      <c r="H79" s="917"/>
      <c r="I79" s="917"/>
      <c r="J79" s="927"/>
      <c r="K79" s="915"/>
      <c r="L79" s="917"/>
      <c r="M79" s="917"/>
      <c r="N79" s="927">
        <f>SUM(' 75% FODES AG3 '!H80)</f>
        <v>0</v>
      </c>
      <c r="O79" s="915"/>
      <c r="P79" s="917"/>
      <c r="Q79" s="917"/>
      <c r="R79" s="915"/>
      <c r="S79" s="917"/>
      <c r="T79" s="917"/>
      <c r="U79" s="916"/>
      <c r="V79" s="904"/>
      <c r="W79" s="1604"/>
      <c r="X79" s="905">
        <f t="shared" si="1"/>
        <v>15108.59</v>
      </c>
    </row>
    <row r="80" spans="1:25" ht="24" customHeight="1" thickBot="1">
      <c r="A80" s="318" t="s">
        <v>143</v>
      </c>
      <c r="B80" s="575" t="s">
        <v>144</v>
      </c>
      <c r="C80" s="915"/>
      <c r="D80" s="917"/>
      <c r="E80" s="917"/>
      <c r="F80" s="927"/>
      <c r="G80" s="915">
        <f>SUM('25% FODES '!H55)</f>
        <v>8000</v>
      </c>
      <c r="H80" s="917">
        <f>SUM('25% FODES '!H75)</f>
        <v>500</v>
      </c>
      <c r="I80" s="917"/>
      <c r="J80" s="927"/>
      <c r="K80" s="915"/>
      <c r="L80" s="917"/>
      <c r="M80" s="917"/>
      <c r="N80" s="927">
        <f>SUM(' 75% FODES AG3 '!H81)</f>
        <v>200</v>
      </c>
      <c r="O80" s="915"/>
      <c r="P80" s="917"/>
      <c r="Q80" s="917"/>
      <c r="R80" s="915"/>
      <c r="S80" s="917"/>
      <c r="T80" s="917"/>
      <c r="U80" s="916"/>
      <c r="V80" s="904"/>
      <c r="W80" s="1604"/>
      <c r="X80" s="905">
        <f t="shared" si="1"/>
        <v>8700</v>
      </c>
    </row>
    <row r="81" spans="1:26" ht="24" customHeight="1" thickBot="1">
      <c r="A81" s="318" t="s">
        <v>522</v>
      </c>
      <c r="B81" s="575" t="s">
        <v>523</v>
      </c>
      <c r="C81" s="915"/>
      <c r="D81" s="917"/>
      <c r="E81" s="917"/>
      <c r="F81" s="927"/>
      <c r="G81" s="915"/>
      <c r="H81" s="917"/>
      <c r="I81" s="917"/>
      <c r="J81" s="927"/>
      <c r="K81" s="915"/>
      <c r="L81" s="917"/>
      <c r="M81" s="917"/>
      <c r="N81" s="927"/>
      <c r="O81" s="915"/>
      <c r="P81" s="917"/>
      <c r="Q81" s="917"/>
      <c r="R81" s="915"/>
      <c r="S81" s="917"/>
      <c r="T81" s="917"/>
      <c r="U81" s="916"/>
      <c r="V81" s="904"/>
      <c r="W81" s="1604"/>
      <c r="X81" s="905">
        <f t="shared" si="1"/>
        <v>0</v>
      </c>
    </row>
    <row r="82" spans="1:26" ht="24" customHeight="1" thickBot="1">
      <c r="A82" s="318" t="s">
        <v>145</v>
      </c>
      <c r="B82" s="575" t="s">
        <v>146</v>
      </c>
      <c r="C82" s="915"/>
      <c r="D82" s="917"/>
      <c r="E82" s="917"/>
      <c r="F82" s="927"/>
      <c r="G82" s="915">
        <f>SUM('25% FODES '!H56)</f>
        <v>8000</v>
      </c>
      <c r="H82" s="917"/>
      <c r="I82" s="917"/>
      <c r="J82" s="927"/>
      <c r="K82" s="915"/>
      <c r="L82" s="917"/>
      <c r="M82" s="917"/>
      <c r="N82" s="927"/>
      <c r="O82" s="915"/>
      <c r="P82" s="917"/>
      <c r="Q82" s="917"/>
      <c r="R82" s="915"/>
      <c r="S82" s="917"/>
      <c r="T82" s="917"/>
      <c r="U82" s="916"/>
      <c r="V82" s="904"/>
      <c r="W82" s="1604"/>
      <c r="X82" s="905">
        <f t="shared" si="1"/>
        <v>8000</v>
      </c>
    </row>
    <row r="83" spans="1:26" ht="24" customHeight="1" thickBot="1">
      <c r="A83" s="318" t="s">
        <v>147</v>
      </c>
      <c r="B83" s="575" t="s">
        <v>148</v>
      </c>
      <c r="C83" s="915"/>
      <c r="D83" s="917"/>
      <c r="E83" s="917"/>
      <c r="F83" s="927"/>
      <c r="G83" s="915"/>
      <c r="H83" s="917"/>
      <c r="I83" s="917"/>
      <c r="J83" s="927"/>
      <c r="K83" s="915">
        <f>SUM(' 75% FODES AG3 '!H18)</f>
        <v>0</v>
      </c>
      <c r="L83" s="917"/>
      <c r="M83" s="917"/>
      <c r="N83" s="927"/>
      <c r="O83" s="915"/>
      <c r="P83" s="917"/>
      <c r="Q83" s="917"/>
      <c r="R83" s="915">
        <f>SUM('INVER.FODES 75% AG 4'!H30)</f>
        <v>0</v>
      </c>
      <c r="S83" s="917"/>
      <c r="T83" s="917"/>
      <c r="U83" s="916"/>
      <c r="V83" s="904"/>
      <c r="W83" s="1604"/>
      <c r="X83" s="905">
        <f t="shared" si="1"/>
        <v>0</v>
      </c>
    </row>
    <row r="84" spans="1:26" ht="24" customHeight="1" thickBot="1">
      <c r="A84" s="318" t="s">
        <v>149</v>
      </c>
      <c r="B84" s="575" t="s">
        <v>150</v>
      </c>
      <c r="C84" s="915"/>
      <c r="D84" s="917"/>
      <c r="E84" s="917"/>
      <c r="F84" s="927"/>
      <c r="G84" s="915">
        <f>SUM('25% FODES '!H57)</f>
        <v>10000</v>
      </c>
      <c r="H84" s="917"/>
      <c r="I84" s="917"/>
      <c r="J84" s="927"/>
      <c r="K84" s="915"/>
      <c r="L84" s="917"/>
      <c r="M84" s="917"/>
      <c r="N84" s="927"/>
      <c r="O84" s="915"/>
      <c r="P84" s="917"/>
      <c r="Q84" s="917"/>
      <c r="R84" s="915"/>
      <c r="S84" s="917"/>
      <c r="T84" s="917"/>
      <c r="U84" s="916"/>
      <c r="V84" s="904"/>
      <c r="W84" s="1604"/>
      <c r="X84" s="905">
        <f t="shared" si="1"/>
        <v>10000</v>
      </c>
    </row>
    <row r="85" spans="1:26" ht="24" customHeight="1" thickBot="1">
      <c r="A85" s="325">
        <v>61599</v>
      </c>
      <c r="B85" s="575" t="s">
        <v>151</v>
      </c>
      <c r="C85" s="915"/>
      <c r="D85" s="917"/>
      <c r="E85" s="917"/>
      <c r="F85" s="927"/>
      <c r="G85" s="915"/>
      <c r="H85" s="917"/>
      <c r="I85" s="917"/>
      <c r="J85" s="927"/>
      <c r="K85" s="915">
        <f>SUM(' 75% FODES AG3 '!H19)</f>
        <v>0</v>
      </c>
      <c r="L85" s="917"/>
      <c r="M85" s="917"/>
      <c r="N85" s="927">
        <f>SUM(' 75% FODES AG3 '!H84)</f>
        <v>0</v>
      </c>
      <c r="O85" s="915"/>
      <c r="P85" s="917"/>
      <c r="Q85" s="917"/>
      <c r="R85" s="915">
        <f>SUM('INVER.FODES 75% AG 4'!H29)</f>
        <v>54894.5</v>
      </c>
      <c r="S85" s="917"/>
      <c r="T85" s="917"/>
      <c r="U85" s="916"/>
      <c r="V85" s="904"/>
      <c r="W85" s="1604"/>
      <c r="X85" s="905">
        <f t="shared" si="1"/>
        <v>54894.5</v>
      </c>
    </row>
    <row r="86" spans="1:26" ht="24" customHeight="1" thickBot="1">
      <c r="A86" s="325">
        <v>61601</v>
      </c>
      <c r="B86" s="575" t="s">
        <v>152</v>
      </c>
      <c r="C86" s="915"/>
      <c r="D86" s="917"/>
      <c r="E86" s="917"/>
      <c r="F86" s="927"/>
      <c r="G86" s="915"/>
      <c r="H86" s="917"/>
      <c r="I86" s="917"/>
      <c r="J86" s="927"/>
      <c r="K86" s="915"/>
      <c r="L86" s="917"/>
      <c r="M86" s="917"/>
      <c r="N86" s="927"/>
      <c r="O86" s="915"/>
      <c r="P86" s="917"/>
      <c r="Q86" s="917">
        <f>SUM(' 75% FODES AG3 '!H35)</f>
        <v>0</v>
      </c>
      <c r="R86" s="915">
        <f>SUM('INVER.FODES 75% AG 4'!H31)</f>
        <v>219165.38</v>
      </c>
      <c r="S86" s="917">
        <f>SUM('AG 4 0402  2% FODES'!H23)</f>
        <v>323473.09999999998</v>
      </c>
      <c r="T86" s="917"/>
      <c r="U86" s="916"/>
      <c r="V86" s="904"/>
      <c r="W86" s="1604">
        <f>SUM('FOND GENE.109'!H26)</f>
        <v>320519.36</v>
      </c>
      <c r="X86" s="905">
        <f t="shared" si="1"/>
        <v>863157.84</v>
      </c>
    </row>
    <row r="87" spans="1:26" ht="24" customHeight="1" thickBot="1">
      <c r="A87" s="325">
        <v>61602</v>
      </c>
      <c r="B87" s="575" t="s">
        <v>153</v>
      </c>
      <c r="C87" s="915"/>
      <c r="D87" s="917"/>
      <c r="E87" s="917"/>
      <c r="F87" s="927"/>
      <c r="G87" s="915"/>
      <c r="H87" s="917"/>
      <c r="I87" s="917"/>
      <c r="J87" s="927"/>
      <c r="K87" s="915">
        <f>SUM(' 75% FODES AG3 '!H20)</f>
        <v>300</v>
      </c>
      <c r="L87" s="917"/>
      <c r="M87" s="917"/>
      <c r="N87" s="927"/>
      <c r="O87" s="915"/>
      <c r="P87" s="917"/>
      <c r="Q87" s="917">
        <f>SUM(' 75% FODES AG3 '!H36)</f>
        <v>0</v>
      </c>
      <c r="R87" s="915"/>
      <c r="S87" s="917">
        <f>SUM('AG 4 0402  2% FODES'!H24)</f>
        <v>172046.45</v>
      </c>
      <c r="T87" s="917"/>
      <c r="U87" s="916"/>
      <c r="V87" s="904"/>
      <c r="W87" s="1604"/>
      <c r="X87" s="905">
        <f t="shared" si="1"/>
        <v>172346.45</v>
      </c>
    </row>
    <row r="88" spans="1:26" ht="24" customHeight="1" thickBot="1">
      <c r="A88" s="325">
        <v>61603</v>
      </c>
      <c r="B88" s="578" t="s">
        <v>154</v>
      </c>
      <c r="C88" s="915"/>
      <c r="D88" s="917"/>
      <c r="E88" s="917"/>
      <c r="F88" s="927"/>
      <c r="G88" s="915"/>
      <c r="H88" s="917"/>
      <c r="I88" s="917"/>
      <c r="J88" s="927"/>
      <c r="K88" s="915">
        <f>SUM(' 75% FODES AG3 '!H21)</f>
        <v>75918.33</v>
      </c>
      <c r="L88" s="917"/>
      <c r="M88" s="917"/>
      <c r="N88" s="927"/>
      <c r="O88" s="915"/>
      <c r="P88" s="917"/>
      <c r="Q88" s="917"/>
      <c r="R88" s="915"/>
      <c r="S88" s="917"/>
      <c r="T88" s="917"/>
      <c r="U88" s="916"/>
      <c r="V88" s="904"/>
      <c r="W88" s="1604"/>
      <c r="X88" s="905">
        <f t="shared" si="1"/>
        <v>75918.33</v>
      </c>
    </row>
    <row r="89" spans="1:26" ht="24" customHeight="1" thickBot="1">
      <c r="A89" s="325">
        <v>61604</v>
      </c>
      <c r="B89" s="578" t="s">
        <v>984</v>
      </c>
      <c r="C89" s="915"/>
      <c r="D89" s="917"/>
      <c r="E89" s="917"/>
      <c r="F89" s="927"/>
      <c r="G89" s="915"/>
      <c r="H89" s="917"/>
      <c r="I89" s="917"/>
      <c r="J89" s="927"/>
      <c r="K89" s="915">
        <f>SUM(' 75% FODES AG3 '!H17)</f>
        <v>600</v>
      </c>
      <c r="L89" s="917"/>
      <c r="M89" s="917"/>
      <c r="N89" s="927"/>
      <c r="O89" s="915"/>
      <c r="P89" s="917"/>
      <c r="Q89" s="917"/>
      <c r="R89" s="915"/>
      <c r="S89" s="917"/>
      <c r="T89" s="917"/>
      <c r="U89" s="916"/>
      <c r="V89" s="904"/>
      <c r="W89" s="1604"/>
      <c r="X89" s="905">
        <f t="shared" si="1"/>
        <v>600</v>
      </c>
    </row>
    <row r="90" spans="1:26" ht="24" customHeight="1" thickBot="1">
      <c r="A90" s="325">
        <v>61606</v>
      </c>
      <c r="B90" s="575" t="s">
        <v>155</v>
      </c>
      <c r="C90" s="915"/>
      <c r="D90" s="917"/>
      <c r="E90" s="917"/>
      <c r="F90" s="927"/>
      <c r="G90" s="915"/>
      <c r="H90" s="917"/>
      <c r="I90" s="917"/>
      <c r="J90" s="927"/>
      <c r="K90" s="915"/>
      <c r="L90" s="917"/>
      <c r="M90" s="917"/>
      <c r="N90" s="927"/>
      <c r="O90" s="915"/>
      <c r="P90" s="917"/>
      <c r="Q90" s="917">
        <f>SUM(' 75% FODES AG3 '!H37)</f>
        <v>0</v>
      </c>
      <c r="R90" s="915">
        <f>SUM('INVER.FODES 75% AG 4'!$H$32)</f>
        <v>108150</v>
      </c>
      <c r="S90" s="917">
        <f>SUM('AG 4 0402  2% FODES'!H25)</f>
        <v>57919.92</v>
      </c>
      <c r="T90" s="917"/>
      <c r="U90" s="916"/>
      <c r="V90" s="904"/>
      <c r="W90" s="1604"/>
      <c r="X90" s="905">
        <f t="shared" si="1"/>
        <v>166069.91999999998</v>
      </c>
    </row>
    <row r="91" spans="1:26" ht="24" customHeight="1" thickBot="1">
      <c r="A91" s="325">
        <v>61608</v>
      </c>
      <c r="B91" s="576" t="s">
        <v>156</v>
      </c>
      <c r="C91" s="915"/>
      <c r="D91" s="917"/>
      <c r="E91" s="917"/>
      <c r="F91" s="927"/>
      <c r="G91" s="915"/>
      <c r="H91" s="917"/>
      <c r="I91" s="917"/>
      <c r="J91" s="927"/>
      <c r="K91" s="915">
        <f>SUM(' 75% FODES AG3 '!H22)</f>
        <v>9495.7000000000007</v>
      </c>
      <c r="L91" s="917"/>
      <c r="M91" s="917"/>
      <c r="N91" s="927">
        <f>SUM(' 75% FODES AG3 '!H85)</f>
        <v>0</v>
      </c>
      <c r="O91" s="915"/>
      <c r="P91" s="917"/>
      <c r="Q91" s="917">
        <f>SUM(' 75% FODES AG3 '!H38)</f>
        <v>0</v>
      </c>
      <c r="R91" s="915">
        <f>SUM('INVER.FODES 75% AG 4'!$H$33)</f>
        <v>44092.9</v>
      </c>
      <c r="S91" s="917">
        <f>SUM('AG 4 0402  2% FODES'!H26)</f>
        <v>34846.33</v>
      </c>
      <c r="T91" s="917"/>
      <c r="U91" s="916"/>
      <c r="V91" s="904"/>
      <c r="W91" s="1604"/>
      <c r="X91" s="905">
        <f>+SUM(C91:W91)+0.01</f>
        <v>88434.94</v>
      </c>
    </row>
    <row r="92" spans="1:26" ht="24" customHeight="1" thickBot="1">
      <c r="A92" s="320">
        <v>61699</v>
      </c>
      <c r="B92" s="576" t="s">
        <v>157</v>
      </c>
      <c r="C92" s="931"/>
      <c r="D92" s="932"/>
      <c r="E92" s="932"/>
      <c r="F92" s="933"/>
      <c r="G92" s="931"/>
      <c r="H92" s="932"/>
      <c r="I92" s="932"/>
      <c r="J92" s="933"/>
      <c r="K92" s="931"/>
      <c r="L92" s="932"/>
      <c r="M92" s="932"/>
      <c r="N92" s="933"/>
      <c r="O92" s="931"/>
      <c r="P92" s="917"/>
      <c r="Q92" s="917"/>
      <c r="R92" s="931"/>
      <c r="S92" s="932"/>
      <c r="T92" s="932"/>
      <c r="U92" s="934"/>
      <c r="V92" s="904"/>
      <c r="W92" s="1606"/>
      <c r="X92" s="905">
        <f t="shared" si="1"/>
        <v>0</v>
      </c>
      <c r="Y92" s="91">
        <f>SUM(X78:X92)</f>
        <v>1475230.5699999998</v>
      </c>
      <c r="Z92" s="731"/>
    </row>
    <row r="93" spans="1:26" ht="24" customHeight="1" thickBot="1">
      <c r="A93" s="320">
        <v>62201</v>
      </c>
      <c r="B93" s="576" t="s">
        <v>525</v>
      </c>
      <c r="C93" s="931"/>
      <c r="D93" s="932"/>
      <c r="E93" s="932"/>
      <c r="F93" s="933"/>
      <c r="G93" s="931"/>
      <c r="H93" s="932"/>
      <c r="I93" s="932"/>
      <c r="J93" s="933"/>
      <c r="K93" s="931"/>
      <c r="L93" s="932"/>
      <c r="M93" s="932"/>
      <c r="N93" s="933"/>
      <c r="O93" s="931"/>
      <c r="P93" s="917"/>
      <c r="Q93" s="917"/>
      <c r="R93" s="931"/>
      <c r="S93" s="932"/>
      <c r="T93" s="932"/>
      <c r="U93" s="934"/>
      <c r="V93" s="904"/>
      <c r="W93" s="1606"/>
      <c r="X93" s="905">
        <f t="shared" si="1"/>
        <v>0</v>
      </c>
    </row>
    <row r="94" spans="1:26" ht="22.5" customHeight="1" thickBot="1">
      <c r="A94" s="320">
        <v>71304</v>
      </c>
      <c r="B94" s="577" t="s">
        <v>215</v>
      </c>
      <c r="C94" s="931"/>
      <c r="D94" s="932"/>
      <c r="E94" s="932"/>
      <c r="F94" s="933"/>
      <c r="G94" s="931"/>
      <c r="H94" s="932"/>
      <c r="I94" s="932"/>
      <c r="J94" s="933"/>
      <c r="K94" s="931"/>
      <c r="L94" s="932"/>
      <c r="M94" s="932"/>
      <c r="N94" s="933"/>
      <c r="O94" s="931"/>
      <c r="P94" s="932"/>
      <c r="Q94" s="932"/>
      <c r="R94" s="931"/>
      <c r="S94" s="932"/>
      <c r="T94" s="932"/>
      <c r="U94" s="934"/>
      <c r="V94" s="904"/>
      <c r="W94" s="1604"/>
      <c r="X94" s="905">
        <f t="shared" si="1"/>
        <v>0</v>
      </c>
      <c r="Y94" s="91">
        <f>SUM(X93:X94)</f>
        <v>0</v>
      </c>
    </row>
    <row r="95" spans="1:26" ht="18" customHeight="1" thickBot="1">
      <c r="A95" s="321">
        <v>72101</v>
      </c>
      <c r="B95" s="579" t="s">
        <v>158</v>
      </c>
      <c r="C95" s="935">
        <f>SUM('FONDOS PROPIOS'!H30)</f>
        <v>0</v>
      </c>
      <c r="D95" s="936"/>
      <c r="E95" s="936"/>
      <c r="F95" s="937"/>
      <c r="G95" s="935"/>
      <c r="H95" s="936"/>
      <c r="I95" s="936"/>
      <c r="J95" s="937"/>
      <c r="K95" s="935"/>
      <c r="L95" s="936"/>
      <c r="M95" s="936"/>
      <c r="N95" s="938">
        <f>SUM(' 75% FODES AG3 '!H86)</f>
        <v>0</v>
      </c>
      <c r="O95" s="935"/>
      <c r="P95" s="1654"/>
      <c r="Q95" s="932"/>
      <c r="R95" s="935"/>
      <c r="S95" s="936"/>
      <c r="T95" s="936"/>
      <c r="U95" s="939"/>
      <c r="V95" s="904"/>
      <c r="W95" s="1607"/>
      <c r="X95" s="905">
        <f t="shared" si="1"/>
        <v>0</v>
      </c>
    </row>
    <row r="96" spans="1:26" ht="18" customHeight="1" thickBot="1">
      <c r="A96" s="573"/>
      <c r="B96" s="574" t="s">
        <v>38</v>
      </c>
      <c r="C96" s="1369">
        <f>SUM(C10:C95)</f>
        <v>175497.02500000002</v>
      </c>
      <c r="D96" s="1370">
        <f t="shared" ref="D96:U96" si="2">SUM(D10:D95)</f>
        <v>34554.837500000001</v>
      </c>
      <c r="E96" s="1370">
        <f t="shared" si="2"/>
        <v>4252.67</v>
      </c>
      <c r="F96" s="1371">
        <f>SUM(F10:F95)</f>
        <v>60488.463749999995</v>
      </c>
      <c r="G96" s="1372">
        <f>SUM(G10:G95)</f>
        <v>367492.08</v>
      </c>
      <c r="H96" s="1369">
        <f t="shared" si="2"/>
        <v>104952.1875</v>
      </c>
      <c r="I96" s="1369">
        <f t="shared" si="2"/>
        <v>19797.375</v>
      </c>
      <c r="J96" s="1371">
        <f t="shared" si="2"/>
        <v>137002.66375000001</v>
      </c>
      <c r="K96" s="1369">
        <f t="shared" si="2"/>
        <v>194914.03000000003</v>
      </c>
      <c r="L96" s="1369">
        <f t="shared" si="2"/>
        <v>0</v>
      </c>
      <c r="M96" s="1369">
        <f>SUM(M10:M95)</f>
        <v>0</v>
      </c>
      <c r="N96" s="1369">
        <f>SUM(N10:N95)</f>
        <v>501132.51</v>
      </c>
      <c r="O96" s="1369">
        <f>SUM(O10:O95)</f>
        <v>0</v>
      </c>
      <c r="P96" s="1369">
        <f>SUM(P10:P95)</f>
        <v>43502.73</v>
      </c>
      <c r="Q96" s="1373">
        <f>SUM(Q10:Q95)</f>
        <v>0</v>
      </c>
      <c r="R96" s="1374">
        <f t="shared" si="2"/>
        <v>1140644.0499999998</v>
      </c>
      <c r="S96" s="1369">
        <f>SUM(S10:S95)</f>
        <v>699396.39999999991</v>
      </c>
      <c r="T96" s="1370">
        <f t="shared" si="2"/>
        <v>0</v>
      </c>
      <c r="U96" s="1375">
        <f t="shared" si="2"/>
        <v>0</v>
      </c>
      <c r="V96" s="1376">
        <f>SUM(V10:V95)</f>
        <v>0</v>
      </c>
      <c r="W96" s="1376">
        <f>SUM(W10:W95)</f>
        <v>406554.77</v>
      </c>
      <c r="X96" s="1377">
        <f>+SUM(C96:W96)+0.01</f>
        <v>3890181.8024999993</v>
      </c>
    </row>
    <row r="97" spans="1:24" ht="18" customHeight="1" thickBot="1">
      <c r="A97" s="143"/>
      <c r="B97" s="341"/>
      <c r="C97" s="940" t="s">
        <v>485</v>
      </c>
      <c r="D97" s="2046">
        <f>SUM(Ingresos!H50)</f>
        <v>274792.99999999994</v>
      </c>
      <c r="E97" s="2047"/>
      <c r="F97" s="941"/>
      <c r="G97" s="942" t="s">
        <v>485</v>
      </c>
      <c r="H97" s="2048">
        <f>SUM('Saldos de ctas. Bancarias'!C84)</f>
        <v>629244.30999999994</v>
      </c>
      <c r="I97" s="2047"/>
      <c r="J97" s="941"/>
      <c r="K97" s="2049" t="s">
        <v>488</v>
      </c>
      <c r="L97" s="2050"/>
      <c r="M97" s="2051"/>
      <c r="N97" s="2052">
        <f>SUM(Ingresos!D50,Ingresos!E50)</f>
        <v>2536086.9900000002</v>
      </c>
      <c r="O97" s="2053"/>
      <c r="P97" s="943" t="s">
        <v>1011</v>
      </c>
      <c r="Q97" s="943" t="s">
        <v>485</v>
      </c>
      <c r="R97" s="944"/>
      <c r="S97" s="945"/>
      <c r="T97" s="946">
        <f>M95+S95</f>
        <v>0</v>
      </c>
      <c r="U97" s="947" t="s">
        <v>527</v>
      </c>
      <c r="V97" s="946">
        <f>O95+U95</f>
        <v>0</v>
      </c>
      <c r="W97" s="946" t="s">
        <v>1383</v>
      </c>
      <c r="X97" s="1378">
        <f>SUM(X10:X95)</f>
        <v>3890181.8024999998</v>
      </c>
    </row>
    <row r="98" spans="1:24" ht="15.75" thickTop="1">
      <c r="A98" s="143"/>
      <c r="B98" s="341"/>
      <c r="C98" s="948" t="s">
        <v>473</v>
      </c>
      <c r="D98" s="2054">
        <f>SUM(C96:F96)</f>
        <v>274792.99625000003</v>
      </c>
      <c r="E98" s="2055"/>
      <c r="F98" s="941"/>
      <c r="G98" s="949" t="s">
        <v>241</v>
      </c>
      <c r="H98" s="2056">
        <f>SUM(G96:J96)</f>
        <v>629244.30625000002</v>
      </c>
      <c r="I98" s="2055"/>
      <c r="J98" s="941"/>
      <c r="K98" s="2057" t="s">
        <v>472</v>
      </c>
      <c r="L98" s="2058"/>
      <c r="M98" s="2059"/>
      <c r="N98" s="2044">
        <f>K96+N96+R96+S96+V96</f>
        <v>2536086.9899999998</v>
      </c>
      <c r="O98" s="2045"/>
      <c r="P98" s="950" t="s">
        <v>222</v>
      </c>
      <c r="Q98" s="951">
        <f>Q96</f>
        <v>0</v>
      </c>
      <c r="R98" s="945" t="s">
        <v>1372</v>
      </c>
      <c r="S98" s="1697">
        <v>699396.4</v>
      </c>
      <c r="T98" s="952">
        <f>M96+S96</f>
        <v>699396.39999999991</v>
      </c>
      <c r="U98" s="947"/>
      <c r="V98" s="953">
        <f>O96+T96</f>
        <v>0</v>
      </c>
      <c r="W98" s="1608"/>
      <c r="X98" s="921"/>
    </row>
    <row r="99" spans="1:24" ht="15.75" thickBot="1">
      <c r="A99" s="143"/>
      <c r="B99" s="341"/>
      <c r="C99" s="1379" t="s">
        <v>486</v>
      </c>
      <c r="D99" s="2069">
        <f>D97-D98</f>
        <v>3.7499999161809683E-3</v>
      </c>
      <c r="E99" s="2070"/>
      <c r="F99" s="941"/>
      <c r="G99" s="1380" t="s">
        <v>486</v>
      </c>
      <c r="H99" s="2071">
        <f>H97-H98</f>
        <v>3.7499999161809683E-3</v>
      </c>
      <c r="I99" s="2043"/>
      <c r="J99" s="943"/>
      <c r="K99" s="2072" t="s">
        <v>486</v>
      </c>
      <c r="L99" s="2073"/>
      <c r="M99" s="2074"/>
      <c r="N99" s="2042">
        <f>N97-N98</f>
        <v>0</v>
      </c>
      <c r="O99" s="2043"/>
      <c r="P99" s="954" t="s">
        <v>486</v>
      </c>
      <c r="Q99" s="954"/>
      <c r="R99" s="955"/>
      <c r="S99" s="2042">
        <f>-S96+S98</f>
        <v>0</v>
      </c>
      <c r="T99" s="2043"/>
      <c r="U99" s="956" t="s">
        <v>486</v>
      </c>
      <c r="V99" s="957">
        <f>V97-V98</f>
        <v>0</v>
      </c>
      <c r="W99" s="1609"/>
      <c r="X99" s="921"/>
    </row>
    <row r="100" spans="1:24">
      <c r="A100" s="162"/>
      <c r="N100" s="2063"/>
      <c r="O100" s="2064"/>
      <c r="P100" s="143"/>
      <c r="Q100" s="143"/>
      <c r="R100" s="143"/>
      <c r="T100" s="143"/>
      <c r="U100" s="143"/>
    </row>
    <row r="101" spans="1:24">
      <c r="A101" s="162"/>
      <c r="O101" s="143"/>
      <c r="P101" s="143"/>
      <c r="Q101" s="143"/>
      <c r="R101" s="143"/>
      <c r="T101" s="143"/>
      <c r="U101" s="143"/>
      <c r="V101" s="143" t="s">
        <v>528</v>
      </c>
    </row>
    <row r="102" spans="1:24">
      <c r="O102" s="143"/>
      <c r="P102" s="143"/>
      <c r="Q102" s="143"/>
      <c r="R102" s="143"/>
      <c r="T102" s="143"/>
      <c r="U102" s="143"/>
      <c r="X102" s="891"/>
    </row>
    <row r="103" spans="1:24">
      <c r="O103" s="143"/>
      <c r="P103" s="143"/>
      <c r="Q103" s="143"/>
      <c r="R103" s="143"/>
      <c r="T103" s="143"/>
      <c r="U103" s="143"/>
    </row>
    <row r="104" spans="1:24">
      <c r="O104" s="143"/>
      <c r="P104" s="143"/>
      <c r="Q104" s="143"/>
      <c r="R104" s="143"/>
      <c r="T104" s="143"/>
      <c r="U104" s="143"/>
    </row>
    <row r="105" spans="1:24">
      <c r="O105" s="143"/>
      <c r="P105" s="143"/>
      <c r="Q105" s="143"/>
      <c r="R105" s="143"/>
      <c r="T105" s="143"/>
      <c r="U105" s="143"/>
    </row>
    <row r="106" spans="1:24">
      <c r="O106" s="143"/>
      <c r="P106" s="143"/>
      <c r="Q106" s="143"/>
      <c r="R106" s="143"/>
      <c r="T106" s="143"/>
      <c r="U106" s="143"/>
    </row>
    <row r="107" spans="1:24">
      <c r="O107" s="143"/>
      <c r="P107" s="143"/>
      <c r="Q107" s="143"/>
      <c r="R107" s="143"/>
      <c r="T107" s="143"/>
      <c r="U107" s="143"/>
    </row>
    <row r="108" spans="1:24">
      <c r="O108" s="143"/>
      <c r="P108" s="143"/>
      <c r="Q108" s="143"/>
      <c r="R108" s="143"/>
      <c r="T108" s="143"/>
      <c r="U108" s="143"/>
    </row>
    <row r="109" spans="1:24">
      <c r="O109" s="143"/>
      <c r="P109" s="143"/>
      <c r="Q109" s="143"/>
      <c r="R109" s="143"/>
      <c r="T109" s="143"/>
      <c r="U109" s="143"/>
    </row>
    <row r="110" spans="1:24">
      <c r="O110" s="143"/>
      <c r="P110" s="143"/>
      <c r="Q110" s="143"/>
      <c r="R110" s="143"/>
      <c r="T110" s="143"/>
      <c r="U110" s="143"/>
    </row>
    <row r="111" spans="1:24">
      <c r="O111" s="143"/>
      <c r="P111" s="143"/>
      <c r="Q111" s="143"/>
      <c r="R111" s="143"/>
      <c r="T111" s="143"/>
      <c r="U111" s="143"/>
    </row>
    <row r="112" spans="1:24">
      <c r="O112" s="143"/>
      <c r="P112" s="143"/>
      <c r="Q112" s="143"/>
      <c r="R112" s="143"/>
      <c r="T112" s="143"/>
      <c r="U112" s="143"/>
    </row>
    <row r="113" spans="15:21">
      <c r="O113" s="143"/>
      <c r="P113" s="143"/>
      <c r="Q113" s="143"/>
      <c r="R113" s="143"/>
      <c r="T113" s="143"/>
      <c r="U113" s="143"/>
    </row>
    <row r="114" spans="15:21">
      <c r="O114" s="143"/>
      <c r="P114" s="143"/>
      <c r="Q114" s="143"/>
      <c r="R114" s="143"/>
      <c r="T114" s="143"/>
      <c r="U114" s="143"/>
    </row>
    <row r="115" spans="15:21">
      <c r="O115" s="143"/>
      <c r="P115" s="143"/>
      <c r="Q115" s="143"/>
      <c r="R115" s="143"/>
      <c r="T115" s="143"/>
      <c r="U115" s="143"/>
    </row>
    <row r="116" spans="15:21">
      <c r="O116" s="143"/>
      <c r="P116" s="143"/>
      <c r="Q116" s="143"/>
      <c r="R116" s="143"/>
      <c r="T116" s="143"/>
      <c r="U116" s="143"/>
    </row>
    <row r="117" spans="15:21">
      <c r="O117" s="143"/>
      <c r="P117" s="143"/>
      <c r="Q117" s="143"/>
      <c r="R117" s="143"/>
      <c r="T117" s="143"/>
      <c r="U117" s="143"/>
    </row>
    <row r="118" spans="15:21">
      <c r="O118" s="143"/>
      <c r="P118" s="143"/>
      <c r="Q118" s="143"/>
      <c r="R118" s="143"/>
      <c r="T118" s="143"/>
      <c r="U118" s="143"/>
    </row>
    <row r="119" spans="15:21">
      <c r="O119" s="143"/>
      <c r="P119" s="143"/>
      <c r="Q119" s="143"/>
      <c r="R119" s="143"/>
      <c r="T119" s="143"/>
      <c r="U119" s="143"/>
    </row>
    <row r="120" spans="15:21">
      <c r="O120" s="143"/>
      <c r="P120" s="143"/>
      <c r="Q120" s="143"/>
      <c r="R120" s="143"/>
      <c r="T120" s="143"/>
      <c r="U120" s="143"/>
    </row>
    <row r="121" spans="15:21">
      <c r="O121" s="143"/>
      <c r="P121" s="143"/>
      <c r="Q121" s="143"/>
      <c r="R121" s="143"/>
      <c r="T121" s="143"/>
      <c r="U121" s="143"/>
    </row>
    <row r="122" spans="15:21">
      <c r="O122" s="143"/>
      <c r="P122" s="143"/>
      <c r="Q122" s="143"/>
      <c r="R122" s="143"/>
      <c r="T122" s="143"/>
      <c r="U122" s="143"/>
    </row>
    <row r="123" spans="15:21">
      <c r="O123" s="143"/>
      <c r="P123" s="143"/>
      <c r="Q123" s="143"/>
      <c r="R123" s="143"/>
      <c r="T123" s="143"/>
      <c r="U123" s="143"/>
    </row>
    <row r="124" spans="15:21">
      <c r="O124" s="143"/>
      <c r="P124" s="143"/>
      <c r="Q124" s="143"/>
      <c r="R124" s="143"/>
      <c r="T124" s="143"/>
      <c r="U124" s="143"/>
    </row>
    <row r="125" spans="15:21">
      <c r="O125" s="143"/>
      <c r="P125" s="143"/>
      <c r="Q125" s="143"/>
      <c r="R125" s="143"/>
      <c r="T125" s="143"/>
      <c r="U125" s="143"/>
    </row>
    <row r="126" spans="15:21">
      <c r="O126" s="143"/>
      <c r="P126" s="143"/>
      <c r="Q126" s="143"/>
      <c r="R126" s="143"/>
      <c r="T126" s="143"/>
      <c r="U126" s="143"/>
    </row>
    <row r="127" spans="15:21">
      <c r="O127" s="143"/>
      <c r="P127" s="143"/>
      <c r="Q127" s="143"/>
      <c r="R127" s="143"/>
      <c r="T127" s="143"/>
      <c r="U127" s="143"/>
    </row>
    <row r="128" spans="15:21">
      <c r="O128" s="143"/>
      <c r="P128" s="143"/>
      <c r="Q128" s="143"/>
      <c r="R128" s="143"/>
      <c r="T128" s="143"/>
      <c r="U128" s="143"/>
    </row>
    <row r="129" spans="16:21">
      <c r="P129" s="143"/>
      <c r="Q129" s="143"/>
      <c r="U129" s="143"/>
    </row>
    <row r="130" spans="16:21">
      <c r="P130" s="143"/>
      <c r="Q130" s="143"/>
      <c r="U130" s="143"/>
    </row>
    <row r="131" spans="16:21">
      <c r="P131" s="143"/>
      <c r="Q131" s="143"/>
      <c r="U131" s="143"/>
    </row>
    <row r="132" spans="16:21">
      <c r="P132" s="143"/>
      <c r="Q132" s="143"/>
      <c r="U132" s="143"/>
    </row>
    <row r="133" spans="16:21">
      <c r="P133" s="143"/>
      <c r="Q133" s="143"/>
      <c r="U133" s="143"/>
    </row>
    <row r="134" spans="16:21">
      <c r="P134" s="143"/>
      <c r="Q134" s="143"/>
      <c r="U134" s="143"/>
    </row>
    <row r="135" spans="16:21">
      <c r="P135" s="143"/>
      <c r="Q135" s="143"/>
      <c r="U135" s="143"/>
    </row>
    <row r="136" spans="16:21">
      <c r="P136" s="143"/>
      <c r="Q136" s="143"/>
      <c r="U136" s="143"/>
    </row>
  </sheetData>
  <mergeCells count="23">
    <mergeCell ref="N100:O100"/>
    <mergeCell ref="C8:V8"/>
    <mergeCell ref="X8:X9"/>
    <mergeCell ref="D99:E99"/>
    <mergeCell ref="H99:I99"/>
    <mergeCell ref="K99:M99"/>
    <mergeCell ref="A1:X1"/>
    <mergeCell ref="A2:X2"/>
    <mergeCell ref="A3:X3"/>
    <mergeCell ref="A4:X4"/>
    <mergeCell ref="A5:X5"/>
    <mergeCell ref="A6:X6"/>
    <mergeCell ref="A7:X7"/>
    <mergeCell ref="N99:O99"/>
    <mergeCell ref="N98:O98"/>
    <mergeCell ref="D97:E97"/>
    <mergeCell ref="H97:I97"/>
    <mergeCell ref="K97:M97"/>
    <mergeCell ref="N97:O97"/>
    <mergeCell ref="D98:E98"/>
    <mergeCell ref="H98:I98"/>
    <mergeCell ref="K98:M98"/>
    <mergeCell ref="S99:T99"/>
  </mergeCells>
  <pageMargins left="0.11811023622047245" right="0.11811023622047245" top="0.59055118110236227" bottom="0.47244094488188981" header="0.31496062992125984" footer="0.31496062992125984"/>
  <pageSetup scale="57" orientation="landscape" horizontalDpi="0" verticalDpi="0"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00000"/>
  </sheetPr>
  <dimension ref="A1:AS136"/>
  <sheetViews>
    <sheetView topLeftCell="A85" workbookViewId="0">
      <selection activeCell="Z21" sqref="Z21"/>
    </sheetView>
  </sheetViews>
  <sheetFormatPr baseColWidth="10" defaultRowHeight="13.5"/>
  <cols>
    <col min="1" max="1" width="6" style="138" customWidth="1"/>
    <col min="2" max="2" width="32.28515625" style="322" customWidth="1"/>
    <col min="3" max="3" width="12.140625" style="143" customWidth="1"/>
    <col min="4" max="4" width="11.7109375" style="143" customWidth="1"/>
    <col min="5" max="5" width="11.42578125" style="143" customWidth="1"/>
    <col min="6" max="6" width="11.7109375" style="143" customWidth="1"/>
    <col min="7" max="7" width="13.5703125" style="143" customWidth="1"/>
    <col min="8" max="8" width="14" style="143" customWidth="1"/>
    <col min="9" max="10" width="13.42578125" style="143" customWidth="1"/>
    <col min="11" max="11" width="12.28515625" style="138" customWidth="1"/>
    <col min="12" max="12" width="0.28515625" style="143" hidden="1" customWidth="1"/>
    <col min="13" max="13" width="11.7109375" style="143" customWidth="1"/>
    <col min="14" max="14" width="13.5703125" style="143" customWidth="1"/>
    <col min="15" max="15" width="12.5703125" style="311" hidden="1" customWidth="1"/>
    <col min="16" max="16" width="0.140625" style="324" customWidth="1"/>
    <col min="17" max="17" width="13.85546875" style="324" hidden="1" customWidth="1"/>
    <col min="18" max="18" width="14.140625" style="313" customWidth="1"/>
    <col min="19" max="19" width="0.28515625" style="143" hidden="1" customWidth="1"/>
    <col min="20" max="20" width="13.7109375" style="312" hidden="1" customWidth="1"/>
    <col min="21" max="21" width="0.28515625" style="324" hidden="1" customWidth="1"/>
    <col min="22" max="22" width="13.5703125" style="143" customWidth="1"/>
    <col min="23" max="23" width="14.5703125" style="143" customWidth="1"/>
    <col min="24" max="24" width="11.42578125" style="144"/>
  </cols>
  <sheetData>
    <row r="1" spans="1:37" ht="19.5" customHeight="1">
      <c r="A1" s="2060"/>
      <c r="B1" s="2060"/>
      <c r="C1" s="2060"/>
      <c r="D1" s="2060"/>
      <c r="E1" s="2060"/>
      <c r="F1" s="2060"/>
      <c r="G1" s="2060"/>
      <c r="H1" s="2060"/>
      <c r="I1" s="2060"/>
      <c r="J1" s="2060"/>
      <c r="K1" s="2060"/>
      <c r="L1" s="2060"/>
      <c r="M1" s="2060"/>
      <c r="N1" s="2060"/>
      <c r="O1" s="2060"/>
      <c r="P1" s="2060"/>
      <c r="Q1" s="2060"/>
      <c r="R1" s="2060"/>
      <c r="S1" s="2060"/>
      <c r="T1" s="2060"/>
      <c r="U1" s="2060"/>
      <c r="V1" s="2060"/>
      <c r="W1" s="2060"/>
      <c r="X1" s="145"/>
    </row>
    <row r="2" spans="1:37" ht="24" customHeight="1">
      <c r="A2" s="2085" t="s">
        <v>110</v>
      </c>
      <c r="B2" s="2085"/>
      <c r="C2" s="2085"/>
      <c r="D2" s="2085"/>
      <c r="E2" s="2085"/>
      <c r="F2" s="2085"/>
      <c r="G2" s="2085"/>
      <c r="H2" s="2085"/>
      <c r="I2" s="2085"/>
      <c r="J2" s="2085"/>
      <c r="K2" s="2085"/>
      <c r="L2" s="2085"/>
      <c r="M2" s="2085"/>
      <c r="N2" s="2085"/>
      <c r="O2" s="2085"/>
      <c r="P2" s="2085"/>
      <c r="Q2" s="2085"/>
      <c r="R2" s="2085"/>
      <c r="S2" s="2085"/>
      <c r="T2" s="2085"/>
      <c r="U2" s="2085"/>
      <c r="V2" s="2085"/>
      <c r="W2" s="2085"/>
      <c r="X2" s="145"/>
    </row>
    <row r="3" spans="1:37" ht="24" customHeight="1">
      <c r="A3" s="2090" t="s">
        <v>31</v>
      </c>
      <c r="B3" s="2090"/>
      <c r="C3" s="2090"/>
      <c r="D3" s="2090"/>
      <c r="E3" s="2090"/>
      <c r="F3" s="2090"/>
      <c r="G3" s="2090"/>
      <c r="H3" s="2090"/>
      <c r="I3" s="2090"/>
      <c r="J3" s="2090"/>
      <c r="K3" s="2090"/>
      <c r="L3" s="2090"/>
      <c r="M3" s="2090"/>
      <c r="N3" s="2090"/>
      <c r="O3" s="2090"/>
      <c r="P3" s="2090"/>
      <c r="Q3" s="2090"/>
      <c r="R3" s="2090"/>
      <c r="S3" s="2090"/>
      <c r="T3" s="2090"/>
      <c r="U3" s="2090"/>
      <c r="V3" s="2090"/>
      <c r="W3" s="2090"/>
    </row>
    <row r="4" spans="1:37" ht="24" customHeight="1">
      <c r="A4" s="2090" t="s">
        <v>1006</v>
      </c>
      <c r="B4" s="2090"/>
      <c r="C4" s="2090"/>
      <c r="D4" s="2090"/>
      <c r="E4" s="2090"/>
      <c r="F4" s="2090"/>
      <c r="G4" s="2090"/>
      <c r="H4" s="2090"/>
      <c r="I4" s="2090"/>
      <c r="J4" s="2090"/>
      <c r="K4" s="2090"/>
      <c r="L4" s="2090"/>
      <c r="M4" s="2090"/>
      <c r="N4" s="2090"/>
      <c r="O4" s="2090"/>
      <c r="P4" s="2090"/>
      <c r="Q4" s="2090"/>
      <c r="R4" s="2090"/>
      <c r="S4" s="2090"/>
      <c r="T4" s="2090"/>
      <c r="U4" s="2090"/>
      <c r="V4" s="2090"/>
      <c r="W4" s="2090"/>
    </row>
    <row r="5" spans="1:37" ht="24" customHeight="1">
      <c r="A5" s="2090" t="s">
        <v>32</v>
      </c>
      <c r="B5" s="2090"/>
      <c r="C5" s="2090"/>
      <c r="D5" s="2090"/>
      <c r="E5" s="2090"/>
      <c r="F5" s="2090"/>
      <c r="G5" s="2090"/>
      <c r="H5" s="2090"/>
      <c r="I5" s="2090"/>
      <c r="J5" s="2090"/>
      <c r="K5" s="2090"/>
      <c r="L5" s="2090"/>
      <c r="M5" s="2090"/>
      <c r="N5" s="2090"/>
      <c r="O5" s="2090"/>
      <c r="P5" s="2090"/>
      <c r="Q5" s="2090"/>
      <c r="R5" s="2090"/>
      <c r="S5" s="2090"/>
      <c r="T5" s="2090"/>
      <c r="U5" s="2090"/>
      <c r="V5" s="2090"/>
      <c r="W5" s="2090"/>
    </row>
    <row r="6" spans="1:37" ht="1.5" customHeight="1">
      <c r="A6" s="2040"/>
      <c r="B6" s="2040"/>
      <c r="C6" s="2040"/>
      <c r="D6" s="2040"/>
      <c r="E6" s="2040"/>
      <c r="F6" s="2040"/>
      <c r="G6" s="2040"/>
      <c r="H6" s="2040"/>
      <c r="I6" s="2040"/>
      <c r="J6" s="2040"/>
      <c r="K6" s="2040"/>
      <c r="L6" s="2040"/>
      <c r="M6" s="2040"/>
      <c r="N6" s="2040"/>
      <c r="O6" s="2040"/>
      <c r="P6" s="2040"/>
      <c r="Q6" s="2040"/>
      <c r="R6" s="2040"/>
      <c r="S6" s="2040"/>
      <c r="T6" s="2040"/>
      <c r="U6" s="2040"/>
      <c r="V6" s="2040"/>
      <c r="W6" s="2040"/>
    </row>
    <row r="7" spans="1:37" ht="31.5" customHeight="1" thickBot="1">
      <c r="A7" s="2086" t="s">
        <v>33</v>
      </c>
      <c r="B7" s="2086"/>
      <c r="C7" s="2086"/>
      <c r="D7" s="2086"/>
      <c r="E7" s="2086"/>
      <c r="F7" s="2086"/>
      <c r="G7" s="2086"/>
      <c r="H7" s="2086"/>
      <c r="I7" s="2086"/>
      <c r="J7" s="2086"/>
      <c r="K7" s="2086"/>
      <c r="L7" s="2086"/>
      <c r="M7" s="2086"/>
      <c r="N7" s="2086"/>
      <c r="O7" s="2086"/>
      <c r="P7" s="2086"/>
      <c r="Q7" s="2086"/>
      <c r="R7" s="2086"/>
      <c r="S7" s="2086"/>
      <c r="T7" s="2086"/>
      <c r="U7" s="2086"/>
      <c r="V7" s="2086"/>
      <c r="W7" s="2086"/>
    </row>
    <row r="8" spans="1:37" s="119" customFormat="1" ht="22.5" customHeight="1" thickBot="1">
      <c r="A8" s="1002"/>
      <c r="B8" s="1003"/>
      <c r="C8" s="2087" t="s">
        <v>815</v>
      </c>
      <c r="D8" s="2088"/>
      <c r="E8" s="2088"/>
      <c r="F8" s="2088"/>
      <c r="G8" s="2088"/>
      <c r="H8" s="2088"/>
      <c r="I8" s="2088"/>
      <c r="J8" s="2088"/>
      <c r="K8" s="2088"/>
      <c r="L8" s="2088"/>
      <c r="M8" s="2088"/>
      <c r="N8" s="2088"/>
      <c r="O8" s="2088"/>
      <c r="P8" s="2088"/>
      <c r="Q8" s="2088"/>
      <c r="R8" s="2088"/>
      <c r="S8" s="2088"/>
      <c r="T8" s="2088"/>
      <c r="U8" s="2088"/>
      <c r="V8" s="2089"/>
      <c r="W8" s="2080" t="s">
        <v>37</v>
      </c>
      <c r="X8" s="143"/>
    </row>
    <row r="9" spans="1:37" s="316" customFormat="1" ht="72.75" customHeight="1" thickBot="1">
      <c r="A9" s="1004" t="s">
        <v>34</v>
      </c>
      <c r="B9" s="1005" t="s">
        <v>494</v>
      </c>
      <c r="C9" s="1006" t="s">
        <v>511</v>
      </c>
      <c r="D9" s="1007" t="s">
        <v>512</v>
      </c>
      <c r="E9" s="1007" t="s">
        <v>492</v>
      </c>
      <c r="F9" s="1008" t="s">
        <v>493</v>
      </c>
      <c r="G9" s="1009" t="s">
        <v>842</v>
      </c>
      <c r="H9" s="1009" t="s">
        <v>816</v>
      </c>
      <c r="I9" s="1009" t="s">
        <v>843</v>
      </c>
      <c r="J9" s="1009" t="s">
        <v>844</v>
      </c>
      <c r="K9" s="1010" t="s">
        <v>491</v>
      </c>
      <c r="L9" s="1011" t="s">
        <v>457</v>
      </c>
      <c r="M9" s="1012" t="s">
        <v>978</v>
      </c>
      <c r="N9" s="1013" t="s">
        <v>489</v>
      </c>
      <c r="O9" s="1014" t="s">
        <v>458</v>
      </c>
      <c r="P9" s="1015" t="s">
        <v>459</v>
      </c>
      <c r="Q9" s="1016" t="s">
        <v>471</v>
      </c>
      <c r="R9" s="1017" t="s">
        <v>845</v>
      </c>
      <c r="S9" s="1018" t="s">
        <v>521</v>
      </c>
      <c r="T9" s="1018" t="s">
        <v>460</v>
      </c>
      <c r="U9" s="1019" t="s">
        <v>461</v>
      </c>
      <c r="V9" s="1020" t="s">
        <v>846</v>
      </c>
      <c r="W9" s="2081"/>
    </row>
    <row r="10" spans="1:37" s="119" customFormat="1" ht="24" customHeight="1">
      <c r="A10" s="589" t="s">
        <v>55</v>
      </c>
      <c r="B10" s="601" t="s">
        <v>112</v>
      </c>
      <c r="C10" s="598">
        <f>SUM('Concen. de  Recursos Huma'!C22)</f>
        <v>15018</v>
      </c>
      <c r="D10" s="602">
        <f>SUM('Concen. de  Recursos Huma'!D22)</f>
        <v>19629</v>
      </c>
      <c r="E10" s="598">
        <f>SUM('Concen. de  Recursos Huma'!E22)</f>
        <v>2558</v>
      </c>
      <c r="F10" s="599">
        <f>SUM('Concen. de  Recursos Huma'!F22)</f>
        <v>12615.5</v>
      </c>
      <c r="G10" s="600">
        <f>SUM('Concen. de  Recursos Huma'!C8)</f>
        <v>75090</v>
      </c>
      <c r="H10" s="598">
        <f>SUM('Concen. de  Recursos Huma'!D8)</f>
        <v>79425</v>
      </c>
      <c r="I10" s="598">
        <f>SUM('Concen. de  Recursos Huma'!E8)</f>
        <v>12790</v>
      </c>
      <c r="J10" s="599">
        <f>SUM('Concen. de  Recursos Huma'!F8)</f>
        <v>44357.5</v>
      </c>
      <c r="K10" s="590"/>
      <c r="L10" s="223"/>
      <c r="M10" s="223"/>
      <c r="N10" s="580">
        <f>SUM('Proy. de recur.Humanos'!C106)</f>
        <v>50088</v>
      </c>
      <c r="O10" s="315"/>
      <c r="P10" s="224"/>
      <c r="Q10" s="226"/>
      <c r="R10" s="887"/>
      <c r="S10" s="223"/>
      <c r="T10" s="223"/>
      <c r="U10" s="224">
        <v>0</v>
      </c>
      <c r="V10" s="591">
        <v>0</v>
      </c>
      <c r="W10" s="592">
        <f>+SUM(C10:V10)</f>
        <v>311571</v>
      </c>
      <c r="X10" s="317"/>
      <c r="Z10" s="119">
        <f>31740+4044+4044+5520</f>
        <v>45348</v>
      </c>
    </row>
    <row r="11" spans="1:37" s="119" customFormat="1" ht="24" customHeight="1">
      <c r="A11" s="318" t="s">
        <v>113</v>
      </c>
      <c r="B11" s="575" t="s">
        <v>114</v>
      </c>
      <c r="C11" s="594"/>
      <c r="D11" s="223"/>
      <c r="E11" s="223"/>
      <c r="F11" s="224"/>
      <c r="G11" s="596">
        <f>SUM('Concen. de  Recursos Huma'!C9)</f>
        <v>7509</v>
      </c>
      <c r="H11" s="593">
        <f>SUM('Concen. de  Recursos Huma'!D9)</f>
        <v>7942.5</v>
      </c>
      <c r="I11" s="593">
        <f>SUM('Concen. de  Recursos Huma'!E9)</f>
        <v>1279</v>
      </c>
      <c r="J11" s="595">
        <f>SUM('Concen. de  Recursos Huma'!F9)</f>
        <v>4435.75</v>
      </c>
      <c r="K11" s="597"/>
      <c r="L11" s="226"/>
      <c r="M11" s="226"/>
      <c r="N11" s="569">
        <f>SUM('Proy. de recur.Humanos'!C109)</f>
        <v>4174</v>
      </c>
      <c r="O11" s="225"/>
      <c r="P11" s="227"/>
      <c r="Q11" s="226"/>
      <c r="R11" s="225"/>
      <c r="S11" s="226"/>
      <c r="T11" s="226"/>
      <c r="U11" s="227">
        <v>0</v>
      </c>
      <c r="V11" s="582">
        <v>0</v>
      </c>
      <c r="W11" s="592">
        <f t="shared" ref="W11:W74" si="0">+SUM(C11:V11)</f>
        <v>25340.25</v>
      </c>
      <c r="X11" s="317"/>
    </row>
    <row r="12" spans="1:37" s="119" customFormat="1" ht="24" customHeight="1">
      <c r="A12" s="318" t="s">
        <v>115</v>
      </c>
      <c r="B12" s="575" t="s">
        <v>116</v>
      </c>
      <c r="C12" s="542">
        <f>SUM('Concen. de  Recursos Huma'!C24)</f>
        <v>93600</v>
      </c>
      <c r="D12" s="310"/>
      <c r="E12" s="226"/>
      <c r="F12" s="569"/>
      <c r="G12" s="315"/>
      <c r="H12" s="223"/>
      <c r="I12" s="223"/>
      <c r="J12" s="580"/>
      <c r="K12" s="225"/>
      <c r="L12" s="226"/>
      <c r="M12" s="226"/>
      <c r="N12" s="569"/>
      <c r="O12" s="225"/>
      <c r="P12" s="227"/>
      <c r="Q12" s="226"/>
      <c r="R12" s="225"/>
      <c r="S12" s="226"/>
      <c r="T12" s="226"/>
      <c r="U12" s="227">
        <v>0</v>
      </c>
      <c r="V12" s="582">
        <v>0</v>
      </c>
      <c r="W12" s="592">
        <f t="shared" si="0"/>
        <v>93600</v>
      </c>
      <c r="X12" s="317"/>
    </row>
    <row r="13" spans="1:37" s="119" customFormat="1" ht="24" customHeight="1">
      <c r="A13" s="325">
        <v>51201</v>
      </c>
      <c r="B13" s="576" t="s">
        <v>112</v>
      </c>
      <c r="C13" s="225"/>
      <c r="D13" s="226">
        <f>SUM('FONDOS PROPIOS'!H33)</f>
        <v>3744</v>
      </c>
      <c r="E13" s="226"/>
      <c r="F13" s="569"/>
      <c r="G13" s="225"/>
      <c r="H13" s="226"/>
      <c r="I13" s="226"/>
      <c r="J13" s="569"/>
      <c r="K13" s="225"/>
      <c r="L13" s="226"/>
      <c r="M13" s="226"/>
      <c r="N13" s="569">
        <f>SUM(' 75% FODES AG3 '!H44)</f>
        <v>0</v>
      </c>
      <c r="O13" s="225"/>
      <c r="P13" s="227"/>
      <c r="Q13" s="226"/>
      <c r="R13" s="225"/>
      <c r="S13" s="226"/>
      <c r="T13" s="226"/>
      <c r="U13" s="227">
        <v>0</v>
      </c>
      <c r="V13" s="582">
        <v>0</v>
      </c>
      <c r="W13" s="592">
        <f t="shared" si="0"/>
        <v>3744</v>
      </c>
      <c r="X13" s="317"/>
    </row>
    <row r="14" spans="1:37" s="119" customFormat="1" ht="24" customHeight="1">
      <c r="A14" s="325">
        <v>51202</v>
      </c>
      <c r="B14" s="576" t="s">
        <v>117</v>
      </c>
      <c r="C14" s="225"/>
      <c r="D14" s="226"/>
      <c r="E14" s="226"/>
      <c r="F14" s="569">
        <f>SUM('FONDOS PROPIOS'!H45)</f>
        <v>24368</v>
      </c>
      <c r="G14" s="225">
        <f>SUM('25% FODES '!H13)</f>
        <v>0</v>
      </c>
      <c r="H14" s="226"/>
      <c r="I14" s="226"/>
      <c r="J14" s="569">
        <f>SUM('25% FODES '!H89)</f>
        <v>57459.33</v>
      </c>
      <c r="K14" s="225">
        <f>SUM(' 75% FODES AG3 '!H10)</f>
        <v>36500</v>
      </c>
      <c r="L14" s="226"/>
      <c r="M14" s="226"/>
      <c r="N14" s="569">
        <f>SUM(' 75% FODES AG3 '!H45)</f>
        <v>29354</v>
      </c>
      <c r="O14" s="229"/>
      <c r="P14" s="230"/>
      <c r="Q14" s="228"/>
      <c r="R14" s="225">
        <f>SUM('INVER.FODES 75% AG 4'!H10)</f>
        <v>16200</v>
      </c>
      <c r="S14" s="226"/>
      <c r="T14" s="226"/>
      <c r="U14" s="227">
        <v>0</v>
      </c>
      <c r="V14" s="582">
        <v>0</v>
      </c>
      <c r="W14" s="592">
        <f t="shared" si="0"/>
        <v>163881.33000000002</v>
      </c>
      <c r="X14" s="317"/>
    </row>
    <row r="15" spans="1:37" s="119" customFormat="1" ht="24" customHeight="1">
      <c r="A15" s="325">
        <v>51203</v>
      </c>
      <c r="B15" s="576" t="s">
        <v>114</v>
      </c>
      <c r="C15" s="225"/>
      <c r="D15" s="226">
        <f>SUM('FONDOS PROPIOS'!H34)</f>
        <v>312</v>
      </c>
      <c r="E15" s="226"/>
      <c r="F15" s="569"/>
      <c r="G15" s="225"/>
      <c r="H15" s="226"/>
      <c r="I15" s="226"/>
      <c r="J15" s="569"/>
      <c r="K15" s="225"/>
      <c r="L15" s="226"/>
      <c r="M15" s="226"/>
      <c r="N15" s="569"/>
      <c r="O15" s="229"/>
      <c r="P15" s="230"/>
      <c r="Q15" s="228"/>
      <c r="R15" s="225"/>
      <c r="S15" s="226"/>
      <c r="T15" s="226"/>
      <c r="U15" s="227"/>
      <c r="V15" s="582"/>
      <c r="W15" s="592">
        <f t="shared" si="0"/>
        <v>312</v>
      </c>
      <c r="X15" s="317"/>
    </row>
    <row r="16" spans="1:37" s="119" customFormat="1" ht="24" customHeight="1">
      <c r="A16" s="318" t="s">
        <v>204</v>
      </c>
      <c r="B16" s="575" t="s">
        <v>205</v>
      </c>
      <c r="C16" s="604">
        <f>SUM('Concen. de  Recursos Huma'!C27)</f>
        <v>7509</v>
      </c>
      <c r="D16" s="603">
        <f>SUM('Concen. de  Recursos Huma'!D27)</f>
        <v>8254.5</v>
      </c>
      <c r="E16" s="603">
        <f>SUM('Concen. de  Recursos Huma'!E27)</f>
        <v>1279</v>
      </c>
      <c r="F16" s="568">
        <f>SUM('Concen. de  Recursos Huma'!F27)</f>
        <v>4747.75</v>
      </c>
      <c r="G16" s="225"/>
      <c r="H16" s="226"/>
      <c r="I16" s="226"/>
      <c r="J16" s="569"/>
      <c r="K16" s="225"/>
      <c r="L16" s="226"/>
      <c r="M16" s="226"/>
      <c r="N16" s="569">
        <f>SUM('Proy. de recur.Humanos'!D109)</f>
        <v>4174</v>
      </c>
      <c r="O16" s="225"/>
      <c r="P16" s="227"/>
      <c r="Q16" s="226"/>
      <c r="R16" s="225"/>
      <c r="S16" s="226"/>
      <c r="T16" s="226"/>
      <c r="U16" s="227"/>
      <c r="V16" s="582"/>
      <c r="W16" s="592">
        <f t="shared" si="0"/>
        <v>25964.25</v>
      </c>
      <c r="X16" s="317"/>
    </row>
    <row r="17" spans="1:37" s="119" customFormat="1" ht="24" customHeight="1">
      <c r="A17" s="318" t="s">
        <v>371</v>
      </c>
      <c r="B17" s="575" t="s">
        <v>66</v>
      </c>
      <c r="C17" s="225"/>
      <c r="D17" s="226"/>
      <c r="E17" s="143"/>
      <c r="F17" s="569"/>
      <c r="G17" s="225"/>
      <c r="H17" s="226">
        <f>SUM('25% FODES '!H62)</f>
        <v>0</v>
      </c>
      <c r="I17" s="226"/>
      <c r="J17" s="569"/>
      <c r="K17" s="225"/>
      <c r="L17" s="226"/>
      <c r="M17" s="226"/>
      <c r="N17" s="569"/>
      <c r="O17" s="225"/>
      <c r="P17" s="227"/>
      <c r="Q17" s="226"/>
      <c r="R17" s="225"/>
      <c r="S17" s="226"/>
      <c r="T17" s="226"/>
      <c r="U17" s="227"/>
      <c r="V17" s="582"/>
      <c r="W17" s="592">
        <f t="shared" si="0"/>
        <v>0</v>
      </c>
      <c r="X17" s="317"/>
    </row>
    <row r="18" spans="1:37" s="119" customFormat="1" ht="24" customHeight="1">
      <c r="A18" s="325">
        <v>51302</v>
      </c>
      <c r="B18" s="576" t="s">
        <v>120</v>
      </c>
      <c r="C18" s="225"/>
      <c r="D18" s="226"/>
      <c r="E18" s="226"/>
      <c r="F18" s="569"/>
      <c r="G18" s="225"/>
      <c r="H18" s="226"/>
      <c r="I18" s="226"/>
      <c r="J18" s="569"/>
      <c r="K18" s="225"/>
      <c r="L18" s="226"/>
      <c r="M18" s="226"/>
      <c r="N18" s="569"/>
      <c r="O18" s="225"/>
      <c r="P18" s="227"/>
      <c r="Q18" s="226"/>
      <c r="R18" s="225"/>
      <c r="S18" s="226"/>
      <c r="T18" s="226"/>
      <c r="U18" s="227">
        <v>0</v>
      </c>
      <c r="V18" s="582">
        <v>0</v>
      </c>
      <c r="W18" s="592">
        <f t="shared" si="0"/>
        <v>0</v>
      </c>
      <c r="X18" s="317"/>
    </row>
    <row r="19" spans="1:37" s="119" customFormat="1" ht="24" customHeight="1">
      <c r="A19" s="318" t="s">
        <v>121</v>
      </c>
      <c r="B19" s="575" t="s">
        <v>122</v>
      </c>
      <c r="C19" s="604">
        <f>SUM('Concen. de  Recursos Huma'!C29)</f>
        <v>8224</v>
      </c>
      <c r="D19" s="606">
        <f>SUM('Concen. de  Recursos Huma'!D29)</f>
        <v>1339.7650000000001</v>
      </c>
      <c r="E19" s="606">
        <f>SUM('Concen. de  Recursos Huma'!E29)</f>
        <v>217.42499999999998</v>
      </c>
      <c r="F19" s="605">
        <f>SUM('Concen. de  Recursos Huma'!F29)</f>
        <v>1167.5125</v>
      </c>
      <c r="G19" s="604">
        <f>SUM('Concen. de  Recursos Huma'!C13)</f>
        <v>1699.9949999999999</v>
      </c>
      <c r="H19" s="603">
        <f>SUM('Concen. de  Recursos Huma'!D13)</f>
        <v>5107.625</v>
      </c>
      <c r="I19" s="603">
        <f>SUM('Concen. de  Recursos Huma'!E13)</f>
        <v>1087.1499999999999</v>
      </c>
      <c r="J19" s="605">
        <f>SUM('Concen. de  Recursos Huma'!F13)</f>
        <v>4246.3874999999998</v>
      </c>
      <c r="K19" s="225"/>
      <c r="L19" s="226"/>
      <c r="M19" s="226"/>
      <c r="N19" s="569">
        <f>SUM('Proy. de recur.Humanos'!L107:M107)</f>
        <v>4257.4799999999996</v>
      </c>
      <c r="O19" s="225"/>
      <c r="P19" s="227"/>
      <c r="Q19" s="226"/>
      <c r="R19" s="225"/>
      <c r="S19" s="226"/>
      <c r="T19" s="226"/>
      <c r="U19" s="227">
        <v>0</v>
      </c>
      <c r="V19" s="582">
        <v>0</v>
      </c>
      <c r="W19" s="592">
        <f t="shared" si="0"/>
        <v>27347.34</v>
      </c>
      <c r="X19" s="317"/>
    </row>
    <row r="20" spans="1:37" s="119" customFormat="1" ht="24" customHeight="1">
      <c r="A20" s="318" t="s">
        <v>123</v>
      </c>
      <c r="B20" s="575" t="s">
        <v>124</v>
      </c>
      <c r="C20" s="608">
        <f>SUM('Concen. de  Recursos Huma'!C30)</f>
        <v>7825.7950000000001</v>
      </c>
      <c r="D20" s="607">
        <f>SUM('Concen. de  Recursos Huma'!D30)</f>
        <v>1275.5725</v>
      </c>
      <c r="E20" s="607">
        <f>SUM('Concen. de  Recursos Huma'!E30)</f>
        <v>198.245</v>
      </c>
      <c r="F20" s="568">
        <f>SUM('Concen. de  Recursos Huma'!F30)</f>
        <v>977.70124999999985</v>
      </c>
      <c r="G20" s="608">
        <f>SUM('Concen. de  Recursos Huma'!C14)</f>
        <v>2858.9749999999999</v>
      </c>
      <c r="H20" s="609">
        <f>SUM('Concen. de  Recursos Huma'!D14)</f>
        <v>4927.0625</v>
      </c>
      <c r="I20" s="609">
        <f>SUM('Concen. de  Recursos Huma'!E14)</f>
        <v>991.22500000000002</v>
      </c>
      <c r="J20" s="568">
        <f>SUM('Concen. de  Recursos Huma'!F14)</f>
        <v>3437.7062499999993</v>
      </c>
      <c r="K20" s="225"/>
      <c r="L20" s="226"/>
      <c r="M20" s="226"/>
      <c r="N20" s="569">
        <f>SUM('Proy. de recur.Humanos'!Q107)</f>
        <v>3881.82</v>
      </c>
      <c r="O20" s="225"/>
      <c r="P20" s="227"/>
      <c r="Q20" s="226"/>
      <c r="R20" s="225"/>
      <c r="S20" s="226"/>
      <c r="T20" s="226"/>
      <c r="U20" s="227">
        <v>0</v>
      </c>
      <c r="V20" s="582">
        <v>0</v>
      </c>
      <c r="W20" s="592">
        <f t="shared" si="0"/>
        <v>26374.102499999997</v>
      </c>
      <c r="X20" s="317"/>
    </row>
    <row r="21" spans="1:37" s="119" customFormat="1" ht="24" customHeight="1">
      <c r="A21" s="325">
        <v>51901</v>
      </c>
      <c r="B21" s="576" t="s">
        <v>191</v>
      </c>
      <c r="C21" s="225"/>
      <c r="D21" s="226"/>
      <c r="E21" s="226"/>
      <c r="F21" s="569"/>
      <c r="G21" s="225"/>
      <c r="H21" s="226"/>
      <c r="I21" s="226"/>
      <c r="J21" s="569"/>
      <c r="K21" s="225"/>
      <c r="L21" s="226"/>
      <c r="M21" s="226"/>
      <c r="N21" s="569"/>
      <c r="O21" s="225"/>
      <c r="P21" s="227"/>
      <c r="Q21" s="226"/>
      <c r="R21" s="225"/>
      <c r="S21" s="226"/>
      <c r="T21" s="226"/>
      <c r="U21" s="227">
        <v>0</v>
      </c>
      <c r="V21" s="582">
        <v>0</v>
      </c>
      <c r="W21" s="592">
        <f t="shared" si="0"/>
        <v>0</v>
      </c>
      <c r="X21" s="317"/>
    </row>
    <row r="22" spans="1:37" s="119" customFormat="1" ht="24" customHeight="1">
      <c r="A22" s="325">
        <v>51999</v>
      </c>
      <c r="B22" s="576" t="s">
        <v>125</v>
      </c>
      <c r="C22" s="225"/>
      <c r="D22" s="226"/>
      <c r="E22" s="226"/>
      <c r="F22" s="569"/>
      <c r="G22" s="225"/>
      <c r="H22" s="226"/>
      <c r="I22" s="226"/>
      <c r="J22" s="569"/>
      <c r="K22" s="225"/>
      <c r="L22" s="226"/>
      <c r="M22" s="226"/>
      <c r="N22" s="569"/>
      <c r="O22" s="225"/>
      <c r="P22" s="227"/>
      <c r="Q22" s="226"/>
      <c r="R22" s="225"/>
      <c r="S22" s="226"/>
      <c r="T22" s="226"/>
      <c r="U22" s="227"/>
      <c r="V22" s="582"/>
      <c r="W22" s="592">
        <f t="shared" si="0"/>
        <v>0</v>
      </c>
      <c r="X22" s="317"/>
    </row>
    <row r="23" spans="1:37" s="119" customFormat="1" ht="24" customHeight="1">
      <c r="A23" s="325">
        <v>54101</v>
      </c>
      <c r="B23" s="576" t="s">
        <v>159</v>
      </c>
      <c r="C23" s="225">
        <f>SUM('FONDOS PROPIOS'!H15)</f>
        <v>5000</v>
      </c>
      <c r="D23" s="226"/>
      <c r="E23" s="226"/>
      <c r="F23" s="569"/>
      <c r="G23" s="225">
        <f>SUM('25% FODES '!H16)</f>
        <v>2000</v>
      </c>
      <c r="H23" s="226"/>
      <c r="I23" s="226"/>
      <c r="J23" s="569"/>
      <c r="K23" s="225"/>
      <c r="L23" s="226"/>
      <c r="M23" s="226"/>
      <c r="N23" s="569">
        <f>SUM(' 75% FODES AG3 '!H50)</f>
        <v>500</v>
      </c>
      <c r="O23" s="225"/>
      <c r="P23" s="227"/>
      <c r="Q23" s="226"/>
      <c r="R23" s="225">
        <f>SUM('INVER.FODES 75% AG 4'!H11)</f>
        <v>1350</v>
      </c>
      <c r="S23" s="226"/>
      <c r="T23" s="226"/>
      <c r="U23" s="227"/>
      <c r="V23" s="582"/>
      <c r="W23" s="592">
        <f t="shared" si="0"/>
        <v>8850</v>
      </c>
      <c r="X23" s="317"/>
    </row>
    <row r="24" spans="1:37" s="119" customFormat="1" ht="24" customHeight="1">
      <c r="A24" s="325">
        <v>54103</v>
      </c>
      <c r="B24" s="576" t="s">
        <v>160</v>
      </c>
      <c r="C24" s="229"/>
      <c r="D24" s="228"/>
      <c r="E24" s="228"/>
      <c r="F24" s="570">
        <f>SUM('FONDOS PROPIOS'!H50)</f>
        <v>0</v>
      </c>
      <c r="G24" s="229"/>
      <c r="H24" s="228"/>
      <c r="I24" s="228"/>
      <c r="J24" s="570"/>
      <c r="K24" s="229"/>
      <c r="L24" s="228"/>
      <c r="M24" s="228"/>
      <c r="N24" s="570">
        <f>SUM(' 75% FODES AG3 '!H51)</f>
        <v>0</v>
      </c>
      <c r="O24" s="229"/>
      <c r="P24" s="230"/>
      <c r="Q24" s="228"/>
      <c r="R24" s="229"/>
      <c r="S24" s="228"/>
      <c r="T24" s="228"/>
      <c r="U24" s="230"/>
      <c r="V24" s="583"/>
      <c r="W24" s="592">
        <f t="shared" si="0"/>
        <v>0</v>
      </c>
      <c r="X24" s="143"/>
    </row>
    <row r="25" spans="1:37" s="119" customFormat="1" ht="24" customHeight="1">
      <c r="A25" s="325">
        <v>54104</v>
      </c>
      <c r="B25" s="576" t="s">
        <v>161</v>
      </c>
      <c r="C25" s="229"/>
      <c r="D25" s="228"/>
      <c r="E25" s="228"/>
      <c r="F25" s="570"/>
      <c r="G25" s="229">
        <f>SUM('25% FODES '!H17)</f>
        <v>5000</v>
      </c>
      <c r="H25" s="228"/>
      <c r="I25" s="228"/>
      <c r="J25" s="570"/>
      <c r="K25" s="229" t="e">
        <f>SUM(' 75% FODES AG3 '!#REF!)</f>
        <v>#REF!</v>
      </c>
      <c r="L25" s="228"/>
      <c r="M25" s="228"/>
      <c r="N25" s="570">
        <f>SUM(' 75% FODES AG3 '!H52)</f>
        <v>1100</v>
      </c>
      <c r="O25" s="229"/>
      <c r="P25" s="230"/>
      <c r="Q25" s="228"/>
      <c r="R25" s="229"/>
      <c r="S25" s="228"/>
      <c r="T25" s="228"/>
      <c r="U25" s="230"/>
      <c r="V25" s="583"/>
      <c r="W25" s="592" t="e">
        <f t="shared" si="0"/>
        <v>#REF!</v>
      </c>
      <c r="X25" s="143"/>
    </row>
    <row r="26" spans="1:37" s="119" customFormat="1" ht="24" customHeight="1">
      <c r="A26" s="325">
        <v>54105</v>
      </c>
      <c r="B26" s="576" t="s">
        <v>162</v>
      </c>
      <c r="C26" s="229"/>
      <c r="D26" s="228"/>
      <c r="E26" s="228"/>
      <c r="F26" s="570"/>
      <c r="G26" s="229">
        <f>SUM('25% FODES '!H18)</f>
        <v>5000</v>
      </c>
      <c r="H26" s="228">
        <f>SUM('25% FODES '!H65)</f>
        <v>700</v>
      </c>
      <c r="I26" s="228">
        <f>SUM('25% FODES '!H81)</f>
        <v>500</v>
      </c>
      <c r="J26" s="570">
        <f>SUM('25% FODES '!H92)</f>
        <v>2452.2099999999996</v>
      </c>
      <c r="K26" s="229"/>
      <c r="L26" s="228"/>
      <c r="M26" s="228"/>
      <c r="N26" s="570">
        <f>SUM(' 75% FODES AG3 '!H53)</f>
        <v>700</v>
      </c>
      <c r="O26" s="229"/>
      <c r="P26" s="230"/>
      <c r="Q26" s="228"/>
      <c r="R26" s="229">
        <f>SUM('INVER.FODES 75% AG 4'!H12)</f>
        <v>1350</v>
      </c>
      <c r="S26" s="228"/>
      <c r="T26" s="228"/>
      <c r="U26" s="230"/>
      <c r="V26" s="583"/>
      <c r="W26" s="592">
        <f t="shared" si="0"/>
        <v>10702.21</v>
      </c>
      <c r="X26" s="143"/>
    </row>
    <row r="27" spans="1:37" s="119" customFormat="1" ht="24" customHeight="1">
      <c r="A27" s="325">
        <v>54107</v>
      </c>
      <c r="B27" s="576" t="s">
        <v>163</v>
      </c>
      <c r="C27" s="229"/>
      <c r="D27" s="228"/>
      <c r="E27" s="228"/>
      <c r="F27" s="570">
        <f>SUM('FONDOS PROPIOS'!H51)</f>
        <v>800</v>
      </c>
      <c r="G27" s="229">
        <f>SUM('25% FODES '!H19)</f>
        <v>3000</v>
      </c>
      <c r="H27" s="228"/>
      <c r="I27" s="228"/>
      <c r="J27" s="570">
        <f>SUM('25% FODES '!H93)</f>
        <v>1413.78</v>
      </c>
      <c r="K27" s="229">
        <f>SUM(' 75% FODES AG3 '!H11)</f>
        <v>5500</v>
      </c>
      <c r="L27" s="228"/>
      <c r="M27" s="228"/>
      <c r="N27" s="570">
        <f>SUM(' 75% FODES AG3 '!H54)</f>
        <v>1000</v>
      </c>
      <c r="O27" s="229"/>
      <c r="P27" s="230"/>
      <c r="Q27" s="228"/>
      <c r="R27" s="229">
        <f>SUM('INVER.FODES 75% AG 4'!H18)</f>
        <v>10400</v>
      </c>
      <c r="S27" s="228"/>
      <c r="T27" s="228"/>
      <c r="U27" s="230"/>
      <c r="V27" s="583"/>
      <c r="W27" s="592">
        <f t="shared" si="0"/>
        <v>22113.78</v>
      </c>
      <c r="X27" s="143"/>
    </row>
    <row r="28" spans="1:37" s="119" customFormat="1" ht="24" customHeight="1">
      <c r="A28" s="325">
        <v>54108</v>
      </c>
      <c r="B28" s="576" t="s">
        <v>164</v>
      </c>
      <c r="C28" s="229"/>
      <c r="D28" s="228"/>
      <c r="E28" s="228"/>
      <c r="F28" s="570"/>
      <c r="G28" s="229"/>
      <c r="H28" s="228"/>
      <c r="I28" s="228"/>
      <c r="J28" s="570"/>
      <c r="K28" s="229"/>
      <c r="L28" s="228"/>
      <c r="M28" s="228"/>
      <c r="N28" s="570"/>
      <c r="O28" s="229"/>
      <c r="P28" s="230"/>
      <c r="Q28" s="228"/>
      <c r="R28" s="229"/>
      <c r="S28" s="228"/>
      <c r="T28" s="228"/>
      <c r="U28" s="230"/>
      <c r="V28" s="583"/>
      <c r="W28" s="592">
        <f t="shared" si="0"/>
        <v>0</v>
      </c>
      <c r="X28" s="143"/>
    </row>
    <row r="29" spans="1:37" s="119" customFormat="1" ht="24" customHeight="1">
      <c r="A29" s="325">
        <v>54109</v>
      </c>
      <c r="B29" s="576" t="s">
        <v>165</v>
      </c>
      <c r="C29" s="229"/>
      <c r="D29" s="228"/>
      <c r="E29" s="228"/>
      <c r="F29" s="570"/>
      <c r="G29" s="229">
        <f>SUM('25% FODES '!H20)</f>
        <v>7000</v>
      </c>
      <c r="H29" s="228"/>
      <c r="I29" s="228"/>
      <c r="J29" s="570"/>
      <c r="K29" s="229"/>
      <c r="L29" s="228"/>
      <c r="M29" s="228"/>
      <c r="N29" s="570">
        <f>SUM(' 75% FODES AG3 '!H55)</f>
        <v>1000</v>
      </c>
      <c r="O29" s="229"/>
      <c r="P29" s="230"/>
      <c r="Q29" s="228"/>
      <c r="R29" s="229"/>
      <c r="S29" s="228"/>
      <c r="T29" s="228"/>
      <c r="U29" s="230"/>
      <c r="V29" s="583"/>
      <c r="W29" s="592">
        <f t="shared" si="0"/>
        <v>8000</v>
      </c>
      <c r="X29" s="143"/>
    </row>
    <row r="30" spans="1:37" s="119" customFormat="1" ht="24" customHeight="1">
      <c r="A30" s="325">
        <v>54110</v>
      </c>
      <c r="B30" s="577" t="s">
        <v>166</v>
      </c>
      <c r="C30" s="229"/>
      <c r="D30" s="228"/>
      <c r="E30" s="228"/>
      <c r="F30" s="570"/>
      <c r="G30" s="229">
        <f>SUM('25% FODES '!H21)</f>
        <v>12000</v>
      </c>
      <c r="H30" s="228"/>
      <c r="I30" s="228"/>
      <c r="J30" s="570"/>
      <c r="K30" s="229"/>
      <c r="L30" s="228"/>
      <c r="M30" s="228"/>
      <c r="N30" s="570">
        <f>SUM(' 75% FODES AG3 '!H56)</f>
        <v>5500</v>
      </c>
      <c r="O30" s="229"/>
      <c r="P30" s="230"/>
      <c r="Q30" s="228"/>
      <c r="R30" s="229">
        <f>SUM('INVER.FODES 75% AG 4'!H19)</f>
        <v>0</v>
      </c>
      <c r="S30" s="228"/>
      <c r="T30" s="228"/>
      <c r="U30" s="230"/>
      <c r="V30" s="583"/>
      <c r="W30" s="592">
        <f t="shared" si="0"/>
        <v>17500</v>
      </c>
      <c r="X30" s="143"/>
    </row>
    <row r="31" spans="1:37" s="119" customFormat="1" ht="24" customHeight="1">
      <c r="A31" s="325">
        <v>54111</v>
      </c>
      <c r="B31" s="576" t="s">
        <v>524</v>
      </c>
      <c r="C31" s="229"/>
      <c r="D31" s="228"/>
      <c r="E31" s="228"/>
      <c r="F31" s="570">
        <f>SUM('FONDOS PROPIOS'!H52)</f>
        <v>1000</v>
      </c>
      <c r="G31" s="229"/>
      <c r="H31" s="228"/>
      <c r="I31" s="228"/>
      <c r="J31" s="570"/>
      <c r="K31" s="229">
        <f>SUM(' 75% FODES AG3 '!H12)</f>
        <v>33550</v>
      </c>
      <c r="L31" s="228"/>
      <c r="M31" s="228"/>
      <c r="N31" s="570">
        <f>SUM(' 75% FODES AG3 '!H57)</f>
        <v>1200</v>
      </c>
      <c r="O31" s="229"/>
      <c r="P31" s="230"/>
      <c r="Q31" s="228"/>
      <c r="R31" s="229">
        <f>SUM('INVER.FODES 75% AG 4'!H20)</f>
        <v>181651.64</v>
      </c>
      <c r="S31" s="228"/>
      <c r="T31" s="228"/>
      <c r="U31" s="230"/>
      <c r="V31" s="583"/>
      <c r="W31" s="592">
        <f t="shared" si="0"/>
        <v>217401.64</v>
      </c>
      <c r="X31" s="143"/>
    </row>
    <row r="32" spans="1:37" s="119" customFormat="1" ht="24" customHeight="1">
      <c r="A32" s="325">
        <v>54112</v>
      </c>
      <c r="B32" s="576" t="s">
        <v>168</v>
      </c>
      <c r="C32" s="229"/>
      <c r="D32" s="228"/>
      <c r="E32" s="228"/>
      <c r="F32" s="570">
        <f>SUM('FONDOS PROPIOS'!H53)</f>
        <v>800</v>
      </c>
      <c r="G32" s="229"/>
      <c r="H32" s="228"/>
      <c r="I32" s="228"/>
      <c r="J32" s="570"/>
      <c r="K32" s="229">
        <f>SUM(' 75% FODES AG3 '!H13)</f>
        <v>27350</v>
      </c>
      <c r="L32" s="228"/>
      <c r="M32" s="228"/>
      <c r="N32" s="570">
        <f>SUM(' 75% FODES AG3 '!H58)</f>
        <v>1300</v>
      </c>
      <c r="O32" s="229"/>
      <c r="P32" s="230"/>
      <c r="Q32" s="228"/>
      <c r="R32" s="229">
        <f>SUM('INVER.FODES 75% AG 4'!H21)</f>
        <v>23800</v>
      </c>
      <c r="S32" s="228"/>
      <c r="T32" s="228"/>
      <c r="U32" s="230"/>
      <c r="V32" s="583"/>
      <c r="W32" s="592">
        <f t="shared" si="0"/>
        <v>53250</v>
      </c>
      <c r="X32" s="143"/>
    </row>
    <row r="33" spans="1:37" s="119" customFormat="1" ht="24" customHeight="1">
      <c r="A33" s="325">
        <v>54114</v>
      </c>
      <c r="B33" s="576" t="s">
        <v>169</v>
      </c>
      <c r="C33" s="229"/>
      <c r="D33" s="228"/>
      <c r="E33" s="228"/>
      <c r="F33" s="570"/>
      <c r="G33" s="229">
        <f>SUM('25% FODES '!H22)</f>
        <v>5000</v>
      </c>
      <c r="H33" s="228">
        <f>SUM('25% FODES '!H66)</f>
        <v>300</v>
      </c>
      <c r="I33" s="228">
        <f>SUM('25% FODES '!H82)</f>
        <v>600</v>
      </c>
      <c r="J33" s="570">
        <f>SUM('25% FODES '!H94)</f>
        <v>800</v>
      </c>
      <c r="K33" s="229"/>
      <c r="L33" s="228"/>
      <c r="M33" s="228"/>
      <c r="N33" s="570">
        <f>SUM(' 75% FODES AG3 '!H59)</f>
        <v>200</v>
      </c>
      <c r="O33" s="229"/>
      <c r="P33" s="230"/>
      <c r="Q33" s="228"/>
      <c r="R33" s="229"/>
      <c r="S33" s="228"/>
      <c r="T33" s="228"/>
      <c r="U33" s="230"/>
      <c r="V33" s="583"/>
      <c r="W33" s="592">
        <f t="shared" si="0"/>
        <v>6900</v>
      </c>
      <c r="X33" s="143"/>
    </row>
    <row r="34" spans="1:37" s="119" customFormat="1" ht="24" customHeight="1">
      <c r="A34" s="325">
        <v>54115</v>
      </c>
      <c r="B34" s="576" t="s">
        <v>170</v>
      </c>
      <c r="C34" s="229"/>
      <c r="D34" s="228"/>
      <c r="E34" s="228"/>
      <c r="F34" s="570"/>
      <c r="G34" s="229">
        <f>SUM('25% FODES '!H23)</f>
        <v>5000</v>
      </c>
      <c r="H34" s="228">
        <f>SUM('25% FODES '!H67)</f>
        <v>500</v>
      </c>
      <c r="I34" s="228">
        <f>SUM('25% FODES '!H83)</f>
        <v>850</v>
      </c>
      <c r="J34" s="570">
        <f>SUM('25% FODES '!H95)</f>
        <v>800</v>
      </c>
      <c r="K34" s="229"/>
      <c r="L34" s="228"/>
      <c r="M34" s="228"/>
      <c r="N34" s="570">
        <f>SUM(' 75% FODES AG3 '!H60)</f>
        <v>600</v>
      </c>
      <c r="O34" s="229"/>
      <c r="P34" s="230"/>
      <c r="Q34" s="228"/>
      <c r="R34" s="229"/>
      <c r="S34" s="228"/>
      <c r="T34" s="228"/>
      <c r="U34" s="230"/>
      <c r="V34" s="583"/>
      <c r="W34" s="592">
        <f t="shared" si="0"/>
        <v>7750</v>
      </c>
      <c r="X34" s="143"/>
    </row>
    <row r="35" spans="1:37" s="119" customFormat="1" ht="24" customHeight="1">
      <c r="A35" s="325">
        <v>54117</v>
      </c>
      <c r="B35" s="576" t="s">
        <v>171</v>
      </c>
      <c r="C35" s="229"/>
      <c r="D35" s="228"/>
      <c r="E35" s="228"/>
      <c r="F35" s="570"/>
      <c r="G35" s="229"/>
      <c r="H35" s="228"/>
      <c r="I35" s="228"/>
      <c r="J35" s="570"/>
      <c r="K35" s="229"/>
      <c r="L35" s="228"/>
      <c r="M35" s="228"/>
      <c r="N35" s="570">
        <f>SUM(' 75% FODES AG3 '!H61)</f>
        <v>2102.6999999999998</v>
      </c>
      <c r="O35" s="229"/>
      <c r="P35" s="230"/>
      <c r="Q35" s="228"/>
      <c r="R35" s="229"/>
      <c r="S35" s="228"/>
      <c r="T35" s="228"/>
      <c r="U35" s="230"/>
      <c r="V35" s="583"/>
      <c r="W35" s="592">
        <f t="shared" si="0"/>
        <v>2102.6999999999998</v>
      </c>
      <c r="X35" s="143"/>
    </row>
    <row r="36" spans="1:37" s="119" customFormat="1" ht="24" customHeight="1">
      <c r="A36" s="325">
        <v>54118</v>
      </c>
      <c r="B36" s="576" t="s">
        <v>172</v>
      </c>
      <c r="C36" s="229"/>
      <c r="D36" s="228"/>
      <c r="E36" s="228"/>
      <c r="F36" s="570">
        <f>SUM('FONDOS PROPIOS'!H54)</f>
        <v>700</v>
      </c>
      <c r="G36" s="229">
        <f>SUM('25% FODES '!H24)</f>
        <v>1800</v>
      </c>
      <c r="H36" s="228"/>
      <c r="I36" s="228"/>
      <c r="J36" s="570">
        <f>SUM('25% FODES '!H96)</f>
        <v>900</v>
      </c>
      <c r="K36" s="229">
        <f>SUM(' 75% FODES AG3 '!H14)</f>
        <v>2700</v>
      </c>
      <c r="L36" s="228"/>
      <c r="M36" s="228"/>
      <c r="N36" s="570">
        <f>SUM(' 75% FODES AG3 '!H62)</f>
        <v>100</v>
      </c>
      <c r="O36" s="229"/>
      <c r="P36" s="230"/>
      <c r="Q36" s="228"/>
      <c r="R36" s="229">
        <f>SUM('INVER.FODES 75% AG 4'!H22)</f>
        <v>9700</v>
      </c>
      <c r="S36" s="228"/>
      <c r="T36" s="228"/>
      <c r="U36" s="230"/>
      <c r="V36" s="583"/>
      <c r="W36" s="592">
        <f t="shared" si="0"/>
        <v>15900</v>
      </c>
      <c r="X36" s="143"/>
    </row>
    <row r="37" spans="1:37" s="119" customFormat="1" ht="24" customHeight="1">
      <c r="A37" s="325">
        <v>54119</v>
      </c>
      <c r="B37" s="576" t="s">
        <v>173</v>
      </c>
      <c r="C37" s="229"/>
      <c r="D37" s="228"/>
      <c r="E37" s="228"/>
      <c r="F37" s="570">
        <f>SUM('FONDOS PROPIOS'!H55)</f>
        <v>3500</v>
      </c>
      <c r="G37" s="229">
        <f>SUM('25% FODES '!H25)</f>
        <v>3500</v>
      </c>
      <c r="H37" s="228"/>
      <c r="I37" s="228"/>
      <c r="J37" s="570">
        <f>SUM('25% FODES '!H97)</f>
        <v>4000</v>
      </c>
      <c r="K37" s="229"/>
      <c r="L37" s="228"/>
      <c r="M37" s="228"/>
      <c r="N37" s="570">
        <f>SUM(' 75% FODES AG3 '!H63)</f>
        <v>8150</v>
      </c>
      <c r="O37" s="229"/>
      <c r="P37" s="230"/>
      <c r="Q37" s="228"/>
      <c r="R37" s="229"/>
      <c r="S37" s="228"/>
      <c r="T37" s="228"/>
      <c r="U37" s="230"/>
      <c r="V37" s="583"/>
      <c r="W37" s="592">
        <f t="shared" si="0"/>
        <v>19150</v>
      </c>
      <c r="X37" s="143"/>
    </row>
    <row r="38" spans="1:37" s="119" customFormat="1" ht="24" customHeight="1">
      <c r="A38" s="325">
        <v>54121</v>
      </c>
      <c r="B38" s="576" t="s">
        <v>174</v>
      </c>
      <c r="C38" s="229"/>
      <c r="D38" s="228"/>
      <c r="E38" s="228"/>
      <c r="F38" s="570"/>
      <c r="G38" s="229"/>
      <c r="H38" s="228">
        <f>SUM('25% FODES '!H68)</f>
        <v>0</v>
      </c>
      <c r="I38" s="228"/>
      <c r="J38" s="570"/>
      <c r="K38" s="229"/>
      <c r="L38" s="228"/>
      <c r="M38" s="228"/>
      <c r="N38" s="570"/>
      <c r="O38" s="229"/>
      <c r="P38" s="230"/>
      <c r="Q38" s="228"/>
      <c r="R38" s="229"/>
      <c r="S38" s="228"/>
      <c r="T38" s="228"/>
      <c r="U38" s="230"/>
      <c r="V38" s="583"/>
      <c r="W38" s="592">
        <f t="shared" si="0"/>
        <v>0</v>
      </c>
      <c r="X38" s="143"/>
    </row>
    <row r="39" spans="1:37" s="119" customFormat="1" ht="24" customHeight="1">
      <c r="A39" s="325">
        <v>54199</v>
      </c>
      <c r="B39" s="576" t="s">
        <v>477</v>
      </c>
      <c r="C39" s="229">
        <f>SUM('FONDOS PROPIOS'!H17)</f>
        <v>1500</v>
      </c>
      <c r="D39" s="228"/>
      <c r="E39" s="228"/>
      <c r="F39" s="570">
        <f>SUM('FONDOS PROPIOS'!H56)</f>
        <v>500</v>
      </c>
      <c r="G39" s="229">
        <f>SUM('25% FODES '!H27)</f>
        <v>7000</v>
      </c>
      <c r="H39" s="228">
        <f>SUM('25% FODES '!H69)</f>
        <v>700</v>
      </c>
      <c r="I39" s="228"/>
      <c r="J39" s="570">
        <f>SUM('25% FODES '!H98)</f>
        <v>1200</v>
      </c>
      <c r="K39" s="229">
        <f>SUM(' 75% FODES AG3 '!H15)</f>
        <v>1500</v>
      </c>
      <c r="L39" s="228"/>
      <c r="M39" s="228"/>
      <c r="N39" s="570">
        <f>SUM(' 75% FODES AG3 '!H64)</f>
        <v>1748.5</v>
      </c>
      <c r="O39" s="229"/>
      <c r="P39" s="230"/>
      <c r="Q39" s="228"/>
      <c r="R39" s="229">
        <f>SUM('INVER.FODES 75% AG 4'!H23)</f>
        <v>8200</v>
      </c>
      <c r="S39" s="228"/>
      <c r="T39" s="228"/>
      <c r="U39" s="230"/>
      <c r="V39" s="583"/>
      <c r="W39" s="592">
        <f t="shared" si="0"/>
        <v>22348.5</v>
      </c>
      <c r="X39" s="143"/>
    </row>
    <row r="40" spans="1:37" s="119" customFormat="1" ht="24" customHeight="1">
      <c r="A40" s="325">
        <v>54201</v>
      </c>
      <c r="B40" s="576" t="s">
        <v>176</v>
      </c>
      <c r="C40" s="229"/>
      <c r="D40" s="228"/>
      <c r="E40" s="228"/>
      <c r="F40" s="570"/>
      <c r="G40" s="229">
        <f>SUM('25% FODES '!H28)</f>
        <v>12000</v>
      </c>
      <c r="H40" s="228"/>
      <c r="I40" s="228"/>
      <c r="J40" s="570"/>
      <c r="K40" s="229"/>
      <c r="L40" s="228"/>
      <c r="M40" s="228"/>
      <c r="N40" s="570">
        <f>SUM(' 75% FODES AG3 '!H65)</f>
        <v>800</v>
      </c>
      <c r="O40" s="229"/>
      <c r="P40" s="230"/>
      <c r="Q40" s="228"/>
      <c r="R40" s="229"/>
      <c r="S40" s="228"/>
      <c r="T40" s="228"/>
      <c r="U40" s="230"/>
      <c r="V40" s="583"/>
      <c r="W40" s="592">
        <f t="shared" si="0"/>
        <v>12800</v>
      </c>
      <c r="X40" s="143"/>
    </row>
    <row r="41" spans="1:37" s="119" customFormat="1" ht="24" customHeight="1">
      <c r="A41" s="325">
        <v>54202</v>
      </c>
      <c r="B41" s="576" t="s">
        <v>177</v>
      </c>
      <c r="C41" s="229"/>
      <c r="D41" s="228"/>
      <c r="E41" s="228"/>
      <c r="F41" s="570">
        <v>200</v>
      </c>
      <c r="G41" s="229">
        <f>SUM('25% FODES '!H29)</f>
        <v>7471.13</v>
      </c>
      <c r="H41" s="228"/>
      <c r="I41" s="228"/>
      <c r="J41" s="570"/>
      <c r="K41" s="229"/>
      <c r="L41" s="228"/>
      <c r="M41" s="228"/>
      <c r="N41" s="570">
        <f>SUM(' 75% FODES AG3 '!H66)</f>
        <v>2100</v>
      </c>
      <c r="O41" s="229"/>
      <c r="P41" s="230"/>
      <c r="Q41" s="228"/>
      <c r="R41" s="229"/>
      <c r="S41" s="228"/>
      <c r="T41" s="228"/>
      <c r="U41" s="230"/>
      <c r="V41" s="583"/>
      <c r="W41" s="592">
        <f t="shared" si="0"/>
        <v>9771.130000000001</v>
      </c>
      <c r="X41" s="143"/>
    </row>
    <row r="42" spans="1:37" s="119" customFormat="1" ht="24" customHeight="1">
      <c r="A42" s="325">
        <v>54203</v>
      </c>
      <c r="B42" s="576" t="s">
        <v>178</v>
      </c>
      <c r="C42" s="229"/>
      <c r="D42" s="228"/>
      <c r="E42" s="228"/>
      <c r="F42" s="570"/>
      <c r="G42" s="229">
        <f>SUM('25% FODES '!H30)</f>
        <v>18000</v>
      </c>
      <c r="H42" s="228"/>
      <c r="I42" s="228"/>
      <c r="J42" s="570"/>
      <c r="K42" s="229"/>
      <c r="L42" s="228"/>
      <c r="M42" s="228"/>
      <c r="N42" s="570">
        <f>SUM(' 75% FODES AG3 '!H67)</f>
        <v>0</v>
      </c>
      <c r="O42" s="229"/>
      <c r="P42" s="230"/>
      <c r="Q42" s="228"/>
      <c r="R42" s="229"/>
      <c r="S42" s="228"/>
      <c r="T42" s="228"/>
      <c r="U42" s="230"/>
      <c r="V42" s="583"/>
      <c r="W42" s="592">
        <f t="shared" si="0"/>
        <v>18000</v>
      </c>
      <c r="X42" s="143"/>
    </row>
    <row r="43" spans="1:37" s="119" customFormat="1" ht="24" customHeight="1">
      <c r="A43" s="325">
        <v>54204</v>
      </c>
      <c r="B43" s="576" t="s">
        <v>179</v>
      </c>
      <c r="C43" s="229"/>
      <c r="D43" s="228"/>
      <c r="E43" s="228"/>
      <c r="F43" s="570"/>
      <c r="G43" s="229">
        <f>SUM('25% FODES '!H31)</f>
        <v>200</v>
      </c>
      <c r="H43" s="228"/>
      <c r="I43" s="228"/>
      <c r="J43" s="570"/>
      <c r="K43" s="229"/>
      <c r="L43" s="228"/>
      <c r="M43" s="228"/>
      <c r="N43" s="570"/>
      <c r="O43" s="229"/>
      <c r="P43" s="230"/>
      <c r="Q43" s="228"/>
      <c r="R43" s="229"/>
      <c r="S43" s="228"/>
      <c r="T43" s="228"/>
      <c r="U43" s="230"/>
      <c r="V43" s="583"/>
      <c r="W43" s="592">
        <f t="shared" si="0"/>
        <v>200</v>
      </c>
      <c r="X43" s="143"/>
    </row>
    <row r="44" spans="1:37" s="119" customFormat="1" ht="24" customHeight="1">
      <c r="A44" s="325">
        <v>54205</v>
      </c>
      <c r="B44" s="576" t="s">
        <v>180</v>
      </c>
      <c r="C44" s="229"/>
      <c r="D44" s="228"/>
      <c r="E44" s="228"/>
      <c r="F44" s="570"/>
      <c r="G44" s="229"/>
      <c r="H44" s="228"/>
      <c r="I44" s="228"/>
      <c r="J44" s="570"/>
      <c r="K44" s="229"/>
      <c r="L44" s="228"/>
      <c r="M44" s="228"/>
      <c r="N44" s="570"/>
      <c r="O44" s="229"/>
      <c r="P44" s="230"/>
      <c r="Q44" s="228"/>
      <c r="R44" s="229"/>
      <c r="S44" s="228"/>
      <c r="T44" s="228"/>
      <c r="U44" s="230"/>
      <c r="V44" s="583"/>
      <c r="W44" s="592">
        <f t="shared" si="0"/>
        <v>0</v>
      </c>
      <c r="X44" s="143"/>
    </row>
    <row r="45" spans="1:37" s="119" customFormat="1" ht="24" customHeight="1">
      <c r="A45" s="325">
        <v>54301</v>
      </c>
      <c r="B45" s="576" t="s">
        <v>181</v>
      </c>
      <c r="C45" s="229">
        <f>SUM('FONDOS PROPIOS'!H21)</f>
        <v>300</v>
      </c>
      <c r="D45" s="228"/>
      <c r="E45" s="228"/>
      <c r="F45" s="570"/>
      <c r="G45" s="229">
        <f>SUM('25% FODES '!H32)</f>
        <v>8000</v>
      </c>
      <c r="H45" s="228"/>
      <c r="I45" s="228"/>
      <c r="J45" s="570">
        <f>SUM('25% FODES '!H99)</f>
        <v>2500</v>
      </c>
      <c r="K45" s="229"/>
      <c r="L45" s="228"/>
      <c r="M45" s="228"/>
      <c r="N45" s="570">
        <f>SUM(' 75% FODES AG3 '!H68)</f>
        <v>65000</v>
      </c>
      <c r="O45" s="229"/>
      <c r="P45" s="230"/>
      <c r="Q45" s="228"/>
      <c r="R45" s="229"/>
      <c r="S45" s="228"/>
      <c r="T45" s="228"/>
      <c r="U45" s="230"/>
      <c r="V45" s="583"/>
      <c r="W45" s="592">
        <f t="shared" si="0"/>
        <v>75800</v>
      </c>
      <c r="X45" s="143"/>
    </row>
    <row r="46" spans="1:37" s="119" customFormat="1" ht="24" customHeight="1">
      <c r="A46" s="325">
        <v>54302</v>
      </c>
      <c r="B46" s="576" t="s">
        <v>182</v>
      </c>
      <c r="C46" s="229">
        <f>SUM('FONDOS PROPIOS'!H22)</f>
        <v>3000</v>
      </c>
      <c r="D46" s="228"/>
      <c r="E46" s="228"/>
      <c r="F46" s="570"/>
      <c r="G46" s="229">
        <f>SUM('25% FODES '!H33)</f>
        <v>17000</v>
      </c>
      <c r="H46" s="228"/>
      <c r="I46" s="228"/>
      <c r="J46" s="570"/>
      <c r="K46" s="229"/>
      <c r="L46" s="228"/>
      <c r="M46" s="228"/>
      <c r="N46" s="570">
        <f>SUM(' 75% FODES AG3 '!H69)</f>
        <v>2500</v>
      </c>
      <c r="O46" s="229"/>
      <c r="P46" s="230"/>
      <c r="Q46" s="228"/>
      <c r="R46" s="229"/>
      <c r="S46" s="228"/>
      <c r="T46" s="228"/>
      <c r="U46" s="230"/>
      <c r="V46" s="583"/>
      <c r="W46" s="592">
        <f t="shared" si="0"/>
        <v>22500</v>
      </c>
      <c r="X46" s="143"/>
    </row>
    <row r="47" spans="1:37" s="119" customFormat="1" ht="24" customHeight="1">
      <c r="A47" s="325">
        <v>54303</v>
      </c>
      <c r="B47" s="576" t="s">
        <v>183</v>
      </c>
      <c r="C47" s="229"/>
      <c r="D47" s="228"/>
      <c r="E47" s="228"/>
      <c r="F47" s="570">
        <f>SUM('FONDOS PROPIOS'!H59)</f>
        <v>3500</v>
      </c>
      <c r="G47" s="229">
        <f>SUM('25% FODES '!H34)</f>
        <v>8000</v>
      </c>
      <c r="H47" s="228"/>
      <c r="I47" s="228"/>
      <c r="J47" s="570">
        <f>SUM('25% FODES '!H100)</f>
        <v>3000</v>
      </c>
      <c r="K47" s="229"/>
      <c r="L47" s="228"/>
      <c r="M47" s="228"/>
      <c r="N47" s="587">
        <f>SUM(' 75% FODES AG3 '!H70)</f>
        <v>7000</v>
      </c>
      <c r="O47" s="229"/>
      <c r="P47" s="230"/>
      <c r="Q47" s="228"/>
      <c r="R47" s="229"/>
      <c r="S47" s="228"/>
      <c r="T47" s="228"/>
      <c r="U47" s="230"/>
      <c r="V47" s="583"/>
      <c r="W47" s="592">
        <f t="shared" si="0"/>
        <v>21500</v>
      </c>
      <c r="X47" s="143"/>
    </row>
    <row r="48" spans="1:37" s="119" customFormat="1" ht="24" customHeight="1">
      <c r="A48" s="325">
        <v>54304</v>
      </c>
      <c r="B48" s="577" t="s">
        <v>184</v>
      </c>
      <c r="C48" s="229">
        <f>SUM('FONDOS PROPIOS'!H23)</f>
        <v>1000</v>
      </c>
      <c r="D48" s="228"/>
      <c r="E48" s="228"/>
      <c r="F48" s="570"/>
      <c r="G48" s="229">
        <f>SUM('25% FODES '!H35)</f>
        <v>2000</v>
      </c>
      <c r="H48" s="228">
        <f>SUM('25% FODES '!H70)</f>
        <v>2000</v>
      </c>
      <c r="I48" s="228"/>
      <c r="J48" s="570">
        <f>SUM('25% FODES '!H101)</f>
        <v>1000</v>
      </c>
      <c r="K48" s="229">
        <f>SUM(' 75% FODES AG3 '!H16)</f>
        <v>1500</v>
      </c>
      <c r="L48" s="228"/>
      <c r="M48" s="228"/>
      <c r="N48" s="570">
        <f>SUM(' 75% FODES AG3 '!H71)</f>
        <v>1602.78</v>
      </c>
      <c r="O48" s="229"/>
      <c r="P48" s="230"/>
      <c r="Q48" s="228"/>
      <c r="R48" s="229">
        <f>SUM('INVER.FODES 75% AG 4'!H24)</f>
        <v>15200</v>
      </c>
      <c r="S48" s="228"/>
      <c r="T48" s="228"/>
      <c r="U48" s="230"/>
      <c r="V48" s="583"/>
      <c r="W48" s="592">
        <f t="shared" si="0"/>
        <v>24302.78</v>
      </c>
      <c r="X48" s="143"/>
    </row>
    <row r="49" spans="1:41" s="119" customFormat="1" ht="24" customHeight="1">
      <c r="A49" s="325">
        <v>54305</v>
      </c>
      <c r="B49" s="576" t="s">
        <v>185</v>
      </c>
      <c r="C49" s="229"/>
      <c r="D49" s="228"/>
      <c r="E49" s="228"/>
      <c r="F49" s="570"/>
      <c r="G49" s="229">
        <f>SUM('25% FODES '!H36)</f>
        <v>1000</v>
      </c>
      <c r="H49" s="228"/>
      <c r="I49" s="228"/>
      <c r="J49" s="570"/>
      <c r="K49" s="229"/>
      <c r="L49" s="228"/>
      <c r="M49" s="228"/>
      <c r="N49" s="570"/>
      <c r="O49" s="229"/>
      <c r="P49" s="230"/>
      <c r="Q49" s="228"/>
      <c r="R49" s="229"/>
      <c r="S49" s="228"/>
      <c r="T49" s="228"/>
      <c r="U49" s="230"/>
      <c r="V49" s="583"/>
      <c r="W49" s="592">
        <f t="shared" si="0"/>
        <v>1000</v>
      </c>
      <c r="X49" s="143"/>
    </row>
    <row r="50" spans="1:41" s="119" customFormat="1" ht="24" customHeight="1">
      <c r="A50" s="325">
        <v>54313</v>
      </c>
      <c r="B50" s="576" t="s">
        <v>186</v>
      </c>
      <c r="C50" s="229"/>
      <c r="D50" s="228"/>
      <c r="E50" s="228"/>
      <c r="F50" s="570"/>
      <c r="G50" s="229">
        <f>SUM('25% FODES '!H37)</f>
        <v>4000</v>
      </c>
      <c r="H50" s="228"/>
      <c r="I50" s="228"/>
      <c r="J50" s="570"/>
      <c r="K50" s="229"/>
      <c r="L50" s="228"/>
      <c r="M50" s="228"/>
      <c r="N50" s="587">
        <f>SUM(' 75% FODES AG3 '!H72)</f>
        <v>0</v>
      </c>
      <c r="O50" s="229"/>
      <c r="P50" s="230"/>
      <c r="Q50" s="228"/>
      <c r="R50" s="229"/>
      <c r="S50" s="228"/>
      <c r="T50" s="228"/>
      <c r="U50" s="230"/>
      <c r="V50" s="583"/>
      <c r="W50" s="592">
        <f t="shared" si="0"/>
        <v>4000</v>
      </c>
      <c r="X50" s="143"/>
    </row>
    <row r="51" spans="1:41" s="119" customFormat="1" ht="24" customHeight="1">
      <c r="A51" s="325">
        <v>54314</v>
      </c>
      <c r="B51" s="576" t="s">
        <v>187</v>
      </c>
      <c r="C51" s="229">
        <f>SUM('FONDOS PROPIOS'!H24)</f>
        <v>800</v>
      </c>
      <c r="D51" s="228"/>
      <c r="E51" s="228"/>
      <c r="F51" s="570"/>
      <c r="G51" s="229">
        <f>SUM('25% FODES '!H38)</f>
        <v>3000</v>
      </c>
      <c r="H51" s="228"/>
      <c r="I51" s="228"/>
      <c r="J51" s="570"/>
      <c r="K51" s="229"/>
      <c r="L51" s="228"/>
      <c r="M51" s="228"/>
      <c r="N51" s="588"/>
      <c r="O51" s="229"/>
      <c r="P51" s="230"/>
      <c r="Q51" s="228"/>
      <c r="R51" s="229"/>
      <c r="S51" s="228"/>
      <c r="T51" s="228"/>
      <c r="U51" s="230"/>
      <c r="V51" s="583"/>
      <c r="W51" s="592">
        <f t="shared" si="0"/>
        <v>3800</v>
      </c>
      <c r="X51" s="143"/>
    </row>
    <row r="52" spans="1:41" s="119" customFormat="1" ht="24" customHeight="1">
      <c r="A52" s="325">
        <v>54316</v>
      </c>
      <c r="B52" s="577" t="s">
        <v>188</v>
      </c>
      <c r="C52" s="229">
        <f>SUM('FONDOS PROPIOS'!H25)</f>
        <v>0</v>
      </c>
      <c r="D52" s="228"/>
      <c r="E52" s="228"/>
      <c r="F52" s="570"/>
      <c r="G52" s="229"/>
      <c r="H52" s="228"/>
      <c r="I52" s="228"/>
      <c r="J52" s="570"/>
      <c r="K52" s="229"/>
      <c r="L52" s="228"/>
      <c r="M52" s="228"/>
      <c r="N52" s="570">
        <f>SUM(' 75% FODES AG3 '!H73)</f>
        <v>0</v>
      </c>
      <c r="O52" s="229"/>
      <c r="P52" s="230"/>
      <c r="Q52" s="228"/>
      <c r="R52" s="229">
        <f>SUM('INVER.FODES 75% AG 4'!H25)</f>
        <v>9750</v>
      </c>
      <c r="S52" s="228"/>
      <c r="T52" s="228"/>
      <c r="U52" s="230"/>
      <c r="V52" s="583"/>
      <c r="W52" s="592">
        <f t="shared" si="0"/>
        <v>9750</v>
      </c>
      <c r="X52" s="143"/>
    </row>
    <row r="53" spans="1:41" s="119" customFormat="1" ht="24" customHeight="1">
      <c r="A53" s="325">
        <v>54317</v>
      </c>
      <c r="B53" s="577" t="s">
        <v>189</v>
      </c>
      <c r="C53" s="229"/>
      <c r="D53" s="228"/>
      <c r="E53" s="228"/>
      <c r="F53" s="570"/>
      <c r="G53" s="229"/>
      <c r="H53" s="228"/>
      <c r="I53" s="228"/>
      <c r="J53" s="570"/>
      <c r="K53" s="229"/>
      <c r="L53" s="228"/>
      <c r="M53" s="228"/>
      <c r="N53" s="570">
        <f>SUM(' 75% FODES AG3 '!H74)</f>
        <v>0</v>
      </c>
      <c r="O53" s="229"/>
      <c r="P53" s="230"/>
      <c r="Q53" s="228"/>
      <c r="R53" s="229">
        <f>SUM('INVER.FODES 75% AG 4'!H26)</f>
        <v>0</v>
      </c>
      <c r="S53" s="228"/>
      <c r="T53" s="228"/>
      <c r="U53" s="230"/>
      <c r="V53" s="583"/>
      <c r="W53" s="592">
        <f t="shared" si="0"/>
        <v>0</v>
      </c>
      <c r="X53" s="143"/>
    </row>
    <row r="54" spans="1:41" s="119" customFormat="1" ht="24" customHeight="1">
      <c r="A54" s="325">
        <v>54399</v>
      </c>
      <c r="B54" s="576" t="s">
        <v>190</v>
      </c>
      <c r="C54" s="229">
        <f>SUM('FONDOS PROPIOS'!H26)</f>
        <v>6000</v>
      </c>
      <c r="D54" s="228"/>
      <c r="E54" s="228"/>
      <c r="F54" s="570"/>
      <c r="G54" s="229">
        <f>SUM('25% FODES '!H39)</f>
        <v>500</v>
      </c>
      <c r="H54" s="228"/>
      <c r="I54" s="228"/>
      <c r="J54" s="570"/>
      <c r="K54" s="229"/>
      <c r="L54" s="228"/>
      <c r="M54" s="228"/>
      <c r="N54" s="570">
        <f>SUM(' 75% FODES AG3 '!H75)</f>
        <v>28000</v>
      </c>
      <c r="O54" s="229"/>
      <c r="P54" s="230"/>
      <c r="Q54" s="228"/>
      <c r="R54" s="229"/>
      <c r="S54" s="228"/>
      <c r="T54" s="228"/>
      <c r="U54" s="230"/>
      <c r="V54" s="583"/>
      <c r="W54" s="592">
        <f t="shared" si="0"/>
        <v>34500</v>
      </c>
      <c r="X54" s="143"/>
    </row>
    <row r="55" spans="1:41" s="119" customFormat="1" ht="24" customHeight="1">
      <c r="A55" s="325">
        <v>54401</v>
      </c>
      <c r="B55" s="576" t="s">
        <v>126</v>
      </c>
      <c r="C55" s="229"/>
      <c r="D55" s="228"/>
      <c r="E55" s="228"/>
      <c r="F55" s="570"/>
      <c r="G55" s="229">
        <f>SUM('25% FODES '!H40)</f>
        <v>2500</v>
      </c>
      <c r="H55" s="228">
        <f>SUM('25% FODES '!H71)</f>
        <v>900</v>
      </c>
      <c r="I55" s="228">
        <f>SUM('25% FODES '!H84)</f>
        <v>800</v>
      </c>
      <c r="J55" s="570">
        <f>SUM('25% FODES '!H102)</f>
        <v>2000</v>
      </c>
      <c r="K55" s="229"/>
      <c r="L55" s="228"/>
      <c r="M55" s="228"/>
      <c r="N55" s="570"/>
      <c r="O55" s="229"/>
      <c r="P55" s="230"/>
      <c r="Q55" s="228"/>
      <c r="R55" s="229"/>
      <c r="S55" s="228"/>
      <c r="T55" s="228"/>
      <c r="U55" s="230"/>
      <c r="V55" s="583"/>
      <c r="W55" s="592">
        <f t="shared" si="0"/>
        <v>6200</v>
      </c>
      <c r="X55" s="143"/>
    </row>
    <row r="56" spans="1:41" s="119" customFormat="1" ht="24" customHeight="1">
      <c r="A56" s="325">
        <v>54403</v>
      </c>
      <c r="B56" s="576" t="s">
        <v>127</v>
      </c>
      <c r="C56" s="229"/>
      <c r="D56" s="228"/>
      <c r="E56" s="228"/>
      <c r="F56" s="570"/>
      <c r="G56" s="229">
        <f>SUM('25% FODES '!H41)</f>
        <v>3500</v>
      </c>
      <c r="H56" s="228">
        <f>SUM('25% FODES '!H72)</f>
        <v>1600</v>
      </c>
      <c r="I56" s="228">
        <f>SUM('25% FODES '!H85)</f>
        <v>900</v>
      </c>
      <c r="J56" s="570">
        <f>SUM('25% FODES '!H103)</f>
        <v>3000</v>
      </c>
      <c r="K56" s="229"/>
      <c r="L56" s="228"/>
      <c r="M56" s="228"/>
      <c r="N56" s="570">
        <f>SUM(' 75% FODES AG3 '!H76)</f>
        <v>0</v>
      </c>
      <c r="O56" s="229"/>
      <c r="P56" s="230"/>
      <c r="Q56" s="228"/>
      <c r="R56" s="229"/>
      <c r="S56" s="228"/>
      <c r="T56" s="228"/>
      <c r="U56" s="230"/>
      <c r="V56" s="583"/>
      <c r="W56" s="592">
        <f t="shared" si="0"/>
        <v>9000</v>
      </c>
      <c r="X56" s="143"/>
    </row>
    <row r="57" spans="1:41" s="119" customFormat="1" ht="24" customHeight="1">
      <c r="A57" s="325">
        <v>54404</v>
      </c>
      <c r="B57" s="576" t="s">
        <v>212</v>
      </c>
      <c r="C57" s="229"/>
      <c r="D57" s="228"/>
      <c r="E57" s="228"/>
      <c r="F57" s="570"/>
      <c r="G57" s="229"/>
      <c r="H57" s="228"/>
      <c r="I57" s="228"/>
      <c r="J57" s="570"/>
      <c r="K57" s="229"/>
      <c r="L57" s="228"/>
      <c r="M57" s="228"/>
      <c r="N57" s="570"/>
      <c r="O57" s="229"/>
      <c r="P57" s="230"/>
      <c r="Q57" s="228"/>
      <c r="R57" s="229"/>
      <c r="S57" s="228"/>
      <c r="T57" s="228"/>
      <c r="U57" s="230"/>
      <c r="V57" s="583"/>
      <c r="W57" s="592">
        <f t="shared" si="0"/>
        <v>0</v>
      </c>
      <c r="X57" s="143"/>
    </row>
    <row r="58" spans="1:41" s="119" customFormat="1" ht="24" customHeight="1">
      <c r="A58" s="325">
        <v>54503</v>
      </c>
      <c r="B58" s="576" t="s">
        <v>128</v>
      </c>
      <c r="C58" s="229">
        <f>SUM('FONDOS PROPIOS'!H27)</f>
        <v>6200</v>
      </c>
      <c r="D58" s="228"/>
      <c r="E58" s="228"/>
      <c r="F58" s="570"/>
      <c r="G58" s="229">
        <f>SUM('25% FODES '!H42)</f>
        <v>10452.69</v>
      </c>
      <c r="H58" s="228"/>
      <c r="I58" s="228"/>
      <c r="J58" s="570"/>
      <c r="K58" s="229"/>
      <c r="L58" s="228"/>
      <c r="M58" s="228"/>
      <c r="N58" s="570"/>
      <c r="O58" s="229"/>
      <c r="P58" s="230"/>
      <c r="Q58" s="228"/>
      <c r="R58" s="229"/>
      <c r="S58" s="228"/>
      <c r="T58" s="228"/>
      <c r="U58" s="230"/>
      <c r="V58" s="583"/>
      <c r="W58" s="592">
        <f t="shared" si="0"/>
        <v>16652.690000000002</v>
      </c>
      <c r="X58" s="143"/>
    </row>
    <row r="59" spans="1:41" s="119" customFormat="1" ht="24" customHeight="1">
      <c r="A59" s="325">
        <v>54504</v>
      </c>
      <c r="B59" s="577" t="s">
        <v>203</v>
      </c>
      <c r="C59" s="229"/>
      <c r="D59" s="228"/>
      <c r="E59" s="228"/>
      <c r="F59" s="570"/>
      <c r="G59" s="229">
        <f>SUM('25% FODES '!H43)</f>
        <v>10000</v>
      </c>
      <c r="H59" s="228"/>
      <c r="I59" s="228"/>
      <c r="J59" s="570"/>
      <c r="K59" s="229"/>
      <c r="L59" s="228"/>
      <c r="M59" s="228"/>
      <c r="N59" s="570"/>
      <c r="O59" s="229"/>
      <c r="P59" s="230"/>
      <c r="Q59" s="228"/>
      <c r="R59" s="229"/>
      <c r="S59" s="228"/>
      <c r="T59" s="228"/>
      <c r="U59" s="230"/>
      <c r="V59" s="583"/>
      <c r="W59" s="592">
        <f t="shared" si="0"/>
        <v>10000</v>
      </c>
      <c r="X59" s="143"/>
    </row>
    <row r="60" spans="1:41" s="119" customFormat="1" ht="24" customHeight="1">
      <c r="A60" s="325">
        <v>54505</v>
      </c>
      <c r="B60" s="576" t="s">
        <v>520</v>
      </c>
      <c r="C60" s="229"/>
      <c r="D60" s="228"/>
      <c r="E60" s="228"/>
      <c r="F60" s="570"/>
      <c r="G60" s="229">
        <f>SUM('25% FODES '!H44)</f>
        <v>2500</v>
      </c>
      <c r="H60" s="228"/>
      <c r="I60" s="228"/>
      <c r="J60" s="570"/>
      <c r="K60" s="229"/>
      <c r="L60" s="228"/>
      <c r="M60" s="228"/>
      <c r="N60" s="570">
        <f>SUM(' 75% FODES AG3 '!H77)</f>
        <v>3596.72</v>
      </c>
      <c r="O60" s="229"/>
      <c r="P60" s="230"/>
      <c r="Q60" s="228"/>
      <c r="R60" s="229"/>
      <c r="S60" s="228"/>
      <c r="T60" s="228"/>
      <c r="U60" s="230"/>
      <c r="V60" s="583"/>
      <c r="W60" s="592">
        <f t="shared" si="0"/>
        <v>6096.7199999999993</v>
      </c>
      <c r="X60" s="143"/>
    </row>
    <row r="61" spans="1:41" s="119" customFormat="1" ht="24" customHeight="1">
      <c r="A61" s="325">
        <v>54507</v>
      </c>
      <c r="B61" s="576" t="s">
        <v>487</v>
      </c>
      <c r="C61" s="229"/>
      <c r="D61" s="228"/>
      <c r="E61" s="228"/>
      <c r="F61" s="570"/>
      <c r="G61" s="229">
        <f>SUM('25% FODES '!H45)</f>
        <v>2800</v>
      </c>
      <c r="H61" s="228"/>
      <c r="I61" s="228"/>
      <c r="J61" s="570"/>
      <c r="K61" s="229"/>
      <c r="L61" s="228"/>
      <c r="M61" s="228"/>
      <c r="N61" s="570"/>
      <c r="O61" s="229"/>
      <c r="P61" s="230"/>
      <c r="Q61" s="228"/>
      <c r="R61" s="229"/>
      <c r="S61" s="228"/>
      <c r="T61" s="228"/>
      <c r="U61" s="230"/>
      <c r="V61" s="583"/>
      <c r="W61" s="592">
        <f t="shared" si="0"/>
        <v>2800</v>
      </c>
      <c r="X61" s="143"/>
    </row>
    <row r="62" spans="1:41" s="119" customFormat="1" ht="24" customHeight="1">
      <c r="A62" s="325">
        <v>54599</v>
      </c>
      <c r="B62" s="576" t="s">
        <v>129</v>
      </c>
      <c r="C62" s="229"/>
      <c r="D62" s="228"/>
      <c r="E62" s="228"/>
      <c r="F62" s="570"/>
      <c r="G62" s="229">
        <f>SUM('25% FODES '!H46)</f>
        <v>15000</v>
      </c>
      <c r="H62" s="228"/>
      <c r="I62" s="228"/>
      <c r="J62" s="570"/>
      <c r="K62" s="229"/>
      <c r="L62" s="228"/>
      <c r="M62" s="228"/>
      <c r="N62" s="570"/>
      <c r="O62" s="229"/>
      <c r="P62" s="230"/>
      <c r="Q62" s="228"/>
      <c r="R62" s="229">
        <f>SUM('INVER.FODES 75% AG 4'!H27)</f>
        <v>0</v>
      </c>
      <c r="S62" s="228"/>
      <c r="T62" s="228"/>
      <c r="U62" s="230"/>
      <c r="V62" s="583"/>
      <c r="W62" s="592">
        <f t="shared" si="0"/>
        <v>15000</v>
      </c>
      <c r="X62" s="143"/>
    </row>
    <row r="63" spans="1:41" s="119" customFormat="1" ht="24" customHeight="1">
      <c r="A63" s="325">
        <v>54601</v>
      </c>
      <c r="B63" s="576" t="s">
        <v>130</v>
      </c>
      <c r="C63" s="229"/>
      <c r="D63" s="228"/>
      <c r="E63" s="228"/>
      <c r="F63" s="570"/>
      <c r="G63" s="229"/>
      <c r="H63" s="228"/>
      <c r="I63" s="228"/>
      <c r="J63" s="570"/>
      <c r="K63" s="229"/>
      <c r="L63" s="228"/>
      <c r="M63" s="228"/>
      <c r="N63" s="570"/>
      <c r="O63" s="229"/>
      <c r="P63" s="230"/>
      <c r="Q63" s="228"/>
      <c r="R63" s="229"/>
      <c r="S63" s="228"/>
      <c r="T63" s="228"/>
      <c r="U63" s="230"/>
      <c r="V63" s="583"/>
      <c r="W63" s="592">
        <f t="shared" si="0"/>
        <v>0</v>
      </c>
      <c r="X63" s="143"/>
    </row>
    <row r="64" spans="1:41" s="119" customFormat="1" ht="24" customHeight="1">
      <c r="A64" s="325">
        <v>54602</v>
      </c>
      <c r="B64" s="576" t="s">
        <v>131</v>
      </c>
      <c r="C64" s="229"/>
      <c r="D64" s="228"/>
      <c r="E64" s="228"/>
      <c r="F64" s="570"/>
      <c r="G64" s="229"/>
      <c r="H64" s="228"/>
      <c r="I64" s="228"/>
      <c r="J64" s="570"/>
      <c r="K64" s="229"/>
      <c r="L64" s="228"/>
      <c r="M64" s="228"/>
      <c r="N64" s="570"/>
      <c r="O64" s="229"/>
      <c r="P64" s="230"/>
      <c r="Q64" s="228"/>
      <c r="R64" s="229"/>
      <c r="S64" s="228"/>
      <c r="T64" s="228"/>
      <c r="U64" s="230"/>
      <c r="V64" s="583"/>
      <c r="W64" s="592">
        <f t="shared" si="0"/>
        <v>0</v>
      </c>
      <c r="X64" s="143"/>
    </row>
    <row r="65" spans="1:45" s="119" customFormat="1" ht="24" customHeight="1">
      <c r="A65" s="325">
        <v>54603</v>
      </c>
      <c r="B65" s="576" t="s">
        <v>132</v>
      </c>
      <c r="C65" s="229"/>
      <c r="D65" s="228"/>
      <c r="E65" s="228"/>
      <c r="F65" s="570"/>
      <c r="G65" s="229"/>
      <c r="H65" s="228"/>
      <c r="I65" s="228"/>
      <c r="J65" s="570"/>
      <c r="K65" s="229"/>
      <c r="L65" s="228"/>
      <c r="M65" s="228"/>
      <c r="N65" s="570"/>
      <c r="O65" s="229"/>
      <c r="P65" s="230"/>
      <c r="Q65" s="228"/>
      <c r="R65" s="229"/>
      <c r="S65" s="228"/>
      <c r="T65" s="228"/>
      <c r="U65" s="230"/>
      <c r="V65" s="583"/>
      <c r="W65" s="592">
        <f t="shared" si="0"/>
        <v>0</v>
      </c>
      <c r="X65" s="143"/>
    </row>
    <row r="66" spans="1:45" s="119" customFormat="1" ht="24" customHeight="1">
      <c r="A66" s="325">
        <v>54699</v>
      </c>
      <c r="B66" s="576" t="s">
        <v>133</v>
      </c>
      <c r="C66" s="229"/>
      <c r="D66" s="228"/>
      <c r="E66" s="228"/>
      <c r="F66" s="570"/>
      <c r="G66" s="229"/>
      <c r="H66" s="228"/>
      <c r="I66" s="228"/>
      <c r="J66" s="570"/>
      <c r="K66" s="229"/>
      <c r="L66" s="228"/>
      <c r="M66" s="228"/>
      <c r="N66" s="570"/>
      <c r="O66" s="229"/>
      <c r="P66" s="230"/>
      <c r="Q66" s="228"/>
      <c r="R66" s="229"/>
      <c r="S66" s="228"/>
      <c r="T66" s="228"/>
      <c r="U66" s="230"/>
      <c r="V66" s="583"/>
      <c r="W66" s="592">
        <f t="shared" si="0"/>
        <v>0</v>
      </c>
      <c r="X66" s="143"/>
    </row>
    <row r="67" spans="1:45" s="119" customFormat="1" ht="24" customHeight="1">
      <c r="A67" s="325">
        <v>55302</v>
      </c>
      <c r="B67" s="577" t="s">
        <v>134</v>
      </c>
      <c r="C67" s="229"/>
      <c r="D67" s="228"/>
      <c r="E67" s="228"/>
      <c r="F67" s="570"/>
      <c r="G67" s="229"/>
      <c r="H67" s="228"/>
      <c r="I67" s="228"/>
      <c r="J67" s="570"/>
      <c r="K67" s="229"/>
      <c r="L67" s="228"/>
      <c r="M67" s="228"/>
      <c r="N67" s="570"/>
      <c r="O67" s="229"/>
      <c r="P67" s="230"/>
      <c r="Q67" s="228"/>
      <c r="R67" s="229"/>
      <c r="S67" s="228"/>
      <c r="T67" s="228"/>
      <c r="U67" s="230"/>
      <c r="V67" s="583">
        <f>SUM('Pres.Servicio Deuda Publica'!H11)</f>
        <v>0</v>
      </c>
      <c r="W67" s="592">
        <f t="shared" si="0"/>
        <v>0</v>
      </c>
      <c r="X67" s="143"/>
    </row>
    <row r="68" spans="1:45" s="119" customFormat="1" ht="24" customHeight="1">
      <c r="A68" s="325">
        <v>55304</v>
      </c>
      <c r="B68" s="577" t="s">
        <v>215</v>
      </c>
      <c r="C68" s="229"/>
      <c r="D68" s="228"/>
      <c r="E68" s="228"/>
      <c r="F68" s="570"/>
      <c r="G68" s="229"/>
      <c r="H68" s="228"/>
      <c r="I68" s="228"/>
      <c r="J68" s="570"/>
      <c r="K68" s="229"/>
      <c r="L68" s="228"/>
      <c r="M68" s="228"/>
      <c r="N68" s="570"/>
      <c r="O68" s="229"/>
      <c r="P68" s="230"/>
      <c r="Q68" s="228"/>
      <c r="R68" s="229"/>
      <c r="S68" s="228"/>
      <c r="T68" s="228"/>
      <c r="U68" s="230"/>
      <c r="V68" s="584">
        <f>SUM('Pres.Servicio Deuda Publica'!H12)</f>
        <v>0</v>
      </c>
      <c r="W68" s="592">
        <f t="shared" si="0"/>
        <v>0</v>
      </c>
      <c r="X68" s="143"/>
    </row>
    <row r="69" spans="1:45" s="119" customFormat="1" ht="24" customHeight="1">
      <c r="A69" s="325">
        <v>55599</v>
      </c>
      <c r="B69" s="577" t="s">
        <v>958</v>
      </c>
      <c r="C69" s="229"/>
      <c r="D69" s="228"/>
      <c r="E69" s="228"/>
      <c r="F69" s="570"/>
      <c r="G69" s="229">
        <f>SUM('25% FODES '!H47)</f>
        <v>200</v>
      </c>
      <c r="H69" s="228"/>
      <c r="I69" s="228"/>
      <c r="J69" s="570"/>
      <c r="K69" s="229"/>
      <c r="L69" s="228"/>
      <c r="M69" s="228"/>
      <c r="N69" s="570"/>
      <c r="O69" s="229"/>
      <c r="P69" s="230"/>
      <c r="Q69" s="228"/>
      <c r="R69" s="229"/>
      <c r="S69" s="228"/>
      <c r="T69" s="228"/>
      <c r="U69" s="230"/>
      <c r="V69" s="584"/>
      <c r="W69" s="592">
        <f t="shared" si="0"/>
        <v>200</v>
      </c>
      <c r="X69" s="143"/>
    </row>
    <row r="70" spans="1:45" s="119" customFormat="1" ht="24" customHeight="1">
      <c r="A70" s="325">
        <v>55601</v>
      </c>
      <c r="B70" s="576" t="s">
        <v>213</v>
      </c>
      <c r="C70" s="229"/>
      <c r="D70" s="228"/>
      <c r="E70" s="228"/>
      <c r="F70" s="570"/>
      <c r="G70" s="229"/>
      <c r="H70" s="228"/>
      <c r="I70" s="228"/>
      <c r="J70" s="570"/>
      <c r="K70" s="229"/>
      <c r="L70" s="228"/>
      <c r="M70" s="228"/>
      <c r="N70" s="570"/>
      <c r="O70" s="229"/>
      <c r="P70" s="230"/>
      <c r="Q70" s="228"/>
      <c r="R70" s="229"/>
      <c r="S70" s="228"/>
      <c r="T70" s="228"/>
      <c r="U70" s="230"/>
      <c r="V70" s="583"/>
      <c r="W70" s="592">
        <f t="shared" si="0"/>
        <v>0</v>
      </c>
      <c r="X70" s="143"/>
    </row>
    <row r="71" spans="1:45" s="119" customFormat="1" ht="24" customHeight="1">
      <c r="A71" s="325">
        <v>55602</v>
      </c>
      <c r="B71" s="576" t="s">
        <v>135</v>
      </c>
      <c r="C71" s="229"/>
      <c r="D71" s="228"/>
      <c r="E71" s="228"/>
      <c r="F71" s="570"/>
      <c r="G71" s="229">
        <f>SUM('25% FODES '!H48)</f>
        <v>3000</v>
      </c>
      <c r="H71" s="228"/>
      <c r="I71" s="228"/>
      <c r="J71" s="570"/>
      <c r="K71" s="229"/>
      <c r="L71" s="228"/>
      <c r="M71" s="228"/>
      <c r="N71" s="570"/>
      <c r="O71" s="229"/>
      <c r="P71" s="230"/>
      <c r="Q71" s="228"/>
      <c r="R71" s="229"/>
      <c r="S71" s="228"/>
      <c r="T71" s="228"/>
      <c r="U71" s="230"/>
      <c r="V71" s="583"/>
      <c r="W71" s="592">
        <f t="shared" si="0"/>
        <v>3000</v>
      </c>
      <c r="X71" s="143"/>
    </row>
    <row r="72" spans="1:45" s="119" customFormat="1" ht="24" customHeight="1">
      <c r="A72" s="325">
        <v>55603</v>
      </c>
      <c r="B72" s="576" t="s">
        <v>136</v>
      </c>
      <c r="C72" s="229"/>
      <c r="D72" s="228"/>
      <c r="E72" s="228"/>
      <c r="F72" s="570"/>
      <c r="G72" s="229">
        <f>SUM('25% FODES '!H49)</f>
        <v>1800</v>
      </c>
      <c r="H72" s="362">
        <f>SUM('25% FODES '!H73)</f>
        <v>150</v>
      </c>
      <c r="I72" s="228"/>
      <c r="J72" s="570"/>
      <c r="K72" s="229"/>
      <c r="L72" s="228"/>
      <c r="M72" s="228"/>
      <c r="N72" s="570"/>
      <c r="O72" s="229"/>
      <c r="P72" s="230"/>
      <c r="Q72" s="228"/>
      <c r="R72" s="229"/>
      <c r="S72" s="228"/>
      <c r="T72" s="228"/>
      <c r="U72" s="230"/>
      <c r="V72" s="583"/>
      <c r="W72" s="592">
        <f t="shared" si="0"/>
        <v>1950</v>
      </c>
      <c r="X72" s="143"/>
    </row>
    <row r="73" spans="1:45" s="119" customFormat="1" ht="24" customHeight="1">
      <c r="A73" s="325">
        <v>55799</v>
      </c>
      <c r="B73" s="576" t="s">
        <v>137</v>
      </c>
      <c r="C73" s="229"/>
      <c r="D73" s="228"/>
      <c r="E73" s="228"/>
      <c r="F73" s="570"/>
      <c r="G73" s="229">
        <f>SUM('25% FODES '!H50)</f>
        <v>1500</v>
      </c>
      <c r="H73" s="228">
        <f>SUM('25% FODES '!H74)</f>
        <v>200</v>
      </c>
      <c r="I73" s="228"/>
      <c r="J73" s="570"/>
      <c r="K73" s="229"/>
      <c r="L73" s="228"/>
      <c r="M73" s="228"/>
      <c r="N73" s="570"/>
      <c r="O73" s="229"/>
      <c r="P73" s="230"/>
      <c r="Q73" s="228"/>
      <c r="R73" s="229"/>
      <c r="S73" s="228"/>
      <c r="T73" s="228"/>
      <c r="U73" s="230"/>
      <c r="V73" s="583"/>
      <c r="W73" s="592">
        <f t="shared" si="0"/>
        <v>1700</v>
      </c>
      <c r="X73" s="143"/>
    </row>
    <row r="74" spans="1:45" s="119" customFormat="1" ht="24" customHeight="1">
      <c r="A74" s="325">
        <v>56201</v>
      </c>
      <c r="B74" s="577" t="s">
        <v>139</v>
      </c>
      <c r="C74" s="229">
        <f>SUM('Concen. de  Recursos Huma'!C31)</f>
        <v>0</v>
      </c>
      <c r="D74" s="228"/>
      <c r="E74" s="228"/>
      <c r="F74" s="570"/>
      <c r="G74" s="229">
        <f>SUM('Concen. de  Recursos Huma'!C15+14400+1200+3600)</f>
        <v>19200</v>
      </c>
      <c r="H74" s="228"/>
      <c r="I74" s="228"/>
      <c r="J74" s="570"/>
      <c r="K74" s="229"/>
      <c r="L74" s="228"/>
      <c r="M74" s="228"/>
      <c r="N74" s="570"/>
      <c r="O74" s="229"/>
      <c r="P74" s="230"/>
      <c r="Q74" s="228"/>
      <c r="R74" s="229"/>
      <c r="S74" s="228"/>
      <c r="T74" s="228"/>
      <c r="U74" s="230"/>
      <c r="V74" s="583"/>
      <c r="W74" s="592">
        <f t="shared" si="0"/>
        <v>19200</v>
      </c>
      <c r="X74" s="143"/>
    </row>
    <row r="75" spans="1:45" s="119" customFormat="1" ht="24" customHeight="1">
      <c r="A75" s="325">
        <v>56303</v>
      </c>
      <c r="B75" s="576" t="s">
        <v>140</v>
      </c>
      <c r="C75" s="229"/>
      <c r="D75" s="228"/>
      <c r="E75" s="228"/>
      <c r="F75" s="570"/>
      <c r="G75" s="229"/>
      <c r="H75" s="228"/>
      <c r="I75" s="228"/>
      <c r="J75" s="570"/>
      <c r="K75" s="229"/>
      <c r="L75" s="228"/>
      <c r="M75" s="228"/>
      <c r="N75" s="570"/>
      <c r="O75" s="229"/>
      <c r="P75" s="230"/>
      <c r="Q75" s="228"/>
      <c r="R75" s="229"/>
      <c r="S75" s="228"/>
      <c r="T75" s="228"/>
      <c r="U75" s="230"/>
      <c r="V75" s="583"/>
      <c r="W75" s="592">
        <f t="shared" ref="W75:W95" si="1">+SUM(C75:V75)</f>
        <v>0</v>
      </c>
      <c r="X75" s="143"/>
    </row>
    <row r="76" spans="1:45" s="119" customFormat="1" ht="24" customHeight="1">
      <c r="A76" s="325">
        <v>56304</v>
      </c>
      <c r="B76" s="576" t="s">
        <v>141</v>
      </c>
      <c r="C76" s="229">
        <f>SUM('FONDOS PROPIOS'!H29)</f>
        <v>4972.2299999999996</v>
      </c>
      <c r="D76" s="228"/>
      <c r="E76" s="228"/>
      <c r="F76" s="570"/>
      <c r="G76" s="229">
        <f>SUM('25% FODES '!H52)</f>
        <v>11430.22</v>
      </c>
      <c r="H76" s="228"/>
      <c r="I76" s="228"/>
      <c r="J76" s="570"/>
      <c r="K76" s="229"/>
      <c r="L76" s="228"/>
      <c r="M76" s="228"/>
      <c r="N76" s="650">
        <f>SUM(' 75% FODES AG3 '!H78)</f>
        <v>179202.50999999998</v>
      </c>
      <c r="O76" s="229"/>
      <c r="P76" s="230"/>
      <c r="Q76" s="228"/>
      <c r="R76" s="229">
        <f>SUM('INVER.FODES 75% AG 4'!H28)</f>
        <v>280614.95</v>
      </c>
      <c r="S76" s="228"/>
      <c r="T76" s="228"/>
      <c r="U76" s="230"/>
      <c r="V76" s="583"/>
      <c r="W76" s="592">
        <f t="shared" si="1"/>
        <v>476219.91</v>
      </c>
      <c r="X76" s="143"/>
    </row>
    <row r="77" spans="1:45" s="119" customFormat="1" ht="24" customHeight="1">
      <c r="A77" s="325">
        <v>56305</v>
      </c>
      <c r="B77" s="576" t="s">
        <v>142</v>
      </c>
      <c r="C77" s="229"/>
      <c r="D77" s="228"/>
      <c r="E77" s="228"/>
      <c r="F77" s="570"/>
      <c r="G77" s="229"/>
      <c r="H77" s="228"/>
      <c r="I77" s="228"/>
      <c r="J77" s="570"/>
      <c r="K77" s="229"/>
      <c r="L77" s="228"/>
      <c r="M77" s="228"/>
      <c r="N77" s="570">
        <f>SUM(' 75% FODES AG3 '!H79)</f>
        <v>90000</v>
      </c>
      <c r="O77" s="229"/>
      <c r="P77" s="230"/>
      <c r="Q77" s="228"/>
      <c r="R77" s="229"/>
      <c r="S77" s="228"/>
      <c r="T77" s="228"/>
      <c r="U77" s="230"/>
      <c r="V77" s="583"/>
      <c r="W77" s="592">
        <f t="shared" si="1"/>
        <v>90000</v>
      </c>
      <c r="X77" s="143"/>
    </row>
    <row r="78" spans="1:45" s="119" customFormat="1" ht="24" customHeight="1">
      <c r="A78" s="325">
        <v>61101</v>
      </c>
      <c r="B78" s="576" t="s">
        <v>214</v>
      </c>
      <c r="C78" s="229"/>
      <c r="D78" s="228"/>
      <c r="E78" s="228"/>
      <c r="F78" s="570"/>
      <c r="G78" s="229">
        <f>SUM('25% FODES '!H53)</f>
        <v>12000</v>
      </c>
      <c r="H78" s="228"/>
      <c r="I78" s="228"/>
      <c r="J78" s="570"/>
      <c r="K78" s="229"/>
      <c r="L78" s="228"/>
      <c r="M78" s="228"/>
      <c r="N78" s="570"/>
      <c r="O78" s="229"/>
      <c r="P78" s="230"/>
      <c r="Q78" s="228"/>
      <c r="R78" s="229"/>
      <c r="S78" s="228"/>
      <c r="T78" s="228"/>
      <c r="U78" s="230"/>
      <c r="V78" s="583"/>
      <c r="W78" s="592">
        <f t="shared" si="1"/>
        <v>12000</v>
      </c>
      <c r="X78" s="143"/>
    </row>
    <row r="79" spans="1:45" s="119" customFormat="1" ht="24" customHeight="1">
      <c r="A79" s="325">
        <v>61102</v>
      </c>
      <c r="B79" s="576" t="s">
        <v>196</v>
      </c>
      <c r="C79" s="229"/>
      <c r="D79" s="228"/>
      <c r="E79" s="228"/>
      <c r="F79" s="570"/>
      <c r="G79" s="229">
        <f>SUM('25% FODES '!H54)</f>
        <v>15108.59</v>
      </c>
      <c r="H79" s="228"/>
      <c r="I79" s="228"/>
      <c r="J79" s="570"/>
      <c r="K79" s="229"/>
      <c r="L79" s="228"/>
      <c r="M79" s="228"/>
      <c r="N79" s="570">
        <f>SUM(' 75% FODES AG3 '!H80)</f>
        <v>0</v>
      </c>
      <c r="O79" s="229"/>
      <c r="P79" s="230"/>
      <c r="Q79" s="228"/>
      <c r="R79" s="229"/>
      <c r="S79" s="228"/>
      <c r="T79" s="228"/>
      <c r="U79" s="230"/>
      <c r="V79" s="583"/>
      <c r="W79" s="592">
        <f t="shared" si="1"/>
        <v>15108.59</v>
      </c>
      <c r="X79" s="143"/>
    </row>
    <row r="80" spans="1:45" s="119" customFormat="1" ht="24" customHeight="1">
      <c r="A80" s="318" t="s">
        <v>143</v>
      </c>
      <c r="B80" s="575" t="s">
        <v>144</v>
      </c>
      <c r="C80" s="229"/>
      <c r="D80" s="228"/>
      <c r="E80" s="228"/>
      <c r="F80" s="570"/>
      <c r="G80" s="229">
        <f>SUM('25% FODES '!H55)</f>
        <v>8000</v>
      </c>
      <c r="H80" s="228">
        <f>SUM('25% FODES '!H75)</f>
        <v>500</v>
      </c>
      <c r="I80" s="228"/>
      <c r="J80" s="570"/>
      <c r="K80" s="229"/>
      <c r="L80" s="228"/>
      <c r="M80" s="228"/>
      <c r="N80" s="570">
        <f>SUM(' 75% FODES AG3 '!H81)</f>
        <v>200</v>
      </c>
      <c r="O80" s="229"/>
      <c r="P80" s="230"/>
      <c r="Q80" s="228"/>
      <c r="R80" s="229"/>
      <c r="S80" s="228"/>
      <c r="T80" s="228"/>
      <c r="U80" s="230"/>
      <c r="V80" s="583"/>
      <c r="W80" s="592">
        <f t="shared" si="1"/>
        <v>8700</v>
      </c>
      <c r="X80" s="143"/>
    </row>
    <row r="81" spans="1:44" s="119" customFormat="1" ht="24" customHeight="1">
      <c r="A81" s="318" t="s">
        <v>522</v>
      </c>
      <c r="B81" s="575" t="s">
        <v>523</v>
      </c>
      <c r="C81" s="229"/>
      <c r="D81" s="228"/>
      <c r="E81" s="228"/>
      <c r="F81" s="570"/>
      <c r="G81" s="229"/>
      <c r="H81" s="228"/>
      <c r="I81" s="228"/>
      <c r="J81" s="570"/>
      <c r="K81" s="229"/>
      <c r="L81" s="228"/>
      <c r="M81" s="228"/>
      <c r="N81" s="570"/>
      <c r="O81" s="229"/>
      <c r="P81" s="230"/>
      <c r="Q81" s="228"/>
      <c r="R81" s="229"/>
      <c r="S81" s="228"/>
      <c r="T81" s="228"/>
      <c r="U81" s="230"/>
      <c r="V81" s="583"/>
      <c r="W81" s="592">
        <f t="shared" si="1"/>
        <v>0</v>
      </c>
      <c r="X81" s="143"/>
    </row>
    <row r="82" spans="1:44" s="119" customFormat="1" ht="24" customHeight="1">
      <c r="A82" s="318" t="s">
        <v>145</v>
      </c>
      <c r="B82" s="575" t="s">
        <v>146</v>
      </c>
      <c r="C82" s="229"/>
      <c r="D82" s="228"/>
      <c r="E82" s="228"/>
      <c r="F82" s="570"/>
      <c r="G82" s="229">
        <f>SUM('25% FODES '!H56)</f>
        <v>8000</v>
      </c>
      <c r="H82" s="228"/>
      <c r="I82" s="228"/>
      <c r="J82" s="570"/>
      <c r="K82" s="229"/>
      <c r="L82" s="228"/>
      <c r="M82" s="228"/>
      <c r="N82" s="570"/>
      <c r="O82" s="229"/>
      <c r="P82" s="230"/>
      <c r="Q82" s="228"/>
      <c r="R82" s="229"/>
      <c r="S82" s="228"/>
      <c r="T82" s="228"/>
      <c r="U82" s="230"/>
      <c r="V82" s="583"/>
      <c r="W82" s="592">
        <f t="shared" si="1"/>
        <v>8000</v>
      </c>
      <c r="X82" s="143"/>
    </row>
    <row r="83" spans="1:44" s="119" customFormat="1" ht="24" customHeight="1">
      <c r="A83" s="318" t="s">
        <v>147</v>
      </c>
      <c r="B83" s="575" t="s">
        <v>148</v>
      </c>
      <c r="C83" s="229"/>
      <c r="D83" s="228"/>
      <c r="E83" s="228"/>
      <c r="F83" s="570"/>
      <c r="G83" s="229"/>
      <c r="H83" s="228"/>
      <c r="I83" s="228"/>
      <c r="J83" s="570"/>
      <c r="K83" s="229">
        <f>SUM(' 75% FODES AG3 '!H18)</f>
        <v>0</v>
      </c>
      <c r="L83" s="228"/>
      <c r="M83" s="228"/>
      <c r="N83" s="570"/>
      <c r="O83" s="229"/>
      <c r="P83" s="230"/>
      <c r="Q83" s="228"/>
      <c r="R83" s="229">
        <f>SUM('INVER.FODES 75% AG 4'!H30)</f>
        <v>0</v>
      </c>
      <c r="S83" s="228"/>
      <c r="T83" s="228"/>
      <c r="U83" s="230"/>
      <c r="V83" s="583"/>
      <c r="W83" s="592">
        <f t="shared" si="1"/>
        <v>0</v>
      </c>
      <c r="X83" s="143"/>
    </row>
    <row r="84" spans="1:44" s="119" customFormat="1" ht="24" customHeight="1">
      <c r="A84" s="318" t="s">
        <v>149</v>
      </c>
      <c r="B84" s="575" t="s">
        <v>150</v>
      </c>
      <c r="C84" s="229"/>
      <c r="D84" s="228"/>
      <c r="E84" s="228"/>
      <c r="F84" s="570"/>
      <c r="G84" s="229">
        <f>SUM('25% FODES '!H57)</f>
        <v>10000</v>
      </c>
      <c r="H84" s="228"/>
      <c r="I84" s="228"/>
      <c r="J84" s="570"/>
      <c r="K84" s="229"/>
      <c r="L84" s="228"/>
      <c r="M84" s="228"/>
      <c r="N84" s="570"/>
      <c r="O84" s="229"/>
      <c r="P84" s="230"/>
      <c r="Q84" s="228"/>
      <c r="R84" s="229"/>
      <c r="S84" s="228"/>
      <c r="T84" s="228"/>
      <c r="U84" s="230"/>
      <c r="V84" s="583"/>
      <c r="W84" s="592">
        <f t="shared" si="1"/>
        <v>10000</v>
      </c>
      <c r="X84" s="143"/>
    </row>
    <row r="85" spans="1:44" s="119" customFormat="1" ht="24" customHeight="1">
      <c r="A85" s="325">
        <v>61599</v>
      </c>
      <c r="B85" s="575" t="s">
        <v>151</v>
      </c>
      <c r="C85" s="229"/>
      <c r="D85" s="228"/>
      <c r="E85" s="228"/>
      <c r="F85" s="570"/>
      <c r="G85" s="229"/>
      <c r="H85" s="228"/>
      <c r="I85" s="228"/>
      <c r="J85" s="570"/>
      <c r="K85" s="229">
        <f>SUM(' 75% FODES AG3 '!H19)</f>
        <v>0</v>
      </c>
      <c r="L85" s="228"/>
      <c r="M85" s="228"/>
      <c r="N85" s="570">
        <f>SUM(' 75% FODES AG3 '!H84)</f>
        <v>0</v>
      </c>
      <c r="O85" s="229"/>
      <c r="P85" s="230"/>
      <c r="Q85" s="228"/>
      <c r="R85" s="229">
        <f>SUM('INVER.FODES 75% AG 4'!H29)</f>
        <v>54894.5</v>
      </c>
      <c r="S85" s="228"/>
      <c r="T85" s="228"/>
      <c r="U85" s="230"/>
      <c r="V85" s="583"/>
      <c r="W85" s="592">
        <f t="shared" si="1"/>
        <v>54894.5</v>
      </c>
      <c r="X85" s="143"/>
    </row>
    <row r="86" spans="1:44" s="119" customFormat="1" ht="24" customHeight="1">
      <c r="A86" s="325">
        <v>61601</v>
      </c>
      <c r="B86" s="575" t="s">
        <v>152</v>
      </c>
      <c r="C86" s="229"/>
      <c r="D86" s="228"/>
      <c r="E86" s="323"/>
      <c r="F86" s="570"/>
      <c r="G86" s="229"/>
      <c r="H86" s="228"/>
      <c r="I86" s="228"/>
      <c r="J86" s="570"/>
      <c r="K86" s="229"/>
      <c r="L86" s="228"/>
      <c r="M86" s="228"/>
      <c r="N86" s="570"/>
      <c r="O86" s="229"/>
      <c r="P86" s="230"/>
      <c r="Q86" s="228"/>
      <c r="R86" s="229">
        <f>SUM('INVER.FODES 75% AG 4'!H31)</f>
        <v>219165.38</v>
      </c>
      <c r="S86" s="228"/>
      <c r="T86" s="228"/>
      <c r="U86" s="230"/>
      <c r="V86" s="583"/>
      <c r="W86" s="592">
        <f t="shared" si="1"/>
        <v>219165.38</v>
      </c>
      <c r="X86" s="143"/>
    </row>
    <row r="87" spans="1:44" s="119" customFormat="1" ht="24" customHeight="1">
      <c r="A87" s="325">
        <v>61602</v>
      </c>
      <c r="B87" s="575" t="s">
        <v>153</v>
      </c>
      <c r="C87" s="229"/>
      <c r="D87" s="228"/>
      <c r="E87" s="228"/>
      <c r="F87" s="570"/>
      <c r="G87" s="229"/>
      <c r="H87" s="228"/>
      <c r="I87" s="228"/>
      <c r="J87" s="570"/>
      <c r="K87" s="229"/>
      <c r="L87" s="228"/>
      <c r="M87" s="228"/>
      <c r="N87" s="570"/>
      <c r="O87" s="229"/>
      <c r="P87" s="230"/>
      <c r="Q87" s="228"/>
      <c r="R87" s="229"/>
      <c r="S87" s="228"/>
      <c r="T87" s="228"/>
      <c r="U87" s="230"/>
      <c r="V87" s="583"/>
      <c r="W87" s="592">
        <f t="shared" si="1"/>
        <v>0</v>
      </c>
      <c r="X87" s="143"/>
    </row>
    <row r="88" spans="1:44" s="119" customFormat="1" ht="24" customHeight="1">
      <c r="A88" s="325">
        <v>61603</v>
      </c>
      <c r="B88" s="578" t="s">
        <v>154</v>
      </c>
      <c r="C88" s="229"/>
      <c r="D88" s="228"/>
      <c r="E88" s="228"/>
      <c r="F88" s="570"/>
      <c r="G88" s="229"/>
      <c r="H88" s="228"/>
      <c r="I88" s="228"/>
      <c r="J88" s="570"/>
      <c r="K88" s="229">
        <f>SUM(' 75% FODES AG3 '!H21)</f>
        <v>75918.33</v>
      </c>
      <c r="L88" s="228"/>
      <c r="M88" s="228">
        <f>SUM(' 75% FODES AG3 '!H27)</f>
        <v>0</v>
      </c>
      <c r="N88" s="570"/>
      <c r="O88" s="229"/>
      <c r="P88" s="230"/>
      <c r="Q88" s="228"/>
      <c r="R88" s="229"/>
      <c r="S88" s="228"/>
      <c r="T88" s="228"/>
      <c r="U88" s="230"/>
      <c r="V88" s="583"/>
      <c r="W88" s="592">
        <f t="shared" si="1"/>
        <v>75918.33</v>
      </c>
      <c r="X88" s="143"/>
    </row>
    <row r="89" spans="1:44" s="119" customFormat="1" ht="24" customHeight="1">
      <c r="A89" s="325">
        <v>61604</v>
      </c>
      <c r="B89" s="578" t="s">
        <v>984</v>
      </c>
      <c r="C89" s="229"/>
      <c r="D89" s="228"/>
      <c r="E89" s="228"/>
      <c r="F89" s="570"/>
      <c r="G89" s="229"/>
      <c r="H89" s="228"/>
      <c r="I89" s="228"/>
      <c r="J89" s="570"/>
      <c r="K89" s="229">
        <f>SUM(' 75% FODES AG3 '!H17)</f>
        <v>600</v>
      </c>
      <c r="L89" s="228"/>
      <c r="M89" s="228"/>
      <c r="N89" s="570"/>
      <c r="O89" s="229"/>
      <c r="P89" s="230"/>
      <c r="Q89" s="228"/>
      <c r="R89" s="229"/>
      <c r="S89" s="228"/>
      <c r="T89" s="228"/>
      <c r="U89" s="230"/>
      <c r="V89" s="583"/>
      <c r="W89" s="592">
        <f t="shared" si="1"/>
        <v>600</v>
      </c>
      <c r="X89" s="143"/>
    </row>
    <row r="90" spans="1:44" s="119" customFormat="1" ht="24" customHeight="1">
      <c r="A90" s="325">
        <v>61606</v>
      </c>
      <c r="B90" s="575" t="s">
        <v>155</v>
      </c>
      <c r="C90" s="229"/>
      <c r="D90" s="228"/>
      <c r="E90" s="228"/>
      <c r="F90" s="570"/>
      <c r="G90" s="229"/>
      <c r="H90" s="228"/>
      <c r="I90" s="228"/>
      <c r="J90" s="570"/>
      <c r="K90" s="229"/>
      <c r="L90" s="228"/>
      <c r="M90" s="228"/>
      <c r="N90" s="570"/>
      <c r="O90" s="229"/>
      <c r="P90" s="230"/>
      <c r="Q90" s="228"/>
      <c r="R90" s="229">
        <f>SUM('INVER.FODES 75% AG 4'!$H$32)</f>
        <v>108150</v>
      </c>
      <c r="S90" s="228"/>
      <c r="T90" s="228"/>
      <c r="U90" s="230"/>
      <c r="V90" s="583"/>
      <c r="W90" s="592">
        <f t="shared" si="1"/>
        <v>108150</v>
      </c>
      <c r="X90" s="143"/>
    </row>
    <row r="91" spans="1:44" s="119" customFormat="1" ht="24" customHeight="1">
      <c r="A91" s="325">
        <v>61608</v>
      </c>
      <c r="B91" s="576" t="s">
        <v>156</v>
      </c>
      <c r="C91" s="229"/>
      <c r="D91" s="228"/>
      <c r="E91" s="228"/>
      <c r="F91" s="570"/>
      <c r="G91" s="229"/>
      <c r="H91" s="228"/>
      <c r="I91" s="228"/>
      <c r="J91" s="570"/>
      <c r="K91" s="229">
        <f>SUM(' 75% FODES AG3 '!H22)</f>
        <v>9495.7000000000007</v>
      </c>
      <c r="L91" s="228"/>
      <c r="M91" s="228" t="e">
        <f>SUM(' 75% FODES AG3 '!#REF!)</f>
        <v>#REF!</v>
      </c>
      <c r="N91" s="570">
        <f>SUM(' 75% FODES AG3 '!H85)</f>
        <v>0</v>
      </c>
      <c r="O91" s="229"/>
      <c r="P91" s="230"/>
      <c r="Q91" s="228"/>
      <c r="R91" s="229">
        <f>SUM('INVER.FODES 75% AG 4'!$H$33)</f>
        <v>44092.9</v>
      </c>
      <c r="S91" s="228"/>
      <c r="T91" s="228"/>
      <c r="U91" s="230"/>
      <c r="V91" s="583"/>
      <c r="W91" s="592" t="e">
        <f t="shared" si="1"/>
        <v>#REF!</v>
      </c>
      <c r="X91" s="143"/>
    </row>
    <row r="92" spans="1:44" s="319" customFormat="1" ht="24" customHeight="1">
      <c r="A92" s="320">
        <v>61699</v>
      </c>
      <c r="B92" s="576" t="s">
        <v>157</v>
      </c>
      <c r="C92" s="231"/>
      <c r="D92" s="232"/>
      <c r="E92" s="232"/>
      <c r="F92" s="571"/>
      <c r="G92" s="231"/>
      <c r="H92" s="232"/>
      <c r="I92" s="232"/>
      <c r="J92" s="571"/>
      <c r="K92" s="231"/>
      <c r="L92" s="232"/>
      <c r="M92" s="232"/>
      <c r="N92" s="571"/>
      <c r="O92" s="231"/>
      <c r="P92" s="230"/>
      <c r="Q92" s="228"/>
      <c r="R92" s="231"/>
      <c r="S92" s="232"/>
      <c r="T92" s="232"/>
      <c r="U92" s="233"/>
      <c r="V92" s="585"/>
      <c r="W92" s="592">
        <f t="shared" si="1"/>
        <v>0</v>
      </c>
    </row>
    <row r="93" spans="1:44" s="319" customFormat="1" ht="24" customHeight="1">
      <c r="A93" s="320">
        <v>62201</v>
      </c>
      <c r="B93" s="576" t="s">
        <v>525</v>
      </c>
      <c r="C93" s="231"/>
      <c r="D93" s="232"/>
      <c r="E93" s="232"/>
      <c r="F93" s="571"/>
      <c r="G93" s="231"/>
      <c r="H93" s="232"/>
      <c r="I93" s="232"/>
      <c r="J93" s="571"/>
      <c r="K93" s="231"/>
      <c r="L93" s="232"/>
      <c r="M93" s="232"/>
      <c r="N93" s="571"/>
      <c r="O93" s="231"/>
      <c r="P93" s="230"/>
      <c r="Q93" s="228"/>
      <c r="R93" s="231"/>
      <c r="S93" s="232"/>
      <c r="T93" s="232"/>
      <c r="U93" s="233"/>
      <c r="V93" s="585"/>
      <c r="W93" s="592">
        <f t="shared" si="1"/>
        <v>0</v>
      </c>
    </row>
    <row r="94" spans="1:44" s="319" customFormat="1" ht="24" customHeight="1">
      <c r="A94" s="320">
        <v>71304</v>
      </c>
      <c r="B94" s="577" t="s">
        <v>215</v>
      </c>
      <c r="C94" s="231"/>
      <c r="D94" s="232"/>
      <c r="E94" s="232"/>
      <c r="F94" s="571"/>
      <c r="G94" s="231"/>
      <c r="H94" s="232"/>
      <c r="I94" s="232"/>
      <c r="J94" s="571"/>
      <c r="K94" s="231"/>
      <c r="L94" s="232"/>
      <c r="M94" s="232"/>
      <c r="N94" s="571"/>
      <c r="O94" s="231"/>
      <c r="P94" s="233"/>
      <c r="Q94" s="232"/>
      <c r="R94" s="231"/>
      <c r="S94" s="232"/>
      <c r="T94" s="232"/>
      <c r="U94" s="233"/>
      <c r="V94" s="583">
        <f>SUM('Pres.Servicio Deuda Publica'!H13)</f>
        <v>0</v>
      </c>
      <c r="W94" s="592">
        <f t="shared" si="1"/>
        <v>0</v>
      </c>
    </row>
    <row r="95" spans="1:44" s="319" customFormat="1" ht="24" customHeight="1" thickBot="1">
      <c r="A95" s="321">
        <v>72101</v>
      </c>
      <c r="B95" s="579" t="s">
        <v>158</v>
      </c>
      <c r="C95" s="234">
        <f>SUM('FONDOS PROPIOS'!H30)</f>
        <v>0</v>
      </c>
      <c r="D95" s="235"/>
      <c r="E95" s="235"/>
      <c r="F95" s="572"/>
      <c r="G95" s="234"/>
      <c r="H95" s="235"/>
      <c r="I95" s="235"/>
      <c r="J95" s="572"/>
      <c r="K95" s="234"/>
      <c r="L95" s="235"/>
      <c r="M95" s="235"/>
      <c r="N95" s="581">
        <f>SUM(' 75% FODES AG3 '!H86)</f>
        <v>0</v>
      </c>
      <c r="O95" s="234"/>
      <c r="P95" s="886"/>
      <c r="Q95" s="232"/>
      <c r="R95" s="234"/>
      <c r="S95" s="235"/>
      <c r="T95" s="235"/>
      <c r="U95" s="236"/>
      <c r="V95" s="586"/>
      <c r="W95" s="592">
        <f t="shared" si="1"/>
        <v>0</v>
      </c>
    </row>
    <row r="96" spans="1:44" s="119" customFormat="1" ht="24" customHeight="1" thickBot="1">
      <c r="A96" s="573"/>
      <c r="B96" s="574" t="s">
        <v>38</v>
      </c>
      <c r="C96" s="1021">
        <f>SUM(C10:C95)</f>
        <v>160949.02500000002</v>
      </c>
      <c r="D96" s="1022">
        <f t="shared" ref="D96:V96" si="2">SUM(D10:D95)</f>
        <v>34554.837500000001</v>
      </c>
      <c r="E96" s="1022">
        <f t="shared" si="2"/>
        <v>4252.67</v>
      </c>
      <c r="F96" s="1023">
        <f>SUM(F10:F95)</f>
        <v>54876.463749999995</v>
      </c>
      <c r="G96" s="1024">
        <f>SUM(G10:G95)</f>
        <v>361620.60000000003</v>
      </c>
      <c r="H96" s="1021">
        <f t="shared" si="2"/>
        <v>104952.1875</v>
      </c>
      <c r="I96" s="1021">
        <f t="shared" si="2"/>
        <v>19797.375</v>
      </c>
      <c r="J96" s="1023">
        <f t="shared" si="2"/>
        <v>137002.66375000001</v>
      </c>
      <c r="K96" s="1021" t="e">
        <f t="shared" ref="K96:R96" si="3">SUM(K10:K95)</f>
        <v>#REF!</v>
      </c>
      <c r="L96" s="1021">
        <f t="shared" si="3"/>
        <v>0</v>
      </c>
      <c r="M96" s="1021" t="e">
        <f t="shared" si="3"/>
        <v>#REF!</v>
      </c>
      <c r="N96" s="1021">
        <f t="shared" si="3"/>
        <v>501132.51</v>
      </c>
      <c r="O96" s="1021">
        <f t="shared" si="3"/>
        <v>0</v>
      </c>
      <c r="P96" s="1021">
        <f t="shared" si="3"/>
        <v>0</v>
      </c>
      <c r="Q96" s="1025">
        <f t="shared" si="3"/>
        <v>0</v>
      </c>
      <c r="R96" s="1026">
        <f t="shared" si="3"/>
        <v>984519.37000000011</v>
      </c>
      <c r="S96" s="1021">
        <f t="shared" si="2"/>
        <v>0</v>
      </c>
      <c r="T96" s="1022">
        <f t="shared" si="2"/>
        <v>0</v>
      </c>
      <c r="U96" s="1027">
        <f t="shared" si="2"/>
        <v>0</v>
      </c>
      <c r="V96" s="1028">
        <f t="shared" si="2"/>
        <v>0</v>
      </c>
      <c r="W96" s="1029" t="e">
        <f>+SUM(C96:V96)</f>
        <v>#REF!</v>
      </c>
      <c r="X96" s="143"/>
    </row>
    <row r="97" spans="1:24" s="119" customFormat="1" ht="16.5" customHeight="1" thickBot="1">
      <c r="A97" s="143"/>
      <c r="B97" s="341"/>
      <c r="C97" s="349" t="s">
        <v>485</v>
      </c>
      <c r="D97" s="2091">
        <f>SUM(Ingresos!H50)</f>
        <v>274792.99999999994</v>
      </c>
      <c r="E97" s="2092"/>
      <c r="F97" s="340"/>
      <c r="G97" s="342" t="s">
        <v>485</v>
      </c>
      <c r="H97" s="2091">
        <f>SUM('Saldos de ctas. Bancarias'!C84)</f>
        <v>629244.30999999994</v>
      </c>
      <c r="I97" s="2092"/>
      <c r="J97" s="340"/>
      <c r="K97" s="2093" t="s">
        <v>488</v>
      </c>
      <c r="L97" s="2094"/>
      <c r="M97" s="2095"/>
      <c r="N97" s="2091">
        <f>SUM(Ingresos!D50)</f>
        <v>1836690.64</v>
      </c>
      <c r="O97" s="2092"/>
      <c r="P97" s="332" t="s">
        <v>490</v>
      </c>
      <c r="Q97" s="332" t="s">
        <v>485</v>
      </c>
      <c r="R97" s="343"/>
      <c r="S97" s="344" t="s">
        <v>535</v>
      </c>
      <c r="T97" s="345">
        <f>M95+S95</f>
        <v>0</v>
      </c>
      <c r="U97" s="329" t="s">
        <v>527</v>
      </c>
      <c r="V97" s="345">
        <f>O95+U95</f>
        <v>0</v>
      </c>
      <c r="W97" s="1031" t="e">
        <f>SUM(W10:W95)</f>
        <v>#REF!</v>
      </c>
      <c r="X97" s="143"/>
    </row>
    <row r="98" spans="1:24" s="143" customFormat="1" ht="16.5" customHeight="1" thickTop="1">
      <c r="B98" s="341"/>
      <c r="C98" s="346" t="s">
        <v>473</v>
      </c>
      <c r="D98" s="2077">
        <f>SUM(C96:F96)</f>
        <v>254632.99625000003</v>
      </c>
      <c r="E98" s="2078"/>
      <c r="F98" s="340"/>
      <c r="G98" s="348" t="s">
        <v>241</v>
      </c>
      <c r="H98" s="2077">
        <f>SUM(G96:J96)</f>
        <v>623372.82625000004</v>
      </c>
      <c r="I98" s="2078"/>
      <c r="J98" s="340"/>
      <c r="K98" s="2096" t="s">
        <v>472</v>
      </c>
      <c r="L98" s="2097"/>
      <c r="M98" s="2098"/>
      <c r="N98" s="2077" t="e">
        <f>K96+N96+R96+V96</f>
        <v>#REF!</v>
      </c>
      <c r="O98" s="2078"/>
      <c r="P98" s="331" t="s">
        <v>471</v>
      </c>
      <c r="Q98" s="331" t="s">
        <v>934</v>
      </c>
      <c r="R98" s="328">
        <f>P96+U96</f>
        <v>0</v>
      </c>
      <c r="S98" s="327" t="s">
        <v>222</v>
      </c>
      <c r="T98" s="330" t="e">
        <f>M96+S96</f>
        <v>#REF!</v>
      </c>
      <c r="U98" s="329"/>
      <c r="V98" s="333">
        <f>O96+T96</f>
        <v>0</v>
      </c>
    </row>
    <row r="99" spans="1:24" s="119" customFormat="1" ht="16.5" customHeight="1" thickBot="1">
      <c r="A99" s="143"/>
      <c r="B99" s="341"/>
      <c r="C99" s="347" t="s">
        <v>486</v>
      </c>
      <c r="D99" s="2075">
        <f>D97-D98</f>
        <v>20160.003749999916</v>
      </c>
      <c r="E99" s="2076"/>
      <c r="F99" s="340"/>
      <c r="G99" s="1030" t="s">
        <v>486</v>
      </c>
      <c r="H99" s="2075">
        <f>H97-H98</f>
        <v>5871.4837499998976</v>
      </c>
      <c r="I99" s="2076"/>
      <c r="J99" s="332"/>
      <c r="K99" s="2082" t="s">
        <v>486</v>
      </c>
      <c r="L99" s="2083"/>
      <c r="M99" s="2084"/>
      <c r="N99" s="2075" t="e">
        <f>N97-N98</f>
        <v>#REF!</v>
      </c>
      <c r="O99" s="2076"/>
      <c r="P99" s="336" t="s">
        <v>486</v>
      </c>
      <c r="Q99" s="336"/>
      <c r="R99" s="337"/>
      <c r="S99" s="338"/>
      <c r="T99" s="339"/>
      <c r="U99" s="334" t="s">
        <v>486</v>
      </c>
      <c r="V99" s="335">
        <f>V97-V98</f>
        <v>0</v>
      </c>
      <c r="W99" s="143"/>
      <c r="X99" s="143"/>
    </row>
    <row r="100" spans="1:24" s="159" customFormat="1" ht="15.75" customHeight="1">
      <c r="A100" s="162"/>
      <c r="B100" s="322"/>
      <c r="C100" s="143"/>
      <c r="D100" s="143"/>
      <c r="E100" s="143"/>
      <c r="F100" s="143"/>
      <c r="G100" s="143"/>
      <c r="H100" s="143"/>
      <c r="I100" s="143"/>
      <c r="J100" s="143"/>
      <c r="K100" s="138"/>
      <c r="L100" s="143"/>
      <c r="M100" s="143"/>
      <c r="N100" s="2079"/>
      <c r="O100" s="2079"/>
      <c r="P100" s="143"/>
      <c r="Q100" s="143"/>
      <c r="R100" s="143"/>
      <c r="S100" s="143"/>
      <c r="T100" s="143"/>
      <c r="U100" s="143"/>
      <c r="V100" s="143"/>
      <c r="W100" s="143"/>
      <c r="X100" s="162"/>
    </row>
    <row r="101" spans="1:24" s="159" customFormat="1" ht="15.75" customHeight="1">
      <c r="A101" s="162"/>
      <c r="B101" s="322"/>
      <c r="C101" s="143"/>
      <c r="D101" s="143"/>
      <c r="E101" s="143"/>
      <c r="F101" s="143"/>
      <c r="G101" s="143"/>
      <c r="H101" s="143"/>
      <c r="I101" s="143"/>
      <c r="J101" s="143"/>
      <c r="K101" s="138"/>
      <c r="L101" s="143"/>
      <c r="M101" s="143"/>
      <c r="N101" s="143"/>
      <c r="O101" s="143"/>
      <c r="P101" s="143"/>
      <c r="Q101" s="143"/>
      <c r="R101" s="143"/>
      <c r="S101" s="143"/>
      <c r="T101" s="143"/>
      <c r="U101" s="143"/>
      <c r="V101" s="143" t="s">
        <v>528</v>
      </c>
      <c r="W101" s="143"/>
      <c r="X101" s="162"/>
    </row>
    <row r="102" spans="1:24">
      <c r="O102" s="143"/>
      <c r="P102" s="143"/>
      <c r="Q102" s="143"/>
      <c r="R102" s="143"/>
      <c r="T102" s="143"/>
      <c r="U102" s="143"/>
      <c r="W102" s="891"/>
    </row>
    <row r="103" spans="1:24">
      <c r="O103" s="143"/>
      <c r="P103" s="143"/>
      <c r="Q103" s="143"/>
      <c r="R103" s="143"/>
      <c r="T103" s="143"/>
      <c r="U103" s="143"/>
    </row>
    <row r="104" spans="1:24">
      <c r="O104" s="143"/>
      <c r="P104" s="143"/>
      <c r="Q104" s="143"/>
      <c r="R104" s="143"/>
      <c r="T104" s="143"/>
      <c r="U104" s="143"/>
    </row>
    <row r="105" spans="1:24">
      <c r="O105" s="143"/>
      <c r="P105" s="143"/>
      <c r="Q105" s="143"/>
      <c r="R105" s="143"/>
      <c r="T105" s="143"/>
      <c r="U105" s="143"/>
    </row>
    <row r="106" spans="1:24">
      <c r="O106" s="143"/>
      <c r="P106" s="143"/>
      <c r="Q106" s="143"/>
      <c r="R106" s="143"/>
      <c r="T106" s="143"/>
      <c r="U106" s="143"/>
    </row>
    <row r="107" spans="1:24">
      <c r="O107" s="143"/>
      <c r="P107" s="143"/>
      <c r="Q107" s="143"/>
      <c r="R107" s="143"/>
      <c r="T107" s="143"/>
      <c r="U107" s="143"/>
    </row>
    <row r="108" spans="1:24">
      <c r="O108" s="143"/>
      <c r="P108" s="143"/>
      <c r="Q108" s="143"/>
      <c r="R108" s="143"/>
      <c r="T108" s="143"/>
      <c r="U108" s="143"/>
    </row>
    <row r="109" spans="1:24">
      <c r="O109" s="143"/>
      <c r="P109" s="143"/>
      <c r="Q109" s="143"/>
      <c r="R109" s="143"/>
      <c r="T109" s="143"/>
      <c r="U109" s="143"/>
    </row>
    <row r="110" spans="1:24">
      <c r="O110" s="143"/>
      <c r="P110" s="143"/>
      <c r="Q110" s="143"/>
      <c r="R110" s="143"/>
      <c r="T110" s="143"/>
      <c r="U110" s="143"/>
    </row>
    <row r="111" spans="1:24">
      <c r="O111" s="143"/>
      <c r="P111" s="143"/>
      <c r="Q111" s="143"/>
      <c r="R111" s="143"/>
      <c r="T111" s="143"/>
      <c r="U111" s="143"/>
    </row>
    <row r="112" spans="1:24">
      <c r="O112" s="143"/>
      <c r="P112" s="143"/>
      <c r="Q112" s="143"/>
      <c r="R112" s="143"/>
      <c r="T112" s="143"/>
      <c r="U112" s="143"/>
    </row>
    <row r="113" spans="15:21">
      <c r="O113" s="143"/>
      <c r="P113" s="143"/>
      <c r="Q113" s="143"/>
      <c r="R113" s="143"/>
      <c r="T113" s="143"/>
      <c r="U113" s="143"/>
    </row>
    <row r="114" spans="15:21">
      <c r="O114" s="143"/>
      <c r="P114" s="143"/>
      <c r="Q114" s="143"/>
      <c r="R114" s="143"/>
      <c r="T114" s="143"/>
      <c r="U114" s="143"/>
    </row>
    <row r="115" spans="15:21">
      <c r="O115" s="143"/>
      <c r="P115" s="143"/>
      <c r="Q115" s="143"/>
      <c r="R115" s="143"/>
      <c r="T115" s="143"/>
      <c r="U115" s="143"/>
    </row>
    <row r="116" spans="15:21">
      <c r="O116" s="143"/>
      <c r="P116" s="143"/>
      <c r="Q116" s="143"/>
      <c r="R116" s="143"/>
      <c r="T116" s="143"/>
      <c r="U116" s="143"/>
    </row>
    <row r="117" spans="15:21">
      <c r="O117" s="143"/>
      <c r="P117" s="143"/>
      <c r="Q117" s="143"/>
      <c r="R117" s="143"/>
      <c r="T117" s="143"/>
      <c r="U117" s="143"/>
    </row>
    <row r="118" spans="15:21">
      <c r="O118" s="143"/>
      <c r="P118" s="143"/>
      <c r="Q118" s="143"/>
      <c r="R118" s="143"/>
      <c r="T118" s="143"/>
      <c r="U118" s="143"/>
    </row>
    <row r="119" spans="15:21">
      <c r="O119" s="143"/>
      <c r="P119" s="143"/>
      <c r="Q119" s="143"/>
      <c r="R119" s="143"/>
      <c r="T119" s="143"/>
      <c r="U119" s="143"/>
    </row>
    <row r="120" spans="15:21">
      <c r="O120" s="143"/>
      <c r="P120" s="143"/>
      <c r="Q120" s="143"/>
      <c r="R120" s="143"/>
      <c r="T120" s="143"/>
      <c r="U120" s="143"/>
    </row>
    <row r="121" spans="15:21">
      <c r="O121" s="143"/>
      <c r="P121" s="143"/>
      <c r="Q121" s="143"/>
      <c r="R121" s="143"/>
      <c r="T121" s="143"/>
      <c r="U121" s="143"/>
    </row>
    <row r="122" spans="15:21">
      <c r="O122" s="143"/>
      <c r="P122" s="143"/>
      <c r="Q122" s="143"/>
      <c r="R122" s="143"/>
      <c r="T122" s="143"/>
      <c r="U122" s="143"/>
    </row>
    <row r="123" spans="15:21">
      <c r="O123" s="143"/>
      <c r="P123" s="143"/>
      <c r="Q123" s="143"/>
      <c r="R123" s="143"/>
      <c r="T123" s="143"/>
      <c r="U123" s="143"/>
    </row>
    <row r="124" spans="15:21">
      <c r="O124" s="143"/>
      <c r="P124" s="143"/>
      <c r="Q124" s="143"/>
      <c r="R124" s="143"/>
      <c r="T124" s="143"/>
      <c r="U124" s="143"/>
    </row>
    <row r="125" spans="15:21">
      <c r="O125" s="143"/>
      <c r="P125" s="143"/>
      <c r="Q125" s="143"/>
      <c r="R125" s="143"/>
      <c r="T125" s="143"/>
      <c r="U125" s="143"/>
    </row>
    <row r="126" spans="15:21">
      <c r="O126" s="143"/>
      <c r="P126" s="143"/>
      <c r="Q126" s="143"/>
      <c r="R126" s="143"/>
      <c r="T126" s="143"/>
      <c r="U126" s="143"/>
    </row>
    <row r="127" spans="15:21">
      <c r="O127" s="143"/>
      <c r="P127" s="143"/>
      <c r="Q127" s="143"/>
      <c r="R127" s="143"/>
      <c r="T127" s="143"/>
      <c r="U127" s="143"/>
    </row>
    <row r="128" spans="15:21">
      <c r="O128" s="143"/>
      <c r="P128" s="143"/>
      <c r="Q128" s="143"/>
      <c r="R128" s="143"/>
      <c r="T128" s="143"/>
      <c r="U128" s="143"/>
    </row>
    <row r="129" spans="16:21">
      <c r="P129" s="143"/>
      <c r="Q129" s="143"/>
      <c r="U129" s="143"/>
    </row>
    <row r="130" spans="16:21">
      <c r="P130" s="143"/>
      <c r="Q130" s="143"/>
      <c r="U130" s="143"/>
    </row>
    <row r="131" spans="16:21">
      <c r="P131" s="143"/>
      <c r="Q131" s="143"/>
      <c r="U131" s="143"/>
    </row>
    <row r="132" spans="16:21">
      <c r="P132" s="143"/>
      <c r="Q132" s="143"/>
      <c r="U132" s="143"/>
    </row>
    <row r="133" spans="16:21">
      <c r="P133" s="143"/>
      <c r="Q133" s="143"/>
      <c r="U133" s="143"/>
    </row>
    <row r="134" spans="16:21">
      <c r="P134" s="143"/>
      <c r="Q134" s="143"/>
      <c r="U134" s="143"/>
    </row>
    <row r="135" spans="16:21">
      <c r="P135" s="143"/>
      <c r="Q135" s="143"/>
      <c r="U135" s="143"/>
    </row>
    <row r="136" spans="16:21">
      <c r="P136" s="143"/>
      <c r="Q136" s="143"/>
      <c r="U136" s="143"/>
    </row>
  </sheetData>
  <mergeCells count="22">
    <mergeCell ref="A1:W1"/>
    <mergeCell ref="A2:W2"/>
    <mergeCell ref="N98:O98"/>
    <mergeCell ref="A6:W6"/>
    <mergeCell ref="A7:W7"/>
    <mergeCell ref="C8:V8"/>
    <mergeCell ref="A3:W3"/>
    <mergeCell ref="A4:W4"/>
    <mergeCell ref="A5:W5"/>
    <mergeCell ref="D98:E98"/>
    <mergeCell ref="N97:O97"/>
    <mergeCell ref="D97:E97"/>
    <mergeCell ref="H97:I97"/>
    <mergeCell ref="K97:M97"/>
    <mergeCell ref="K98:M98"/>
    <mergeCell ref="H99:I99"/>
    <mergeCell ref="H98:I98"/>
    <mergeCell ref="N100:O100"/>
    <mergeCell ref="D99:E99"/>
    <mergeCell ref="W8:W9"/>
    <mergeCell ref="N99:O99"/>
    <mergeCell ref="K99:M99"/>
  </mergeCells>
  <phoneticPr fontId="11" type="noConversion"/>
  <pageMargins left="0.21" right="0" top="0.35433070866141736" bottom="0.43307086614173229" header="0.11811023622047245" footer="0.27559055118110237"/>
  <pageSetup paperSize="5" scale="77" orientation="landscape" verticalDpi="300" r:id="rId1"/>
  <headerFooter alignWithMargins="0"/>
  <ignoredErrors>
    <ignoredError sqref="A10" numberStoredAsText="1"/>
  </ignoredError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Q74"/>
  <sheetViews>
    <sheetView zoomScale="96" zoomScaleNormal="96" workbookViewId="0">
      <selection activeCell="Q5" sqref="Q5"/>
    </sheetView>
  </sheetViews>
  <sheetFormatPr baseColWidth="10" defaultRowHeight="12.75"/>
  <cols>
    <col min="1" max="1" width="4.85546875" customWidth="1"/>
    <col min="2" max="2" width="31.140625" customWidth="1"/>
    <col min="3" max="3" width="12.85546875" customWidth="1"/>
    <col min="4" max="4" width="12.5703125" customWidth="1"/>
    <col min="6" max="6" width="15.7109375" customWidth="1"/>
    <col min="7" max="7" width="13.5703125" customWidth="1"/>
    <col min="14" max="14" width="14.42578125" customWidth="1"/>
  </cols>
  <sheetData>
    <row r="1" spans="1:14" ht="24.75" customHeight="1">
      <c r="A1" s="2124" t="s">
        <v>296</v>
      </c>
      <c r="B1" s="2115" t="s">
        <v>566</v>
      </c>
      <c r="C1" s="2125" t="s">
        <v>567</v>
      </c>
      <c r="D1" s="2127" t="s">
        <v>568</v>
      </c>
      <c r="E1" s="2129" t="s">
        <v>569</v>
      </c>
      <c r="F1" s="2130"/>
      <c r="G1" s="2131"/>
      <c r="H1" s="2109" t="s">
        <v>570</v>
      </c>
      <c r="I1" s="2109"/>
      <c r="J1" s="2109"/>
      <c r="K1" s="2109"/>
      <c r="L1" s="2109"/>
      <c r="M1" s="2109"/>
      <c r="N1" s="2105" t="s">
        <v>237</v>
      </c>
    </row>
    <row r="2" spans="1:14" ht="77.25" customHeight="1">
      <c r="A2" s="2124"/>
      <c r="B2" s="2115"/>
      <c r="C2" s="2126"/>
      <c r="D2" s="2128"/>
      <c r="E2" s="1399" t="s">
        <v>571</v>
      </c>
      <c r="F2" s="1400" t="s">
        <v>1184</v>
      </c>
      <c r="G2" s="1399" t="s">
        <v>572</v>
      </c>
      <c r="H2" s="1400" t="s">
        <v>1185</v>
      </c>
      <c r="I2" s="1401" t="s">
        <v>1177</v>
      </c>
      <c r="J2" s="1400" t="s">
        <v>672</v>
      </c>
      <c r="K2" s="1401" t="s">
        <v>1172</v>
      </c>
      <c r="L2" s="1400" t="s">
        <v>310</v>
      </c>
      <c r="M2" s="1402" t="s">
        <v>573</v>
      </c>
      <c r="N2" s="2106"/>
    </row>
    <row r="3" spans="1:14" ht="26.25" customHeight="1">
      <c r="A3" s="169">
        <v>1</v>
      </c>
      <c r="B3" s="363" t="s">
        <v>574</v>
      </c>
      <c r="C3" s="363" t="s">
        <v>575</v>
      </c>
      <c r="D3" s="364" t="s">
        <v>576</v>
      </c>
      <c r="E3" s="365">
        <v>700</v>
      </c>
      <c r="F3" s="365">
        <v>1400</v>
      </c>
      <c r="G3" s="365">
        <f>F3*13</f>
        <v>18200</v>
      </c>
      <c r="H3" s="365">
        <f>F3*7.75%</f>
        <v>108.5</v>
      </c>
      <c r="I3" s="365">
        <v>1400</v>
      </c>
      <c r="J3" s="365">
        <f>F3*7.5%</f>
        <v>105</v>
      </c>
      <c r="K3" s="365">
        <v>1400</v>
      </c>
      <c r="L3" s="365">
        <f t="shared" ref="L3:L13" si="0">+F3*0.01</f>
        <v>14</v>
      </c>
      <c r="M3" s="365">
        <f>H3+J3+L3*14</f>
        <v>409.5</v>
      </c>
      <c r="N3" s="366">
        <f>+F3+G3+M3</f>
        <v>20009.5</v>
      </c>
    </row>
    <row r="4" spans="1:14" ht="26.25" customHeight="1">
      <c r="A4" s="169">
        <f t="shared" ref="A4:A13" si="1">+A3+1</f>
        <v>2</v>
      </c>
      <c r="B4" s="367" t="s">
        <v>926</v>
      </c>
      <c r="C4" s="368" t="s">
        <v>577</v>
      </c>
      <c r="D4" s="364" t="s">
        <v>576</v>
      </c>
      <c r="E4" s="365">
        <v>330</v>
      </c>
      <c r="F4" s="365">
        <v>660</v>
      </c>
      <c r="G4" s="365">
        <f t="shared" ref="G4:G13" si="2">F4*13</f>
        <v>8580</v>
      </c>
      <c r="H4" s="365">
        <f t="shared" ref="H4:H13" si="3">F4*7.75%</f>
        <v>51.15</v>
      </c>
      <c r="I4" s="365">
        <v>660</v>
      </c>
      <c r="J4" s="365">
        <f t="shared" ref="J4:J13" si="4">F4*7.5%</f>
        <v>49.5</v>
      </c>
      <c r="K4" s="365">
        <v>660</v>
      </c>
      <c r="L4" s="365">
        <f t="shared" si="0"/>
        <v>6.6000000000000005</v>
      </c>
      <c r="M4" s="365">
        <f t="shared" ref="M4:M13" si="5">H4+J4+L4</f>
        <v>107.25</v>
      </c>
      <c r="N4" s="366">
        <f t="shared" ref="N4:N13" si="6">+F4+G4+M4</f>
        <v>9347.25</v>
      </c>
    </row>
    <row r="5" spans="1:14" ht="26.25" customHeight="1">
      <c r="A5" s="169">
        <f t="shared" si="1"/>
        <v>3</v>
      </c>
      <c r="B5" s="367" t="s">
        <v>927</v>
      </c>
      <c r="C5" s="368" t="s">
        <v>578</v>
      </c>
      <c r="D5" s="364" t="s">
        <v>576</v>
      </c>
      <c r="E5" s="365">
        <v>330</v>
      </c>
      <c r="F5" s="365">
        <v>660</v>
      </c>
      <c r="G5" s="365">
        <f t="shared" si="2"/>
        <v>8580</v>
      </c>
      <c r="H5" s="365">
        <f t="shared" si="3"/>
        <v>51.15</v>
      </c>
      <c r="I5" s="365">
        <v>660</v>
      </c>
      <c r="J5" s="365">
        <f t="shared" si="4"/>
        <v>49.5</v>
      </c>
      <c r="K5" s="365">
        <v>660</v>
      </c>
      <c r="L5" s="365">
        <f t="shared" si="0"/>
        <v>6.6000000000000005</v>
      </c>
      <c r="M5" s="365">
        <f t="shared" si="5"/>
        <v>107.25</v>
      </c>
      <c r="N5" s="366">
        <f t="shared" si="6"/>
        <v>9347.25</v>
      </c>
    </row>
    <row r="6" spans="1:14" ht="26.25" customHeight="1">
      <c r="A6" s="169">
        <f>+A5+1</f>
        <v>4</v>
      </c>
      <c r="B6" s="367" t="s">
        <v>928</v>
      </c>
      <c r="C6" s="368" t="s">
        <v>579</v>
      </c>
      <c r="D6" s="364" t="s">
        <v>576</v>
      </c>
      <c r="E6" s="365">
        <v>330</v>
      </c>
      <c r="F6" s="365">
        <v>660</v>
      </c>
      <c r="G6" s="365">
        <f t="shared" si="2"/>
        <v>8580</v>
      </c>
      <c r="H6" s="365">
        <f t="shared" si="3"/>
        <v>51.15</v>
      </c>
      <c r="I6" s="365">
        <v>660</v>
      </c>
      <c r="J6" s="365">
        <f t="shared" si="4"/>
        <v>49.5</v>
      </c>
      <c r="K6" s="365">
        <v>660</v>
      </c>
      <c r="L6" s="365">
        <f t="shared" si="0"/>
        <v>6.6000000000000005</v>
      </c>
      <c r="M6" s="365">
        <f t="shared" si="5"/>
        <v>107.25</v>
      </c>
      <c r="N6" s="366">
        <f t="shared" si="6"/>
        <v>9347.25</v>
      </c>
    </row>
    <row r="7" spans="1:14" ht="26.25" customHeight="1">
      <c r="A7" s="169">
        <f t="shared" si="1"/>
        <v>5</v>
      </c>
      <c r="B7" s="367" t="s">
        <v>929</v>
      </c>
      <c r="C7" s="369" t="s">
        <v>581</v>
      </c>
      <c r="D7" s="364" t="s">
        <v>576</v>
      </c>
      <c r="E7" s="365">
        <v>330</v>
      </c>
      <c r="F7" s="365">
        <v>660</v>
      </c>
      <c r="G7" s="365">
        <f t="shared" si="2"/>
        <v>8580</v>
      </c>
      <c r="H7" s="365">
        <f t="shared" si="3"/>
        <v>51.15</v>
      </c>
      <c r="I7" s="365">
        <v>660</v>
      </c>
      <c r="J7" s="365">
        <f t="shared" si="4"/>
        <v>49.5</v>
      </c>
      <c r="K7" s="365">
        <v>660</v>
      </c>
      <c r="L7" s="365">
        <f t="shared" si="0"/>
        <v>6.6000000000000005</v>
      </c>
      <c r="M7" s="365">
        <f t="shared" si="5"/>
        <v>107.25</v>
      </c>
      <c r="N7" s="366">
        <f t="shared" si="6"/>
        <v>9347.25</v>
      </c>
    </row>
    <row r="8" spans="1:14" ht="26.25" customHeight="1">
      <c r="A8" s="169">
        <f t="shared" si="1"/>
        <v>6</v>
      </c>
      <c r="B8" s="367" t="s">
        <v>588</v>
      </c>
      <c r="C8" s="369" t="s">
        <v>582</v>
      </c>
      <c r="D8" s="364" t="s">
        <v>576</v>
      </c>
      <c r="E8" s="365">
        <v>330</v>
      </c>
      <c r="F8" s="365">
        <v>660</v>
      </c>
      <c r="G8" s="365">
        <f t="shared" si="2"/>
        <v>8580</v>
      </c>
      <c r="H8" s="365">
        <f t="shared" si="3"/>
        <v>51.15</v>
      </c>
      <c r="I8" s="365">
        <v>660</v>
      </c>
      <c r="J8" s="365">
        <f t="shared" si="4"/>
        <v>49.5</v>
      </c>
      <c r="K8" s="365">
        <v>660</v>
      </c>
      <c r="L8" s="365">
        <f t="shared" si="0"/>
        <v>6.6000000000000005</v>
      </c>
      <c r="M8" s="365">
        <f t="shared" si="5"/>
        <v>107.25</v>
      </c>
      <c r="N8" s="366">
        <f t="shared" si="6"/>
        <v>9347.25</v>
      </c>
    </row>
    <row r="9" spans="1:14" ht="26.25" customHeight="1">
      <c r="A9" s="169">
        <f t="shared" si="1"/>
        <v>7</v>
      </c>
      <c r="B9" s="367" t="s">
        <v>580</v>
      </c>
      <c r="C9" s="369" t="s">
        <v>583</v>
      </c>
      <c r="D9" s="364" t="s">
        <v>576</v>
      </c>
      <c r="E9" s="365">
        <v>330</v>
      </c>
      <c r="F9" s="365">
        <v>660</v>
      </c>
      <c r="G9" s="365">
        <f t="shared" si="2"/>
        <v>8580</v>
      </c>
      <c r="H9" s="365">
        <f t="shared" si="3"/>
        <v>51.15</v>
      </c>
      <c r="I9" s="365">
        <v>660</v>
      </c>
      <c r="J9" s="365">
        <f t="shared" si="4"/>
        <v>49.5</v>
      </c>
      <c r="K9" s="365">
        <v>660</v>
      </c>
      <c r="L9" s="365">
        <f t="shared" si="0"/>
        <v>6.6000000000000005</v>
      </c>
      <c r="M9" s="365">
        <f t="shared" si="5"/>
        <v>107.25</v>
      </c>
      <c r="N9" s="366">
        <f t="shared" si="6"/>
        <v>9347.25</v>
      </c>
    </row>
    <row r="10" spans="1:14" ht="26.25" customHeight="1">
      <c r="A10" s="169">
        <f t="shared" si="1"/>
        <v>8</v>
      </c>
      <c r="B10" s="367" t="s">
        <v>584</v>
      </c>
      <c r="C10" s="369" t="s">
        <v>585</v>
      </c>
      <c r="D10" s="364" t="s">
        <v>576</v>
      </c>
      <c r="E10" s="365">
        <v>230</v>
      </c>
      <c r="F10" s="365">
        <v>460</v>
      </c>
      <c r="G10" s="365">
        <f t="shared" si="2"/>
        <v>5980</v>
      </c>
      <c r="H10" s="365">
        <f t="shared" si="3"/>
        <v>35.65</v>
      </c>
      <c r="I10" s="365">
        <v>460</v>
      </c>
      <c r="J10" s="365">
        <f t="shared" si="4"/>
        <v>34.5</v>
      </c>
      <c r="K10" s="365">
        <v>460</v>
      </c>
      <c r="L10" s="365">
        <f t="shared" si="0"/>
        <v>4.6000000000000005</v>
      </c>
      <c r="M10" s="365">
        <f t="shared" si="5"/>
        <v>74.75</v>
      </c>
      <c r="N10" s="366">
        <f t="shared" si="6"/>
        <v>6514.75</v>
      </c>
    </row>
    <row r="11" spans="1:14" ht="26.25" customHeight="1">
      <c r="A11" s="169">
        <f t="shared" si="1"/>
        <v>9</v>
      </c>
      <c r="B11" s="367" t="s">
        <v>586</v>
      </c>
      <c r="C11" s="369" t="s">
        <v>587</v>
      </c>
      <c r="D11" s="364" t="s">
        <v>576</v>
      </c>
      <c r="E11" s="365">
        <v>230</v>
      </c>
      <c r="F11" s="365">
        <v>460</v>
      </c>
      <c r="G11" s="365">
        <f t="shared" si="2"/>
        <v>5980</v>
      </c>
      <c r="H11" s="365">
        <f t="shared" si="3"/>
        <v>35.65</v>
      </c>
      <c r="I11" s="365">
        <v>460</v>
      </c>
      <c r="J11" s="365">
        <f t="shared" si="4"/>
        <v>34.5</v>
      </c>
      <c r="K11" s="365">
        <v>460</v>
      </c>
      <c r="L11" s="365">
        <f t="shared" si="0"/>
        <v>4.6000000000000005</v>
      </c>
      <c r="M11" s="365">
        <f t="shared" si="5"/>
        <v>74.75</v>
      </c>
      <c r="N11" s="366">
        <f t="shared" si="6"/>
        <v>6514.75</v>
      </c>
    </row>
    <row r="12" spans="1:14" ht="26.25" customHeight="1">
      <c r="A12" s="169">
        <f t="shared" si="1"/>
        <v>10</v>
      </c>
      <c r="B12" s="367" t="s">
        <v>930</v>
      </c>
      <c r="C12" s="369" t="s">
        <v>589</v>
      </c>
      <c r="D12" s="364" t="s">
        <v>576</v>
      </c>
      <c r="E12" s="365">
        <v>230</v>
      </c>
      <c r="F12" s="365">
        <v>460</v>
      </c>
      <c r="G12" s="365">
        <f t="shared" si="2"/>
        <v>5980</v>
      </c>
      <c r="H12" s="365">
        <f t="shared" si="3"/>
        <v>35.65</v>
      </c>
      <c r="I12" s="365">
        <v>460</v>
      </c>
      <c r="J12" s="365">
        <f t="shared" si="4"/>
        <v>34.5</v>
      </c>
      <c r="K12" s="365">
        <v>460</v>
      </c>
      <c r="L12" s="365">
        <f t="shared" si="0"/>
        <v>4.6000000000000005</v>
      </c>
      <c r="M12" s="365">
        <f t="shared" si="5"/>
        <v>74.75</v>
      </c>
      <c r="N12" s="366">
        <f t="shared" si="6"/>
        <v>6514.75</v>
      </c>
    </row>
    <row r="13" spans="1:14" ht="26.25" customHeight="1">
      <c r="A13" s="169">
        <f t="shared" si="1"/>
        <v>11</v>
      </c>
      <c r="B13" s="367" t="s">
        <v>931</v>
      </c>
      <c r="C13" s="369" t="s">
        <v>590</v>
      </c>
      <c r="D13" s="364" t="s">
        <v>576</v>
      </c>
      <c r="E13" s="365">
        <v>230</v>
      </c>
      <c r="F13" s="365">
        <v>460</v>
      </c>
      <c r="G13" s="365">
        <f t="shared" si="2"/>
        <v>5980</v>
      </c>
      <c r="H13" s="365">
        <f t="shared" si="3"/>
        <v>35.65</v>
      </c>
      <c r="I13" s="365">
        <v>460</v>
      </c>
      <c r="J13" s="365">
        <f t="shared" si="4"/>
        <v>34.5</v>
      </c>
      <c r="K13" s="365">
        <v>460</v>
      </c>
      <c r="L13" s="365">
        <f t="shared" si="0"/>
        <v>4.6000000000000005</v>
      </c>
      <c r="M13" s="365">
        <f t="shared" si="5"/>
        <v>74.75</v>
      </c>
      <c r="N13" s="366">
        <f t="shared" si="6"/>
        <v>6514.75</v>
      </c>
    </row>
    <row r="14" spans="1:14" ht="26.25" customHeight="1">
      <c r="A14" s="1407" t="s">
        <v>591</v>
      </c>
      <c r="B14" s="1403"/>
      <c r="C14" s="1404"/>
      <c r="D14" s="1405"/>
      <c r="E14" s="1406">
        <f>SUM(E3:E13)</f>
        <v>3600</v>
      </c>
      <c r="F14" s="1406">
        <f>SUM(F3:F13)</f>
        <v>7200</v>
      </c>
      <c r="G14" s="1406">
        <f>SUM(G3:G13)</f>
        <v>93600</v>
      </c>
      <c r="H14" s="1406">
        <f>SUM(H3:H13)</f>
        <v>557.99999999999989</v>
      </c>
      <c r="I14" s="1406">
        <f t="shared" ref="I14:L14" si="7">SUM(I3:I13)</f>
        <v>7200</v>
      </c>
      <c r="J14" s="1406">
        <f t="shared" si="7"/>
        <v>540</v>
      </c>
      <c r="K14" s="1406">
        <f t="shared" si="7"/>
        <v>7200</v>
      </c>
      <c r="L14" s="1406">
        <f t="shared" si="7"/>
        <v>72</v>
      </c>
      <c r="M14" s="1406">
        <f>SUM(M3:M13)</f>
        <v>1352</v>
      </c>
      <c r="N14" s="1406">
        <f>SUM(N3:N13)</f>
        <v>102152</v>
      </c>
    </row>
    <row r="15" spans="1:14" ht="15" customHeight="1">
      <c r="A15" s="2146" t="s">
        <v>592</v>
      </c>
      <c r="B15" s="2147"/>
      <c r="C15" s="2147"/>
      <c r="D15" s="615"/>
      <c r="E15" s="615"/>
      <c r="F15" s="615"/>
      <c r="G15" s="615"/>
      <c r="H15" s="615"/>
      <c r="I15" s="615"/>
      <c r="J15" s="615"/>
      <c r="K15" s="615"/>
      <c r="L15" s="615"/>
      <c r="M15" s="615"/>
      <c r="N15" s="369"/>
    </row>
    <row r="16" spans="1:14" ht="15" customHeight="1">
      <c r="A16" s="79"/>
      <c r="B16" s="79"/>
      <c r="C16" s="79"/>
      <c r="D16" s="79"/>
      <c r="E16" s="79"/>
      <c r="F16" s="79"/>
      <c r="G16" s="79"/>
      <c r="H16" s="79"/>
      <c r="I16" s="79"/>
      <c r="J16" s="79"/>
      <c r="K16" s="79"/>
      <c r="L16" s="79"/>
      <c r="M16" s="79"/>
      <c r="N16" s="79"/>
    </row>
    <row r="17" spans="1:17">
      <c r="A17" s="79"/>
      <c r="B17" s="79"/>
      <c r="C17" s="79"/>
      <c r="D17" s="79"/>
      <c r="E17" s="79"/>
      <c r="F17" s="79"/>
      <c r="G17" s="79"/>
      <c r="H17" s="79"/>
      <c r="I17" s="79"/>
      <c r="J17" s="79"/>
      <c r="K17" s="79"/>
      <c r="L17" s="79"/>
      <c r="M17" s="79"/>
      <c r="N17" s="79"/>
    </row>
    <row r="18" spans="1:17">
      <c r="A18" s="79"/>
      <c r="B18" s="79"/>
      <c r="C18" s="79"/>
      <c r="D18" s="79"/>
      <c r="E18" s="79"/>
      <c r="F18" s="79"/>
      <c r="G18" s="79"/>
      <c r="H18" s="79"/>
      <c r="I18" s="79"/>
      <c r="J18" s="79"/>
      <c r="K18" s="79"/>
      <c r="L18" s="79"/>
      <c r="M18" s="79"/>
      <c r="N18" s="79"/>
    </row>
    <row r="19" spans="1:17">
      <c r="A19" s="79"/>
      <c r="B19" s="79"/>
      <c r="C19" s="79"/>
      <c r="D19" s="79"/>
      <c r="E19" s="79"/>
      <c r="F19" s="79"/>
      <c r="G19" s="79"/>
      <c r="H19" s="79"/>
      <c r="I19" s="79"/>
      <c r="J19" s="79"/>
      <c r="K19" s="79"/>
      <c r="L19" s="79"/>
      <c r="M19" s="79"/>
      <c r="N19" s="79"/>
    </row>
    <row r="20" spans="1:17">
      <c r="A20" s="79"/>
      <c r="B20" s="79"/>
      <c r="C20" s="79"/>
      <c r="D20" s="79"/>
      <c r="E20" s="79"/>
      <c r="F20" s="79"/>
      <c r="G20" s="79"/>
      <c r="H20" s="79"/>
      <c r="I20" s="79"/>
      <c r="J20" s="79"/>
      <c r="K20" s="79"/>
      <c r="L20" s="79"/>
      <c r="M20" s="79"/>
      <c r="N20" s="79"/>
    </row>
    <row r="21" spans="1:17">
      <c r="A21" s="1409" t="s">
        <v>593</v>
      </c>
      <c r="B21" s="1408"/>
      <c r="C21" s="1408"/>
      <c r="D21" s="79"/>
      <c r="E21" s="79"/>
      <c r="F21" s="79"/>
      <c r="G21" s="79"/>
      <c r="H21" s="79"/>
      <c r="I21" s="79"/>
      <c r="J21" s="79"/>
      <c r="K21" s="79"/>
      <c r="L21" s="79"/>
      <c r="M21" s="79"/>
      <c r="N21" s="79"/>
    </row>
    <row r="22" spans="1:17">
      <c r="A22" s="1408" t="s">
        <v>594</v>
      </c>
      <c r="B22" s="1408"/>
      <c r="C22" s="1408"/>
      <c r="D22" s="79"/>
      <c r="E22" s="79"/>
      <c r="F22" s="79"/>
      <c r="G22" s="79"/>
      <c r="H22" s="79"/>
      <c r="I22" s="79"/>
      <c r="J22" s="79"/>
      <c r="K22" s="79"/>
      <c r="L22" s="79"/>
      <c r="M22" s="79"/>
      <c r="N22" s="79"/>
    </row>
    <row r="23" spans="1:17">
      <c r="A23" s="79"/>
      <c r="B23" s="79"/>
      <c r="C23" s="79"/>
      <c r="D23" s="79"/>
      <c r="E23" s="79"/>
      <c r="F23" s="79"/>
      <c r="G23" s="79"/>
      <c r="H23" s="79"/>
      <c r="I23" s="79"/>
      <c r="J23" s="79"/>
      <c r="K23" s="79"/>
      <c r="L23" s="79"/>
      <c r="M23" s="79"/>
      <c r="N23" s="79"/>
    </row>
    <row r="24" spans="1:17" ht="12.75" customHeight="1">
      <c r="A24" s="2120" t="s">
        <v>296</v>
      </c>
      <c r="B24" s="2121" t="s">
        <v>369</v>
      </c>
      <c r="C24" s="2121"/>
      <c r="D24" s="2121"/>
      <c r="E24" s="2122" t="s">
        <v>595</v>
      </c>
      <c r="F24" s="2112" t="s">
        <v>596</v>
      </c>
      <c r="G24" s="2107" t="s">
        <v>597</v>
      </c>
      <c r="H24" s="2107" t="s">
        <v>598</v>
      </c>
      <c r="I24" s="2107" t="s">
        <v>1001</v>
      </c>
      <c r="J24" s="2110" t="s">
        <v>817</v>
      </c>
      <c r="K24" s="2116" t="s">
        <v>599</v>
      </c>
      <c r="L24" s="2116" t="s">
        <v>528</v>
      </c>
      <c r="M24" s="2112"/>
      <c r="N24" s="2113" t="s">
        <v>199</v>
      </c>
    </row>
    <row r="25" spans="1:17" ht="37.5" customHeight="1">
      <c r="A25" s="2120"/>
      <c r="B25" s="2121"/>
      <c r="C25" s="2121"/>
      <c r="D25" s="2121"/>
      <c r="E25" s="2123"/>
      <c r="F25" s="2112"/>
      <c r="G25" s="2108"/>
      <c r="H25" s="2108"/>
      <c r="I25" s="2108"/>
      <c r="J25" s="2111"/>
      <c r="K25" s="2117"/>
      <c r="L25" s="2117"/>
      <c r="M25" s="2112"/>
      <c r="N25" s="2114"/>
      <c r="Q25" s="2145"/>
    </row>
    <row r="26" spans="1:17" ht="25.5">
      <c r="A26" s="1410"/>
      <c r="B26" s="1399" t="s">
        <v>600</v>
      </c>
      <c r="C26" s="2115" t="s">
        <v>601</v>
      </c>
      <c r="D26" s="2115"/>
      <c r="E26" s="2115"/>
      <c r="F26" s="1411" t="s">
        <v>233</v>
      </c>
      <c r="G26" s="1411" t="s">
        <v>233</v>
      </c>
      <c r="H26" s="1412" t="s">
        <v>233</v>
      </c>
      <c r="I26" s="1412" t="s">
        <v>233</v>
      </c>
      <c r="J26" s="1412" t="s">
        <v>233</v>
      </c>
      <c r="K26" s="1412" t="s">
        <v>233</v>
      </c>
      <c r="L26" s="1413"/>
      <c r="M26" s="1412"/>
      <c r="N26" s="1414" t="s">
        <v>233</v>
      </c>
      <c r="Q26" s="2145"/>
    </row>
    <row r="27" spans="1:17">
      <c r="A27" s="169">
        <v>1</v>
      </c>
      <c r="B27" s="169">
        <v>51202</v>
      </c>
      <c r="C27" s="2118" t="s">
        <v>602</v>
      </c>
      <c r="D27" s="2119"/>
      <c r="E27" s="171" t="s">
        <v>603</v>
      </c>
      <c r="F27" s="370">
        <f>8*31</f>
        <v>248</v>
      </c>
      <c r="G27" s="370">
        <f>8*31</f>
        <v>248</v>
      </c>
      <c r="H27" s="370">
        <f>8*31</f>
        <v>248</v>
      </c>
      <c r="I27" s="370">
        <f>4*31</f>
        <v>124</v>
      </c>
      <c r="J27" s="384">
        <v>1000</v>
      </c>
      <c r="K27" s="370">
        <f>8*31</f>
        <v>248</v>
      </c>
      <c r="L27" s="370"/>
      <c r="M27" s="370"/>
      <c r="N27" s="371">
        <f t="shared" ref="N27:N38" si="8">SUM(F27:M27)</f>
        <v>2116</v>
      </c>
      <c r="Q27" s="958"/>
    </row>
    <row r="28" spans="1:17">
      <c r="A28" s="169">
        <f>+A27+1</f>
        <v>2</v>
      </c>
      <c r="B28" s="169">
        <v>51202</v>
      </c>
      <c r="C28" s="2118" t="s">
        <v>602</v>
      </c>
      <c r="D28" s="2119"/>
      <c r="E28" s="171" t="s">
        <v>604</v>
      </c>
      <c r="F28" s="370">
        <f>8*28</f>
        <v>224</v>
      </c>
      <c r="G28" s="370">
        <f t="shared" ref="G28:H38" si="9">8*31</f>
        <v>248</v>
      </c>
      <c r="H28" s="370">
        <f t="shared" si="9"/>
        <v>248</v>
      </c>
      <c r="I28" s="370">
        <f t="shared" ref="I28:I38" si="10">4*31</f>
        <v>124</v>
      </c>
      <c r="J28" s="370"/>
      <c r="K28" s="370">
        <f t="shared" ref="K28:K38" si="11">8*31</f>
        <v>248</v>
      </c>
      <c r="L28" s="370"/>
      <c r="M28" s="370"/>
      <c r="N28" s="371">
        <f t="shared" si="8"/>
        <v>1092</v>
      </c>
      <c r="Q28" s="370"/>
    </row>
    <row r="29" spans="1:17">
      <c r="A29" s="169">
        <f t="shared" ref="A29:A38" si="12">+A28+1</f>
        <v>3</v>
      </c>
      <c r="B29" s="169">
        <v>51202</v>
      </c>
      <c r="C29" s="2118" t="s">
        <v>602</v>
      </c>
      <c r="D29" s="2119"/>
      <c r="E29" s="171" t="s">
        <v>605</v>
      </c>
      <c r="F29" s="370">
        <f>8*31</f>
        <v>248</v>
      </c>
      <c r="G29" s="370">
        <f t="shared" si="9"/>
        <v>248</v>
      </c>
      <c r="H29" s="370">
        <f t="shared" si="9"/>
        <v>248</v>
      </c>
      <c r="I29" s="370">
        <f t="shared" si="10"/>
        <v>124</v>
      </c>
      <c r="J29" s="370"/>
      <c r="K29" s="370">
        <f t="shared" si="11"/>
        <v>248</v>
      </c>
      <c r="L29" s="370"/>
      <c r="M29" s="370"/>
      <c r="N29" s="371">
        <f t="shared" si="8"/>
        <v>1116</v>
      </c>
      <c r="Q29" s="370"/>
    </row>
    <row r="30" spans="1:17">
      <c r="A30" s="169">
        <f t="shared" si="12"/>
        <v>4</v>
      </c>
      <c r="B30" s="169">
        <v>51202</v>
      </c>
      <c r="C30" s="2118" t="s">
        <v>602</v>
      </c>
      <c r="D30" s="2119"/>
      <c r="E30" s="171" t="s">
        <v>606</v>
      </c>
      <c r="F30" s="370">
        <f t="shared" ref="F30:F38" si="13">8*31</f>
        <v>248</v>
      </c>
      <c r="G30" s="370">
        <f t="shared" si="9"/>
        <v>248</v>
      </c>
      <c r="H30" s="370">
        <f t="shared" si="9"/>
        <v>248</v>
      </c>
      <c r="I30" s="370">
        <f t="shared" si="10"/>
        <v>124</v>
      </c>
      <c r="J30" s="370"/>
      <c r="K30" s="370">
        <f t="shared" si="11"/>
        <v>248</v>
      </c>
      <c r="L30" s="370"/>
      <c r="M30" s="370"/>
      <c r="N30" s="371">
        <f t="shared" si="8"/>
        <v>1116</v>
      </c>
      <c r="Q30" s="370"/>
    </row>
    <row r="31" spans="1:17">
      <c r="A31" s="169">
        <f t="shared" si="12"/>
        <v>5</v>
      </c>
      <c r="B31" s="169">
        <v>51202</v>
      </c>
      <c r="C31" s="2118" t="s">
        <v>602</v>
      </c>
      <c r="D31" s="2119"/>
      <c r="E31" s="171" t="s">
        <v>607</v>
      </c>
      <c r="F31" s="370">
        <f t="shared" si="13"/>
        <v>248</v>
      </c>
      <c r="G31" s="370">
        <f t="shared" si="9"/>
        <v>248</v>
      </c>
      <c r="H31" s="370">
        <f t="shared" si="9"/>
        <v>248</v>
      </c>
      <c r="I31" s="370">
        <f t="shared" si="10"/>
        <v>124</v>
      </c>
      <c r="J31" s="370"/>
      <c r="K31" s="370">
        <f t="shared" si="11"/>
        <v>248</v>
      </c>
      <c r="L31" s="370"/>
      <c r="M31" s="370"/>
      <c r="N31" s="371">
        <f t="shared" si="8"/>
        <v>1116</v>
      </c>
      <c r="Q31" s="370"/>
    </row>
    <row r="32" spans="1:17">
      <c r="A32" s="169">
        <f t="shared" si="12"/>
        <v>6</v>
      </c>
      <c r="B32" s="169">
        <v>51202</v>
      </c>
      <c r="C32" s="2118" t="s">
        <v>602</v>
      </c>
      <c r="D32" s="2119"/>
      <c r="E32" s="171" t="s">
        <v>608</v>
      </c>
      <c r="F32" s="370">
        <f t="shared" si="13"/>
        <v>248</v>
      </c>
      <c r="G32" s="370">
        <f t="shared" si="9"/>
        <v>248</v>
      </c>
      <c r="H32" s="370">
        <f t="shared" si="9"/>
        <v>248</v>
      </c>
      <c r="I32" s="370">
        <f t="shared" si="10"/>
        <v>124</v>
      </c>
      <c r="J32" s="370"/>
      <c r="K32" s="370">
        <f t="shared" si="11"/>
        <v>248</v>
      </c>
      <c r="L32" s="370"/>
      <c r="M32" s="370"/>
      <c r="N32" s="371">
        <f t="shared" si="8"/>
        <v>1116</v>
      </c>
      <c r="Q32" s="370"/>
    </row>
    <row r="33" spans="1:17">
      <c r="A33" s="169">
        <f t="shared" si="12"/>
        <v>7</v>
      </c>
      <c r="B33" s="169">
        <v>51202</v>
      </c>
      <c r="C33" s="2118" t="s">
        <v>602</v>
      </c>
      <c r="D33" s="2119"/>
      <c r="E33" s="171" t="s">
        <v>609</v>
      </c>
      <c r="F33" s="370">
        <f t="shared" si="13"/>
        <v>248</v>
      </c>
      <c r="G33" s="370">
        <f t="shared" si="9"/>
        <v>248</v>
      </c>
      <c r="H33" s="370">
        <f t="shared" si="9"/>
        <v>248</v>
      </c>
      <c r="I33" s="370">
        <f t="shared" si="10"/>
        <v>124</v>
      </c>
      <c r="J33" s="370"/>
      <c r="K33" s="370">
        <f t="shared" si="11"/>
        <v>248</v>
      </c>
      <c r="L33" s="370"/>
      <c r="M33" s="370"/>
      <c r="N33" s="371">
        <f t="shared" si="8"/>
        <v>1116</v>
      </c>
      <c r="Q33" s="370"/>
    </row>
    <row r="34" spans="1:17">
      <c r="A34" s="169">
        <f t="shared" si="12"/>
        <v>8</v>
      </c>
      <c r="B34" s="169">
        <v>51202</v>
      </c>
      <c r="C34" s="2118" t="s">
        <v>602</v>
      </c>
      <c r="D34" s="2119"/>
      <c r="E34" s="171" t="s">
        <v>610</v>
      </c>
      <c r="F34" s="370">
        <f t="shared" si="13"/>
        <v>248</v>
      </c>
      <c r="G34" s="370">
        <f t="shared" si="9"/>
        <v>248</v>
      </c>
      <c r="H34" s="370">
        <f t="shared" si="9"/>
        <v>248</v>
      </c>
      <c r="I34" s="370">
        <f t="shared" si="10"/>
        <v>124</v>
      </c>
      <c r="J34" s="370"/>
      <c r="K34" s="370">
        <f t="shared" si="11"/>
        <v>248</v>
      </c>
      <c r="L34" s="370"/>
      <c r="M34" s="370"/>
      <c r="N34" s="371">
        <f t="shared" si="8"/>
        <v>1116</v>
      </c>
      <c r="Q34" s="370"/>
    </row>
    <row r="35" spans="1:17">
      <c r="A35" s="169">
        <f t="shared" si="12"/>
        <v>9</v>
      </c>
      <c r="B35" s="169">
        <v>51202</v>
      </c>
      <c r="C35" s="2118" t="s">
        <v>602</v>
      </c>
      <c r="D35" s="2119"/>
      <c r="E35" s="171" t="s">
        <v>611</v>
      </c>
      <c r="F35" s="370">
        <f t="shared" si="13"/>
        <v>248</v>
      </c>
      <c r="G35" s="370">
        <f t="shared" si="9"/>
        <v>248</v>
      </c>
      <c r="H35" s="370">
        <f t="shared" si="9"/>
        <v>248</v>
      </c>
      <c r="I35" s="370">
        <f t="shared" si="10"/>
        <v>124</v>
      </c>
      <c r="J35" s="370"/>
      <c r="K35" s="370">
        <f t="shared" si="11"/>
        <v>248</v>
      </c>
      <c r="L35" s="370"/>
      <c r="M35" s="370"/>
      <c r="N35" s="371">
        <f t="shared" si="8"/>
        <v>1116</v>
      </c>
      <c r="Q35" s="370"/>
    </row>
    <row r="36" spans="1:17">
      <c r="A36" s="169">
        <f t="shared" si="12"/>
        <v>10</v>
      </c>
      <c r="B36" s="169">
        <v>51202</v>
      </c>
      <c r="C36" s="2118" t="s">
        <v>602</v>
      </c>
      <c r="D36" s="2119"/>
      <c r="E36" s="171" t="s">
        <v>612</v>
      </c>
      <c r="F36" s="370">
        <f t="shared" si="13"/>
        <v>248</v>
      </c>
      <c r="G36" s="370">
        <f t="shared" si="9"/>
        <v>248</v>
      </c>
      <c r="H36" s="370">
        <f t="shared" si="9"/>
        <v>248</v>
      </c>
      <c r="I36" s="370">
        <f t="shared" si="10"/>
        <v>124</v>
      </c>
      <c r="J36" s="370"/>
      <c r="K36" s="370">
        <f t="shared" si="11"/>
        <v>248</v>
      </c>
      <c r="L36" s="370"/>
      <c r="M36" s="370"/>
      <c r="N36" s="371">
        <f t="shared" si="8"/>
        <v>1116</v>
      </c>
      <c r="Q36" s="370"/>
    </row>
    <row r="37" spans="1:17">
      <c r="A37" s="169">
        <f t="shared" si="12"/>
        <v>11</v>
      </c>
      <c r="B37" s="169">
        <v>51202</v>
      </c>
      <c r="C37" s="2118" t="s">
        <v>602</v>
      </c>
      <c r="D37" s="2119"/>
      <c r="E37" s="171" t="s">
        <v>613</v>
      </c>
      <c r="F37" s="370">
        <f t="shared" si="13"/>
        <v>248</v>
      </c>
      <c r="G37" s="370">
        <f t="shared" si="9"/>
        <v>248</v>
      </c>
      <c r="H37" s="370">
        <f t="shared" si="9"/>
        <v>248</v>
      </c>
      <c r="I37" s="370">
        <f t="shared" si="10"/>
        <v>124</v>
      </c>
      <c r="J37" s="370"/>
      <c r="K37" s="370">
        <f t="shared" si="11"/>
        <v>248</v>
      </c>
      <c r="L37" s="370"/>
      <c r="M37" s="370"/>
      <c r="N37" s="371">
        <f t="shared" si="8"/>
        <v>1116</v>
      </c>
      <c r="Q37" s="370"/>
    </row>
    <row r="38" spans="1:17">
      <c r="A38" s="169">
        <f t="shared" si="12"/>
        <v>12</v>
      </c>
      <c r="B38" s="169">
        <v>51202</v>
      </c>
      <c r="C38" s="2118" t="s">
        <v>602</v>
      </c>
      <c r="D38" s="2119"/>
      <c r="E38" s="372" t="s">
        <v>614</v>
      </c>
      <c r="F38" s="370">
        <f t="shared" si="13"/>
        <v>248</v>
      </c>
      <c r="G38" s="370">
        <f t="shared" si="9"/>
        <v>248</v>
      </c>
      <c r="H38" s="370">
        <f t="shared" si="9"/>
        <v>248</v>
      </c>
      <c r="I38" s="370">
        <f t="shared" si="10"/>
        <v>124</v>
      </c>
      <c r="J38" s="370"/>
      <c r="K38" s="370">
        <f t="shared" si="11"/>
        <v>248</v>
      </c>
      <c r="L38" s="370"/>
      <c r="M38" s="370"/>
      <c r="N38" s="371">
        <f t="shared" si="8"/>
        <v>1116</v>
      </c>
      <c r="Q38" s="370"/>
    </row>
    <row r="39" spans="1:17">
      <c r="A39" s="1415"/>
      <c r="B39" s="2124" t="s">
        <v>199</v>
      </c>
      <c r="C39" s="2124"/>
      <c r="D39" s="2124"/>
      <c r="E39" s="2124"/>
      <c r="F39" s="1416">
        <f>SUM(F27:F38)</f>
        <v>2952</v>
      </c>
      <c r="G39" s="1416">
        <f t="shared" ref="G39:M39" si="14">SUM(G27:G38)</f>
        <v>2976</v>
      </c>
      <c r="H39" s="1416">
        <f t="shared" si="14"/>
        <v>2976</v>
      </c>
      <c r="I39" s="1416">
        <f t="shared" si="14"/>
        <v>1488</v>
      </c>
      <c r="J39" s="1416">
        <f t="shared" si="14"/>
        <v>1000</v>
      </c>
      <c r="K39" s="1416">
        <f t="shared" si="14"/>
        <v>2976</v>
      </c>
      <c r="L39" s="1416">
        <f t="shared" si="14"/>
        <v>0</v>
      </c>
      <c r="M39" s="1416">
        <f t="shared" si="14"/>
        <v>0</v>
      </c>
      <c r="N39" s="1416">
        <f>F39+G39+H39+I39+J39+K39</f>
        <v>14368</v>
      </c>
      <c r="Q39" s="370"/>
    </row>
    <row r="40" spans="1:17" ht="19.5" customHeight="1">
      <c r="A40" s="2157" t="s">
        <v>615</v>
      </c>
      <c r="B40" s="2157"/>
      <c r="C40" s="2157"/>
      <c r="D40" s="2157"/>
      <c r="E40" s="2157"/>
      <c r="F40" s="178">
        <v>1</v>
      </c>
      <c r="G40" s="373">
        <v>6</v>
      </c>
      <c r="H40" s="373">
        <v>1</v>
      </c>
      <c r="I40" s="373">
        <v>1</v>
      </c>
      <c r="J40" s="373">
        <v>1</v>
      </c>
      <c r="K40" s="374">
        <v>1</v>
      </c>
      <c r="L40" s="374"/>
      <c r="M40" s="373">
        <v>1</v>
      </c>
      <c r="N40" s="374"/>
    </row>
    <row r="41" spans="1:17">
      <c r="A41" s="171"/>
      <c r="B41" s="2102"/>
      <c r="C41" s="2103"/>
      <c r="D41" s="2103"/>
      <c r="E41" s="2103"/>
      <c r="F41" s="2103"/>
      <c r="G41" s="2103"/>
      <c r="H41" s="2103"/>
      <c r="I41" s="2103"/>
      <c r="J41" s="2103"/>
      <c r="K41" s="2103"/>
      <c r="L41" s="2103"/>
      <c r="M41" s="2103"/>
      <c r="N41" s="2104"/>
    </row>
    <row r="42" spans="1:17">
      <c r="A42" s="171"/>
      <c r="B42" s="2102"/>
      <c r="C42" s="2103"/>
      <c r="D42" s="2103"/>
      <c r="E42" s="2103"/>
      <c r="F42" s="2103"/>
      <c r="G42" s="2103"/>
      <c r="H42" s="2103"/>
      <c r="I42" s="2103"/>
      <c r="J42" s="2103"/>
      <c r="K42" s="2103"/>
      <c r="L42" s="2103"/>
      <c r="M42" s="2103"/>
      <c r="N42" s="2104"/>
    </row>
    <row r="43" spans="1:17" ht="16.5" customHeight="1">
      <c r="A43" s="171"/>
      <c r="B43" s="2099" t="s">
        <v>1273</v>
      </c>
      <c r="C43" s="2100"/>
      <c r="D43" s="2100"/>
      <c r="E43" s="2100"/>
      <c r="F43" s="2100"/>
      <c r="G43" s="2100"/>
      <c r="H43" s="2100"/>
      <c r="I43" s="2100"/>
      <c r="J43" s="2100"/>
      <c r="K43" s="2100"/>
      <c r="L43" s="2100"/>
      <c r="M43" s="2100"/>
      <c r="N43" s="2101"/>
    </row>
    <row r="44" spans="1:17" ht="16.5" customHeight="1">
      <c r="A44" s="171"/>
      <c r="B44" s="2102"/>
      <c r="C44" s="2103"/>
      <c r="D44" s="2103"/>
      <c r="E44" s="2103"/>
      <c r="F44" s="2103"/>
      <c r="G44" s="2103"/>
      <c r="H44" s="2103"/>
      <c r="I44" s="2103"/>
      <c r="J44" s="2103"/>
      <c r="K44" s="2103"/>
      <c r="L44" s="2103"/>
      <c r="M44" s="2103"/>
      <c r="N44" s="2104"/>
    </row>
    <row r="45" spans="1:17" ht="27.75" customHeight="1">
      <c r="A45" s="171"/>
      <c r="B45" s="2158" t="s">
        <v>1176</v>
      </c>
      <c r="C45" s="2159"/>
      <c r="D45" s="2159"/>
      <c r="E45" s="2159"/>
      <c r="F45" s="2159"/>
      <c r="G45" s="2159"/>
      <c r="H45" s="2159"/>
      <c r="I45" s="2159"/>
      <c r="J45" s="2159"/>
      <c r="K45" s="2159"/>
      <c r="L45" s="2159"/>
      <c r="M45" s="2159"/>
      <c r="N45" s="2159"/>
    </row>
    <row r="46" spans="1:17" ht="16.5" customHeight="1">
      <c r="A46" s="171"/>
      <c r="B46" s="2102"/>
      <c r="C46" s="2103"/>
      <c r="D46" s="2103"/>
      <c r="E46" s="2103"/>
      <c r="F46" s="2103"/>
      <c r="G46" s="2103"/>
      <c r="H46" s="2103"/>
      <c r="I46" s="2103"/>
      <c r="J46" s="2103"/>
      <c r="K46" s="2103"/>
      <c r="L46" s="2103"/>
      <c r="M46" s="2103"/>
      <c r="N46" s="2104"/>
    </row>
    <row r="47" spans="1:17" ht="16.5" customHeight="1">
      <c r="A47" s="171"/>
      <c r="B47" s="2099" t="s">
        <v>1274</v>
      </c>
      <c r="C47" s="2100"/>
      <c r="D47" s="2100"/>
      <c r="E47" s="2100"/>
      <c r="F47" s="2100"/>
      <c r="G47" s="2100"/>
      <c r="H47" s="2100"/>
      <c r="I47" s="2100"/>
      <c r="J47" s="2100"/>
      <c r="K47" s="2100"/>
      <c r="L47" s="2100"/>
      <c r="M47" s="2100"/>
      <c r="N47" s="2101"/>
    </row>
    <row r="48" spans="1:17" ht="16.5" customHeight="1">
      <c r="A48" s="171"/>
      <c r="B48" s="2102"/>
      <c r="C48" s="2103"/>
      <c r="D48" s="2103"/>
      <c r="E48" s="2103"/>
      <c r="F48" s="2103"/>
      <c r="G48" s="2103"/>
      <c r="H48" s="2103"/>
      <c r="I48" s="2103"/>
      <c r="J48" s="2103"/>
      <c r="K48" s="2103"/>
      <c r="L48" s="2103"/>
      <c r="M48" s="2103"/>
      <c r="N48" s="2104"/>
    </row>
    <row r="49" spans="1:14" ht="16.5" customHeight="1">
      <c r="A49" s="171"/>
      <c r="B49" s="2099" t="s">
        <v>932</v>
      </c>
      <c r="C49" s="2100"/>
      <c r="D49" s="2100"/>
      <c r="E49" s="2100"/>
      <c r="F49" s="2100"/>
      <c r="G49" s="2100"/>
      <c r="H49" s="2100"/>
      <c r="I49" s="2100"/>
      <c r="J49" s="2100"/>
      <c r="K49" s="2100"/>
      <c r="L49" s="2100"/>
      <c r="M49" s="2100"/>
      <c r="N49" s="2101"/>
    </row>
    <row r="50" spans="1:14" ht="16.5" customHeight="1">
      <c r="A50" s="171"/>
      <c r="B50" s="2102"/>
      <c r="C50" s="2103"/>
      <c r="D50" s="2103"/>
      <c r="E50" s="2103"/>
      <c r="F50" s="2103"/>
      <c r="G50" s="2103"/>
      <c r="H50" s="2103"/>
      <c r="I50" s="2103"/>
      <c r="J50" s="2103"/>
      <c r="K50" s="2103"/>
      <c r="L50" s="2103"/>
      <c r="M50" s="2103"/>
      <c r="N50" s="2104"/>
    </row>
    <row r="51" spans="1:14" ht="16.5" customHeight="1">
      <c r="A51" s="171"/>
      <c r="B51" s="2099" t="s">
        <v>1272</v>
      </c>
      <c r="C51" s="2100"/>
      <c r="D51" s="2100"/>
      <c r="E51" s="2100"/>
      <c r="F51" s="2100"/>
      <c r="G51" s="2100"/>
      <c r="H51" s="2100"/>
      <c r="I51" s="2100"/>
      <c r="J51" s="2100"/>
      <c r="K51" s="2100"/>
      <c r="L51" s="2100"/>
      <c r="M51" s="2100"/>
      <c r="N51" s="2101"/>
    </row>
    <row r="52" spans="1:14" ht="16.5" customHeight="1">
      <c r="A52" s="171"/>
      <c r="B52" s="2102"/>
      <c r="C52" s="2103"/>
      <c r="D52" s="2103"/>
      <c r="E52" s="2103"/>
      <c r="F52" s="2103"/>
      <c r="G52" s="2103"/>
      <c r="H52" s="2103"/>
      <c r="I52" s="2103"/>
      <c r="J52" s="2103"/>
      <c r="K52" s="2103"/>
      <c r="L52" s="2103"/>
      <c r="M52" s="2103"/>
      <c r="N52" s="2104"/>
    </row>
    <row r="53" spans="1:14" ht="16.5" customHeight="1">
      <c r="A53" s="171"/>
      <c r="B53" s="2099" t="s">
        <v>1271</v>
      </c>
      <c r="C53" s="2100"/>
      <c r="D53" s="2100"/>
      <c r="E53" s="2100"/>
      <c r="F53" s="2100"/>
      <c r="G53" s="2100"/>
      <c r="H53" s="2100"/>
      <c r="I53" s="2100"/>
      <c r="J53" s="2100"/>
      <c r="K53" s="2100"/>
      <c r="L53" s="2100"/>
      <c r="M53" s="2100"/>
      <c r="N53" s="2101"/>
    </row>
    <row r="54" spans="1:14" ht="16.5" customHeight="1">
      <c r="A54" s="171"/>
      <c r="B54" s="2102"/>
      <c r="C54" s="2103"/>
      <c r="D54" s="2103"/>
      <c r="E54" s="2103"/>
      <c r="F54" s="2103"/>
      <c r="G54" s="2103"/>
      <c r="H54" s="2103"/>
      <c r="I54" s="2103"/>
      <c r="J54" s="2103"/>
      <c r="K54" s="2103"/>
      <c r="L54" s="2103"/>
      <c r="M54" s="2103"/>
      <c r="N54" s="2104"/>
    </row>
    <row r="55" spans="1:14" ht="16.5" customHeight="1">
      <c r="A55" s="171"/>
      <c r="B55" s="2099" t="s">
        <v>1270</v>
      </c>
      <c r="C55" s="2100"/>
      <c r="D55" s="2100"/>
      <c r="E55" s="2100"/>
      <c r="F55" s="2100"/>
      <c r="G55" s="2100"/>
      <c r="H55" s="2100"/>
      <c r="I55" s="2100"/>
      <c r="J55" s="2100"/>
      <c r="K55" s="2100"/>
      <c r="L55" s="2100"/>
      <c r="M55" s="2100"/>
      <c r="N55" s="2101"/>
    </row>
    <row r="56" spans="1:14" ht="16.5" customHeight="1">
      <c r="A56" s="171"/>
      <c r="B56" s="2102"/>
      <c r="C56" s="2103"/>
      <c r="D56" s="2103"/>
      <c r="E56" s="2103"/>
      <c r="F56" s="2103"/>
      <c r="G56" s="2103"/>
      <c r="H56" s="2103"/>
      <c r="I56" s="2103"/>
      <c r="J56" s="2103"/>
      <c r="K56" s="2103"/>
      <c r="L56" s="2103"/>
      <c r="M56" s="2103"/>
      <c r="N56" s="2104"/>
    </row>
    <row r="57" spans="1:14" ht="16.5" customHeight="1">
      <c r="A57" s="2160" t="s">
        <v>592</v>
      </c>
      <c r="B57" s="2160"/>
      <c r="C57" s="2160"/>
      <c r="D57" s="2160"/>
      <c r="E57" s="2160"/>
      <c r="F57" s="2160"/>
      <c r="G57" s="2160"/>
      <c r="H57" s="2160"/>
      <c r="I57" s="2160"/>
      <c r="J57" s="2160"/>
      <c r="K57" s="2160"/>
      <c r="L57" s="2160"/>
      <c r="M57" s="2160"/>
      <c r="N57" s="2160"/>
    </row>
    <row r="58" spans="1:14" ht="16.5" customHeight="1">
      <c r="A58" s="652"/>
      <c r="B58" s="2142" t="s">
        <v>199</v>
      </c>
      <c r="C58" s="2143"/>
      <c r="D58" s="2143"/>
      <c r="E58" s="2143"/>
      <c r="F58" s="2143"/>
      <c r="G58" s="2143"/>
      <c r="H58" s="2143"/>
      <c r="I58" s="2143"/>
      <c r="J58" s="2143"/>
      <c r="K58" s="2143"/>
      <c r="L58" s="2143"/>
      <c r="M58" s="2144"/>
      <c r="N58" s="651">
        <f>+N39</f>
        <v>14368</v>
      </c>
    </row>
    <row r="59" spans="1:14" hidden="1">
      <c r="A59" s="79"/>
      <c r="B59" s="79"/>
      <c r="C59" s="79"/>
      <c r="D59" s="79"/>
      <c r="E59" s="79"/>
      <c r="F59" s="79"/>
      <c r="G59" s="79"/>
      <c r="H59" s="79"/>
      <c r="I59" s="79"/>
      <c r="J59" s="79"/>
      <c r="K59" s="79"/>
      <c r="L59" s="79"/>
      <c r="M59" s="79"/>
      <c r="N59" s="376"/>
    </row>
    <row r="60" spans="1:14" hidden="1">
      <c r="A60" s="79"/>
      <c r="B60" s="79"/>
      <c r="C60" s="79"/>
      <c r="D60" s="79"/>
      <c r="E60" s="79"/>
      <c r="F60" s="79"/>
      <c r="G60" s="79"/>
      <c r="H60" s="79"/>
      <c r="I60" s="79"/>
      <c r="J60" s="79"/>
      <c r="K60" s="79"/>
      <c r="L60" s="79"/>
      <c r="M60" s="79"/>
      <c r="N60" s="376"/>
    </row>
    <row r="61" spans="1:14" hidden="1">
      <c r="A61" s="79"/>
      <c r="B61" s="79"/>
      <c r="C61" s="79"/>
      <c r="D61" s="79"/>
      <c r="E61" s="79"/>
      <c r="F61" s="79"/>
      <c r="G61" s="79"/>
      <c r="H61" s="79"/>
      <c r="I61" s="79"/>
      <c r="J61" s="79"/>
      <c r="K61" s="79"/>
      <c r="L61" s="79"/>
      <c r="M61" s="79"/>
      <c r="N61" s="383"/>
    </row>
    <row r="62" spans="1:14" ht="20.25" customHeight="1">
      <c r="A62" s="2151" t="s">
        <v>110</v>
      </c>
      <c r="B62" s="2152"/>
      <c r="C62" s="2152"/>
      <c r="D62" s="2152"/>
      <c r="E62" s="2152"/>
      <c r="F62" s="2152"/>
      <c r="G62" s="2152"/>
      <c r="H62" s="2152"/>
      <c r="I62" s="2152"/>
      <c r="J62" s="2152"/>
      <c r="K62" s="2152"/>
      <c r="L62" s="2152"/>
      <c r="M62" s="2152"/>
      <c r="N62" s="2153"/>
    </row>
    <row r="63" spans="1:14" ht="20.25" customHeight="1">
      <c r="A63" s="2148" t="s">
        <v>111</v>
      </c>
      <c r="B63" s="2149"/>
      <c r="C63" s="2149"/>
      <c r="D63" s="2149"/>
      <c r="E63" s="2149"/>
      <c r="F63" s="2149"/>
      <c r="G63" s="2149"/>
      <c r="H63" s="2149"/>
      <c r="I63" s="2149"/>
      <c r="J63" s="2149"/>
      <c r="K63" s="2149"/>
      <c r="L63" s="2149"/>
      <c r="M63" s="2149"/>
      <c r="N63" s="2150"/>
    </row>
    <row r="64" spans="1:14" ht="20.25" customHeight="1">
      <c r="A64" s="2148" t="s">
        <v>616</v>
      </c>
      <c r="B64" s="2149"/>
      <c r="C64" s="2149"/>
      <c r="D64" s="2149"/>
      <c r="E64" s="2149"/>
      <c r="F64" s="2149"/>
      <c r="G64" s="2149"/>
      <c r="H64" s="2149"/>
      <c r="I64" s="2149"/>
      <c r="J64" s="2149"/>
      <c r="K64" s="2149"/>
      <c r="L64" s="2149"/>
      <c r="M64" s="2149"/>
      <c r="N64" s="2150"/>
    </row>
    <row r="65" spans="1:14" ht="20.25" customHeight="1">
      <c r="A65" s="2154" t="s">
        <v>1020</v>
      </c>
      <c r="B65" s="2155"/>
      <c r="C65" s="2155"/>
      <c r="D65" s="2155"/>
      <c r="E65" s="2155"/>
      <c r="F65" s="2155"/>
      <c r="G65" s="2155"/>
      <c r="H65" s="2155"/>
      <c r="I65" s="2155"/>
      <c r="J65" s="2155"/>
      <c r="K65" s="2155"/>
      <c r="L65" s="2155"/>
      <c r="M65" s="2155"/>
      <c r="N65" s="2156"/>
    </row>
    <row r="66" spans="1:14" ht="16.5" customHeight="1">
      <c r="A66" s="2148" t="s">
        <v>738</v>
      </c>
      <c r="B66" s="2149"/>
      <c r="C66" s="2149"/>
      <c r="D66" s="2149"/>
      <c r="E66" s="2149"/>
      <c r="F66" s="2149"/>
      <c r="G66" s="2149"/>
      <c r="H66" s="2149"/>
      <c r="I66" s="2149"/>
      <c r="J66" s="2149"/>
      <c r="K66" s="2149"/>
      <c r="L66" s="2149"/>
      <c r="M66" s="2149"/>
      <c r="N66" s="2150"/>
    </row>
    <row r="67" spans="1:14" ht="12.75" customHeight="1">
      <c r="A67" s="375"/>
      <c r="B67" s="79"/>
      <c r="C67" s="79"/>
      <c r="D67" s="79"/>
      <c r="E67" s="79"/>
      <c r="F67" s="79"/>
      <c r="G67" s="79"/>
      <c r="H67" s="79"/>
      <c r="I67" s="79"/>
      <c r="J67" s="79"/>
      <c r="K67" s="79"/>
      <c r="L67" s="79"/>
      <c r="M67" s="79"/>
      <c r="N67" s="376"/>
    </row>
    <row r="68" spans="1:14" ht="12.75" customHeight="1">
      <c r="A68" s="375"/>
      <c r="B68" s="79"/>
      <c r="C68" s="79"/>
      <c r="D68" s="79"/>
      <c r="E68" s="79"/>
      <c r="F68" s="79"/>
      <c r="G68" s="79"/>
      <c r="H68" s="79"/>
      <c r="I68" s="79"/>
      <c r="J68" s="79"/>
      <c r="K68" s="79"/>
      <c r="L68" s="79"/>
      <c r="M68" s="79"/>
      <c r="N68" s="376"/>
    </row>
    <row r="69" spans="1:14" ht="15.75">
      <c r="A69" s="377"/>
      <c r="B69" s="378"/>
      <c r="C69" s="378"/>
      <c r="D69" s="378"/>
      <c r="E69" s="378"/>
      <c r="F69" s="378"/>
      <c r="G69" s="378"/>
      <c r="H69" s="378"/>
      <c r="I69" s="378"/>
      <c r="J69" s="378"/>
      <c r="K69" s="379"/>
      <c r="L69" s="378"/>
      <c r="M69" s="378"/>
      <c r="N69" s="173"/>
    </row>
    <row r="70" spans="1:14" ht="15.75">
      <c r="A70" s="380"/>
      <c r="B70" s="38"/>
      <c r="C70" s="79"/>
      <c r="D70" s="79"/>
      <c r="E70" s="79"/>
      <c r="F70" s="79"/>
      <c r="G70" s="79"/>
      <c r="H70" s="79"/>
      <c r="I70" s="79"/>
      <c r="J70" s="79"/>
      <c r="K70" s="2137" t="s">
        <v>617</v>
      </c>
      <c r="L70" s="2138"/>
      <c r="M70" s="79"/>
      <c r="N70" s="376"/>
    </row>
    <row r="71" spans="1:14" ht="24.75" customHeight="1">
      <c r="A71" s="380"/>
      <c r="B71" s="314">
        <v>54101</v>
      </c>
      <c r="C71" s="729" t="s">
        <v>891</v>
      </c>
      <c r="D71" s="730"/>
      <c r="E71" s="2141" t="s">
        <v>618</v>
      </c>
      <c r="F71" s="2141"/>
      <c r="G71" s="79"/>
      <c r="H71" s="79"/>
      <c r="I71" s="79"/>
      <c r="J71" s="79"/>
      <c r="K71" s="2139">
        <v>4200</v>
      </c>
      <c r="L71" s="2140"/>
      <c r="M71" s="79"/>
      <c r="N71" s="376"/>
    </row>
    <row r="72" spans="1:14" ht="15.75">
      <c r="A72" s="380"/>
      <c r="B72" s="79"/>
      <c r="C72" s="730"/>
      <c r="D72" s="730"/>
      <c r="E72" s="2141" t="s">
        <v>619</v>
      </c>
      <c r="F72" s="2141"/>
      <c r="G72" s="79"/>
      <c r="H72" s="79"/>
      <c r="I72" s="79"/>
      <c r="J72" s="79"/>
      <c r="K72" s="2139">
        <v>800</v>
      </c>
      <c r="L72" s="2140"/>
      <c r="M72" s="79"/>
      <c r="N72" s="376"/>
    </row>
    <row r="73" spans="1:14" ht="16.5" thickBot="1">
      <c r="A73" s="380"/>
      <c r="B73" s="79"/>
      <c r="C73" s="79"/>
      <c r="D73" s="79"/>
      <c r="E73" s="79"/>
      <c r="F73" s="79"/>
      <c r="G73" s="79"/>
      <c r="H73" s="79"/>
      <c r="I73" s="79"/>
      <c r="J73" s="79"/>
      <c r="K73" s="2132">
        <f>SUM(K71:L72)</f>
        <v>5000</v>
      </c>
      <c r="L73" s="2133"/>
      <c r="M73" s="1866"/>
      <c r="N73" s="376"/>
    </row>
    <row r="74" spans="1:14" ht="13.5" thickTop="1">
      <c r="A74" s="2134"/>
      <c r="B74" s="2135"/>
      <c r="C74" s="2136"/>
      <c r="D74" s="2136"/>
      <c r="E74" s="2136"/>
      <c r="F74" s="381"/>
      <c r="G74" s="381"/>
      <c r="H74" s="381"/>
      <c r="I74" s="381"/>
      <c r="J74" s="381"/>
      <c r="K74" s="382"/>
      <c r="L74" s="381"/>
      <c r="M74" s="381"/>
      <c r="N74" s="383"/>
    </row>
  </sheetData>
  <mergeCells count="67">
    <mergeCell ref="B58:M58"/>
    <mergeCell ref="Q25:Q26"/>
    <mergeCell ref="A15:C15"/>
    <mergeCell ref="A66:N66"/>
    <mergeCell ref="A62:N62"/>
    <mergeCell ref="A63:N63"/>
    <mergeCell ref="A64:N64"/>
    <mergeCell ref="A65:N65"/>
    <mergeCell ref="B39:E39"/>
    <mergeCell ref="A40:E40"/>
    <mergeCell ref="B45:N45"/>
    <mergeCell ref="A57:N57"/>
    <mergeCell ref="B53:N53"/>
    <mergeCell ref="B55:N55"/>
    <mergeCell ref="B47:N47"/>
    <mergeCell ref="B51:N51"/>
    <mergeCell ref="B56:N56"/>
    <mergeCell ref="B44:N44"/>
    <mergeCell ref="B46:N46"/>
    <mergeCell ref="B48:N48"/>
    <mergeCell ref="B52:N52"/>
    <mergeCell ref="B54:N54"/>
    <mergeCell ref="K73:L73"/>
    <mergeCell ref="A74:B74"/>
    <mergeCell ref="C74:E74"/>
    <mergeCell ref="K70:L70"/>
    <mergeCell ref="K71:L71"/>
    <mergeCell ref="K72:L72"/>
    <mergeCell ref="E71:F71"/>
    <mergeCell ref="E72:F72"/>
    <mergeCell ref="C38:D38"/>
    <mergeCell ref="C33:D33"/>
    <mergeCell ref="C34:D34"/>
    <mergeCell ref="C35:D35"/>
    <mergeCell ref="B42:N42"/>
    <mergeCell ref="B41:N41"/>
    <mergeCell ref="C27:D27"/>
    <mergeCell ref="C28:D28"/>
    <mergeCell ref="C29:D29"/>
    <mergeCell ref="C36:D36"/>
    <mergeCell ref="C37:D37"/>
    <mergeCell ref="A1:A2"/>
    <mergeCell ref="B1:B2"/>
    <mergeCell ref="C1:C2"/>
    <mergeCell ref="D1:D2"/>
    <mergeCell ref="E1:G1"/>
    <mergeCell ref="A24:A25"/>
    <mergeCell ref="B24:D25"/>
    <mergeCell ref="E24:E25"/>
    <mergeCell ref="F24:F25"/>
    <mergeCell ref="G24:G25"/>
    <mergeCell ref="B43:N43"/>
    <mergeCell ref="B49:N49"/>
    <mergeCell ref="B50:N50"/>
    <mergeCell ref="N1:N2"/>
    <mergeCell ref="H24:H25"/>
    <mergeCell ref="I24:I25"/>
    <mergeCell ref="H1:M1"/>
    <mergeCell ref="J24:J25"/>
    <mergeCell ref="M24:M25"/>
    <mergeCell ref="N24:N25"/>
    <mergeCell ref="C26:E26"/>
    <mergeCell ref="K24:K25"/>
    <mergeCell ref="L24:L25"/>
    <mergeCell ref="C30:D30"/>
    <mergeCell ref="C31:D31"/>
    <mergeCell ref="C32:D32"/>
  </mergeCells>
  <pageMargins left="0.32" right="0.11811023622047245" top="0.53" bottom="0.27559055118110237" header="0.27559055118110237" footer="0.19685039370078741"/>
  <pageSetup scale="68" orientation="landscape" horizontalDpi="0" verticalDpi="0"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J153"/>
  <sheetViews>
    <sheetView topLeftCell="A2" zoomScaleNormal="100" workbookViewId="0">
      <selection activeCell="H56" sqref="H56"/>
    </sheetView>
  </sheetViews>
  <sheetFormatPr baseColWidth="10" defaultRowHeight="12.75"/>
  <cols>
    <col min="1" max="1" width="3.85546875" customWidth="1"/>
    <col min="2" max="2" width="5.140625" customWidth="1"/>
    <col min="3" max="3" width="5.28515625" customWidth="1"/>
    <col min="4" max="4" width="4.7109375" customWidth="1"/>
    <col min="5" max="5" width="7.140625" customWidth="1"/>
    <col min="6" max="6" width="9.42578125" style="79" customWidth="1"/>
    <col min="7" max="7" width="42.7109375" style="119" customWidth="1"/>
    <col min="8" max="8" width="15.42578125" style="79" customWidth="1"/>
    <col min="9" max="9" width="14.42578125" customWidth="1"/>
    <col min="10" max="10" width="12.28515625" bestFit="1" customWidth="1"/>
  </cols>
  <sheetData>
    <row r="1" spans="1:8" ht="18.75">
      <c r="A1" s="2162" t="s">
        <v>111</v>
      </c>
      <c r="B1" s="2162"/>
      <c r="C1" s="2162"/>
      <c r="D1" s="2162"/>
      <c r="E1" s="2162"/>
      <c r="F1" s="2162"/>
      <c r="G1" s="2162"/>
      <c r="H1" s="2162"/>
    </row>
    <row r="2" spans="1:8" ht="18.75">
      <c r="A2" s="2162" t="s">
        <v>110</v>
      </c>
      <c r="B2" s="2162"/>
      <c r="C2" s="2162"/>
      <c r="D2" s="2162"/>
      <c r="E2" s="2162"/>
      <c r="F2" s="2162"/>
      <c r="G2" s="2162"/>
      <c r="H2" s="2162"/>
    </row>
    <row r="3" spans="1:8" ht="18.75">
      <c r="A3" s="2163" t="s">
        <v>1213</v>
      </c>
      <c r="B3" s="2164"/>
      <c r="C3" s="2164"/>
      <c r="D3" s="2164"/>
      <c r="E3" s="2164"/>
      <c r="F3" s="2164"/>
      <c r="G3" s="2164"/>
      <c r="H3" s="2164"/>
    </row>
    <row r="4" spans="1:8" ht="18.75">
      <c r="A4" s="2163" t="s">
        <v>32</v>
      </c>
      <c r="B4" s="2164"/>
      <c r="C4" s="2164"/>
      <c r="D4" s="2164"/>
      <c r="E4" s="2164"/>
      <c r="F4" s="2164"/>
      <c r="G4" s="2164"/>
      <c r="H4" s="2164"/>
    </row>
    <row r="5" spans="1:8" ht="18.75">
      <c r="A5" s="2165"/>
      <c r="B5" s="2166"/>
      <c r="C5" s="2166"/>
      <c r="D5" s="2166"/>
      <c r="E5" s="2166"/>
      <c r="F5" s="2166"/>
      <c r="G5" s="2166"/>
      <c r="H5" s="2166"/>
    </row>
    <row r="6" spans="1:8" ht="18.75">
      <c r="A6" s="2161" t="s">
        <v>47</v>
      </c>
      <c r="B6" s="2161"/>
      <c r="C6" s="2161"/>
      <c r="D6" s="2161"/>
      <c r="E6" s="2161"/>
      <c r="F6" s="2161"/>
      <c r="G6" s="2161"/>
      <c r="H6" s="2161"/>
    </row>
    <row r="7" spans="1:8" ht="18.75">
      <c r="A7" s="2172" t="s">
        <v>1015</v>
      </c>
      <c r="B7" s="2173"/>
      <c r="C7" s="2173"/>
      <c r="D7" s="2173"/>
      <c r="E7" s="2173"/>
      <c r="F7" s="2173"/>
      <c r="G7" s="2173"/>
      <c r="H7" s="2173"/>
    </row>
    <row r="8" spans="1:8" ht="15">
      <c r="A8" s="2174" t="s">
        <v>29</v>
      </c>
      <c r="B8" s="2174"/>
      <c r="C8" s="2174"/>
      <c r="D8" s="2174"/>
      <c r="E8" s="2174"/>
      <c r="F8" s="2174"/>
      <c r="G8" s="2175" t="s">
        <v>44</v>
      </c>
      <c r="H8" s="2176" t="s">
        <v>51</v>
      </c>
    </row>
    <row r="9" spans="1:8" ht="54" customHeight="1">
      <c r="A9" s="1417" t="s">
        <v>39</v>
      </c>
      <c r="B9" s="1418" t="s">
        <v>216</v>
      </c>
      <c r="C9" s="1419" t="s">
        <v>41</v>
      </c>
      <c r="D9" s="1417" t="s">
        <v>45</v>
      </c>
      <c r="E9" s="1419" t="s">
        <v>42</v>
      </c>
      <c r="F9" s="1419" t="s">
        <v>43</v>
      </c>
      <c r="G9" s="2175"/>
      <c r="H9" s="2176"/>
    </row>
    <row r="10" spans="1:8" ht="15">
      <c r="A10" s="23">
        <v>1</v>
      </c>
      <c r="B10" s="23" t="s">
        <v>59</v>
      </c>
      <c r="C10" s="23" t="s">
        <v>59</v>
      </c>
      <c r="D10" s="23" t="s">
        <v>60</v>
      </c>
      <c r="E10" s="724" t="s">
        <v>67</v>
      </c>
      <c r="F10" s="725" t="s">
        <v>55</v>
      </c>
      <c r="G10" s="726" t="s">
        <v>112</v>
      </c>
      <c r="H10" s="727">
        <f>SUM('CONCENTRACION DE EGRESOS'!C10)</f>
        <v>15018</v>
      </c>
    </row>
    <row r="11" spans="1:8" ht="15">
      <c r="A11" s="11">
        <v>1</v>
      </c>
      <c r="B11" s="11" t="s">
        <v>59</v>
      </c>
      <c r="C11" s="11" t="s">
        <v>59</v>
      </c>
      <c r="D11" s="11" t="s">
        <v>60</v>
      </c>
      <c r="E11" s="12" t="s">
        <v>67</v>
      </c>
      <c r="F11" s="149" t="s">
        <v>115</v>
      </c>
      <c r="G11" s="646" t="s">
        <v>116</v>
      </c>
      <c r="H11" s="220">
        <f>SUM('CONCENTRACION DE EGRESOS'!C12)</f>
        <v>93600</v>
      </c>
    </row>
    <row r="12" spans="1:8" ht="15">
      <c r="A12" s="11" t="s">
        <v>62</v>
      </c>
      <c r="B12" s="11" t="s">
        <v>59</v>
      </c>
      <c r="C12" s="11" t="s">
        <v>59</v>
      </c>
      <c r="D12" s="11" t="s">
        <v>60</v>
      </c>
      <c r="E12" s="12" t="s">
        <v>67</v>
      </c>
      <c r="F12" s="149" t="s">
        <v>204</v>
      </c>
      <c r="G12" s="646" t="s">
        <v>205</v>
      </c>
      <c r="H12" s="220">
        <f>SUM('CONCENTRACION DE EGRESOS'!C16)</f>
        <v>7509</v>
      </c>
    </row>
    <row r="13" spans="1:8" ht="15">
      <c r="A13" s="11">
        <v>1</v>
      </c>
      <c r="B13" s="11" t="s">
        <v>59</v>
      </c>
      <c r="C13" s="11" t="s">
        <v>59</v>
      </c>
      <c r="D13" s="11" t="s">
        <v>60</v>
      </c>
      <c r="E13" s="12" t="s">
        <v>67</v>
      </c>
      <c r="F13" s="149" t="s">
        <v>121</v>
      </c>
      <c r="G13" s="646" t="s">
        <v>122</v>
      </c>
      <c r="H13" s="220">
        <f>SUM('CONCENTRACION DE EGRESOS'!C19)</f>
        <v>8224</v>
      </c>
    </row>
    <row r="14" spans="1:8" ht="15">
      <c r="A14" s="11">
        <v>1</v>
      </c>
      <c r="B14" s="11" t="s">
        <v>59</v>
      </c>
      <c r="C14" s="11" t="s">
        <v>59</v>
      </c>
      <c r="D14" s="11" t="s">
        <v>60</v>
      </c>
      <c r="E14" s="12" t="s">
        <v>67</v>
      </c>
      <c r="F14" s="149" t="s">
        <v>123</v>
      </c>
      <c r="G14" s="646" t="s">
        <v>124</v>
      </c>
      <c r="H14" s="220">
        <f>SUM('CONCENTRACION DE EGRESOS'!C20)</f>
        <v>7825.7950000000001</v>
      </c>
    </row>
    <row r="15" spans="1:8" ht="15">
      <c r="A15" s="11">
        <v>1</v>
      </c>
      <c r="B15" s="11" t="s">
        <v>59</v>
      </c>
      <c r="C15" s="11" t="s">
        <v>59</v>
      </c>
      <c r="D15" s="11" t="s">
        <v>60</v>
      </c>
      <c r="E15" s="12" t="s">
        <v>67</v>
      </c>
      <c r="F15" s="150">
        <v>54101</v>
      </c>
      <c r="G15" s="647" t="s">
        <v>159</v>
      </c>
      <c r="H15" s="220">
        <v>5000</v>
      </c>
    </row>
    <row r="16" spans="1:8" ht="15">
      <c r="A16" s="11" t="s">
        <v>62</v>
      </c>
      <c r="B16" s="11" t="s">
        <v>59</v>
      </c>
      <c r="C16" s="11" t="s">
        <v>59</v>
      </c>
      <c r="D16" s="11" t="s">
        <v>60</v>
      </c>
      <c r="E16" s="12" t="s">
        <v>67</v>
      </c>
      <c r="F16" s="150">
        <v>54110</v>
      </c>
      <c r="G16" s="647" t="s">
        <v>809</v>
      </c>
      <c r="H16" s="220">
        <v>4000</v>
      </c>
    </row>
    <row r="17" spans="1:8" ht="15">
      <c r="A17" s="11">
        <v>1</v>
      </c>
      <c r="B17" s="11" t="s">
        <v>59</v>
      </c>
      <c r="C17" s="11" t="s">
        <v>59</v>
      </c>
      <c r="D17" s="11" t="s">
        <v>60</v>
      </c>
      <c r="E17" s="12" t="s">
        <v>67</v>
      </c>
      <c r="F17" s="150">
        <v>54199</v>
      </c>
      <c r="G17" s="647" t="s">
        <v>175</v>
      </c>
      <c r="H17" s="220">
        <v>1500</v>
      </c>
    </row>
    <row r="18" spans="1:8" ht="15">
      <c r="A18" s="11" t="s">
        <v>62</v>
      </c>
      <c r="B18" s="11" t="s">
        <v>59</v>
      </c>
      <c r="C18" s="11" t="s">
        <v>59</v>
      </c>
      <c r="D18" s="11" t="s">
        <v>60</v>
      </c>
      <c r="E18" s="12" t="s">
        <v>67</v>
      </c>
      <c r="F18" s="150">
        <v>54201</v>
      </c>
      <c r="G18" s="647" t="s">
        <v>1167</v>
      </c>
      <c r="H18" s="220">
        <v>2000</v>
      </c>
    </row>
    <row r="19" spans="1:8" ht="15">
      <c r="A19" s="11" t="s">
        <v>62</v>
      </c>
      <c r="B19" s="11" t="s">
        <v>59</v>
      </c>
      <c r="C19" s="11" t="s">
        <v>59</v>
      </c>
      <c r="D19" s="11" t="s">
        <v>60</v>
      </c>
      <c r="E19" s="12" t="s">
        <v>67</v>
      </c>
      <c r="F19" s="150">
        <v>54202</v>
      </c>
      <c r="G19" s="647" t="s">
        <v>177</v>
      </c>
      <c r="H19" s="220">
        <v>1200</v>
      </c>
    </row>
    <row r="20" spans="1:8" ht="15">
      <c r="A20" s="11" t="s">
        <v>62</v>
      </c>
      <c r="B20" s="11" t="s">
        <v>59</v>
      </c>
      <c r="C20" s="11" t="s">
        <v>59</v>
      </c>
      <c r="D20" s="11" t="s">
        <v>60</v>
      </c>
      <c r="E20" s="12" t="s">
        <v>67</v>
      </c>
      <c r="F20" s="150">
        <v>54203</v>
      </c>
      <c r="G20" s="647" t="s">
        <v>1433</v>
      </c>
      <c r="H20" s="220">
        <f>4000+3348</f>
        <v>7348</v>
      </c>
    </row>
    <row r="21" spans="1:8" ht="15">
      <c r="A21" s="11">
        <v>1</v>
      </c>
      <c r="B21" s="11" t="s">
        <v>59</v>
      </c>
      <c r="C21" s="11" t="s">
        <v>59</v>
      </c>
      <c r="D21" s="11" t="s">
        <v>60</v>
      </c>
      <c r="E21" s="12" t="s">
        <v>67</v>
      </c>
      <c r="F21" s="150">
        <v>54301</v>
      </c>
      <c r="G21" s="647" t="s">
        <v>181</v>
      </c>
      <c r="H21" s="220">
        <v>300</v>
      </c>
    </row>
    <row r="22" spans="1:8" ht="15">
      <c r="A22" s="11">
        <f t="shared" ref="A22:A30" si="0">A21</f>
        <v>1</v>
      </c>
      <c r="B22" s="11" t="s">
        <v>59</v>
      </c>
      <c r="C22" s="11" t="s">
        <v>59</v>
      </c>
      <c r="D22" s="11" t="s">
        <v>60</v>
      </c>
      <c r="E22" s="12" t="s">
        <v>67</v>
      </c>
      <c r="F22" s="150">
        <v>54302</v>
      </c>
      <c r="G22" s="647" t="s">
        <v>182</v>
      </c>
      <c r="H22" s="220">
        <v>3000</v>
      </c>
    </row>
    <row r="23" spans="1:8" ht="15">
      <c r="A23" s="11">
        <f t="shared" si="0"/>
        <v>1</v>
      </c>
      <c r="B23" s="11" t="s">
        <v>59</v>
      </c>
      <c r="C23" s="11" t="s">
        <v>59</v>
      </c>
      <c r="D23" s="11" t="s">
        <v>60</v>
      </c>
      <c r="E23" s="12" t="s">
        <v>67</v>
      </c>
      <c r="F23" s="150">
        <v>54304</v>
      </c>
      <c r="G23" s="647" t="s">
        <v>192</v>
      </c>
      <c r="H23" s="220">
        <v>1000</v>
      </c>
    </row>
    <row r="24" spans="1:8" ht="15">
      <c r="A24" s="11">
        <f t="shared" si="0"/>
        <v>1</v>
      </c>
      <c r="B24" s="11" t="s">
        <v>59</v>
      </c>
      <c r="C24" s="11" t="s">
        <v>59</v>
      </c>
      <c r="D24" s="11" t="s">
        <v>60</v>
      </c>
      <c r="E24" s="12" t="s">
        <v>67</v>
      </c>
      <c r="F24" s="150">
        <v>54314</v>
      </c>
      <c r="G24" s="647" t="s">
        <v>187</v>
      </c>
      <c r="H24" s="166">
        <v>800</v>
      </c>
    </row>
    <row r="25" spans="1:8" ht="15" hidden="1">
      <c r="A25" s="11">
        <f t="shared" si="0"/>
        <v>1</v>
      </c>
      <c r="B25" s="11" t="s">
        <v>59</v>
      </c>
      <c r="C25" s="11" t="s">
        <v>59</v>
      </c>
      <c r="D25" s="11" t="s">
        <v>60</v>
      </c>
      <c r="E25" s="12" t="s">
        <v>67</v>
      </c>
      <c r="F25" s="150">
        <v>54316</v>
      </c>
      <c r="G25" s="647" t="s">
        <v>561</v>
      </c>
      <c r="H25" s="166"/>
    </row>
    <row r="26" spans="1:8" ht="15">
      <c r="A26" s="11">
        <f t="shared" si="0"/>
        <v>1</v>
      </c>
      <c r="B26" s="11" t="s">
        <v>59</v>
      </c>
      <c r="C26" s="11" t="s">
        <v>59</v>
      </c>
      <c r="D26" s="11" t="s">
        <v>60</v>
      </c>
      <c r="E26" s="12" t="s">
        <v>67</v>
      </c>
      <c r="F26" s="150">
        <v>54399</v>
      </c>
      <c r="G26" s="647" t="s">
        <v>190</v>
      </c>
      <c r="H26" s="166">
        <v>6000</v>
      </c>
    </row>
    <row r="27" spans="1:8" ht="15">
      <c r="A27" s="11">
        <f t="shared" si="0"/>
        <v>1</v>
      </c>
      <c r="B27" s="11" t="s">
        <v>59</v>
      </c>
      <c r="C27" s="11" t="s">
        <v>59</v>
      </c>
      <c r="D27" s="11" t="s">
        <v>60</v>
      </c>
      <c r="E27" s="12" t="s">
        <v>67</v>
      </c>
      <c r="F27" s="150">
        <v>54599</v>
      </c>
      <c r="G27" s="647" t="s">
        <v>1175</v>
      </c>
      <c r="H27" s="1650">
        <v>6200</v>
      </c>
    </row>
    <row r="28" spans="1:8" ht="15" hidden="1">
      <c r="A28" s="11">
        <f t="shared" si="0"/>
        <v>1</v>
      </c>
      <c r="B28" s="11" t="s">
        <v>59</v>
      </c>
      <c r="C28" s="11" t="s">
        <v>59</v>
      </c>
      <c r="D28" s="11" t="s">
        <v>60</v>
      </c>
      <c r="E28" s="12" t="s">
        <v>67</v>
      </c>
      <c r="F28" s="150">
        <v>56201</v>
      </c>
      <c r="G28" s="647" t="s">
        <v>206</v>
      </c>
      <c r="H28" s="166"/>
    </row>
    <row r="29" spans="1:8" ht="15">
      <c r="A29" s="11">
        <f>A28</f>
        <v>1</v>
      </c>
      <c r="B29" s="11" t="s">
        <v>59</v>
      </c>
      <c r="C29" s="11" t="s">
        <v>59</v>
      </c>
      <c r="D29" s="11" t="s">
        <v>60</v>
      </c>
      <c r="E29" s="12" t="s">
        <v>67</v>
      </c>
      <c r="F29" s="150">
        <v>56304</v>
      </c>
      <c r="G29" s="647" t="s">
        <v>141</v>
      </c>
      <c r="H29" s="1650">
        <f>2472.23+500+1000+1000</f>
        <v>4972.2299999999996</v>
      </c>
    </row>
    <row r="30" spans="1:8" ht="15" hidden="1">
      <c r="A30" s="11">
        <f t="shared" si="0"/>
        <v>1</v>
      </c>
      <c r="B30" s="163" t="s">
        <v>59</v>
      </c>
      <c r="C30" s="163" t="s">
        <v>59</v>
      </c>
      <c r="D30" s="163" t="s">
        <v>60</v>
      </c>
      <c r="E30" s="164" t="s">
        <v>67</v>
      </c>
      <c r="F30" s="150">
        <v>72101</v>
      </c>
      <c r="G30" s="647" t="s">
        <v>198</v>
      </c>
      <c r="H30" s="220">
        <v>0</v>
      </c>
    </row>
    <row r="31" spans="1:8">
      <c r="A31" s="1420"/>
      <c r="B31" s="1420"/>
      <c r="C31" s="1420"/>
      <c r="D31" s="1420"/>
      <c r="E31" s="1421"/>
      <c r="F31" s="1422"/>
      <c r="G31" s="1423" t="s">
        <v>201</v>
      </c>
      <c r="H31" s="1424">
        <f>SUM(H10:H30)</f>
        <v>175497.02500000002</v>
      </c>
    </row>
    <row r="32" spans="1:8" ht="15">
      <c r="A32" s="163" t="s">
        <v>62</v>
      </c>
      <c r="B32" s="163" t="s">
        <v>59</v>
      </c>
      <c r="C32" s="165" t="s">
        <v>61</v>
      </c>
      <c r="D32" s="163" t="s">
        <v>60</v>
      </c>
      <c r="E32" s="164" t="s">
        <v>67</v>
      </c>
      <c r="F32" s="149" t="s">
        <v>55</v>
      </c>
      <c r="G32" s="646" t="s">
        <v>112</v>
      </c>
      <c r="H32" s="166">
        <f>SUM('CONCENTRACION DE EGRESOS'!D10)</f>
        <v>19629</v>
      </c>
    </row>
    <row r="33" spans="1:8" ht="15">
      <c r="A33" s="163" t="s">
        <v>62</v>
      </c>
      <c r="B33" s="163" t="s">
        <v>59</v>
      </c>
      <c r="C33" s="165" t="s">
        <v>61</v>
      </c>
      <c r="D33" s="163" t="s">
        <v>60</v>
      </c>
      <c r="E33" s="164" t="s">
        <v>67</v>
      </c>
      <c r="F33" s="150">
        <v>51201</v>
      </c>
      <c r="G33" s="648" t="s">
        <v>112</v>
      </c>
      <c r="H33" s="166">
        <f>SUM('concent, de egresos. carta'!D13)</f>
        <v>3744</v>
      </c>
    </row>
    <row r="34" spans="1:8" ht="15">
      <c r="A34" s="163" t="s">
        <v>62</v>
      </c>
      <c r="B34" s="163" t="s">
        <v>59</v>
      </c>
      <c r="C34" s="165" t="s">
        <v>61</v>
      </c>
      <c r="D34" s="163" t="s">
        <v>60</v>
      </c>
      <c r="E34" s="164" t="s">
        <v>67</v>
      </c>
      <c r="F34" s="150">
        <v>51203</v>
      </c>
      <c r="G34" s="648" t="s">
        <v>972</v>
      </c>
      <c r="H34" s="166">
        <f>SUM('concent, de egresos. carta'!D15)</f>
        <v>312</v>
      </c>
    </row>
    <row r="35" spans="1:8" ht="15">
      <c r="A35" s="163" t="s">
        <v>62</v>
      </c>
      <c r="B35" s="163" t="s">
        <v>59</v>
      </c>
      <c r="C35" s="165" t="s">
        <v>61</v>
      </c>
      <c r="D35" s="163" t="s">
        <v>60</v>
      </c>
      <c r="E35" s="164" t="s">
        <v>67</v>
      </c>
      <c r="F35" s="149" t="s">
        <v>204</v>
      </c>
      <c r="G35" s="646" t="s">
        <v>205</v>
      </c>
      <c r="H35" s="166">
        <f>SUM('CONCENTRACION DE EGRESOS'!D16)</f>
        <v>8254.5</v>
      </c>
    </row>
    <row r="36" spans="1:8" ht="15">
      <c r="A36" s="163" t="s">
        <v>62</v>
      </c>
      <c r="B36" s="163" t="s">
        <v>59</v>
      </c>
      <c r="C36" s="165" t="s">
        <v>61</v>
      </c>
      <c r="D36" s="163" t="s">
        <v>60</v>
      </c>
      <c r="E36" s="164" t="s">
        <v>67</v>
      </c>
      <c r="F36" s="149" t="s">
        <v>121</v>
      </c>
      <c r="G36" s="646" t="s">
        <v>122</v>
      </c>
      <c r="H36" s="166">
        <f>SUM('CONCENTRACION DE EGRESOS'!D19)</f>
        <v>1339.7650000000001</v>
      </c>
    </row>
    <row r="37" spans="1:8" ht="15">
      <c r="A37" s="163" t="s">
        <v>62</v>
      </c>
      <c r="B37" s="163" t="s">
        <v>59</v>
      </c>
      <c r="C37" s="165" t="s">
        <v>61</v>
      </c>
      <c r="D37" s="163" t="s">
        <v>60</v>
      </c>
      <c r="E37" s="164" t="s">
        <v>67</v>
      </c>
      <c r="F37" s="149" t="s">
        <v>123</v>
      </c>
      <c r="G37" s="646" t="s">
        <v>124</v>
      </c>
      <c r="H37" s="166">
        <f>SUM('CONCENTRACION DE EGRESOS'!D20)</f>
        <v>1275.5725</v>
      </c>
    </row>
    <row r="38" spans="1:8">
      <c r="A38" s="1420"/>
      <c r="B38" s="1420"/>
      <c r="C38" s="1420"/>
      <c r="D38" s="1420"/>
      <c r="E38" s="1421"/>
      <c r="F38" s="1422" t="s">
        <v>199</v>
      </c>
      <c r="G38" s="1423" t="s">
        <v>201</v>
      </c>
      <c r="H38" s="1424">
        <f>SUM(H32:H37)</f>
        <v>34554.837500000001</v>
      </c>
    </row>
    <row r="39" spans="1:8" ht="15">
      <c r="A39" s="163" t="s">
        <v>62</v>
      </c>
      <c r="B39" s="165" t="s">
        <v>61</v>
      </c>
      <c r="C39" s="165" t="s">
        <v>59</v>
      </c>
      <c r="D39" s="163" t="s">
        <v>60</v>
      </c>
      <c r="E39" s="164" t="s">
        <v>67</v>
      </c>
      <c r="F39" s="149" t="s">
        <v>55</v>
      </c>
      <c r="G39" s="646" t="s">
        <v>112</v>
      </c>
      <c r="H39" s="166">
        <f>SUM('CONCENTRACION DE EGRESOS'!E10)</f>
        <v>2558</v>
      </c>
    </row>
    <row r="40" spans="1:8" ht="15">
      <c r="A40" s="163" t="s">
        <v>62</v>
      </c>
      <c r="B40" s="165" t="s">
        <v>61</v>
      </c>
      <c r="C40" s="165" t="s">
        <v>59</v>
      </c>
      <c r="D40" s="163" t="s">
        <v>60</v>
      </c>
      <c r="E40" s="164" t="s">
        <v>67</v>
      </c>
      <c r="F40" s="149" t="s">
        <v>204</v>
      </c>
      <c r="G40" s="646" t="s">
        <v>205</v>
      </c>
      <c r="H40" s="166">
        <f>SUM('CONCENTRACION DE EGRESOS'!E16)</f>
        <v>1279</v>
      </c>
    </row>
    <row r="41" spans="1:8" ht="15">
      <c r="A41" s="163" t="s">
        <v>62</v>
      </c>
      <c r="B41" s="165" t="s">
        <v>61</v>
      </c>
      <c r="C41" s="165" t="s">
        <v>59</v>
      </c>
      <c r="D41" s="163" t="s">
        <v>60</v>
      </c>
      <c r="E41" s="164" t="s">
        <v>67</v>
      </c>
      <c r="F41" s="149" t="s">
        <v>121</v>
      </c>
      <c r="G41" s="646" t="s">
        <v>122</v>
      </c>
      <c r="H41" s="166">
        <f>SUM('CONCENTRACION DE EGRESOS'!E19)</f>
        <v>217.42499999999998</v>
      </c>
    </row>
    <row r="42" spans="1:8" ht="15">
      <c r="A42" s="163" t="s">
        <v>62</v>
      </c>
      <c r="B42" s="165" t="s">
        <v>61</v>
      </c>
      <c r="C42" s="165" t="s">
        <v>59</v>
      </c>
      <c r="D42" s="163" t="s">
        <v>60</v>
      </c>
      <c r="E42" s="164" t="s">
        <v>67</v>
      </c>
      <c r="F42" s="149" t="s">
        <v>123</v>
      </c>
      <c r="G42" s="646" t="s">
        <v>124</v>
      </c>
      <c r="H42" s="166">
        <f>SUM('CONCENTRACION DE EGRESOS'!E20)</f>
        <v>198.245</v>
      </c>
    </row>
    <row r="43" spans="1:8">
      <c r="A43" s="1420"/>
      <c r="B43" s="1420"/>
      <c r="C43" s="1420"/>
      <c r="D43" s="1420"/>
      <c r="E43" s="1421"/>
      <c r="F43" s="1425"/>
      <c r="G43" s="1423" t="s">
        <v>201</v>
      </c>
      <c r="H43" s="1424">
        <f>SUM(H39:H42)+0.01</f>
        <v>4252.68</v>
      </c>
    </row>
    <row r="44" spans="1:8" ht="15">
      <c r="A44" s="163" t="s">
        <v>62</v>
      </c>
      <c r="B44" s="165" t="s">
        <v>61</v>
      </c>
      <c r="C44" s="165" t="s">
        <v>61</v>
      </c>
      <c r="D44" s="163" t="s">
        <v>60</v>
      </c>
      <c r="E44" s="164" t="s">
        <v>67</v>
      </c>
      <c r="F44" s="149" t="s">
        <v>55</v>
      </c>
      <c r="G44" s="646" t="s">
        <v>112</v>
      </c>
      <c r="H44" s="166">
        <f>SUM('CONCENTRACION DE EGRESOS'!F10)</f>
        <v>12615.5</v>
      </c>
    </row>
    <row r="45" spans="1:8" ht="15">
      <c r="A45" s="163" t="s">
        <v>62</v>
      </c>
      <c r="B45" s="165" t="s">
        <v>61</v>
      </c>
      <c r="C45" s="165" t="s">
        <v>61</v>
      </c>
      <c r="D45" s="163" t="s">
        <v>60</v>
      </c>
      <c r="E45" s="164" t="s">
        <v>67</v>
      </c>
      <c r="F45" s="150">
        <v>51202</v>
      </c>
      <c r="G45" s="649" t="s">
        <v>207</v>
      </c>
      <c r="H45" s="166">
        <f>SUM('PAG, FOND, PROP'!N39)+10000</f>
        <v>24368</v>
      </c>
    </row>
    <row r="46" spans="1:8" ht="15">
      <c r="A46" s="163" t="s">
        <v>62</v>
      </c>
      <c r="B46" s="165" t="s">
        <v>61</v>
      </c>
      <c r="C46" s="165" t="s">
        <v>61</v>
      </c>
      <c r="D46" s="163" t="s">
        <v>60</v>
      </c>
      <c r="E46" s="164" t="s">
        <v>67</v>
      </c>
      <c r="F46" s="149" t="s">
        <v>204</v>
      </c>
      <c r="G46" s="646" t="s">
        <v>205</v>
      </c>
      <c r="H46" s="166">
        <f>SUM('CONCENTRACION DE EGRESOS'!F16)</f>
        <v>4747.75</v>
      </c>
    </row>
    <row r="47" spans="1:8" ht="15">
      <c r="A47" s="163" t="s">
        <v>62</v>
      </c>
      <c r="B47" s="165" t="s">
        <v>61</v>
      </c>
      <c r="C47" s="165" t="s">
        <v>61</v>
      </c>
      <c r="D47" s="163" t="s">
        <v>60</v>
      </c>
      <c r="E47" s="164" t="s">
        <v>67</v>
      </c>
      <c r="F47" s="1224" t="s">
        <v>118</v>
      </c>
      <c r="G47" s="646" t="s">
        <v>972</v>
      </c>
      <c r="H47" s="166">
        <f>SUM('concent, de egresos. carta'!F15)</f>
        <v>312</v>
      </c>
    </row>
    <row r="48" spans="1:8" ht="15">
      <c r="A48" s="163" t="s">
        <v>62</v>
      </c>
      <c r="B48" s="165" t="s">
        <v>61</v>
      </c>
      <c r="C48" s="165" t="s">
        <v>61</v>
      </c>
      <c r="D48" s="163" t="s">
        <v>60</v>
      </c>
      <c r="E48" s="164" t="s">
        <v>67</v>
      </c>
      <c r="F48" s="149" t="s">
        <v>121</v>
      </c>
      <c r="G48" s="646" t="s">
        <v>122</v>
      </c>
      <c r="H48" s="166">
        <f>SUM('CONCENTRACION DE EGRESOS'!F19)</f>
        <v>1167.5125</v>
      </c>
    </row>
    <row r="49" spans="1:10" ht="15">
      <c r="A49" s="163" t="s">
        <v>62</v>
      </c>
      <c r="B49" s="165" t="s">
        <v>61</v>
      </c>
      <c r="C49" s="165" t="s">
        <v>61</v>
      </c>
      <c r="D49" s="163" t="s">
        <v>60</v>
      </c>
      <c r="E49" s="164" t="s">
        <v>67</v>
      </c>
      <c r="F49" s="149" t="s">
        <v>123</v>
      </c>
      <c r="G49" s="646" t="s">
        <v>124</v>
      </c>
      <c r="H49" s="166">
        <f>SUM('CONCENTRACION DE EGRESOS'!F20)</f>
        <v>977.70124999999985</v>
      </c>
    </row>
    <row r="50" spans="1:10" ht="15" hidden="1">
      <c r="A50" s="163" t="s">
        <v>62</v>
      </c>
      <c r="B50" s="165" t="s">
        <v>61</v>
      </c>
      <c r="C50" s="165" t="s">
        <v>61</v>
      </c>
      <c r="D50" s="163" t="s">
        <v>60</v>
      </c>
      <c r="E50" s="164" t="s">
        <v>67</v>
      </c>
      <c r="F50" s="150">
        <v>54103</v>
      </c>
      <c r="G50" s="647" t="s">
        <v>160</v>
      </c>
      <c r="H50" s="166"/>
    </row>
    <row r="51" spans="1:10" ht="15">
      <c r="A51" s="163" t="s">
        <v>62</v>
      </c>
      <c r="B51" s="165" t="s">
        <v>61</v>
      </c>
      <c r="C51" s="165" t="s">
        <v>61</v>
      </c>
      <c r="D51" s="163" t="s">
        <v>60</v>
      </c>
      <c r="E51" s="164" t="s">
        <v>67</v>
      </c>
      <c r="F51" s="150">
        <v>54107</v>
      </c>
      <c r="G51" s="647" t="s">
        <v>163</v>
      </c>
      <c r="H51" s="166">
        <v>800</v>
      </c>
    </row>
    <row r="52" spans="1:10" ht="15">
      <c r="A52" s="163" t="s">
        <v>62</v>
      </c>
      <c r="B52" s="165" t="s">
        <v>61</v>
      </c>
      <c r="C52" s="165" t="s">
        <v>61</v>
      </c>
      <c r="D52" s="163" t="s">
        <v>60</v>
      </c>
      <c r="E52" s="164" t="s">
        <v>67</v>
      </c>
      <c r="F52" s="150">
        <v>54111</v>
      </c>
      <c r="G52" s="647" t="s">
        <v>167</v>
      </c>
      <c r="H52" s="166">
        <v>1000</v>
      </c>
    </row>
    <row r="53" spans="1:10" ht="15">
      <c r="A53" s="163" t="s">
        <v>62</v>
      </c>
      <c r="B53" s="165" t="s">
        <v>61</v>
      </c>
      <c r="C53" s="165" t="s">
        <v>61</v>
      </c>
      <c r="D53" s="163" t="s">
        <v>60</v>
      </c>
      <c r="E53" s="164" t="s">
        <v>67</v>
      </c>
      <c r="F53" s="150">
        <v>54112</v>
      </c>
      <c r="G53" s="647" t="s">
        <v>168</v>
      </c>
      <c r="H53" s="166">
        <v>800</v>
      </c>
    </row>
    <row r="54" spans="1:10" ht="15">
      <c r="A54" s="163" t="s">
        <v>62</v>
      </c>
      <c r="B54" s="165" t="s">
        <v>61</v>
      </c>
      <c r="C54" s="165" t="s">
        <v>61</v>
      </c>
      <c r="D54" s="163" t="s">
        <v>60</v>
      </c>
      <c r="E54" s="164" t="s">
        <v>67</v>
      </c>
      <c r="F54" s="150">
        <v>54118</v>
      </c>
      <c r="G54" s="647" t="s">
        <v>172</v>
      </c>
      <c r="H54" s="166">
        <v>700</v>
      </c>
    </row>
    <row r="55" spans="1:10" ht="15">
      <c r="A55" s="163" t="s">
        <v>62</v>
      </c>
      <c r="B55" s="165" t="s">
        <v>61</v>
      </c>
      <c r="C55" s="165" t="s">
        <v>61</v>
      </c>
      <c r="D55" s="163" t="s">
        <v>60</v>
      </c>
      <c r="E55" s="164" t="s">
        <v>67</v>
      </c>
      <c r="F55" s="150">
        <v>54119</v>
      </c>
      <c r="G55" s="647" t="s">
        <v>173</v>
      </c>
      <c r="H55" s="166">
        <f>3000+500</f>
        <v>3500</v>
      </c>
    </row>
    <row r="56" spans="1:10" ht="15">
      <c r="A56" s="163" t="s">
        <v>62</v>
      </c>
      <c r="B56" s="165" t="s">
        <v>61</v>
      </c>
      <c r="C56" s="165" t="s">
        <v>61</v>
      </c>
      <c r="D56" s="163" t="s">
        <v>60</v>
      </c>
      <c r="E56" s="164" t="s">
        <v>67</v>
      </c>
      <c r="F56" s="150">
        <v>54199</v>
      </c>
      <c r="G56" s="647" t="s">
        <v>175</v>
      </c>
      <c r="H56" s="166">
        <v>500</v>
      </c>
    </row>
    <row r="57" spans="1:10" ht="15">
      <c r="A57" s="163" t="s">
        <v>62</v>
      </c>
      <c r="B57" s="165" t="s">
        <v>61</v>
      </c>
      <c r="C57" s="165" t="s">
        <v>61</v>
      </c>
      <c r="D57" s="163" t="s">
        <v>60</v>
      </c>
      <c r="E57" s="164" t="s">
        <v>67</v>
      </c>
      <c r="F57" s="150">
        <v>54201</v>
      </c>
      <c r="G57" s="1132" t="s">
        <v>1167</v>
      </c>
      <c r="H57" s="166">
        <v>5200</v>
      </c>
    </row>
    <row r="58" spans="1:10" ht="15">
      <c r="A58" s="163" t="s">
        <v>62</v>
      </c>
      <c r="B58" s="165" t="s">
        <v>61</v>
      </c>
      <c r="C58" s="165" t="s">
        <v>61</v>
      </c>
      <c r="D58" s="163" t="s">
        <v>60</v>
      </c>
      <c r="E58" s="164" t="s">
        <v>67</v>
      </c>
      <c r="F58" s="150">
        <v>54202</v>
      </c>
      <c r="G58" s="170" t="s">
        <v>177</v>
      </c>
      <c r="H58" s="166">
        <v>300</v>
      </c>
    </row>
    <row r="59" spans="1:10" ht="15">
      <c r="A59" s="163" t="s">
        <v>62</v>
      </c>
      <c r="B59" s="165" t="s">
        <v>61</v>
      </c>
      <c r="C59" s="165" t="s">
        <v>61</v>
      </c>
      <c r="D59" s="163" t="s">
        <v>60</v>
      </c>
      <c r="E59" s="164" t="s">
        <v>67</v>
      </c>
      <c r="F59" s="150">
        <v>54303</v>
      </c>
      <c r="G59" s="647" t="s">
        <v>183</v>
      </c>
      <c r="H59" s="166">
        <f>3000+500</f>
        <v>3500</v>
      </c>
    </row>
    <row r="60" spans="1:10" ht="13.5" thickBot="1">
      <c r="A60" s="2169" t="s">
        <v>201</v>
      </c>
      <c r="B60" s="2170"/>
      <c r="C60" s="2170"/>
      <c r="D60" s="2170"/>
      <c r="E60" s="2170"/>
      <c r="F60" s="2170"/>
      <c r="G60" s="2171"/>
      <c r="H60" s="1426">
        <f>SUM(H44:H59)</f>
        <v>60488.463749999995</v>
      </c>
    </row>
    <row r="61" spans="1:10" ht="13.5" thickBot="1">
      <c r="A61" s="2167" t="s">
        <v>202</v>
      </c>
      <c r="B61" s="2167"/>
      <c r="C61" s="2167"/>
      <c r="D61" s="2167"/>
      <c r="E61" s="2167"/>
      <c r="F61" s="2167"/>
      <c r="G61" s="2168"/>
      <c r="H61" s="1001">
        <f>H31+H38+H43+H60-0.01</f>
        <v>274792.99624999997</v>
      </c>
      <c r="I61" s="717">
        <v>274793</v>
      </c>
      <c r="J61" s="717">
        <f>I61-H61</f>
        <v>3.7500000325962901E-3</v>
      </c>
    </row>
    <row r="62" spans="1:10">
      <c r="A62" s="30"/>
      <c r="B62" s="30"/>
      <c r="C62" s="30"/>
      <c r="D62" s="30"/>
      <c r="E62" s="30"/>
      <c r="H62" s="221"/>
      <c r="I62" s="717"/>
    </row>
    <row r="63" spans="1:10">
      <c r="A63" s="30"/>
      <c r="B63" s="30"/>
      <c r="C63" s="30"/>
      <c r="D63" s="30"/>
      <c r="E63" s="30"/>
      <c r="H63" s="222"/>
    </row>
    <row r="64" spans="1:10">
      <c r="A64" s="30"/>
      <c r="B64" s="30"/>
      <c r="C64" s="30"/>
      <c r="D64" s="30"/>
      <c r="E64" s="30"/>
      <c r="H64" s="222"/>
    </row>
    <row r="65" spans="1:8">
      <c r="A65" s="30"/>
      <c r="B65" s="30"/>
      <c r="C65" s="30"/>
      <c r="D65" s="30"/>
      <c r="E65" s="30"/>
      <c r="H65" s="222"/>
    </row>
    <row r="66" spans="1:8">
      <c r="A66" s="30"/>
      <c r="B66" s="30"/>
      <c r="C66" s="30"/>
      <c r="D66" s="30"/>
      <c r="E66" s="30"/>
      <c r="H66" s="222"/>
    </row>
    <row r="67" spans="1:8">
      <c r="A67" s="30"/>
      <c r="B67" s="30"/>
      <c r="C67" s="30"/>
      <c r="D67" s="30"/>
      <c r="E67" s="30"/>
      <c r="H67" s="222"/>
    </row>
    <row r="68" spans="1:8">
      <c r="A68" s="30"/>
      <c r="B68" s="30"/>
      <c r="C68" s="30"/>
      <c r="D68" s="30"/>
      <c r="E68" s="30"/>
      <c r="H68" s="222"/>
    </row>
    <row r="69" spans="1:8">
      <c r="A69" s="30"/>
      <c r="B69" s="30"/>
      <c r="C69" s="30"/>
      <c r="D69" s="30"/>
      <c r="E69" s="30"/>
      <c r="H69" s="222"/>
    </row>
    <row r="70" spans="1:8">
      <c r="A70" s="30"/>
      <c r="B70" s="30"/>
      <c r="C70" s="30"/>
      <c r="D70" s="30"/>
      <c r="E70" s="30"/>
      <c r="H70" s="222"/>
    </row>
    <row r="71" spans="1:8">
      <c r="A71" s="30"/>
      <c r="B71" s="30"/>
      <c r="C71" s="30"/>
      <c r="D71" s="30"/>
      <c r="E71" s="30"/>
      <c r="H71" s="222"/>
    </row>
    <row r="72" spans="1:8">
      <c r="A72" s="30"/>
      <c r="B72" s="30"/>
      <c r="C72" s="30"/>
      <c r="D72" s="30"/>
      <c r="E72" s="30"/>
      <c r="H72" s="222"/>
    </row>
    <row r="73" spans="1:8">
      <c r="H73" s="222"/>
    </row>
    <row r="74" spans="1:8">
      <c r="H74" s="222"/>
    </row>
    <row r="75" spans="1:8">
      <c r="H75" s="222"/>
    </row>
    <row r="76" spans="1:8">
      <c r="H76" s="222"/>
    </row>
    <row r="77" spans="1:8">
      <c r="H77" s="222"/>
    </row>
    <row r="78" spans="1:8">
      <c r="H78" s="222"/>
    </row>
    <row r="79" spans="1:8">
      <c r="H79" s="222"/>
    </row>
    <row r="80" spans="1:8">
      <c r="H80" s="222"/>
    </row>
    <row r="81" spans="8:8">
      <c r="H81" s="222"/>
    </row>
    <row r="82" spans="8:8">
      <c r="H82" s="222"/>
    </row>
    <row r="83" spans="8:8">
      <c r="H83" s="222"/>
    </row>
    <row r="84" spans="8:8">
      <c r="H84" s="222"/>
    </row>
    <row r="85" spans="8:8">
      <c r="H85" s="222"/>
    </row>
    <row r="86" spans="8:8">
      <c r="H86" s="222"/>
    </row>
    <row r="87" spans="8:8">
      <c r="H87" s="222"/>
    </row>
    <row r="88" spans="8:8">
      <c r="H88" s="222"/>
    </row>
    <row r="89" spans="8:8">
      <c r="H89" s="222"/>
    </row>
    <row r="90" spans="8:8">
      <c r="H90" s="222"/>
    </row>
    <row r="91" spans="8:8">
      <c r="H91" s="222"/>
    </row>
    <row r="92" spans="8:8">
      <c r="H92" s="222"/>
    </row>
    <row r="93" spans="8:8">
      <c r="H93" s="222"/>
    </row>
    <row r="94" spans="8:8">
      <c r="H94" s="222"/>
    </row>
    <row r="95" spans="8:8">
      <c r="H95" s="222"/>
    </row>
    <row r="96" spans="8:8">
      <c r="H96" s="222"/>
    </row>
    <row r="97" spans="8:8">
      <c r="H97" s="222"/>
    </row>
    <row r="98" spans="8:8">
      <c r="H98" s="222"/>
    </row>
    <row r="99" spans="8:8">
      <c r="H99" s="222"/>
    </row>
    <row r="100" spans="8:8">
      <c r="H100" s="222"/>
    </row>
    <row r="101" spans="8:8">
      <c r="H101" s="222"/>
    </row>
    <row r="102" spans="8:8">
      <c r="H102" s="222"/>
    </row>
    <row r="103" spans="8:8">
      <c r="H103" s="222"/>
    </row>
    <row r="104" spans="8:8">
      <c r="H104" s="222"/>
    </row>
    <row r="105" spans="8:8">
      <c r="H105" s="222"/>
    </row>
    <row r="106" spans="8:8">
      <c r="H106" s="222"/>
    </row>
    <row r="107" spans="8:8">
      <c r="H107" s="222"/>
    </row>
    <row r="108" spans="8:8">
      <c r="H108" s="222"/>
    </row>
    <row r="109" spans="8:8">
      <c r="H109" s="222"/>
    </row>
    <row r="110" spans="8:8">
      <c r="H110" s="222"/>
    </row>
    <row r="111" spans="8:8">
      <c r="H111" s="222"/>
    </row>
    <row r="112" spans="8:8">
      <c r="H112" s="222"/>
    </row>
    <row r="113" spans="8:8">
      <c r="H113" s="222"/>
    </row>
    <row r="114" spans="8:8">
      <c r="H114" s="222"/>
    </row>
    <row r="115" spans="8:8">
      <c r="H115" s="222"/>
    </row>
    <row r="116" spans="8:8">
      <c r="H116" s="222"/>
    </row>
    <row r="117" spans="8:8">
      <c r="H117" s="222"/>
    </row>
    <row r="118" spans="8:8">
      <c r="H118" s="222"/>
    </row>
    <row r="119" spans="8:8">
      <c r="H119" s="222"/>
    </row>
    <row r="120" spans="8:8">
      <c r="H120" s="222"/>
    </row>
    <row r="121" spans="8:8">
      <c r="H121" s="222"/>
    </row>
    <row r="122" spans="8:8">
      <c r="H122" s="222"/>
    </row>
    <row r="123" spans="8:8">
      <c r="H123" s="222"/>
    </row>
    <row r="124" spans="8:8">
      <c r="H124" s="222"/>
    </row>
    <row r="125" spans="8:8">
      <c r="H125" s="222"/>
    </row>
    <row r="126" spans="8:8">
      <c r="H126" s="222"/>
    </row>
    <row r="127" spans="8:8">
      <c r="H127" s="222"/>
    </row>
    <row r="128" spans="8:8">
      <c r="H128" s="222"/>
    </row>
    <row r="129" spans="8:8">
      <c r="H129" s="222"/>
    </row>
    <row r="130" spans="8:8">
      <c r="H130" s="222"/>
    </row>
    <row r="131" spans="8:8">
      <c r="H131" s="222"/>
    </row>
    <row r="132" spans="8:8">
      <c r="H132" s="222"/>
    </row>
    <row r="133" spans="8:8">
      <c r="H133" s="222"/>
    </row>
    <row r="134" spans="8:8">
      <c r="H134" s="222"/>
    </row>
    <row r="135" spans="8:8">
      <c r="H135" s="222"/>
    </row>
    <row r="136" spans="8:8">
      <c r="H136" s="222"/>
    </row>
    <row r="137" spans="8:8">
      <c r="H137" s="222"/>
    </row>
    <row r="138" spans="8:8">
      <c r="H138" s="222"/>
    </row>
    <row r="139" spans="8:8">
      <c r="H139" s="222"/>
    </row>
    <row r="140" spans="8:8">
      <c r="H140" s="222"/>
    </row>
    <row r="141" spans="8:8">
      <c r="H141" s="222"/>
    </row>
    <row r="142" spans="8:8">
      <c r="H142" s="222"/>
    </row>
    <row r="143" spans="8:8">
      <c r="H143" s="222"/>
    </row>
    <row r="144" spans="8:8">
      <c r="H144" s="222"/>
    </row>
    <row r="145" spans="8:8">
      <c r="H145" s="222"/>
    </row>
    <row r="146" spans="8:8">
      <c r="H146" s="222"/>
    </row>
    <row r="147" spans="8:8">
      <c r="H147" s="222"/>
    </row>
    <row r="148" spans="8:8">
      <c r="H148" s="222"/>
    </row>
    <row r="149" spans="8:8">
      <c r="H149" s="222"/>
    </row>
    <row r="150" spans="8:8">
      <c r="H150" s="222"/>
    </row>
    <row r="151" spans="8:8">
      <c r="H151" s="222"/>
    </row>
    <row r="152" spans="8:8">
      <c r="H152" s="222"/>
    </row>
    <row r="153" spans="8:8">
      <c r="H153" s="222"/>
    </row>
  </sheetData>
  <mergeCells count="12">
    <mergeCell ref="A61:G61"/>
    <mergeCell ref="A60:G60"/>
    <mergeCell ref="A7:H7"/>
    <mergeCell ref="A8:F8"/>
    <mergeCell ref="G8:G9"/>
    <mergeCell ref="H8:H9"/>
    <mergeCell ref="A6:H6"/>
    <mergeCell ref="A1:H1"/>
    <mergeCell ref="A2:H2"/>
    <mergeCell ref="A3:H3"/>
    <mergeCell ref="A4:H4"/>
    <mergeCell ref="A5:H5"/>
  </mergeCells>
  <pageMargins left="0.88" right="0.23622047244094491" top="0.39370078740157483" bottom="1.07" header="0.31496062992125984" footer="0.15748031496062992"/>
  <pageSetup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2F0BB5"/>
  </sheetPr>
  <dimension ref="A1:O109"/>
  <sheetViews>
    <sheetView topLeftCell="B1" zoomScale="102" zoomScaleNormal="102" workbookViewId="0">
      <selection activeCell="I107" sqref="I107"/>
    </sheetView>
  </sheetViews>
  <sheetFormatPr baseColWidth="10" defaultRowHeight="12.75"/>
  <cols>
    <col min="1" max="1" width="4" customWidth="1"/>
    <col min="2" max="2" width="5.7109375" customWidth="1"/>
    <col min="3" max="3" width="4.5703125" customWidth="1"/>
    <col min="4" max="4" width="4" style="29" customWidth="1"/>
    <col min="5" max="5" width="6.7109375" style="30" customWidth="1"/>
    <col min="6" max="6" width="8.28515625" style="494" customWidth="1"/>
    <col min="7" max="7" width="42.7109375" customWidth="1"/>
    <col min="8" max="8" width="17.85546875" customWidth="1"/>
    <col min="9" max="9" width="18.28515625" style="488" customWidth="1"/>
    <col min="10" max="10" width="18.5703125" customWidth="1"/>
    <col min="11" max="11" width="16.42578125" customWidth="1"/>
    <col min="12" max="12" width="18.7109375" customWidth="1"/>
    <col min="13" max="13" width="17.7109375" customWidth="1"/>
  </cols>
  <sheetData>
    <row r="1" spans="1:13" ht="18">
      <c r="A1" s="2182"/>
      <c r="B1" s="2182"/>
      <c r="C1" s="2182"/>
      <c r="D1" s="2182"/>
      <c r="E1" s="2182"/>
      <c r="F1" s="2182"/>
      <c r="G1" s="2182"/>
      <c r="H1" s="2182"/>
    </row>
    <row r="2" spans="1:13" ht="18">
      <c r="A2" s="2183" t="s">
        <v>111</v>
      </c>
      <c r="B2" s="2183"/>
      <c r="C2" s="2183"/>
      <c r="D2" s="2183"/>
      <c r="E2" s="2183"/>
      <c r="F2" s="2183"/>
      <c r="G2" s="2183"/>
      <c r="H2" s="2183"/>
    </row>
    <row r="3" spans="1:13" ht="18">
      <c r="A3" s="2183" t="s">
        <v>110</v>
      </c>
      <c r="B3" s="2183"/>
      <c r="C3" s="2183"/>
      <c r="D3" s="2183"/>
      <c r="E3" s="2183"/>
      <c r="F3" s="2183"/>
      <c r="G3" s="2183"/>
      <c r="H3" s="2183"/>
    </row>
    <row r="4" spans="1:13" ht="18">
      <c r="A4" s="2184" t="s">
        <v>1214</v>
      </c>
      <c r="B4" s="2184"/>
      <c r="C4" s="2184"/>
      <c r="D4" s="2184"/>
      <c r="E4" s="2184"/>
      <c r="F4" s="2184"/>
      <c r="G4" s="2184"/>
      <c r="H4" s="2184"/>
    </row>
    <row r="5" spans="1:13" ht="18.75">
      <c r="A5" s="2185" t="s">
        <v>32</v>
      </c>
      <c r="B5" s="2185"/>
      <c r="C5" s="2185"/>
      <c r="D5" s="2185"/>
      <c r="E5" s="2185"/>
      <c r="F5" s="2185"/>
      <c r="G5" s="2185"/>
      <c r="H5" s="2185"/>
    </row>
    <row r="6" spans="1:13" ht="12.75" customHeight="1">
      <c r="A6" s="2186" t="s">
        <v>47</v>
      </c>
      <c r="B6" s="2186"/>
      <c r="C6" s="2186"/>
      <c r="D6" s="2186"/>
      <c r="E6" s="2186"/>
      <c r="F6" s="2186"/>
      <c r="G6" s="2186"/>
      <c r="H6" s="2186"/>
    </row>
    <row r="7" spans="1:13" ht="12.75" customHeight="1">
      <c r="A7" s="2186"/>
      <c r="B7" s="2186"/>
      <c r="C7" s="2186"/>
      <c r="D7" s="2186"/>
      <c r="E7" s="2186"/>
      <c r="F7" s="2186"/>
      <c r="G7" s="2186"/>
      <c r="H7" s="2186"/>
    </row>
    <row r="8" spans="1:13" ht="19.5">
      <c r="A8" s="2187" t="s">
        <v>1016</v>
      </c>
      <c r="B8" s="2188"/>
      <c r="C8" s="2188"/>
      <c r="D8" s="2188"/>
      <c r="E8" s="2188"/>
      <c r="F8" s="2188"/>
      <c r="G8" s="2188"/>
      <c r="H8" s="2188"/>
    </row>
    <row r="9" spans="1:13" ht="15" customHeight="1">
      <c r="A9" s="2189" t="s">
        <v>29</v>
      </c>
      <c r="B9" s="2189"/>
      <c r="C9" s="2189"/>
      <c r="D9" s="2189"/>
      <c r="E9" s="2189"/>
      <c r="F9" s="2189"/>
      <c r="G9" s="2190" t="s">
        <v>44</v>
      </c>
      <c r="H9" s="2191" t="s">
        <v>51</v>
      </c>
    </row>
    <row r="10" spans="1:13" ht="69" customHeight="1">
      <c r="A10" s="1428"/>
      <c r="B10" s="1429" t="s">
        <v>216</v>
      </c>
      <c r="C10" s="1428" t="s">
        <v>41</v>
      </c>
      <c r="D10" s="1428" t="s">
        <v>45</v>
      </c>
      <c r="E10" s="1430" t="s">
        <v>392</v>
      </c>
      <c r="F10" s="1428" t="s">
        <v>43</v>
      </c>
      <c r="G10" s="2190"/>
      <c r="H10" s="2192"/>
      <c r="I10" s="1913" t="s">
        <v>1521</v>
      </c>
      <c r="J10" s="1873" t="s">
        <v>1512</v>
      </c>
      <c r="K10" s="1907" t="s">
        <v>1517</v>
      </c>
      <c r="L10" s="1895" t="s">
        <v>1518</v>
      </c>
      <c r="M10" s="1917" t="s">
        <v>1523</v>
      </c>
    </row>
    <row r="11" spans="1:13" ht="15">
      <c r="A11" s="163">
        <v>1</v>
      </c>
      <c r="B11" s="163" t="s">
        <v>59</v>
      </c>
      <c r="C11" s="163" t="s">
        <v>59</v>
      </c>
      <c r="D11" s="167">
        <v>1</v>
      </c>
      <c r="E11" s="168" t="s">
        <v>63</v>
      </c>
      <c r="F11" s="565" t="s">
        <v>55</v>
      </c>
      <c r="G11" s="633" t="s">
        <v>112</v>
      </c>
      <c r="H11" s="1870">
        <f>SUM('[1]CONCENTRACION DE EGRESOS'!G10)</f>
        <v>75090</v>
      </c>
      <c r="I11" s="1874"/>
      <c r="J11" s="1875">
        <f>H11-I11</f>
        <v>75090</v>
      </c>
      <c r="K11" s="1896"/>
      <c r="L11" s="1877">
        <f>J11-K11</f>
        <v>75090</v>
      </c>
      <c r="M11" s="717">
        <f t="shared" ref="M11:M19" si="0">I11+K11</f>
        <v>0</v>
      </c>
    </row>
    <row r="12" spans="1:13" ht="15">
      <c r="A12" s="163">
        <v>1</v>
      </c>
      <c r="B12" s="163" t="s">
        <v>59</v>
      </c>
      <c r="C12" s="163" t="s">
        <v>59</v>
      </c>
      <c r="D12" s="167">
        <v>1</v>
      </c>
      <c r="E12" s="168" t="s">
        <v>63</v>
      </c>
      <c r="F12" s="565" t="s">
        <v>113</v>
      </c>
      <c r="G12" s="633" t="s">
        <v>114</v>
      </c>
      <c r="H12" s="1870">
        <f>SUM('[1]CONCENTRACION DE EGRESOS'!G11)</f>
        <v>7509</v>
      </c>
      <c r="I12" s="1874"/>
      <c r="J12" s="1875">
        <f t="shared" ref="J12:J57" si="1">H12-I12</f>
        <v>7509</v>
      </c>
      <c r="K12" s="1896"/>
      <c r="L12" s="1877">
        <f t="shared" ref="L12:L75" si="2">J12-K12</f>
        <v>7509</v>
      </c>
      <c r="M12" s="717">
        <f t="shared" si="0"/>
        <v>0</v>
      </c>
    </row>
    <row r="13" spans="1:13" ht="15" hidden="1" customHeight="1">
      <c r="A13" s="163">
        <v>1</v>
      </c>
      <c r="B13" s="163" t="s">
        <v>59</v>
      </c>
      <c r="C13" s="163" t="s">
        <v>59</v>
      </c>
      <c r="D13" s="167">
        <v>1</v>
      </c>
      <c r="E13" s="168" t="s">
        <v>63</v>
      </c>
      <c r="F13" s="1860">
        <v>51202</v>
      </c>
      <c r="G13" s="567" t="s">
        <v>117</v>
      </c>
      <c r="H13" s="1870"/>
      <c r="I13" s="1874"/>
      <c r="J13" s="1875">
        <f t="shared" si="1"/>
        <v>0</v>
      </c>
      <c r="K13" s="1896"/>
      <c r="L13" s="1877">
        <f t="shared" si="2"/>
        <v>0</v>
      </c>
      <c r="M13" s="717">
        <f t="shared" si="0"/>
        <v>0</v>
      </c>
    </row>
    <row r="14" spans="1:13" ht="15">
      <c r="A14" s="163">
        <v>1</v>
      </c>
      <c r="B14" s="163" t="s">
        <v>59</v>
      </c>
      <c r="C14" s="163" t="s">
        <v>59</v>
      </c>
      <c r="D14" s="167">
        <v>1</v>
      </c>
      <c r="E14" s="168" t="s">
        <v>63</v>
      </c>
      <c r="F14" s="565" t="s">
        <v>121</v>
      </c>
      <c r="G14" s="633" t="s">
        <v>122</v>
      </c>
      <c r="H14" s="1870">
        <f>SUM('[1]CONCENTRACION DE EGRESOS'!G19)</f>
        <v>1699.9949999999999</v>
      </c>
      <c r="I14" s="1874"/>
      <c r="J14" s="1875">
        <f t="shared" si="1"/>
        <v>1699.9949999999999</v>
      </c>
      <c r="K14" s="1896"/>
      <c r="L14" s="1877">
        <f t="shared" si="2"/>
        <v>1699.9949999999999</v>
      </c>
      <c r="M14" s="717">
        <f t="shared" si="0"/>
        <v>0</v>
      </c>
    </row>
    <row r="15" spans="1:13" ht="15">
      <c r="A15" s="163">
        <v>1</v>
      </c>
      <c r="B15" s="163" t="s">
        <v>59</v>
      </c>
      <c r="C15" s="163" t="s">
        <v>59</v>
      </c>
      <c r="D15" s="167">
        <v>1</v>
      </c>
      <c r="E15" s="168" t="s">
        <v>63</v>
      </c>
      <c r="F15" s="565" t="s">
        <v>123</v>
      </c>
      <c r="G15" s="633" t="s">
        <v>124</v>
      </c>
      <c r="H15" s="1870">
        <f>SUM('[1]CONCENTRACION DE EGRESOS'!G20)</f>
        <v>2858.9749999999999</v>
      </c>
      <c r="I15" s="1874"/>
      <c r="J15" s="1875">
        <f t="shared" si="1"/>
        <v>2858.9749999999999</v>
      </c>
      <c r="K15" s="1896"/>
      <c r="L15" s="1877">
        <f t="shared" si="2"/>
        <v>2858.9749999999999</v>
      </c>
      <c r="M15" s="717">
        <f t="shared" si="0"/>
        <v>0</v>
      </c>
    </row>
    <row r="16" spans="1:13" ht="15">
      <c r="A16" s="163">
        <v>1</v>
      </c>
      <c r="B16" s="163" t="s">
        <v>59</v>
      </c>
      <c r="C16" s="163" t="s">
        <v>59</v>
      </c>
      <c r="D16" s="167">
        <v>1</v>
      </c>
      <c r="E16" s="168" t="s">
        <v>63</v>
      </c>
      <c r="F16" s="1860">
        <v>54101</v>
      </c>
      <c r="G16" s="567" t="s">
        <v>159</v>
      </c>
      <c r="H16" s="1870">
        <v>2000</v>
      </c>
      <c r="I16" s="1874">
        <v>1000</v>
      </c>
      <c r="J16" s="1874">
        <f t="shared" si="1"/>
        <v>1000</v>
      </c>
      <c r="K16" s="1896"/>
      <c r="L16" s="1877">
        <f t="shared" si="2"/>
        <v>1000</v>
      </c>
      <c r="M16" s="717">
        <f t="shared" si="0"/>
        <v>1000</v>
      </c>
    </row>
    <row r="17" spans="1:13" ht="15">
      <c r="A17" s="163" t="s">
        <v>62</v>
      </c>
      <c r="B17" s="163" t="s">
        <v>59</v>
      </c>
      <c r="C17" s="163" t="s">
        <v>59</v>
      </c>
      <c r="D17" s="167">
        <v>1</v>
      </c>
      <c r="E17" s="168">
        <v>110</v>
      </c>
      <c r="F17" s="1860">
        <v>54104</v>
      </c>
      <c r="G17" s="567" t="s">
        <v>957</v>
      </c>
      <c r="H17" s="1870">
        <f>4000+1000</f>
        <v>5000</v>
      </c>
      <c r="I17" s="1874">
        <v>2000</v>
      </c>
      <c r="J17" s="1874">
        <f t="shared" si="1"/>
        <v>3000</v>
      </c>
      <c r="K17" s="1896"/>
      <c r="L17" s="1877">
        <f>J17-K18</f>
        <v>2500</v>
      </c>
      <c r="M17" s="717">
        <f t="shared" si="0"/>
        <v>2000</v>
      </c>
    </row>
    <row r="18" spans="1:13" ht="15">
      <c r="A18" s="163">
        <v>1</v>
      </c>
      <c r="B18" s="163" t="s">
        <v>59</v>
      </c>
      <c r="C18" s="163" t="s">
        <v>59</v>
      </c>
      <c r="D18" s="167">
        <v>1</v>
      </c>
      <c r="E18" s="168" t="s">
        <v>63</v>
      </c>
      <c r="F18" s="1860">
        <v>54105</v>
      </c>
      <c r="G18" s="567" t="s">
        <v>162</v>
      </c>
      <c r="H18" s="1870">
        <f>4000+1000</f>
        <v>5000</v>
      </c>
      <c r="I18" s="1874">
        <v>1000</v>
      </c>
      <c r="J18" s="1874">
        <f t="shared" si="1"/>
        <v>4000</v>
      </c>
      <c r="K18" s="1896">
        <v>500</v>
      </c>
      <c r="L18" s="1877">
        <f>J18-K18</f>
        <v>3500</v>
      </c>
      <c r="M18" s="717">
        <f t="shared" si="0"/>
        <v>1500</v>
      </c>
    </row>
    <row r="19" spans="1:13" ht="15">
      <c r="A19" s="163">
        <v>1</v>
      </c>
      <c r="B19" s="163" t="s">
        <v>59</v>
      </c>
      <c r="C19" s="163" t="s">
        <v>59</v>
      </c>
      <c r="D19" s="167">
        <v>1</v>
      </c>
      <c r="E19" s="168" t="s">
        <v>63</v>
      </c>
      <c r="F19" s="1860">
        <v>54107</v>
      </c>
      <c r="G19" s="567" t="s">
        <v>163</v>
      </c>
      <c r="H19" s="1870">
        <v>3000</v>
      </c>
      <c r="I19" s="1874">
        <v>2000</v>
      </c>
      <c r="J19" s="1874">
        <f t="shared" si="1"/>
        <v>1000</v>
      </c>
      <c r="K19" s="1896"/>
      <c r="L19" s="1877">
        <f t="shared" si="2"/>
        <v>1000</v>
      </c>
      <c r="M19" s="717">
        <f t="shared" si="0"/>
        <v>2000</v>
      </c>
    </row>
    <row r="20" spans="1:13" ht="15">
      <c r="A20" s="163">
        <v>1</v>
      </c>
      <c r="B20" s="163" t="s">
        <v>59</v>
      </c>
      <c r="C20" s="163" t="s">
        <v>59</v>
      </c>
      <c r="D20" s="167">
        <v>1</v>
      </c>
      <c r="E20" s="168" t="s">
        <v>63</v>
      </c>
      <c r="F20" s="1860">
        <v>54109</v>
      </c>
      <c r="G20" s="567" t="s">
        <v>165</v>
      </c>
      <c r="H20" s="1870">
        <f>6500+500</f>
        <v>7000</v>
      </c>
      <c r="I20" s="1874">
        <v>600</v>
      </c>
      <c r="J20" s="1874">
        <f t="shared" si="1"/>
        <v>6400</v>
      </c>
      <c r="K20" s="1896">
        <v>1000</v>
      </c>
      <c r="L20" s="1877">
        <f>J20-K20</f>
        <v>5400</v>
      </c>
      <c r="M20" s="717">
        <f t="shared" ref="M20:M83" si="3">I20+K20</f>
        <v>1600</v>
      </c>
    </row>
    <row r="21" spans="1:13" ht="15">
      <c r="A21" s="163">
        <v>1</v>
      </c>
      <c r="B21" s="163" t="s">
        <v>59</v>
      </c>
      <c r="C21" s="163" t="s">
        <v>59</v>
      </c>
      <c r="D21" s="167">
        <v>1</v>
      </c>
      <c r="E21" s="168" t="s">
        <v>63</v>
      </c>
      <c r="F21" s="1860">
        <v>54110</v>
      </c>
      <c r="G21" s="567" t="s">
        <v>529</v>
      </c>
      <c r="H21" s="1870">
        <f>9000+500+500+2000</f>
        <v>12000</v>
      </c>
      <c r="I21" s="1874">
        <v>650</v>
      </c>
      <c r="J21" s="1874">
        <f t="shared" si="1"/>
        <v>11350</v>
      </c>
      <c r="K21" s="1896">
        <v>3000</v>
      </c>
      <c r="L21" s="1877">
        <f t="shared" si="2"/>
        <v>8350</v>
      </c>
      <c r="M21" s="717">
        <f t="shared" si="3"/>
        <v>3650</v>
      </c>
    </row>
    <row r="22" spans="1:13" ht="15">
      <c r="A22" s="163">
        <v>1</v>
      </c>
      <c r="B22" s="163" t="s">
        <v>59</v>
      </c>
      <c r="C22" s="163" t="s">
        <v>59</v>
      </c>
      <c r="D22" s="167">
        <v>1</v>
      </c>
      <c r="E22" s="168" t="s">
        <v>63</v>
      </c>
      <c r="F22" s="1860">
        <v>54114</v>
      </c>
      <c r="G22" s="567" t="s">
        <v>169</v>
      </c>
      <c r="H22" s="1870">
        <f>4000+1000</f>
        <v>5000</v>
      </c>
      <c r="I22" s="1874">
        <v>3000</v>
      </c>
      <c r="J22" s="1874">
        <f t="shared" si="1"/>
        <v>2000</v>
      </c>
      <c r="K22" s="1896">
        <v>500</v>
      </c>
      <c r="L22" s="1877">
        <f t="shared" si="2"/>
        <v>1500</v>
      </c>
      <c r="M22" s="717">
        <f t="shared" si="3"/>
        <v>3500</v>
      </c>
    </row>
    <row r="23" spans="1:13" ht="15">
      <c r="A23" s="163">
        <v>1</v>
      </c>
      <c r="B23" s="163" t="s">
        <v>59</v>
      </c>
      <c r="C23" s="163" t="s">
        <v>59</v>
      </c>
      <c r="D23" s="167">
        <v>1</v>
      </c>
      <c r="E23" s="168" t="s">
        <v>63</v>
      </c>
      <c r="F23" s="1860">
        <v>54115</v>
      </c>
      <c r="G23" s="567" t="s">
        <v>170</v>
      </c>
      <c r="H23" s="1870">
        <f>4000+1000</f>
        <v>5000</v>
      </c>
      <c r="I23" s="1874">
        <v>3000</v>
      </c>
      <c r="J23" s="1874">
        <f t="shared" si="1"/>
        <v>2000</v>
      </c>
      <c r="K23" s="1896">
        <v>500</v>
      </c>
      <c r="L23" s="1877">
        <f t="shared" si="2"/>
        <v>1500</v>
      </c>
      <c r="M23" s="717">
        <f t="shared" si="3"/>
        <v>3500</v>
      </c>
    </row>
    <row r="24" spans="1:13" ht="15">
      <c r="A24" s="163">
        <v>1</v>
      </c>
      <c r="B24" s="163" t="s">
        <v>59</v>
      </c>
      <c r="C24" s="163" t="s">
        <v>59</v>
      </c>
      <c r="D24" s="167">
        <v>1</v>
      </c>
      <c r="E24" s="168" t="s">
        <v>63</v>
      </c>
      <c r="F24" s="1860">
        <v>54118</v>
      </c>
      <c r="G24" s="567" t="s">
        <v>172</v>
      </c>
      <c r="H24" s="1870">
        <f>1300+500</f>
        <v>1800</v>
      </c>
      <c r="I24" s="1874">
        <v>800</v>
      </c>
      <c r="J24" s="1874">
        <f t="shared" si="1"/>
        <v>1000</v>
      </c>
      <c r="K24" s="1896"/>
      <c r="L24" s="1877">
        <f t="shared" si="2"/>
        <v>1000</v>
      </c>
      <c r="M24" s="717">
        <f t="shared" si="3"/>
        <v>800</v>
      </c>
    </row>
    <row r="25" spans="1:13" ht="15">
      <c r="A25" s="163">
        <v>1</v>
      </c>
      <c r="B25" s="163" t="s">
        <v>59</v>
      </c>
      <c r="C25" s="163" t="s">
        <v>59</v>
      </c>
      <c r="D25" s="167">
        <v>1</v>
      </c>
      <c r="E25" s="168" t="s">
        <v>63</v>
      </c>
      <c r="F25" s="1860">
        <v>54119</v>
      </c>
      <c r="G25" s="567" t="s">
        <v>173</v>
      </c>
      <c r="H25" s="1870">
        <f>2500+1000</f>
        <v>3500</v>
      </c>
      <c r="I25" s="1874">
        <v>300</v>
      </c>
      <c r="J25" s="1874">
        <f t="shared" si="1"/>
        <v>3200</v>
      </c>
      <c r="K25" s="1896">
        <v>200</v>
      </c>
      <c r="L25" s="1877">
        <f>J25-K25</f>
        <v>3000</v>
      </c>
      <c r="M25" s="717">
        <f t="shared" si="3"/>
        <v>500</v>
      </c>
    </row>
    <row r="26" spans="1:13" ht="15">
      <c r="A26" s="163" t="s">
        <v>62</v>
      </c>
      <c r="B26" s="163" t="s">
        <v>59</v>
      </c>
      <c r="C26" s="163" t="s">
        <v>59</v>
      </c>
      <c r="D26" s="167">
        <v>1</v>
      </c>
      <c r="E26" s="168">
        <v>110</v>
      </c>
      <c r="F26" s="1860">
        <v>54121</v>
      </c>
      <c r="G26" s="567" t="s">
        <v>174</v>
      </c>
      <c r="H26" s="1870">
        <f>2500+1000</f>
        <v>3500</v>
      </c>
      <c r="I26" s="1874">
        <v>200</v>
      </c>
      <c r="J26" s="1874">
        <f t="shared" si="1"/>
        <v>3300</v>
      </c>
      <c r="K26" s="1896">
        <v>200</v>
      </c>
      <c r="L26" s="1877">
        <f t="shared" si="2"/>
        <v>3100</v>
      </c>
      <c r="M26" s="717">
        <f t="shared" si="3"/>
        <v>400</v>
      </c>
    </row>
    <row r="27" spans="1:13" ht="15">
      <c r="A27" s="163">
        <v>1</v>
      </c>
      <c r="B27" s="163" t="s">
        <v>59</v>
      </c>
      <c r="C27" s="163" t="s">
        <v>59</v>
      </c>
      <c r="D27" s="167">
        <v>1</v>
      </c>
      <c r="E27" s="168" t="s">
        <v>63</v>
      </c>
      <c r="F27" s="1860">
        <v>54199</v>
      </c>
      <c r="G27" s="567" t="s">
        <v>175</v>
      </c>
      <c r="H27" s="1870">
        <f>5000+2000</f>
        <v>7000</v>
      </c>
      <c r="I27" s="1874">
        <v>100</v>
      </c>
      <c r="J27" s="1874">
        <f t="shared" si="1"/>
        <v>6900</v>
      </c>
      <c r="K27" s="1896">
        <v>1500</v>
      </c>
      <c r="L27" s="1877">
        <f t="shared" si="2"/>
        <v>5400</v>
      </c>
      <c r="M27" s="717">
        <f t="shared" si="3"/>
        <v>1600</v>
      </c>
    </row>
    <row r="28" spans="1:13" ht="15">
      <c r="A28" s="163">
        <v>1</v>
      </c>
      <c r="B28" s="163" t="s">
        <v>59</v>
      </c>
      <c r="C28" s="163" t="s">
        <v>59</v>
      </c>
      <c r="D28" s="167">
        <v>1</v>
      </c>
      <c r="E28" s="168" t="s">
        <v>63</v>
      </c>
      <c r="F28" s="1860">
        <v>54201</v>
      </c>
      <c r="G28" s="567" t="s">
        <v>176</v>
      </c>
      <c r="H28" s="1870">
        <f>10000+2000</f>
        <v>12000</v>
      </c>
      <c r="I28" s="1874">
        <v>800</v>
      </c>
      <c r="J28" s="1874">
        <f t="shared" si="1"/>
        <v>11200</v>
      </c>
      <c r="K28" s="1896">
        <v>3000</v>
      </c>
      <c r="L28" s="1877">
        <f t="shared" si="2"/>
        <v>8200</v>
      </c>
      <c r="M28" s="717">
        <f t="shared" si="3"/>
        <v>3800</v>
      </c>
    </row>
    <row r="29" spans="1:13" ht="15">
      <c r="A29" s="163">
        <v>1</v>
      </c>
      <c r="B29" s="163" t="s">
        <v>59</v>
      </c>
      <c r="C29" s="163" t="s">
        <v>59</v>
      </c>
      <c r="D29" s="167">
        <v>1</v>
      </c>
      <c r="E29" s="168" t="s">
        <v>63</v>
      </c>
      <c r="F29" s="1860">
        <v>54202</v>
      </c>
      <c r="G29" s="567" t="s">
        <v>177</v>
      </c>
      <c r="H29" s="1870">
        <f>5000+471.13+2000</f>
        <v>7471.13</v>
      </c>
      <c r="I29" s="1874">
        <v>500</v>
      </c>
      <c r="J29" s="1874">
        <f t="shared" si="1"/>
        <v>6971.13</v>
      </c>
      <c r="K29" s="1896">
        <v>2500</v>
      </c>
      <c r="L29" s="1877">
        <f t="shared" si="2"/>
        <v>4471.13</v>
      </c>
      <c r="M29" s="717">
        <f t="shared" si="3"/>
        <v>3000</v>
      </c>
    </row>
    <row r="30" spans="1:13" ht="15">
      <c r="A30" s="163">
        <f t="shared" ref="A30:A58" si="4">A29</f>
        <v>1</v>
      </c>
      <c r="B30" s="163" t="s">
        <v>59</v>
      </c>
      <c r="C30" s="163" t="s">
        <v>59</v>
      </c>
      <c r="D30" s="167">
        <v>1</v>
      </c>
      <c r="E30" s="168" t="s">
        <v>63</v>
      </c>
      <c r="F30" s="1860">
        <v>54203</v>
      </c>
      <c r="G30" s="567" t="s">
        <v>178</v>
      </c>
      <c r="H30" s="1870">
        <f>15000+3000</f>
        <v>18000</v>
      </c>
      <c r="I30" s="1874">
        <v>1000</v>
      </c>
      <c r="J30" s="1874">
        <f t="shared" si="1"/>
        <v>17000</v>
      </c>
      <c r="K30" s="1896">
        <v>6500</v>
      </c>
      <c r="L30" s="1877">
        <f t="shared" si="2"/>
        <v>10500</v>
      </c>
      <c r="M30" s="717">
        <f t="shared" si="3"/>
        <v>7500</v>
      </c>
    </row>
    <row r="31" spans="1:13" ht="15">
      <c r="A31" s="163">
        <f t="shared" si="4"/>
        <v>1</v>
      </c>
      <c r="B31" s="163" t="s">
        <v>59</v>
      </c>
      <c r="C31" s="163" t="s">
        <v>59</v>
      </c>
      <c r="D31" s="167">
        <v>1</v>
      </c>
      <c r="E31" s="168" t="s">
        <v>63</v>
      </c>
      <c r="F31" s="1860">
        <v>54204</v>
      </c>
      <c r="G31" s="567" t="s">
        <v>179</v>
      </c>
      <c r="H31" s="1870">
        <v>200</v>
      </c>
      <c r="I31" s="1874"/>
      <c r="J31" s="1874">
        <f t="shared" si="1"/>
        <v>200</v>
      </c>
      <c r="K31" s="1896"/>
      <c r="L31" s="1877">
        <f t="shared" si="2"/>
        <v>200</v>
      </c>
      <c r="M31" s="717">
        <f t="shared" si="3"/>
        <v>0</v>
      </c>
    </row>
    <row r="32" spans="1:13" ht="15">
      <c r="A32" s="163">
        <f t="shared" si="4"/>
        <v>1</v>
      </c>
      <c r="B32" s="163" t="s">
        <v>59</v>
      </c>
      <c r="C32" s="163" t="s">
        <v>59</v>
      </c>
      <c r="D32" s="167">
        <v>1</v>
      </c>
      <c r="E32" s="168" t="s">
        <v>63</v>
      </c>
      <c r="F32" s="1860">
        <v>54301</v>
      </c>
      <c r="G32" s="567" t="s">
        <v>181</v>
      </c>
      <c r="H32" s="1870">
        <v>8000</v>
      </c>
      <c r="I32" s="1874">
        <v>500</v>
      </c>
      <c r="J32" s="1874">
        <f t="shared" si="1"/>
        <v>7500</v>
      </c>
      <c r="K32" s="1896">
        <v>3500</v>
      </c>
      <c r="L32" s="1877">
        <f t="shared" si="2"/>
        <v>4000</v>
      </c>
      <c r="M32" s="717">
        <f t="shared" si="3"/>
        <v>4000</v>
      </c>
    </row>
    <row r="33" spans="1:13" ht="15">
      <c r="A33" s="163">
        <f t="shared" si="4"/>
        <v>1</v>
      </c>
      <c r="B33" s="163" t="s">
        <v>59</v>
      </c>
      <c r="C33" s="163" t="s">
        <v>59</v>
      </c>
      <c r="D33" s="167">
        <v>1</v>
      </c>
      <c r="E33" s="168" t="s">
        <v>63</v>
      </c>
      <c r="F33" s="1860">
        <v>54302</v>
      </c>
      <c r="G33" s="567" t="s">
        <v>182</v>
      </c>
      <c r="H33" s="1870">
        <f>15000+2000</f>
        <v>17000</v>
      </c>
      <c r="I33" s="1874">
        <v>1000</v>
      </c>
      <c r="J33" s="1874">
        <f t="shared" si="1"/>
        <v>16000</v>
      </c>
      <c r="K33" s="1896">
        <v>6000</v>
      </c>
      <c r="L33" s="1877">
        <f t="shared" si="2"/>
        <v>10000</v>
      </c>
      <c r="M33" s="717">
        <f t="shared" si="3"/>
        <v>7000</v>
      </c>
    </row>
    <row r="34" spans="1:13" ht="15">
      <c r="A34" s="163" t="s">
        <v>62</v>
      </c>
      <c r="B34" s="163" t="s">
        <v>59</v>
      </c>
      <c r="C34" s="163" t="s">
        <v>59</v>
      </c>
      <c r="D34" s="167">
        <v>1</v>
      </c>
      <c r="E34" s="168">
        <v>110</v>
      </c>
      <c r="F34" s="1860">
        <v>54303</v>
      </c>
      <c r="G34" s="567" t="s">
        <v>462</v>
      </c>
      <c r="H34" s="1870">
        <v>8000</v>
      </c>
      <c r="I34" s="1874">
        <v>1000</v>
      </c>
      <c r="J34" s="1874">
        <f t="shared" si="1"/>
        <v>7000</v>
      </c>
      <c r="K34" s="1896">
        <v>3000</v>
      </c>
      <c r="L34" s="1877">
        <f t="shared" si="2"/>
        <v>4000</v>
      </c>
      <c r="M34" s="717">
        <f t="shared" si="3"/>
        <v>4000</v>
      </c>
    </row>
    <row r="35" spans="1:13" ht="15">
      <c r="A35" s="163">
        <f>A33</f>
        <v>1</v>
      </c>
      <c r="B35" s="163" t="s">
        <v>59</v>
      </c>
      <c r="C35" s="163" t="s">
        <v>59</v>
      </c>
      <c r="D35" s="167">
        <v>1</v>
      </c>
      <c r="E35" s="168" t="s">
        <v>63</v>
      </c>
      <c r="F35" s="1860">
        <v>54304</v>
      </c>
      <c r="G35" s="567" t="s">
        <v>184</v>
      </c>
      <c r="H35" s="1870">
        <v>2000</v>
      </c>
      <c r="I35" s="1874">
        <v>250</v>
      </c>
      <c r="J35" s="1874">
        <f t="shared" si="1"/>
        <v>1750</v>
      </c>
      <c r="K35" s="1896">
        <v>750</v>
      </c>
      <c r="L35" s="1877">
        <f t="shared" si="2"/>
        <v>1000</v>
      </c>
      <c r="M35" s="717">
        <f t="shared" si="3"/>
        <v>1000</v>
      </c>
    </row>
    <row r="36" spans="1:13" ht="15">
      <c r="A36" s="163">
        <f t="shared" si="4"/>
        <v>1</v>
      </c>
      <c r="B36" s="163" t="s">
        <v>59</v>
      </c>
      <c r="C36" s="163" t="s">
        <v>59</v>
      </c>
      <c r="D36" s="167">
        <v>1</v>
      </c>
      <c r="E36" s="168" t="s">
        <v>63</v>
      </c>
      <c r="F36" s="1860">
        <v>54305</v>
      </c>
      <c r="G36" s="567" t="s">
        <v>185</v>
      </c>
      <c r="H36" s="1870">
        <v>1000</v>
      </c>
      <c r="I36" s="1874">
        <v>0</v>
      </c>
      <c r="J36" s="1874">
        <f t="shared" si="1"/>
        <v>1000</v>
      </c>
      <c r="K36" s="1896"/>
      <c r="L36" s="1877">
        <f t="shared" si="2"/>
        <v>1000</v>
      </c>
      <c r="M36" s="717">
        <f t="shared" si="3"/>
        <v>0</v>
      </c>
    </row>
    <row r="37" spans="1:13" ht="15">
      <c r="A37" s="163">
        <f t="shared" si="4"/>
        <v>1</v>
      </c>
      <c r="B37" s="163" t="s">
        <v>59</v>
      </c>
      <c r="C37" s="163" t="s">
        <v>59</v>
      </c>
      <c r="D37" s="167">
        <v>1</v>
      </c>
      <c r="E37" s="168" t="s">
        <v>63</v>
      </c>
      <c r="F37" s="1860">
        <v>54313</v>
      </c>
      <c r="G37" s="567" t="s">
        <v>186</v>
      </c>
      <c r="H37" s="1870">
        <v>4000</v>
      </c>
      <c r="I37" s="1874">
        <v>1700</v>
      </c>
      <c r="J37" s="1874">
        <f t="shared" si="1"/>
        <v>2300</v>
      </c>
      <c r="K37" s="1896"/>
      <c r="L37" s="1877">
        <f t="shared" si="2"/>
        <v>2300</v>
      </c>
      <c r="M37" s="717">
        <f t="shared" si="3"/>
        <v>1700</v>
      </c>
    </row>
    <row r="38" spans="1:13" ht="15">
      <c r="A38" s="163">
        <f t="shared" si="4"/>
        <v>1</v>
      </c>
      <c r="B38" s="163" t="s">
        <v>59</v>
      </c>
      <c r="C38" s="163" t="s">
        <v>59</v>
      </c>
      <c r="D38" s="167">
        <v>1</v>
      </c>
      <c r="E38" s="168" t="s">
        <v>63</v>
      </c>
      <c r="F38" s="1860">
        <v>54314</v>
      </c>
      <c r="G38" s="567" t="s">
        <v>187</v>
      </c>
      <c r="H38" s="1870">
        <f>2500+500</f>
        <v>3000</v>
      </c>
      <c r="I38" s="1874">
        <v>1400</v>
      </c>
      <c r="J38" s="1874">
        <f t="shared" si="1"/>
        <v>1600</v>
      </c>
      <c r="K38" s="1896">
        <v>600</v>
      </c>
      <c r="L38" s="1877">
        <f t="shared" si="2"/>
        <v>1000</v>
      </c>
      <c r="M38" s="717">
        <f t="shared" si="3"/>
        <v>2000</v>
      </c>
    </row>
    <row r="39" spans="1:13" ht="15">
      <c r="A39" s="163">
        <f t="shared" si="4"/>
        <v>1</v>
      </c>
      <c r="B39" s="163" t="s">
        <v>59</v>
      </c>
      <c r="C39" s="163" t="s">
        <v>59</v>
      </c>
      <c r="D39" s="167">
        <v>1</v>
      </c>
      <c r="E39" s="168" t="s">
        <v>63</v>
      </c>
      <c r="F39" s="1860">
        <v>54399</v>
      </c>
      <c r="G39" s="567" t="s">
        <v>190</v>
      </c>
      <c r="H39" s="1870">
        <f>200+300</f>
        <v>500</v>
      </c>
      <c r="I39" s="1874">
        <v>0</v>
      </c>
      <c r="J39" s="1874">
        <f t="shared" si="1"/>
        <v>500</v>
      </c>
      <c r="K39" s="1896"/>
      <c r="L39" s="1877">
        <f t="shared" si="2"/>
        <v>500</v>
      </c>
      <c r="M39" s="717">
        <f t="shared" si="3"/>
        <v>0</v>
      </c>
    </row>
    <row r="40" spans="1:13" ht="15">
      <c r="A40" s="163">
        <f t="shared" si="4"/>
        <v>1</v>
      </c>
      <c r="B40" s="163" t="s">
        <v>59</v>
      </c>
      <c r="C40" s="163" t="s">
        <v>59</v>
      </c>
      <c r="D40" s="167">
        <v>1</v>
      </c>
      <c r="E40" s="168" t="s">
        <v>63</v>
      </c>
      <c r="F40" s="1860">
        <v>54401</v>
      </c>
      <c r="G40" s="567" t="s">
        <v>126</v>
      </c>
      <c r="H40" s="1870">
        <f>2000+500</f>
        <v>2500</v>
      </c>
      <c r="I40" s="1874">
        <v>1500</v>
      </c>
      <c r="J40" s="1874">
        <f t="shared" si="1"/>
        <v>1000</v>
      </c>
      <c r="K40" s="1896"/>
      <c r="L40" s="1877">
        <f t="shared" si="2"/>
        <v>1000</v>
      </c>
      <c r="M40" s="717">
        <f t="shared" si="3"/>
        <v>1500</v>
      </c>
    </row>
    <row r="41" spans="1:13" ht="15">
      <c r="A41" s="163">
        <f t="shared" si="4"/>
        <v>1</v>
      </c>
      <c r="B41" s="163" t="s">
        <v>59</v>
      </c>
      <c r="C41" s="163" t="s">
        <v>59</v>
      </c>
      <c r="D41" s="167">
        <v>1</v>
      </c>
      <c r="E41" s="168" t="s">
        <v>63</v>
      </c>
      <c r="F41" s="1860">
        <v>54403</v>
      </c>
      <c r="G41" s="567" t="s">
        <v>127</v>
      </c>
      <c r="H41" s="1870">
        <f>3000+500</f>
        <v>3500</v>
      </c>
      <c r="I41" s="1874">
        <v>1500</v>
      </c>
      <c r="J41" s="1874">
        <f t="shared" si="1"/>
        <v>2000</v>
      </c>
      <c r="K41" s="1896">
        <v>500</v>
      </c>
      <c r="L41" s="1877">
        <f t="shared" si="2"/>
        <v>1500</v>
      </c>
      <c r="M41" s="717">
        <f t="shared" si="3"/>
        <v>2000</v>
      </c>
    </row>
    <row r="42" spans="1:13" ht="15">
      <c r="A42" s="163">
        <f t="shared" si="4"/>
        <v>1</v>
      </c>
      <c r="B42" s="163" t="s">
        <v>59</v>
      </c>
      <c r="C42" s="163" t="s">
        <v>59</v>
      </c>
      <c r="D42" s="167">
        <v>1</v>
      </c>
      <c r="E42" s="168" t="s">
        <v>63</v>
      </c>
      <c r="F42" s="1860">
        <v>54503</v>
      </c>
      <c r="G42" s="567" t="s">
        <v>128</v>
      </c>
      <c r="H42" s="1870">
        <f>8500+1000+952.69</f>
        <v>10452.69</v>
      </c>
      <c r="I42" s="1874">
        <v>4815.1400000000003</v>
      </c>
      <c r="J42" s="1874">
        <f t="shared" si="1"/>
        <v>5637.55</v>
      </c>
      <c r="K42" s="1896">
        <v>1650</v>
      </c>
      <c r="L42" s="1877">
        <f t="shared" si="2"/>
        <v>3987.55</v>
      </c>
      <c r="M42" s="717">
        <f t="shared" si="3"/>
        <v>6465.14</v>
      </c>
    </row>
    <row r="43" spans="1:13" ht="15">
      <c r="A43" s="163">
        <f t="shared" si="4"/>
        <v>1</v>
      </c>
      <c r="B43" s="163" t="s">
        <v>59</v>
      </c>
      <c r="C43" s="163" t="s">
        <v>59</v>
      </c>
      <c r="D43" s="167">
        <v>1</v>
      </c>
      <c r="E43" s="168">
        <v>110</v>
      </c>
      <c r="F43" s="1860">
        <v>54504</v>
      </c>
      <c r="G43" s="567" t="s">
        <v>203</v>
      </c>
      <c r="H43" s="1870">
        <f>9000+1000</f>
        <v>10000</v>
      </c>
      <c r="I43" s="1874">
        <v>650</v>
      </c>
      <c r="J43" s="1874">
        <f t="shared" si="1"/>
        <v>9350</v>
      </c>
      <c r="K43" s="1896">
        <v>3500</v>
      </c>
      <c r="L43" s="1877">
        <f t="shared" si="2"/>
        <v>5850</v>
      </c>
      <c r="M43" s="717">
        <f t="shared" si="3"/>
        <v>4150</v>
      </c>
    </row>
    <row r="44" spans="1:13" ht="15">
      <c r="A44" s="163">
        <f>A43</f>
        <v>1</v>
      </c>
      <c r="B44" s="163" t="s">
        <v>59</v>
      </c>
      <c r="C44" s="163" t="s">
        <v>59</v>
      </c>
      <c r="D44" s="167">
        <v>1</v>
      </c>
      <c r="E44" s="168">
        <v>110</v>
      </c>
      <c r="F44" s="1860">
        <v>54505</v>
      </c>
      <c r="G44" s="567" t="s">
        <v>520</v>
      </c>
      <c r="H44" s="1870">
        <f>1000+1500</f>
        <v>2500</v>
      </c>
      <c r="I44" s="1874">
        <v>1500</v>
      </c>
      <c r="J44" s="1874">
        <f t="shared" si="1"/>
        <v>1000</v>
      </c>
      <c r="K44" s="1896"/>
      <c r="L44" s="1877">
        <f t="shared" si="2"/>
        <v>1000</v>
      </c>
      <c r="M44" s="717">
        <f t="shared" si="3"/>
        <v>1500</v>
      </c>
    </row>
    <row r="45" spans="1:13" ht="15">
      <c r="A45" s="163" t="s">
        <v>62</v>
      </c>
      <c r="B45" s="163" t="s">
        <v>59</v>
      </c>
      <c r="C45" s="163" t="s">
        <v>59</v>
      </c>
      <c r="D45" s="167">
        <v>1</v>
      </c>
      <c r="E45" s="168">
        <v>110</v>
      </c>
      <c r="F45" s="1860">
        <v>54507</v>
      </c>
      <c r="G45" s="567" t="s">
        <v>562</v>
      </c>
      <c r="H45" s="1870">
        <f>800+2000</f>
        <v>2800</v>
      </c>
      <c r="I45" s="1874">
        <v>800</v>
      </c>
      <c r="J45" s="1874">
        <f t="shared" si="1"/>
        <v>2000</v>
      </c>
      <c r="K45" s="1896">
        <v>500</v>
      </c>
      <c r="L45" s="1877">
        <f t="shared" si="2"/>
        <v>1500</v>
      </c>
      <c r="M45" s="717">
        <f t="shared" si="3"/>
        <v>1300</v>
      </c>
    </row>
    <row r="46" spans="1:13" ht="15">
      <c r="A46" s="163" t="s">
        <v>528</v>
      </c>
      <c r="B46" s="163" t="s">
        <v>59</v>
      </c>
      <c r="C46" s="163" t="s">
        <v>59</v>
      </c>
      <c r="D46" s="167">
        <v>1</v>
      </c>
      <c r="E46" s="168" t="s">
        <v>63</v>
      </c>
      <c r="F46" s="1860">
        <v>54599</v>
      </c>
      <c r="G46" s="567" t="s">
        <v>193</v>
      </c>
      <c r="H46" s="1870">
        <f>12000+3000</f>
        <v>15000</v>
      </c>
      <c r="I46" s="1874">
        <v>1000</v>
      </c>
      <c r="J46" s="1874">
        <f t="shared" si="1"/>
        <v>14000</v>
      </c>
      <c r="K46" s="1896">
        <v>6000</v>
      </c>
      <c r="L46" s="1877">
        <f t="shared" si="2"/>
        <v>8000</v>
      </c>
      <c r="M46" s="717">
        <f t="shared" si="3"/>
        <v>7000</v>
      </c>
    </row>
    <row r="47" spans="1:13" ht="15">
      <c r="A47" s="163">
        <f>A44</f>
        <v>1</v>
      </c>
      <c r="B47" s="163" t="s">
        <v>59</v>
      </c>
      <c r="C47" s="163" t="s">
        <v>59</v>
      </c>
      <c r="D47" s="167">
        <v>1</v>
      </c>
      <c r="E47" s="168" t="s">
        <v>63</v>
      </c>
      <c r="F47" s="1860">
        <v>55599</v>
      </c>
      <c r="G47" s="567" t="s">
        <v>958</v>
      </c>
      <c r="H47" s="1870">
        <v>200</v>
      </c>
      <c r="I47" s="1874"/>
      <c r="J47" s="1874">
        <f t="shared" si="1"/>
        <v>200</v>
      </c>
      <c r="K47" s="1896"/>
      <c r="L47" s="1877">
        <f t="shared" si="2"/>
        <v>200</v>
      </c>
      <c r="M47" s="717">
        <f t="shared" si="3"/>
        <v>0</v>
      </c>
    </row>
    <row r="48" spans="1:13" ht="15">
      <c r="A48" s="163">
        <f>A44</f>
        <v>1</v>
      </c>
      <c r="B48" s="163" t="s">
        <v>59</v>
      </c>
      <c r="C48" s="163" t="s">
        <v>59</v>
      </c>
      <c r="D48" s="167">
        <v>1</v>
      </c>
      <c r="E48" s="168" t="s">
        <v>63</v>
      </c>
      <c r="F48" s="1860">
        <v>55602</v>
      </c>
      <c r="G48" s="567" t="s">
        <v>194</v>
      </c>
      <c r="H48" s="1870">
        <v>3000</v>
      </c>
      <c r="I48" s="1874">
        <v>100</v>
      </c>
      <c r="J48" s="1874">
        <f t="shared" si="1"/>
        <v>2900</v>
      </c>
      <c r="K48" s="1896"/>
      <c r="L48" s="1877">
        <f t="shared" si="2"/>
        <v>2900</v>
      </c>
      <c r="M48" s="717">
        <f t="shared" si="3"/>
        <v>100</v>
      </c>
    </row>
    <row r="49" spans="1:15" ht="15">
      <c r="A49" s="163">
        <f t="shared" si="4"/>
        <v>1</v>
      </c>
      <c r="B49" s="163" t="s">
        <v>59</v>
      </c>
      <c r="C49" s="163" t="s">
        <v>59</v>
      </c>
      <c r="D49" s="167">
        <v>1</v>
      </c>
      <c r="E49" s="168" t="s">
        <v>63</v>
      </c>
      <c r="F49" s="1860">
        <v>55603</v>
      </c>
      <c r="G49" s="567" t="s">
        <v>136</v>
      </c>
      <c r="H49" s="1870">
        <f>300+1500</f>
        <v>1800</v>
      </c>
      <c r="I49" s="1874">
        <v>350</v>
      </c>
      <c r="J49" s="1874">
        <f t="shared" si="1"/>
        <v>1450</v>
      </c>
      <c r="K49" s="1896"/>
      <c r="L49" s="1877">
        <f t="shared" si="2"/>
        <v>1450</v>
      </c>
      <c r="M49" s="717">
        <f t="shared" si="3"/>
        <v>350</v>
      </c>
      <c r="O49" s="359"/>
    </row>
    <row r="50" spans="1:15" ht="15">
      <c r="A50" s="163">
        <f t="shared" si="4"/>
        <v>1</v>
      </c>
      <c r="B50" s="163" t="s">
        <v>59</v>
      </c>
      <c r="C50" s="163" t="s">
        <v>59</v>
      </c>
      <c r="D50" s="167">
        <v>1</v>
      </c>
      <c r="E50" s="168" t="s">
        <v>63</v>
      </c>
      <c r="F50" s="1860">
        <v>55799</v>
      </c>
      <c r="G50" s="567" t="s">
        <v>137</v>
      </c>
      <c r="H50" s="1870">
        <v>1500</v>
      </c>
      <c r="I50" s="1874">
        <v>0</v>
      </c>
      <c r="J50" s="1874">
        <f t="shared" si="1"/>
        <v>1500</v>
      </c>
      <c r="K50" s="1896"/>
      <c r="L50" s="1877">
        <f t="shared" si="2"/>
        <v>1500</v>
      </c>
      <c r="M50" s="717">
        <f t="shared" si="3"/>
        <v>0</v>
      </c>
    </row>
    <row r="51" spans="1:15" ht="15">
      <c r="A51" s="163">
        <f t="shared" si="4"/>
        <v>1</v>
      </c>
      <c r="B51" s="163" t="s">
        <v>59</v>
      </c>
      <c r="C51" s="163" t="s">
        <v>59</v>
      </c>
      <c r="D51" s="167">
        <v>1</v>
      </c>
      <c r="E51" s="168" t="s">
        <v>63</v>
      </c>
      <c r="F51" s="1860">
        <v>56201</v>
      </c>
      <c r="G51" s="567" t="s">
        <v>463</v>
      </c>
      <c r="H51" s="1870">
        <f>20571.48+1000</f>
        <v>21571.48</v>
      </c>
      <c r="I51" s="1874">
        <v>4000</v>
      </c>
      <c r="J51" s="1874">
        <f t="shared" si="1"/>
        <v>17571.48</v>
      </c>
      <c r="K51" s="1896">
        <v>5000</v>
      </c>
      <c r="L51" s="1877">
        <f t="shared" si="2"/>
        <v>12571.48</v>
      </c>
      <c r="M51" s="717">
        <f t="shared" si="3"/>
        <v>9000</v>
      </c>
    </row>
    <row r="52" spans="1:15" ht="15">
      <c r="A52" s="163">
        <f t="shared" si="4"/>
        <v>1</v>
      </c>
      <c r="B52" s="163" t="s">
        <v>59</v>
      </c>
      <c r="C52" s="163" t="s">
        <v>59</v>
      </c>
      <c r="D52" s="167">
        <v>1</v>
      </c>
      <c r="E52" s="168" t="s">
        <v>63</v>
      </c>
      <c r="F52" s="1860">
        <v>56304</v>
      </c>
      <c r="G52" s="567" t="s">
        <v>141</v>
      </c>
      <c r="H52" s="1870">
        <f>1000+11930.22-1500</f>
        <v>11430.22</v>
      </c>
      <c r="I52" s="1874">
        <v>4900</v>
      </c>
      <c r="J52" s="1874">
        <f t="shared" si="1"/>
        <v>6530.2199999999993</v>
      </c>
      <c r="K52" s="1896">
        <v>2500</v>
      </c>
      <c r="L52" s="1877">
        <f t="shared" si="2"/>
        <v>4030.2199999999993</v>
      </c>
      <c r="M52" s="717">
        <f t="shared" si="3"/>
        <v>7400</v>
      </c>
    </row>
    <row r="53" spans="1:15" ht="15">
      <c r="A53" s="163">
        <f t="shared" si="4"/>
        <v>1</v>
      </c>
      <c r="B53" s="163" t="s">
        <v>59</v>
      </c>
      <c r="C53" s="163" t="s">
        <v>59</v>
      </c>
      <c r="D53" s="167">
        <v>1</v>
      </c>
      <c r="E53" s="168" t="s">
        <v>63</v>
      </c>
      <c r="F53" s="1860">
        <v>61101</v>
      </c>
      <c r="G53" s="567" t="s">
        <v>195</v>
      </c>
      <c r="H53" s="1870">
        <f>5000+4000+1000+2000</f>
        <v>12000</v>
      </c>
      <c r="I53" s="1874">
        <v>800</v>
      </c>
      <c r="J53" s="1874">
        <f t="shared" si="1"/>
        <v>11200</v>
      </c>
      <c r="K53" s="1896">
        <v>5000</v>
      </c>
      <c r="L53" s="1877">
        <f t="shared" si="2"/>
        <v>6200</v>
      </c>
      <c r="M53" s="717">
        <f t="shared" si="3"/>
        <v>5800</v>
      </c>
    </row>
    <row r="54" spans="1:15" ht="15">
      <c r="A54" s="163">
        <f t="shared" si="4"/>
        <v>1</v>
      </c>
      <c r="B54" s="163" t="s">
        <v>59</v>
      </c>
      <c r="C54" s="163" t="s">
        <v>59</v>
      </c>
      <c r="D54" s="167">
        <v>1</v>
      </c>
      <c r="E54" s="168" t="s">
        <v>63</v>
      </c>
      <c r="F54" s="1860">
        <v>61102</v>
      </c>
      <c r="G54" s="567" t="s">
        <v>196</v>
      </c>
      <c r="H54" s="1870">
        <f>13000+2000+108.59</f>
        <v>15108.59</v>
      </c>
      <c r="I54" s="1874">
        <v>1000</v>
      </c>
      <c r="J54" s="1874">
        <f t="shared" si="1"/>
        <v>14108.59</v>
      </c>
      <c r="K54" s="1896">
        <v>3500</v>
      </c>
      <c r="L54" s="1877">
        <f t="shared" si="2"/>
        <v>10608.59</v>
      </c>
      <c r="M54" s="717">
        <f t="shared" si="3"/>
        <v>4500</v>
      </c>
    </row>
    <row r="55" spans="1:15" ht="15">
      <c r="A55" s="163">
        <f t="shared" si="4"/>
        <v>1</v>
      </c>
      <c r="B55" s="163" t="s">
        <v>59</v>
      </c>
      <c r="C55" s="163" t="s">
        <v>59</v>
      </c>
      <c r="D55" s="167">
        <v>1</v>
      </c>
      <c r="E55" s="168" t="s">
        <v>63</v>
      </c>
      <c r="F55" s="1860">
        <v>61104</v>
      </c>
      <c r="G55" s="567" t="s">
        <v>144</v>
      </c>
      <c r="H55" s="1870">
        <f>4000+4000</f>
        <v>8000</v>
      </c>
      <c r="I55" s="1874">
        <v>800</v>
      </c>
      <c r="J55" s="1874">
        <f t="shared" si="1"/>
        <v>7200</v>
      </c>
      <c r="K55" s="1896"/>
      <c r="L55" s="1877">
        <f t="shared" si="2"/>
        <v>7200</v>
      </c>
      <c r="M55" s="717">
        <f t="shared" si="3"/>
        <v>800</v>
      </c>
    </row>
    <row r="56" spans="1:15" ht="15">
      <c r="A56" s="163">
        <f t="shared" si="4"/>
        <v>1</v>
      </c>
      <c r="B56" s="163" t="s">
        <v>59</v>
      </c>
      <c r="C56" s="163" t="s">
        <v>59</v>
      </c>
      <c r="D56" s="167">
        <v>1</v>
      </c>
      <c r="E56" s="168" t="s">
        <v>63</v>
      </c>
      <c r="F56" s="1860">
        <v>61199</v>
      </c>
      <c r="G56" s="567" t="s">
        <v>146</v>
      </c>
      <c r="H56" s="1870">
        <v>8000</v>
      </c>
      <c r="I56" s="1874">
        <f>300-61.52</f>
        <v>238.48</v>
      </c>
      <c r="J56" s="1874">
        <f t="shared" si="1"/>
        <v>7761.52</v>
      </c>
      <c r="K56" s="1896">
        <v>750</v>
      </c>
      <c r="L56" s="1877">
        <f t="shared" si="2"/>
        <v>7011.52</v>
      </c>
      <c r="M56" s="717">
        <f t="shared" si="3"/>
        <v>988.48</v>
      </c>
    </row>
    <row r="57" spans="1:15" ht="15">
      <c r="A57" s="163">
        <f t="shared" si="4"/>
        <v>1</v>
      </c>
      <c r="B57" s="163" t="s">
        <v>59</v>
      </c>
      <c r="C57" s="163" t="s">
        <v>59</v>
      </c>
      <c r="D57" s="167">
        <v>1</v>
      </c>
      <c r="E57" s="168" t="s">
        <v>63</v>
      </c>
      <c r="F57" s="1860">
        <v>61403</v>
      </c>
      <c r="G57" s="567" t="s">
        <v>197</v>
      </c>
      <c r="H57" s="1870">
        <f>7000+2000+1000</f>
        <v>10000</v>
      </c>
      <c r="I57" s="1874">
        <v>500</v>
      </c>
      <c r="J57" s="1874">
        <f t="shared" si="1"/>
        <v>9500</v>
      </c>
      <c r="K57" s="1896">
        <v>3000</v>
      </c>
      <c r="L57" s="1877">
        <f t="shared" si="2"/>
        <v>6500</v>
      </c>
      <c r="M57" s="717">
        <f t="shared" si="3"/>
        <v>3500</v>
      </c>
    </row>
    <row r="58" spans="1:15" ht="15" hidden="1" customHeight="1">
      <c r="A58" s="163">
        <f t="shared" si="4"/>
        <v>1</v>
      </c>
      <c r="B58" s="163" t="s">
        <v>59</v>
      </c>
      <c r="C58" s="163" t="s">
        <v>59</v>
      </c>
      <c r="D58" s="167">
        <v>1</v>
      </c>
      <c r="E58" s="168" t="s">
        <v>63</v>
      </c>
      <c r="F58" s="1860">
        <v>72101</v>
      </c>
      <c r="G58" s="567" t="s">
        <v>198</v>
      </c>
      <c r="H58" s="1870"/>
      <c r="I58" s="1874"/>
      <c r="J58" s="1878"/>
      <c r="K58" s="1896"/>
      <c r="L58" s="1877">
        <f t="shared" si="2"/>
        <v>0</v>
      </c>
      <c r="M58" s="717">
        <f t="shared" si="3"/>
        <v>0</v>
      </c>
    </row>
    <row r="59" spans="1:15" ht="15">
      <c r="A59" s="1431"/>
      <c r="B59" s="1431"/>
      <c r="C59" s="1431"/>
      <c r="D59" s="1432"/>
      <c r="E59" s="1431"/>
      <c r="F59" s="1861"/>
      <c r="G59" s="1433" t="s">
        <v>201</v>
      </c>
      <c r="H59" s="1863">
        <f>SUM(H11:H58)+0.005</f>
        <v>367492.08500000002</v>
      </c>
      <c r="I59" s="1879"/>
      <c r="J59" s="1878"/>
      <c r="K59" s="1896"/>
      <c r="L59" s="1877">
        <f t="shared" si="2"/>
        <v>0</v>
      </c>
      <c r="M59" s="717">
        <f t="shared" si="3"/>
        <v>0</v>
      </c>
    </row>
    <row r="60" spans="1:15" ht="15">
      <c r="A60" s="163" t="s">
        <v>62</v>
      </c>
      <c r="B60" s="163" t="s">
        <v>59</v>
      </c>
      <c r="C60" s="165" t="s">
        <v>61</v>
      </c>
      <c r="D60" s="167">
        <v>1</v>
      </c>
      <c r="E60" s="163" t="s">
        <v>63</v>
      </c>
      <c r="F60" s="565" t="s">
        <v>55</v>
      </c>
      <c r="G60" s="633" t="s">
        <v>112</v>
      </c>
      <c r="H60" s="1870">
        <f>SUM('[1]CONCENTRACION DE EGRESOS'!H10)</f>
        <v>79425</v>
      </c>
      <c r="I60" s="1874"/>
      <c r="J60" s="1875">
        <f t="shared" ref="J60:J75" si="5">H60-I60</f>
        <v>79425</v>
      </c>
      <c r="K60" s="1896"/>
      <c r="L60" s="1877">
        <f t="shared" si="2"/>
        <v>79425</v>
      </c>
      <c r="M60" s="717">
        <f t="shared" si="3"/>
        <v>0</v>
      </c>
    </row>
    <row r="61" spans="1:15" ht="15">
      <c r="A61" s="163" t="s">
        <v>62</v>
      </c>
      <c r="B61" s="163" t="s">
        <v>59</v>
      </c>
      <c r="C61" s="165" t="s">
        <v>61</v>
      </c>
      <c r="D61" s="167">
        <v>1</v>
      </c>
      <c r="E61" s="163" t="s">
        <v>63</v>
      </c>
      <c r="F61" s="565" t="s">
        <v>113</v>
      </c>
      <c r="G61" s="633" t="s">
        <v>114</v>
      </c>
      <c r="H61" s="1870">
        <f>SUM('[1]CONCENTRACION DE EGRESOS'!H11)</f>
        <v>7942.5</v>
      </c>
      <c r="I61" s="1874"/>
      <c r="J61" s="1875">
        <f t="shared" si="5"/>
        <v>7942.5</v>
      </c>
      <c r="K61" s="1896"/>
      <c r="L61" s="1877">
        <f t="shared" si="2"/>
        <v>7942.5</v>
      </c>
      <c r="M61" s="717">
        <f t="shared" si="3"/>
        <v>0</v>
      </c>
    </row>
    <row r="62" spans="1:15" ht="15" hidden="1" customHeight="1">
      <c r="A62" s="163" t="s">
        <v>62</v>
      </c>
      <c r="B62" s="163" t="s">
        <v>59</v>
      </c>
      <c r="C62" s="163" t="s">
        <v>61</v>
      </c>
      <c r="D62" s="167">
        <v>1</v>
      </c>
      <c r="E62" s="163" t="s">
        <v>63</v>
      </c>
      <c r="F62" s="565" t="s">
        <v>371</v>
      </c>
      <c r="G62" s="633" t="s">
        <v>119</v>
      </c>
      <c r="H62" s="1870"/>
      <c r="I62" s="1874"/>
      <c r="J62" s="1875">
        <f t="shared" si="5"/>
        <v>0</v>
      </c>
      <c r="K62" s="1896"/>
      <c r="L62" s="1877">
        <f t="shared" si="2"/>
        <v>0</v>
      </c>
      <c r="M62" s="717">
        <f t="shared" si="3"/>
        <v>0</v>
      </c>
    </row>
    <row r="63" spans="1:15" ht="15">
      <c r="A63" s="163" t="s">
        <v>62</v>
      </c>
      <c r="B63" s="163" t="s">
        <v>59</v>
      </c>
      <c r="C63" s="165" t="s">
        <v>61</v>
      </c>
      <c r="D63" s="167">
        <v>1</v>
      </c>
      <c r="E63" s="163" t="s">
        <v>63</v>
      </c>
      <c r="F63" s="565" t="s">
        <v>121</v>
      </c>
      <c r="G63" s="633" t="s">
        <v>122</v>
      </c>
      <c r="H63" s="1870">
        <f>SUM('[1]CONCENTRACION DE EGRESOS'!H19)</f>
        <v>5107.625</v>
      </c>
      <c r="I63" s="1874"/>
      <c r="J63" s="1875">
        <f t="shared" si="5"/>
        <v>5107.625</v>
      </c>
      <c r="K63" s="1896"/>
      <c r="L63" s="1877">
        <f t="shared" si="2"/>
        <v>5107.625</v>
      </c>
      <c r="M63" s="717">
        <f t="shared" si="3"/>
        <v>0</v>
      </c>
    </row>
    <row r="64" spans="1:15" ht="15">
      <c r="A64" s="163" t="s">
        <v>62</v>
      </c>
      <c r="B64" s="163" t="s">
        <v>59</v>
      </c>
      <c r="C64" s="165" t="s">
        <v>61</v>
      </c>
      <c r="D64" s="167">
        <v>1</v>
      </c>
      <c r="E64" s="163" t="s">
        <v>63</v>
      </c>
      <c r="F64" s="565" t="s">
        <v>123</v>
      </c>
      <c r="G64" s="633" t="s">
        <v>124</v>
      </c>
      <c r="H64" s="1870">
        <f>SUM('[1]CONCENTRACION DE EGRESOS'!H20)</f>
        <v>4927.0625</v>
      </c>
      <c r="I64" s="1874"/>
      <c r="J64" s="1875">
        <f t="shared" si="5"/>
        <v>4927.0625</v>
      </c>
      <c r="K64" s="1896"/>
      <c r="L64" s="1877">
        <f t="shared" si="2"/>
        <v>4927.0625</v>
      </c>
      <c r="M64" s="717">
        <f t="shared" si="3"/>
        <v>0</v>
      </c>
    </row>
    <row r="65" spans="1:13" ht="15">
      <c r="A65" s="163" t="s">
        <v>62</v>
      </c>
      <c r="B65" s="163" t="s">
        <v>59</v>
      </c>
      <c r="C65" s="165" t="s">
        <v>61</v>
      </c>
      <c r="D65" s="167">
        <v>1</v>
      </c>
      <c r="E65" s="163" t="s">
        <v>63</v>
      </c>
      <c r="F65" s="565" t="s">
        <v>563</v>
      </c>
      <c r="G65" s="633" t="s">
        <v>564</v>
      </c>
      <c r="H65" s="1870">
        <v>700</v>
      </c>
      <c r="I65" s="1874"/>
      <c r="J65" s="1874">
        <f t="shared" si="5"/>
        <v>700</v>
      </c>
      <c r="K65" s="1896"/>
      <c r="L65" s="1877">
        <f t="shared" si="2"/>
        <v>700</v>
      </c>
      <c r="M65" s="717">
        <f t="shared" si="3"/>
        <v>0</v>
      </c>
    </row>
    <row r="66" spans="1:13" ht="15">
      <c r="A66" s="163" t="s">
        <v>62</v>
      </c>
      <c r="B66" s="163" t="s">
        <v>59</v>
      </c>
      <c r="C66" s="165" t="s">
        <v>61</v>
      </c>
      <c r="D66" s="167">
        <v>1</v>
      </c>
      <c r="E66" s="163" t="s">
        <v>63</v>
      </c>
      <c r="F66" s="565" t="s">
        <v>565</v>
      </c>
      <c r="G66" s="633" t="s">
        <v>169</v>
      </c>
      <c r="H66" s="1870">
        <v>300</v>
      </c>
      <c r="I66" s="1874"/>
      <c r="J66" s="1874">
        <f t="shared" si="5"/>
        <v>300</v>
      </c>
      <c r="K66" s="1896"/>
      <c r="L66" s="1877">
        <f t="shared" si="2"/>
        <v>300</v>
      </c>
      <c r="M66" s="717">
        <f t="shared" si="3"/>
        <v>0</v>
      </c>
    </row>
    <row r="67" spans="1:13" ht="15">
      <c r="A67" s="163" t="s">
        <v>62</v>
      </c>
      <c r="B67" s="163" t="s">
        <v>59</v>
      </c>
      <c r="C67" s="165" t="s">
        <v>61</v>
      </c>
      <c r="D67" s="167">
        <v>1</v>
      </c>
      <c r="E67" s="163" t="s">
        <v>63</v>
      </c>
      <c r="F67" s="565" t="s">
        <v>637</v>
      </c>
      <c r="G67" s="633" t="s">
        <v>170</v>
      </c>
      <c r="H67" s="1870">
        <v>500</v>
      </c>
      <c r="I67" s="1874"/>
      <c r="J67" s="1874">
        <f t="shared" si="5"/>
        <v>500</v>
      </c>
      <c r="K67" s="1896"/>
      <c r="L67" s="1877">
        <f t="shared" si="2"/>
        <v>500</v>
      </c>
      <c r="M67" s="717">
        <f t="shared" si="3"/>
        <v>0</v>
      </c>
    </row>
    <row r="68" spans="1:13" ht="15" hidden="1" customHeight="1">
      <c r="A68" s="163"/>
      <c r="B68" s="163"/>
      <c r="C68" s="165"/>
      <c r="D68" s="167"/>
      <c r="E68" s="163"/>
      <c r="F68" s="1860"/>
      <c r="G68" s="567"/>
      <c r="H68" s="1870"/>
      <c r="I68" s="1874"/>
      <c r="J68" s="1874">
        <f t="shared" si="5"/>
        <v>0</v>
      </c>
      <c r="K68" s="1896"/>
      <c r="L68" s="1877">
        <f t="shared" si="2"/>
        <v>0</v>
      </c>
      <c r="M68" s="717">
        <f t="shared" si="3"/>
        <v>0</v>
      </c>
    </row>
    <row r="69" spans="1:13" ht="15">
      <c r="A69" s="163" t="s">
        <v>62</v>
      </c>
      <c r="B69" s="163" t="s">
        <v>59</v>
      </c>
      <c r="C69" s="165" t="s">
        <v>61</v>
      </c>
      <c r="D69" s="167">
        <v>1</v>
      </c>
      <c r="E69" s="163" t="s">
        <v>63</v>
      </c>
      <c r="F69" s="1860">
        <v>54199</v>
      </c>
      <c r="G69" s="567" t="s">
        <v>175</v>
      </c>
      <c r="H69" s="1870">
        <v>700</v>
      </c>
      <c r="I69" s="1874"/>
      <c r="J69" s="1874">
        <f t="shared" si="5"/>
        <v>700</v>
      </c>
      <c r="K69" s="1896"/>
      <c r="L69" s="1877">
        <f t="shared" si="2"/>
        <v>700</v>
      </c>
      <c r="M69" s="717">
        <f t="shared" si="3"/>
        <v>0</v>
      </c>
    </row>
    <row r="70" spans="1:13" ht="15">
      <c r="A70" s="163" t="s">
        <v>62</v>
      </c>
      <c r="B70" s="163" t="s">
        <v>59</v>
      </c>
      <c r="C70" s="165" t="s">
        <v>61</v>
      </c>
      <c r="D70" s="167">
        <v>1</v>
      </c>
      <c r="E70" s="163" t="s">
        <v>63</v>
      </c>
      <c r="F70" s="1860">
        <v>54304</v>
      </c>
      <c r="G70" s="567" t="s">
        <v>184</v>
      </c>
      <c r="H70" s="1870">
        <v>2000</v>
      </c>
      <c r="I70" s="1874">
        <v>600</v>
      </c>
      <c r="J70" s="1874">
        <f t="shared" si="5"/>
        <v>1400</v>
      </c>
      <c r="K70" s="1896"/>
      <c r="L70" s="1877">
        <f t="shared" si="2"/>
        <v>1400</v>
      </c>
      <c r="M70" s="717">
        <f t="shared" si="3"/>
        <v>600</v>
      </c>
    </row>
    <row r="71" spans="1:13" ht="15">
      <c r="A71" s="163" t="s">
        <v>62</v>
      </c>
      <c r="B71" s="163" t="s">
        <v>59</v>
      </c>
      <c r="C71" s="165" t="s">
        <v>61</v>
      </c>
      <c r="D71" s="167">
        <v>1</v>
      </c>
      <c r="E71" s="163" t="s">
        <v>63</v>
      </c>
      <c r="F71" s="1860">
        <v>54401</v>
      </c>
      <c r="G71" s="567" t="s">
        <v>126</v>
      </c>
      <c r="H71" s="1870">
        <f>400+500</f>
        <v>900</v>
      </c>
      <c r="I71" s="1874"/>
      <c r="J71" s="1874">
        <f t="shared" si="5"/>
        <v>900</v>
      </c>
      <c r="K71" s="1896"/>
      <c r="L71" s="1877">
        <f t="shared" si="2"/>
        <v>900</v>
      </c>
      <c r="M71" s="717">
        <f t="shared" si="3"/>
        <v>0</v>
      </c>
    </row>
    <row r="72" spans="1:13" ht="15">
      <c r="A72" s="163" t="s">
        <v>62</v>
      </c>
      <c r="B72" s="163" t="s">
        <v>59</v>
      </c>
      <c r="C72" s="165" t="s">
        <v>61</v>
      </c>
      <c r="D72" s="167">
        <v>1</v>
      </c>
      <c r="E72" s="163" t="s">
        <v>63</v>
      </c>
      <c r="F72" s="1860">
        <v>54403</v>
      </c>
      <c r="G72" s="567" t="s">
        <v>127</v>
      </c>
      <c r="H72" s="1870">
        <f>600+1000</f>
        <v>1600</v>
      </c>
      <c r="I72" s="1874">
        <v>600</v>
      </c>
      <c r="J72" s="1874">
        <f t="shared" si="5"/>
        <v>1000</v>
      </c>
      <c r="K72" s="1896"/>
      <c r="L72" s="1877">
        <f t="shared" si="2"/>
        <v>1000</v>
      </c>
      <c r="M72" s="717">
        <f t="shared" si="3"/>
        <v>600</v>
      </c>
    </row>
    <row r="73" spans="1:13" ht="15">
      <c r="A73" s="163" t="s">
        <v>62</v>
      </c>
      <c r="B73" s="163" t="s">
        <v>59</v>
      </c>
      <c r="C73" s="165" t="s">
        <v>61</v>
      </c>
      <c r="D73" s="167">
        <v>1</v>
      </c>
      <c r="E73" s="163" t="s">
        <v>63</v>
      </c>
      <c r="F73" s="1860">
        <v>55603</v>
      </c>
      <c r="G73" s="567" t="s">
        <v>200</v>
      </c>
      <c r="H73" s="1870">
        <v>150</v>
      </c>
      <c r="I73" s="1874"/>
      <c r="J73" s="1874">
        <f t="shared" si="5"/>
        <v>150</v>
      </c>
      <c r="K73" s="1896"/>
      <c r="L73" s="1877">
        <f t="shared" si="2"/>
        <v>150</v>
      </c>
      <c r="M73" s="717">
        <f t="shared" si="3"/>
        <v>0</v>
      </c>
    </row>
    <row r="74" spans="1:13" ht="15">
      <c r="A74" s="163" t="s">
        <v>62</v>
      </c>
      <c r="B74" s="163" t="s">
        <v>59</v>
      </c>
      <c r="C74" s="165" t="s">
        <v>61</v>
      </c>
      <c r="D74" s="167">
        <v>1</v>
      </c>
      <c r="E74" s="163" t="s">
        <v>63</v>
      </c>
      <c r="F74" s="1860">
        <v>55799</v>
      </c>
      <c r="G74" s="567" t="s">
        <v>137</v>
      </c>
      <c r="H74" s="1870">
        <v>200</v>
      </c>
      <c r="I74" s="1874"/>
      <c r="J74" s="1874">
        <f t="shared" si="5"/>
        <v>200</v>
      </c>
      <c r="K74" s="1896"/>
      <c r="L74" s="1877">
        <f t="shared" si="2"/>
        <v>200</v>
      </c>
      <c r="M74" s="717">
        <f t="shared" si="3"/>
        <v>0</v>
      </c>
    </row>
    <row r="75" spans="1:13" ht="15">
      <c r="A75" s="163" t="s">
        <v>62</v>
      </c>
      <c r="B75" s="163" t="s">
        <v>59</v>
      </c>
      <c r="C75" s="165" t="s">
        <v>61</v>
      </c>
      <c r="D75" s="167">
        <v>1</v>
      </c>
      <c r="E75" s="163" t="s">
        <v>63</v>
      </c>
      <c r="F75" s="1860">
        <v>61104</v>
      </c>
      <c r="G75" s="567" t="s">
        <v>144</v>
      </c>
      <c r="H75" s="1870">
        <v>500</v>
      </c>
      <c r="I75" s="1874"/>
      <c r="J75" s="1874">
        <f t="shared" si="5"/>
        <v>500</v>
      </c>
      <c r="K75" s="1896"/>
      <c r="L75" s="1877">
        <f t="shared" si="2"/>
        <v>500</v>
      </c>
      <c r="M75" s="717">
        <f t="shared" si="3"/>
        <v>0</v>
      </c>
    </row>
    <row r="76" spans="1:13" ht="15">
      <c r="A76" s="1420"/>
      <c r="B76" s="1420"/>
      <c r="C76" s="1420"/>
      <c r="D76" s="1434"/>
      <c r="E76" s="1420"/>
      <c r="F76" s="1435"/>
      <c r="G76" s="1433" t="s">
        <v>201</v>
      </c>
      <c r="H76" s="1863">
        <f>SUM(H60:H75)</f>
        <v>104952.1875</v>
      </c>
      <c r="I76" s="1879"/>
      <c r="J76" s="1878"/>
      <c r="K76" s="1896"/>
      <c r="L76" s="1877">
        <f t="shared" ref="L76:L103" si="6">J76-K76</f>
        <v>0</v>
      </c>
      <c r="M76" s="717">
        <f t="shared" si="3"/>
        <v>0</v>
      </c>
    </row>
    <row r="77" spans="1:13" ht="15">
      <c r="A77" s="163" t="s">
        <v>62</v>
      </c>
      <c r="B77" s="165" t="s">
        <v>61</v>
      </c>
      <c r="C77" s="165" t="s">
        <v>59</v>
      </c>
      <c r="D77" s="167">
        <v>1</v>
      </c>
      <c r="E77" s="163" t="s">
        <v>63</v>
      </c>
      <c r="F77" s="565" t="s">
        <v>55</v>
      </c>
      <c r="G77" s="633" t="s">
        <v>112</v>
      </c>
      <c r="H77" s="1870">
        <f>SUM('[1]CONCENTRACION DE EGRESOS'!I10)</f>
        <v>12790</v>
      </c>
      <c r="I77" s="1874"/>
      <c r="J77" s="1875">
        <f t="shared" ref="J77:J85" si="7">H77-I77</f>
        <v>12790</v>
      </c>
      <c r="K77" s="1896"/>
      <c r="L77" s="1877">
        <f t="shared" si="6"/>
        <v>12790</v>
      </c>
      <c r="M77" s="717">
        <f t="shared" si="3"/>
        <v>0</v>
      </c>
    </row>
    <row r="78" spans="1:13" ht="15">
      <c r="A78" s="163" t="s">
        <v>62</v>
      </c>
      <c r="B78" s="165" t="s">
        <v>61</v>
      </c>
      <c r="C78" s="165" t="s">
        <v>59</v>
      </c>
      <c r="D78" s="167">
        <v>1</v>
      </c>
      <c r="E78" s="163" t="s">
        <v>63</v>
      </c>
      <c r="F78" s="565" t="s">
        <v>113</v>
      </c>
      <c r="G78" s="633" t="s">
        <v>114</v>
      </c>
      <c r="H78" s="1870">
        <f>SUM('[1]CONCENTRACION DE EGRESOS'!I11)</f>
        <v>1279</v>
      </c>
      <c r="I78" s="1874"/>
      <c r="J78" s="1875">
        <f>H78-I79</f>
        <v>1279</v>
      </c>
      <c r="K78" s="1896"/>
      <c r="L78" s="1877">
        <f t="shared" si="6"/>
        <v>1279</v>
      </c>
      <c r="M78" s="717">
        <f t="shared" si="3"/>
        <v>0</v>
      </c>
    </row>
    <row r="79" spans="1:13" ht="15">
      <c r="A79" s="163" t="s">
        <v>62</v>
      </c>
      <c r="B79" s="165" t="s">
        <v>61</v>
      </c>
      <c r="C79" s="165" t="s">
        <v>59</v>
      </c>
      <c r="D79" s="167">
        <v>1</v>
      </c>
      <c r="E79" s="163" t="s">
        <v>63</v>
      </c>
      <c r="F79" s="565" t="s">
        <v>121</v>
      </c>
      <c r="G79" s="633" t="s">
        <v>122</v>
      </c>
      <c r="H79" s="1870">
        <f>SUM('[1]CONCENTRACION DE EGRESOS'!I19)</f>
        <v>1087.1499999999999</v>
      </c>
      <c r="I79" s="1874"/>
      <c r="J79" s="1875">
        <f>H79-I80</f>
        <v>492.40999999999985</v>
      </c>
      <c r="K79" s="1896"/>
      <c r="L79" s="1877">
        <f t="shared" si="6"/>
        <v>492.40999999999985</v>
      </c>
      <c r="M79" s="717">
        <f t="shared" si="3"/>
        <v>0</v>
      </c>
    </row>
    <row r="80" spans="1:13" ht="15">
      <c r="A80" s="163" t="s">
        <v>62</v>
      </c>
      <c r="B80" s="165" t="s">
        <v>61</v>
      </c>
      <c r="C80" s="165" t="s">
        <v>59</v>
      </c>
      <c r="D80" s="167">
        <v>1</v>
      </c>
      <c r="E80" s="163" t="s">
        <v>63</v>
      </c>
      <c r="F80" s="565" t="s">
        <v>123</v>
      </c>
      <c r="G80" s="633" t="s">
        <v>124</v>
      </c>
      <c r="H80" s="1870">
        <f>SUM('[1]CONCENTRACION DE EGRESOS'!I20)</f>
        <v>991.22500000000002</v>
      </c>
      <c r="I80" s="1874">
        <v>594.74</v>
      </c>
      <c r="J80" s="1875">
        <f>H80-I81</f>
        <v>991.22500000000002</v>
      </c>
      <c r="K80" s="1896"/>
      <c r="L80" s="1877">
        <f t="shared" si="6"/>
        <v>991.22500000000002</v>
      </c>
      <c r="M80" s="717">
        <f t="shared" si="3"/>
        <v>594.74</v>
      </c>
    </row>
    <row r="81" spans="1:13" ht="15">
      <c r="A81" s="163" t="s">
        <v>62</v>
      </c>
      <c r="B81" s="165" t="s">
        <v>61</v>
      </c>
      <c r="C81" s="165" t="s">
        <v>59</v>
      </c>
      <c r="D81" s="167">
        <v>1</v>
      </c>
      <c r="E81" s="163" t="s">
        <v>63</v>
      </c>
      <c r="F81" s="565" t="s">
        <v>563</v>
      </c>
      <c r="G81" s="633" t="s">
        <v>564</v>
      </c>
      <c r="H81" s="1870">
        <v>500</v>
      </c>
      <c r="I81" s="1874"/>
      <c r="J81" s="1874">
        <f t="shared" si="7"/>
        <v>500</v>
      </c>
      <c r="K81" s="1896"/>
      <c r="L81" s="1877">
        <f t="shared" si="6"/>
        <v>500</v>
      </c>
      <c r="M81" s="717">
        <f t="shared" si="3"/>
        <v>0</v>
      </c>
    </row>
    <row r="82" spans="1:13" ht="15">
      <c r="A82" s="163" t="s">
        <v>62</v>
      </c>
      <c r="B82" s="165" t="s">
        <v>61</v>
      </c>
      <c r="C82" s="165" t="s">
        <v>59</v>
      </c>
      <c r="D82" s="167">
        <v>1</v>
      </c>
      <c r="E82" s="163" t="s">
        <v>63</v>
      </c>
      <c r="F82" s="565" t="s">
        <v>565</v>
      </c>
      <c r="G82" s="633" t="s">
        <v>169</v>
      </c>
      <c r="H82" s="1870">
        <v>600</v>
      </c>
      <c r="I82" s="1874">
        <v>200</v>
      </c>
      <c r="J82" s="1874">
        <f t="shared" si="7"/>
        <v>400</v>
      </c>
      <c r="K82" s="1896"/>
      <c r="L82" s="1877">
        <f t="shared" si="6"/>
        <v>400</v>
      </c>
      <c r="M82" s="717">
        <f t="shared" si="3"/>
        <v>200</v>
      </c>
    </row>
    <row r="83" spans="1:13" ht="15">
      <c r="A83" s="163" t="s">
        <v>62</v>
      </c>
      <c r="B83" s="165" t="s">
        <v>61</v>
      </c>
      <c r="C83" s="165" t="s">
        <v>59</v>
      </c>
      <c r="D83" s="167">
        <v>1</v>
      </c>
      <c r="E83" s="163" t="s">
        <v>63</v>
      </c>
      <c r="F83" s="565" t="s">
        <v>637</v>
      </c>
      <c r="G83" s="633" t="s">
        <v>170</v>
      </c>
      <c r="H83" s="1870">
        <v>850</v>
      </c>
      <c r="I83" s="1874">
        <v>300</v>
      </c>
      <c r="J83" s="1874">
        <f t="shared" si="7"/>
        <v>550</v>
      </c>
      <c r="K83" s="1896"/>
      <c r="L83" s="1877">
        <f t="shared" si="6"/>
        <v>550</v>
      </c>
      <c r="M83" s="717">
        <f t="shared" si="3"/>
        <v>300</v>
      </c>
    </row>
    <row r="84" spans="1:13" ht="15">
      <c r="A84" s="163" t="s">
        <v>62</v>
      </c>
      <c r="B84" s="165" t="s">
        <v>61</v>
      </c>
      <c r="C84" s="165" t="s">
        <v>59</v>
      </c>
      <c r="D84" s="167">
        <v>1</v>
      </c>
      <c r="E84" s="163" t="s">
        <v>63</v>
      </c>
      <c r="F84" s="1860">
        <v>54401</v>
      </c>
      <c r="G84" s="567" t="s">
        <v>126</v>
      </c>
      <c r="H84" s="1870">
        <f>300+500</f>
        <v>800</v>
      </c>
      <c r="I84" s="1874"/>
      <c r="J84" s="1874">
        <f t="shared" si="7"/>
        <v>800</v>
      </c>
      <c r="K84" s="1896"/>
      <c r="L84" s="1877">
        <f t="shared" si="6"/>
        <v>800</v>
      </c>
      <c r="M84" s="717">
        <f t="shared" ref="M84:M103" si="8">I84+K84</f>
        <v>0</v>
      </c>
    </row>
    <row r="85" spans="1:13" ht="15">
      <c r="A85" s="163" t="s">
        <v>62</v>
      </c>
      <c r="B85" s="165" t="s">
        <v>61</v>
      </c>
      <c r="C85" s="165" t="s">
        <v>59</v>
      </c>
      <c r="D85" s="167">
        <v>1</v>
      </c>
      <c r="E85" s="163" t="s">
        <v>63</v>
      </c>
      <c r="F85" s="1860">
        <v>54403</v>
      </c>
      <c r="G85" s="567" t="s">
        <v>127</v>
      </c>
      <c r="H85" s="1870">
        <f>400+500</f>
        <v>900</v>
      </c>
      <c r="I85" s="1874"/>
      <c r="J85" s="1874">
        <f t="shared" si="7"/>
        <v>900</v>
      </c>
      <c r="K85" s="1896"/>
      <c r="L85" s="1877">
        <f t="shared" si="6"/>
        <v>900</v>
      </c>
      <c r="M85" s="717">
        <f t="shared" si="8"/>
        <v>0</v>
      </c>
    </row>
    <row r="86" spans="1:13" ht="15">
      <c r="A86" s="1431"/>
      <c r="B86" s="1431"/>
      <c r="C86" s="1431"/>
      <c r="D86" s="1432"/>
      <c r="E86" s="1431"/>
      <c r="F86" s="1862"/>
      <c r="G86" s="1433" t="s">
        <v>201</v>
      </c>
      <c r="H86" s="1863">
        <f>SUM(H77:H85)</f>
        <v>19797.375</v>
      </c>
      <c r="I86" s="1879"/>
      <c r="J86" s="1878"/>
      <c r="K86" s="1896"/>
      <c r="L86" s="1877">
        <f t="shared" si="6"/>
        <v>0</v>
      </c>
      <c r="M86" s="717">
        <f t="shared" si="8"/>
        <v>0</v>
      </c>
    </row>
    <row r="87" spans="1:13" ht="15">
      <c r="A87" s="163" t="s">
        <v>62</v>
      </c>
      <c r="B87" s="165" t="s">
        <v>61</v>
      </c>
      <c r="C87" s="165" t="s">
        <v>61</v>
      </c>
      <c r="D87" s="167">
        <v>1</v>
      </c>
      <c r="E87" s="163" t="s">
        <v>63</v>
      </c>
      <c r="F87" s="565" t="s">
        <v>55</v>
      </c>
      <c r="G87" s="633" t="s">
        <v>112</v>
      </c>
      <c r="H87" s="1870">
        <f>SUM('[1]CONCENTRACION DE EGRESOS'!J10)</f>
        <v>44357.5</v>
      </c>
      <c r="I87" s="1874"/>
      <c r="J87" s="1875">
        <f t="shared" ref="J87:J103" si="9">H87-I87</f>
        <v>44357.5</v>
      </c>
      <c r="K87" s="1896"/>
      <c r="L87" s="1877">
        <f t="shared" si="6"/>
        <v>44357.5</v>
      </c>
      <c r="M87" s="717">
        <f t="shared" si="8"/>
        <v>0</v>
      </c>
    </row>
    <row r="88" spans="1:13" ht="15">
      <c r="A88" s="163" t="s">
        <v>62</v>
      </c>
      <c r="B88" s="165" t="s">
        <v>61</v>
      </c>
      <c r="C88" s="165" t="s">
        <v>61</v>
      </c>
      <c r="D88" s="167">
        <v>1</v>
      </c>
      <c r="E88" s="163" t="s">
        <v>63</v>
      </c>
      <c r="F88" s="565" t="s">
        <v>113</v>
      </c>
      <c r="G88" s="633" t="s">
        <v>114</v>
      </c>
      <c r="H88" s="1870">
        <f>SUM('[1]CONCENTRACION DE EGRESOS'!J11)</f>
        <v>4435.75</v>
      </c>
      <c r="I88" s="1874"/>
      <c r="J88" s="1875">
        <f t="shared" si="9"/>
        <v>4435.75</v>
      </c>
      <c r="K88" s="1896"/>
      <c r="L88" s="1877">
        <f t="shared" si="6"/>
        <v>4435.75</v>
      </c>
      <c r="M88" s="717">
        <f t="shared" si="8"/>
        <v>0</v>
      </c>
    </row>
    <row r="89" spans="1:13" ht="15">
      <c r="A89" s="163" t="s">
        <v>62</v>
      </c>
      <c r="B89" s="165" t="s">
        <v>61</v>
      </c>
      <c r="C89" s="165" t="s">
        <v>61</v>
      </c>
      <c r="D89" s="167">
        <v>1</v>
      </c>
      <c r="E89" s="163" t="s">
        <v>63</v>
      </c>
      <c r="F89" s="1860">
        <v>51202</v>
      </c>
      <c r="G89" s="567" t="s">
        <v>117</v>
      </c>
      <c r="H89" s="1871">
        <f>11433.66+43025.67+3000</f>
        <v>57459.33</v>
      </c>
      <c r="I89" s="1874">
        <v>54000</v>
      </c>
      <c r="J89" s="1880">
        <f t="shared" si="9"/>
        <v>3459.3300000000017</v>
      </c>
      <c r="K89" s="1896"/>
      <c r="L89" s="1877">
        <f t="shared" si="6"/>
        <v>3459.3300000000017</v>
      </c>
      <c r="M89" s="717">
        <f t="shared" si="8"/>
        <v>54000</v>
      </c>
    </row>
    <row r="90" spans="1:13" ht="15">
      <c r="A90" s="163" t="s">
        <v>62</v>
      </c>
      <c r="B90" s="165" t="s">
        <v>61</v>
      </c>
      <c r="C90" s="165" t="s">
        <v>61</v>
      </c>
      <c r="D90" s="167">
        <v>1</v>
      </c>
      <c r="E90" s="163" t="s">
        <v>63</v>
      </c>
      <c r="F90" s="565" t="s">
        <v>121</v>
      </c>
      <c r="G90" s="633" t="s">
        <v>122</v>
      </c>
      <c r="H90" s="1870">
        <f>SUM('[1]CONCENTRACION DE EGRESOS'!J19)</f>
        <v>4246.3874999999998</v>
      </c>
      <c r="I90" s="1874"/>
      <c r="J90" s="1875">
        <f t="shared" si="9"/>
        <v>4246.3874999999998</v>
      </c>
      <c r="K90" s="1896"/>
      <c r="L90" s="1877">
        <f t="shared" si="6"/>
        <v>4246.3874999999998</v>
      </c>
      <c r="M90" s="717">
        <f t="shared" si="8"/>
        <v>0</v>
      </c>
    </row>
    <row r="91" spans="1:13" ht="15">
      <c r="A91" s="163" t="s">
        <v>62</v>
      </c>
      <c r="B91" s="165" t="s">
        <v>61</v>
      </c>
      <c r="C91" s="165" t="s">
        <v>61</v>
      </c>
      <c r="D91" s="167">
        <v>1</v>
      </c>
      <c r="E91" s="163" t="s">
        <v>63</v>
      </c>
      <c r="F91" s="565" t="s">
        <v>123</v>
      </c>
      <c r="G91" s="633" t="s">
        <v>124</v>
      </c>
      <c r="H91" s="1870">
        <f>SUM('[1]CONCENTRACION DE EGRESOS'!J20)</f>
        <v>3437.7062499999993</v>
      </c>
      <c r="I91" s="1874"/>
      <c r="J91" s="1875">
        <f t="shared" si="9"/>
        <v>3437.7062499999993</v>
      </c>
      <c r="K91" s="1896"/>
      <c r="L91" s="1877">
        <f t="shared" si="6"/>
        <v>3437.7062499999993</v>
      </c>
      <c r="M91" s="717">
        <f t="shared" si="8"/>
        <v>0</v>
      </c>
    </row>
    <row r="92" spans="1:13" ht="15">
      <c r="A92" s="163" t="s">
        <v>62</v>
      </c>
      <c r="B92" s="165" t="s">
        <v>61</v>
      </c>
      <c r="C92" s="165" t="s">
        <v>61</v>
      </c>
      <c r="D92" s="167">
        <v>1</v>
      </c>
      <c r="E92" s="163" t="s">
        <v>63</v>
      </c>
      <c r="F92" s="1860">
        <v>54105</v>
      </c>
      <c r="G92" s="567" t="s">
        <v>564</v>
      </c>
      <c r="H92" s="1871">
        <f>700+1752.32-0.11</f>
        <v>2452.2099999999996</v>
      </c>
      <c r="I92" s="1874">
        <v>1000</v>
      </c>
      <c r="J92" s="1874">
        <f t="shared" si="9"/>
        <v>1452.2099999999996</v>
      </c>
      <c r="K92" s="1896">
        <v>500</v>
      </c>
      <c r="L92" s="1877">
        <f t="shared" si="6"/>
        <v>952.20999999999958</v>
      </c>
      <c r="M92" s="717">
        <f t="shared" si="8"/>
        <v>1500</v>
      </c>
    </row>
    <row r="93" spans="1:13" ht="15">
      <c r="A93" s="163" t="s">
        <v>62</v>
      </c>
      <c r="B93" s="165" t="s">
        <v>61</v>
      </c>
      <c r="C93" s="165" t="s">
        <v>61</v>
      </c>
      <c r="D93" s="167">
        <v>1</v>
      </c>
      <c r="E93" s="163" t="s">
        <v>63</v>
      </c>
      <c r="F93" s="1860">
        <v>54107</v>
      </c>
      <c r="G93" s="567" t="s">
        <v>163</v>
      </c>
      <c r="H93" s="1870">
        <f>1000+413.78</f>
        <v>1413.78</v>
      </c>
      <c r="I93" s="1874">
        <v>400.22</v>
      </c>
      <c r="J93" s="1874">
        <f t="shared" si="9"/>
        <v>1013.56</v>
      </c>
      <c r="K93" s="1896"/>
      <c r="L93" s="1877">
        <f t="shared" si="6"/>
        <v>1013.56</v>
      </c>
      <c r="M93" s="717">
        <f t="shared" si="8"/>
        <v>400.22</v>
      </c>
    </row>
    <row r="94" spans="1:13" ht="15">
      <c r="A94" s="163" t="s">
        <v>62</v>
      </c>
      <c r="B94" s="165" t="s">
        <v>61</v>
      </c>
      <c r="C94" s="165" t="s">
        <v>61</v>
      </c>
      <c r="D94" s="167">
        <v>1</v>
      </c>
      <c r="E94" s="163" t="s">
        <v>63</v>
      </c>
      <c r="F94" s="1860">
        <v>54114</v>
      </c>
      <c r="G94" s="567" t="s">
        <v>169</v>
      </c>
      <c r="H94" s="1870">
        <v>800</v>
      </c>
      <c r="I94" s="1874"/>
      <c r="J94" s="1874">
        <f t="shared" si="9"/>
        <v>800</v>
      </c>
      <c r="K94" s="1896"/>
      <c r="L94" s="1877">
        <f t="shared" si="6"/>
        <v>800</v>
      </c>
      <c r="M94" s="717">
        <f t="shared" si="8"/>
        <v>0</v>
      </c>
    </row>
    <row r="95" spans="1:13" ht="15">
      <c r="A95" s="163" t="s">
        <v>62</v>
      </c>
      <c r="B95" s="165" t="s">
        <v>61</v>
      </c>
      <c r="C95" s="165" t="s">
        <v>61</v>
      </c>
      <c r="D95" s="167">
        <v>1</v>
      </c>
      <c r="E95" s="163" t="s">
        <v>63</v>
      </c>
      <c r="F95" s="1860">
        <v>54115</v>
      </c>
      <c r="G95" s="567" t="s">
        <v>170</v>
      </c>
      <c r="H95" s="1870">
        <v>800</v>
      </c>
      <c r="I95" s="1874"/>
      <c r="J95" s="1874">
        <f t="shared" si="9"/>
        <v>800</v>
      </c>
      <c r="K95" s="1896"/>
      <c r="L95" s="1877">
        <f t="shared" si="6"/>
        <v>800</v>
      </c>
      <c r="M95" s="717">
        <f t="shared" si="8"/>
        <v>0</v>
      </c>
    </row>
    <row r="96" spans="1:13" ht="15">
      <c r="A96" s="163" t="s">
        <v>62</v>
      </c>
      <c r="B96" s="165" t="s">
        <v>61</v>
      </c>
      <c r="C96" s="165" t="s">
        <v>61</v>
      </c>
      <c r="D96" s="167">
        <v>1</v>
      </c>
      <c r="E96" s="163" t="s">
        <v>63</v>
      </c>
      <c r="F96" s="1860">
        <v>54118</v>
      </c>
      <c r="G96" s="567" t="s">
        <v>172</v>
      </c>
      <c r="H96" s="1870">
        <v>900</v>
      </c>
      <c r="I96" s="1874">
        <v>500.98</v>
      </c>
      <c r="J96" s="1874">
        <f t="shared" si="9"/>
        <v>399.02</v>
      </c>
      <c r="K96" s="1896"/>
      <c r="L96" s="1877">
        <f t="shared" si="6"/>
        <v>399.02</v>
      </c>
      <c r="M96" s="717">
        <f t="shared" si="8"/>
        <v>500.98</v>
      </c>
    </row>
    <row r="97" spans="1:13" ht="15">
      <c r="A97" s="163" t="s">
        <v>62</v>
      </c>
      <c r="B97" s="165" t="s">
        <v>61</v>
      </c>
      <c r="C97" s="165" t="s">
        <v>61</v>
      </c>
      <c r="D97" s="167">
        <v>1</v>
      </c>
      <c r="E97" s="163" t="s">
        <v>63</v>
      </c>
      <c r="F97" s="1860">
        <v>54119</v>
      </c>
      <c r="G97" s="567" t="s">
        <v>173</v>
      </c>
      <c r="H97" s="1870">
        <v>4000</v>
      </c>
      <c r="I97" s="1874"/>
      <c r="J97" s="1874">
        <f t="shared" si="9"/>
        <v>4000</v>
      </c>
      <c r="K97" s="1896">
        <v>1500</v>
      </c>
      <c r="L97" s="1877">
        <f t="shared" si="6"/>
        <v>2500</v>
      </c>
      <c r="M97" s="717">
        <f t="shared" si="8"/>
        <v>1500</v>
      </c>
    </row>
    <row r="98" spans="1:13" ht="15">
      <c r="A98" s="163" t="s">
        <v>62</v>
      </c>
      <c r="B98" s="165" t="s">
        <v>61</v>
      </c>
      <c r="C98" s="165" t="s">
        <v>61</v>
      </c>
      <c r="D98" s="167">
        <v>1</v>
      </c>
      <c r="E98" s="163" t="s">
        <v>63</v>
      </c>
      <c r="F98" s="1860">
        <v>54199</v>
      </c>
      <c r="G98" s="567" t="s">
        <v>175</v>
      </c>
      <c r="H98" s="1870">
        <v>1200</v>
      </c>
      <c r="I98" s="1874"/>
      <c r="J98" s="1874">
        <f t="shared" si="9"/>
        <v>1200</v>
      </c>
      <c r="K98" s="1896"/>
      <c r="L98" s="1877">
        <f t="shared" si="6"/>
        <v>1200</v>
      </c>
      <c r="M98" s="717">
        <f t="shared" si="8"/>
        <v>0</v>
      </c>
    </row>
    <row r="99" spans="1:13" ht="15">
      <c r="A99" s="163" t="s">
        <v>62</v>
      </c>
      <c r="B99" s="165" t="s">
        <v>61</v>
      </c>
      <c r="C99" s="165" t="s">
        <v>61</v>
      </c>
      <c r="D99" s="167">
        <v>1</v>
      </c>
      <c r="E99" s="163" t="s">
        <v>63</v>
      </c>
      <c r="F99" s="1860">
        <v>54301</v>
      </c>
      <c r="G99" s="567" t="s">
        <v>181</v>
      </c>
      <c r="H99" s="1870">
        <v>2500</v>
      </c>
      <c r="I99" s="1874">
        <v>301</v>
      </c>
      <c r="J99" s="1874">
        <f t="shared" si="9"/>
        <v>2199</v>
      </c>
      <c r="K99" s="1896">
        <v>400</v>
      </c>
      <c r="L99" s="1877">
        <f t="shared" si="6"/>
        <v>1799</v>
      </c>
      <c r="M99" s="717">
        <f t="shared" si="8"/>
        <v>701</v>
      </c>
    </row>
    <row r="100" spans="1:13" ht="15">
      <c r="A100" s="163" t="s">
        <v>62</v>
      </c>
      <c r="B100" s="165" t="s">
        <v>61</v>
      </c>
      <c r="C100" s="165" t="s">
        <v>61</v>
      </c>
      <c r="D100" s="167">
        <v>1</v>
      </c>
      <c r="E100" s="163" t="s">
        <v>63</v>
      </c>
      <c r="F100" s="1860">
        <v>54303</v>
      </c>
      <c r="G100" s="567" t="s">
        <v>183</v>
      </c>
      <c r="H100" s="1870">
        <v>3000</v>
      </c>
      <c r="I100" s="1874">
        <v>500.1</v>
      </c>
      <c r="J100" s="1874">
        <f t="shared" si="9"/>
        <v>2499.9</v>
      </c>
      <c r="K100" s="1896">
        <v>260.8</v>
      </c>
      <c r="L100" s="1877">
        <f t="shared" si="6"/>
        <v>2239.1</v>
      </c>
      <c r="M100" s="717">
        <f t="shared" si="8"/>
        <v>760.90000000000009</v>
      </c>
    </row>
    <row r="101" spans="1:13" ht="15">
      <c r="A101" s="163" t="s">
        <v>62</v>
      </c>
      <c r="B101" s="165" t="s">
        <v>61</v>
      </c>
      <c r="C101" s="165" t="s">
        <v>61</v>
      </c>
      <c r="D101" s="167">
        <v>1</v>
      </c>
      <c r="E101" s="163" t="s">
        <v>63</v>
      </c>
      <c r="F101" s="1860">
        <v>54304</v>
      </c>
      <c r="G101" s="567" t="s">
        <v>184</v>
      </c>
      <c r="H101" s="1870">
        <f>600+400</f>
        <v>1000</v>
      </c>
      <c r="I101" s="1874"/>
      <c r="J101" s="1874">
        <f t="shared" si="9"/>
        <v>1000</v>
      </c>
      <c r="K101" s="1896"/>
      <c r="L101" s="1877">
        <f t="shared" si="6"/>
        <v>1000</v>
      </c>
      <c r="M101" s="717">
        <f t="shared" si="8"/>
        <v>0</v>
      </c>
    </row>
    <row r="102" spans="1:13" ht="15">
      <c r="A102" s="163" t="s">
        <v>62</v>
      </c>
      <c r="B102" s="165" t="s">
        <v>61</v>
      </c>
      <c r="C102" s="165" t="s">
        <v>61</v>
      </c>
      <c r="D102" s="167">
        <v>1</v>
      </c>
      <c r="E102" s="163" t="s">
        <v>63</v>
      </c>
      <c r="F102" s="1860">
        <v>54401</v>
      </c>
      <c r="G102" s="567" t="s">
        <v>126</v>
      </c>
      <c r="H102" s="1870">
        <f>1000+1000</f>
        <v>2000</v>
      </c>
      <c r="I102" s="1874"/>
      <c r="J102" s="1874">
        <f t="shared" si="9"/>
        <v>2000</v>
      </c>
      <c r="K102" s="1896"/>
      <c r="L102" s="1877">
        <f t="shared" si="6"/>
        <v>2000</v>
      </c>
      <c r="M102" s="717">
        <f t="shared" si="8"/>
        <v>0</v>
      </c>
    </row>
    <row r="103" spans="1:13" ht="15">
      <c r="A103" s="163" t="s">
        <v>62</v>
      </c>
      <c r="B103" s="165" t="s">
        <v>61</v>
      </c>
      <c r="C103" s="165" t="s">
        <v>61</v>
      </c>
      <c r="D103" s="167">
        <v>1</v>
      </c>
      <c r="E103" s="163" t="s">
        <v>63</v>
      </c>
      <c r="F103" s="1860">
        <v>54403</v>
      </c>
      <c r="G103" s="1081" t="s">
        <v>127</v>
      </c>
      <c r="H103" s="1870">
        <f>2500+500</f>
        <v>3000</v>
      </c>
      <c r="I103" s="1874"/>
      <c r="J103" s="1874">
        <f t="shared" si="9"/>
        <v>3000</v>
      </c>
      <c r="K103" s="1896"/>
      <c r="L103" s="1877">
        <f t="shared" si="6"/>
        <v>3000</v>
      </c>
      <c r="M103" s="717">
        <f t="shared" si="8"/>
        <v>0</v>
      </c>
    </row>
    <row r="104" spans="1:13" ht="15.75" thickBot="1">
      <c r="A104" s="2177" t="s">
        <v>201</v>
      </c>
      <c r="B104" s="2178"/>
      <c r="C104" s="2178"/>
      <c r="D104" s="2178"/>
      <c r="E104" s="2178"/>
      <c r="F104" s="2178"/>
      <c r="G104" s="2179"/>
      <c r="H104" s="1863">
        <f>SUM(H87:H103)-0.01</f>
        <v>137002.65375</v>
      </c>
      <c r="I104" s="1881">
        <f>SUM(I11:I103)</f>
        <v>106250.66</v>
      </c>
      <c r="J104" s="1881">
        <f>SUM(J11:J103)</f>
        <v>522993.64625000005</v>
      </c>
      <c r="K104" s="1882">
        <f>SUM(K11:K103)</f>
        <v>67810.8</v>
      </c>
      <c r="L104" s="1883">
        <f>SUM(L11:L103)</f>
        <v>454682.84624999994</v>
      </c>
      <c r="M104" s="1920">
        <f>SUM(M11:M103)</f>
        <v>174061.46</v>
      </c>
    </row>
    <row r="105" spans="1:13" ht="16.5" thickTop="1" thickBot="1">
      <c r="A105" s="2180" t="s">
        <v>202</v>
      </c>
      <c r="B105" s="2180"/>
      <c r="C105" s="2180"/>
      <c r="D105" s="2180"/>
      <c r="E105" s="2180"/>
      <c r="F105" s="2180"/>
      <c r="G105" s="2181"/>
      <c r="H105" s="1436">
        <f>H59+H76+H86+H104+0.01</f>
        <v>629244.31125000003</v>
      </c>
      <c r="I105" s="488">
        <f>212501.31+101716.21</f>
        <v>314217.52</v>
      </c>
      <c r="K105" s="488">
        <v>67810.8</v>
      </c>
    </row>
    <row r="106" spans="1:13" ht="15" thickTop="1">
      <c r="A106" s="30"/>
      <c r="B106" s="30"/>
      <c r="C106" s="30"/>
      <c r="D106" s="85"/>
      <c r="H106" s="174"/>
      <c r="J106" s="717"/>
      <c r="K106" s="488"/>
    </row>
    <row r="107" spans="1:13" ht="14.25">
      <c r="G107" s="175"/>
      <c r="H107" s="176"/>
      <c r="I107" s="488">
        <f>I104+' 75% FODES AG3 '!I87+'INVER.FODES 75% AG 4'!I35</f>
        <v>404822.5</v>
      </c>
      <c r="K107" s="717"/>
    </row>
    <row r="108" spans="1:13">
      <c r="G108" s="32"/>
      <c r="H108" s="177"/>
    </row>
    <row r="109" spans="1:13">
      <c r="J109" s="488"/>
    </row>
  </sheetData>
  <mergeCells count="12">
    <mergeCell ref="A104:G104"/>
    <mergeCell ref="A105:G105"/>
    <mergeCell ref="A1:H1"/>
    <mergeCell ref="A2:H2"/>
    <mergeCell ref="A3:H3"/>
    <mergeCell ref="A4:H4"/>
    <mergeCell ref="A5:H5"/>
    <mergeCell ref="A6:H7"/>
    <mergeCell ref="A8:H8"/>
    <mergeCell ref="A9:F9"/>
    <mergeCell ref="G9:G10"/>
    <mergeCell ref="H9:H10"/>
  </mergeCells>
  <pageMargins left="0.9" right="0.11811023622047245" top="0.43307086614173229" bottom="0.70866141732283472" header="0.31496062992125984" footer="0.31496062992125984"/>
  <pageSetup paperSize="9" scale="90"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W133"/>
  <sheetViews>
    <sheetView topLeftCell="A20" zoomScale="92" zoomScaleNormal="92" workbookViewId="0">
      <selection activeCell="M92" sqref="M92"/>
    </sheetView>
  </sheetViews>
  <sheetFormatPr baseColWidth="10" defaultRowHeight="14.25"/>
  <cols>
    <col min="1" max="1" width="4.140625" style="30" customWidth="1"/>
    <col min="2" max="3" width="4.7109375" style="30" customWidth="1"/>
    <col min="4" max="4" width="3.5703125" style="30" customWidth="1"/>
    <col min="5" max="5" width="5.42578125" style="30" customWidth="1"/>
    <col min="6" max="6" width="7.28515625" style="79" customWidth="1"/>
    <col min="7" max="7" width="43" style="32" customWidth="1"/>
    <col min="8" max="8" width="18.28515625" style="195" customWidth="1"/>
    <col min="9" max="9" width="17.85546875" style="1856" customWidth="1"/>
    <col min="10" max="10" width="18.85546875" style="488" customWidth="1"/>
    <col min="11" max="11" width="16.42578125" customWidth="1"/>
    <col min="12" max="12" width="14.85546875" customWidth="1"/>
    <col min="13" max="13" width="15" style="508" customWidth="1"/>
    <col min="14" max="14" width="16.85546875" style="488" customWidth="1"/>
    <col min="15" max="15" width="7.5703125" style="510" hidden="1" customWidth="1"/>
    <col min="16" max="16" width="11.42578125" style="488"/>
    <col min="17" max="17" width="8.85546875" style="510" customWidth="1"/>
    <col min="18" max="23" width="11.42578125" style="488"/>
  </cols>
  <sheetData>
    <row r="1" spans="1:23" ht="27" customHeight="1">
      <c r="A1" s="2211" t="s">
        <v>111</v>
      </c>
      <c r="B1" s="2211"/>
      <c r="C1" s="2211"/>
      <c r="D1" s="2211"/>
      <c r="E1" s="2211"/>
      <c r="F1" s="2211"/>
      <c r="G1" s="2211"/>
      <c r="H1" s="2211"/>
    </row>
    <row r="2" spans="1:23" ht="27" customHeight="1">
      <c r="A2" s="2211" t="s">
        <v>110</v>
      </c>
      <c r="B2" s="2211"/>
      <c r="C2" s="2211"/>
      <c r="D2" s="2211"/>
      <c r="E2" s="2211"/>
      <c r="F2" s="2211"/>
      <c r="G2" s="2211"/>
      <c r="H2" s="2211"/>
    </row>
    <row r="3" spans="1:23" ht="27" customHeight="1">
      <c r="A3" s="2212" t="s">
        <v>1214</v>
      </c>
      <c r="B3" s="2212"/>
      <c r="C3" s="2212"/>
      <c r="D3" s="2212"/>
      <c r="E3" s="2212"/>
      <c r="F3" s="2212"/>
      <c r="G3" s="2212"/>
      <c r="H3" s="2212"/>
    </row>
    <row r="4" spans="1:23" ht="27" customHeight="1">
      <c r="A4" s="2212" t="s">
        <v>32</v>
      </c>
      <c r="B4" s="2212"/>
      <c r="C4" s="2212"/>
      <c r="D4" s="2212"/>
      <c r="E4" s="2212"/>
      <c r="F4" s="2212"/>
      <c r="G4" s="2212"/>
      <c r="H4" s="2212"/>
    </row>
    <row r="5" spans="1:23" ht="4.5" customHeight="1">
      <c r="A5" s="2213" t="s">
        <v>47</v>
      </c>
      <c r="B5" s="2213"/>
      <c r="C5" s="2213"/>
      <c r="D5" s="2213"/>
      <c r="E5" s="2213"/>
      <c r="F5" s="2213"/>
      <c r="G5" s="2213"/>
      <c r="H5" s="2213"/>
    </row>
    <row r="6" spans="1:23" ht="18" customHeight="1">
      <c r="A6" s="2213"/>
      <c r="B6" s="2213"/>
      <c r="C6" s="2213"/>
      <c r="D6" s="2213"/>
      <c r="E6" s="2213"/>
      <c r="F6" s="2213"/>
      <c r="G6" s="2213"/>
      <c r="H6" s="2213"/>
    </row>
    <row r="7" spans="1:23" ht="21.75" customHeight="1">
      <c r="A7" s="2194" t="s">
        <v>1018</v>
      </c>
      <c r="B7" s="2195"/>
      <c r="C7" s="2195"/>
      <c r="D7" s="2195"/>
      <c r="E7" s="2195"/>
      <c r="F7" s="2195"/>
      <c r="G7" s="2195"/>
      <c r="H7" s="2195"/>
    </row>
    <row r="8" spans="1:23" ht="15">
      <c r="A8" s="2189" t="s">
        <v>29</v>
      </c>
      <c r="B8" s="2189"/>
      <c r="C8" s="2189"/>
      <c r="D8" s="2189"/>
      <c r="E8" s="2189"/>
      <c r="F8" s="2189"/>
      <c r="G8" s="2196" t="s">
        <v>44</v>
      </c>
      <c r="H8" s="2197" t="s">
        <v>51</v>
      </c>
      <c r="I8" s="1857"/>
      <c r="J8" s="217"/>
      <c r="N8" s="217"/>
      <c r="O8" s="511"/>
      <c r="P8" s="217"/>
      <c r="Q8" s="511"/>
      <c r="R8" s="217"/>
      <c r="S8" s="217"/>
      <c r="T8" s="217"/>
      <c r="U8" s="217"/>
      <c r="V8" s="217"/>
      <c r="W8" s="217"/>
    </row>
    <row r="9" spans="1:23" ht="66.75" customHeight="1">
      <c r="A9" s="1437" t="s">
        <v>39</v>
      </c>
      <c r="B9" s="1438" t="s">
        <v>216</v>
      </c>
      <c r="C9" s="1437" t="s">
        <v>41</v>
      </c>
      <c r="D9" s="1437" t="s">
        <v>45</v>
      </c>
      <c r="E9" s="1439" t="s">
        <v>392</v>
      </c>
      <c r="F9" s="1440" t="s">
        <v>43</v>
      </c>
      <c r="G9" s="2196"/>
      <c r="H9" s="2197"/>
      <c r="I9" s="1872" t="s">
        <v>1513</v>
      </c>
      <c r="J9" s="1873" t="s">
        <v>1512</v>
      </c>
      <c r="K9" s="1911" t="s">
        <v>1516</v>
      </c>
      <c r="L9" s="1912" t="s">
        <v>1515</v>
      </c>
      <c r="M9" s="1917" t="s">
        <v>1523</v>
      </c>
      <c r="N9" s="217"/>
      <c r="O9" s="511"/>
      <c r="P9" s="217"/>
      <c r="Q9" s="511"/>
      <c r="R9" s="217"/>
      <c r="S9" s="217"/>
      <c r="T9" s="217"/>
      <c r="U9" s="217"/>
      <c r="V9" s="217"/>
      <c r="W9" s="217"/>
    </row>
    <row r="10" spans="1:23" ht="15">
      <c r="A10" s="168" t="s">
        <v>380</v>
      </c>
      <c r="B10" s="163" t="s">
        <v>64</v>
      </c>
      <c r="C10" s="163" t="s">
        <v>59</v>
      </c>
      <c r="D10" s="167">
        <v>1</v>
      </c>
      <c r="E10" s="179" t="s">
        <v>65</v>
      </c>
      <c r="F10" s="180">
        <v>51202</v>
      </c>
      <c r="G10" s="630" t="s">
        <v>117</v>
      </c>
      <c r="H10" s="716">
        <f>2500+8000+9000+1500+2000+2500+3000+5000+3000</f>
        <v>36500</v>
      </c>
      <c r="I10" s="1874"/>
      <c r="J10" s="1874">
        <f>H10-I10</f>
        <v>36500</v>
      </c>
      <c r="K10" s="1896">
        <v>10000</v>
      </c>
      <c r="L10" s="1877">
        <f>J10-K10</f>
        <v>26500</v>
      </c>
      <c r="M10" s="717">
        <f t="shared" ref="M10:M73" si="0">I10+K10</f>
        <v>10000</v>
      </c>
    </row>
    <row r="11" spans="1:23" ht="13.5" customHeight="1">
      <c r="A11" s="168" t="str">
        <f>A10</f>
        <v>3</v>
      </c>
      <c r="B11" s="163" t="str">
        <f>B10</f>
        <v>03</v>
      </c>
      <c r="C11" s="163" t="str">
        <f>C10</f>
        <v>01</v>
      </c>
      <c r="D11" s="168">
        <f>D10</f>
        <v>1</v>
      </c>
      <c r="E11" s="179" t="str">
        <f>E10</f>
        <v>111</v>
      </c>
      <c r="F11" s="180">
        <v>54107</v>
      </c>
      <c r="G11" s="631" t="s">
        <v>163</v>
      </c>
      <c r="H11" s="716">
        <f>1500+2000+500+500+1000</f>
        <v>5500</v>
      </c>
      <c r="I11" s="1874">
        <v>2000</v>
      </c>
      <c r="J11" s="1874">
        <f t="shared" ref="J11:J74" si="1">H11-I11</f>
        <v>3500</v>
      </c>
      <c r="K11" s="1896"/>
      <c r="L11" s="1877">
        <f t="shared" ref="L11:L74" si="2">J11-K11</f>
        <v>3500</v>
      </c>
      <c r="M11" s="717">
        <f t="shared" si="0"/>
        <v>2000</v>
      </c>
    </row>
    <row r="12" spans="1:23" ht="15">
      <c r="A12" s="168" t="str">
        <f t="shared" ref="A12:E13" si="3">A11</f>
        <v>3</v>
      </c>
      <c r="B12" s="163" t="str">
        <f t="shared" si="3"/>
        <v>03</v>
      </c>
      <c r="C12" s="163" t="str">
        <f t="shared" si="3"/>
        <v>01</v>
      </c>
      <c r="D12" s="168">
        <f t="shared" si="3"/>
        <v>1</v>
      </c>
      <c r="E12" s="179" t="str">
        <f t="shared" si="3"/>
        <v>111</v>
      </c>
      <c r="F12" s="180">
        <v>54111</v>
      </c>
      <c r="G12" s="631" t="s">
        <v>382</v>
      </c>
      <c r="H12" s="716">
        <f>1500+9000+6200+2500+1000+5000+7750+600</f>
        <v>33550</v>
      </c>
      <c r="I12" s="1874">
        <v>15000</v>
      </c>
      <c r="J12" s="1874">
        <f t="shared" si="1"/>
        <v>18550</v>
      </c>
      <c r="K12" s="1896">
        <v>10000</v>
      </c>
      <c r="L12" s="1877">
        <f t="shared" si="2"/>
        <v>8550</v>
      </c>
      <c r="M12" s="717">
        <f t="shared" si="0"/>
        <v>25000</v>
      </c>
    </row>
    <row r="13" spans="1:23" ht="15">
      <c r="A13" s="168" t="str">
        <f t="shared" si="3"/>
        <v>3</v>
      </c>
      <c r="B13" s="163" t="str">
        <f t="shared" si="3"/>
        <v>03</v>
      </c>
      <c r="C13" s="163" t="str">
        <f t="shared" si="3"/>
        <v>01</v>
      </c>
      <c r="D13" s="168">
        <f t="shared" si="3"/>
        <v>1</v>
      </c>
      <c r="E13" s="179" t="str">
        <f t="shared" si="3"/>
        <v>111</v>
      </c>
      <c r="F13" s="180">
        <v>54112</v>
      </c>
      <c r="G13" s="630" t="s">
        <v>383</v>
      </c>
      <c r="H13" s="716">
        <f>4000+700+10000+2250+3700+5000+400+1000+300</f>
        <v>27350</v>
      </c>
      <c r="I13" s="1874">
        <v>10000</v>
      </c>
      <c r="J13" s="1874">
        <f t="shared" si="1"/>
        <v>17350</v>
      </c>
      <c r="K13" s="1896">
        <v>7000</v>
      </c>
      <c r="L13" s="1877">
        <f t="shared" si="2"/>
        <v>10350</v>
      </c>
      <c r="M13" s="717">
        <f t="shared" si="0"/>
        <v>17000</v>
      </c>
    </row>
    <row r="14" spans="1:23" ht="15">
      <c r="A14" s="168" t="str">
        <f t="shared" ref="A14:E20" si="4">A13</f>
        <v>3</v>
      </c>
      <c r="B14" s="163" t="str">
        <f t="shared" si="4"/>
        <v>03</v>
      </c>
      <c r="C14" s="163" t="str">
        <f t="shared" si="4"/>
        <v>01</v>
      </c>
      <c r="D14" s="168">
        <f t="shared" si="4"/>
        <v>1</v>
      </c>
      <c r="E14" s="179" t="str">
        <f t="shared" si="4"/>
        <v>111</v>
      </c>
      <c r="F14" s="180">
        <v>54118</v>
      </c>
      <c r="G14" s="630" t="s">
        <v>533</v>
      </c>
      <c r="H14" s="716">
        <f>500+500+200+500+300+500+200</f>
        <v>2700</v>
      </c>
      <c r="I14" s="1874">
        <v>1000</v>
      </c>
      <c r="J14" s="1874">
        <f t="shared" si="1"/>
        <v>1700</v>
      </c>
      <c r="K14" s="1896"/>
      <c r="L14" s="1877">
        <f t="shared" si="2"/>
        <v>1700</v>
      </c>
      <c r="M14" s="717">
        <f t="shared" si="0"/>
        <v>1000</v>
      </c>
    </row>
    <row r="15" spans="1:23" ht="15">
      <c r="A15" s="168" t="str">
        <f>A14</f>
        <v>3</v>
      </c>
      <c r="B15" s="163" t="str">
        <f>B14</f>
        <v>03</v>
      </c>
      <c r="C15" s="163" t="str">
        <f>C14</f>
        <v>01</v>
      </c>
      <c r="D15" s="168">
        <f>D14</f>
        <v>1</v>
      </c>
      <c r="E15" s="179" t="str">
        <f>E14</f>
        <v>111</v>
      </c>
      <c r="F15" s="180">
        <v>54199</v>
      </c>
      <c r="G15" s="632" t="s">
        <v>806</v>
      </c>
      <c r="H15" s="716">
        <f>300+300+300+300+300</f>
        <v>1500</v>
      </c>
      <c r="I15" s="1874">
        <v>500</v>
      </c>
      <c r="J15" s="1874">
        <f t="shared" si="1"/>
        <v>1000</v>
      </c>
      <c r="K15" s="1896"/>
      <c r="L15" s="1877">
        <f t="shared" si="2"/>
        <v>1000</v>
      </c>
      <c r="M15" s="717">
        <f t="shared" si="0"/>
        <v>500</v>
      </c>
    </row>
    <row r="16" spans="1:23" ht="15" customHeight="1">
      <c r="A16" s="168" t="str">
        <f t="shared" si="4"/>
        <v>3</v>
      </c>
      <c r="B16" s="163" t="str">
        <f t="shared" si="4"/>
        <v>03</v>
      </c>
      <c r="C16" s="163" t="str">
        <f t="shared" si="4"/>
        <v>01</v>
      </c>
      <c r="D16" s="168">
        <f t="shared" si="4"/>
        <v>1</v>
      </c>
      <c r="E16" s="179" t="str">
        <f t="shared" si="4"/>
        <v>111</v>
      </c>
      <c r="F16" s="180">
        <v>54304</v>
      </c>
      <c r="G16" s="631" t="s">
        <v>384</v>
      </c>
      <c r="H16" s="716">
        <f>500+500+500</f>
        <v>1500</v>
      </c>
      <c r="I16" s="1874">
        <v>500</v>
      </c>
      <c r="J16" s="1874">
        <f t="shared" si="1"/>
        <v>1000</v>
      </c>
      <c r="K16" s="1896"/>
      <c r="L16" s="1877">
        <f t="shared" si="2"/>
        <v>1000</v>
      </c>
      <c r="M16" s="717">
        <f t="shared" si="0"/>
        <v>500</v>
      </c>
    </row>
    <row r="17" spans="1:13" ht="18.75" customHeight="1">
      <c r="A17" s="168" t="str">
        <f t="shared" si="4"/>
        <v>3</v>
      </c>
      <c r="B17" s="163" t="str">
        <f t="shared" si="4"/>
        <v>03</v>
      </c>
      <c r="C17" s="163" t="str">
        <f t="shared" si="4"/>
        <v>01</v>
      </c>
      <c r="D17" s="168">
        <f t="shared" si="4"/>
        <v>1</v>
      </c>
      <c r="E17" s="179" t="str">
        <f t="shared" si="4"/>
        <v>111</v>
      </c>
      <c r="F17" s="180">
        <v>54119</v>
      </c>
      <c r="G17" s="631" t="s">
        <v>173</v>
      </c>
      <c r="H17" s="716">
        <v>600</v>
      </c>
      <c r="I17" s="1874">
        <v>300</v>
      </c>
      <c r="J17" s="1874">
        <f t="shared" si="1"/>
        <v>300</v>
      </c>
      <c r="K17" s="1896"/>
      <c r="L17" s="1877">
        <f t="shared" si="2"/>
        <v>300</v>
      </c>
      <c r="M17" s="717">
        <f t="shared" si="0"/>
        <v>300</v>
      </c>
    </row>
    <row r="18" spans="1:13" ht="0.75" customHeight="1">
      <c r="A18" s="168" t="str">
        <f>A16</f>
        <v>3</v>
      </c>
      <c r="B18" s="163" t="str">
        <f>B16</f>
        <v>03</v>
      </c>
      <c r="C18" s="163" t="str">
        <f>C16</f>
        <v>01</v>
      </c>
      <c r="D18" s="168">
        <f>D16</f>
        <v>1</v>
      </c>
      <c r="E18" s="179" t="str">
        <f>E16</f>
        <v>111</v>
      </c>
      <c r="F18" s="180">
        <v>61601</v>
      </c>
      <c r="G18" s="631" t="s">
        <v>152</v>
      </c>
      <c r="H18" s="716"/>
      <c r="I18" s="1874"/>
      <c r="J18" s="1874">
        <f t="shared" si="1"/>
        <v>0</v>
      </c>
      <c r="K18" s="1896"/>
      <c r="L18" s="1877">
        <f t="shared" si="2"/>
        <v>0</v>
      </c>
      <c r="M18" s="717">
        <f t="shared" si="0"/>
        <v>0</v>
      </c>
    </row>
    <row r="19" spans="1:13" ht="12" hidden="1" customHeight="1">
      <c r="A19" s="168" t="str">
        <f t="shared" si="4"/>
        <v>3</v>
      </c>
      <c r="B19" s="163" t="str">
        <f t="shared" si="4"/>
        <v>03</v>
      </c>
      <c r="C19" s="163" t="str">
        <f t="shared" si="4"/>
        <v>01</v>
      </c>
      <c r="D19" s="168">
        <f t="shared" si="4"/>
        <v>1</v>
      </c>
      <c r="E19" s="179" t="str">
        <f t="shared" si="4"/>
        <v>111</v>
      </c>
      <c r="F19" s="181">
        <v>61599</v>
      </c>
      <c r="G19" s="633" t="s">
        <v>151</v>
      </c>
      <c r="H19" s="866"/>
      <c r="I19" s="1874"/>
      <c r="J19" s="1874">
        <f t="shared" si="1"/>
        <v>0</v>
      </c>
      <c r="K19" s="1896"/>
      <c r="L19" s="1877">
        <f t="shared" si="2"/>
        <v>0</v>
      </c>
      <c r="M19" s="717">
        <f t="shared" si="0"/>
        <v>0</v>
      </c>
    </row>
    <row r="20" spans="1:13" ht="17.25" customHeight="1">
      <c r="A20" s="168" t="str">
        <f t="shared" si="4"/>
        <v>3</v>
      </c>
      <c r="B20" s="163" t="str">
        <f t="shared" si="4"/>
        <v>03</v>
      </c>
      <c r="C20" s="163" t="str">
        <f t="shared" si="4"/>
        <v>01</v>
      </c>
      <c r="D20" s="168">
        <f t="shared" si="4"/>
        <v>1</v>
      </c>
      <c r="E20" s="179" t="str">
        <f t="shared" si="4"/>
        <v>111</v>
      </c>
      <c r="F20" s="181">
        <v>54103</v>
      </c>
      <c r="G20" s="633" t="s">
        <v>915</v>
      </c>
      <c r="H20" s="866">
        <v>300</v>
      </c>
      <c r="I20" s="1874">
        <v>150</v>
      </c>
      <c r="J20" s="1874">
        <f t="shared" si="1"/>
        <v>150</v>
      </c>
      <c r="K20" s="1896"/>
      <c r="L20" s="1877">
        <f t="shared" si="2"/>
        <v>150</v>
      </c>
      <c r="M20" s="717">
        <f t="shared" si="0"/>
        <v>150</v>
      </c>
    </row>
    <row r="21" spans="1:13" ht="18.75" customHeight="1">
      <c r="A21" s="168" t="str">
        <f>A19</f>
        <v>3</v>
      </c>
      <c r="B21" s="163" t="str">
        <f>B19</f>
        <v>03</v>
      </c>
      <c r="C21" s="163" t="str">
        <f>C19</f>
        <v>01</v>
      </c>
      <c r="D21" s="168">
        <f>D19</f>
        <v>1</v>
      </c>
      <c r="E21" s="179" t="str">
        <f>E19</f>
        <v>111</v>
      </c>
      <c r="F21" s="181">
        <v>61603</v>
      </c>
      <c r="G21" s="633" t="s">
        <v>982</v>
      </c>
      <c r="H21" s="716">
        <f>16150+26518.33+33250</f>
        <v>75918.33</v>
      </c>
      <c r="I21" s="1874">
        <v>20000</v>
      </c>
      <c r="J21" s="1874">
        <f t="shared" si="1"/>
        <v>55918.33</v>
      </c>
      <c r="K21" s="1896">
        <v>15000</v>
      </c>
      <c r="L21" s="1877">
        <f t="shared" si="2"/>
        <v>40918.33</v>
      </c>
      <c r="M21" s="717">
        <f t="shared" si="0"/>
        <v>35000</v>
      </c>
    </row>
    <row r="22" spans="1:13" ht="15">
      <c r="A22" s="168" t="str">
        <f>A21</f>
        <v>3</v>
      </c>
      <c r="B22" s="163" t="str">
        <f>B21</f>
        <v>03</v>
      </c>
      <c r="C22" s="163" t="str">
        <f>C21</f>
        <v>01</v>
      </c>
      <c r="D22" s="168">
        <f>D21</f>
        <v>1</v>
      </c>
      <c r="E22" s="179" t="str">
        <f>E21</f>
        <v>111</v>
      </c>
      <c r="F22" s="181">
        <v>61608</v>
      </c>
      <c r="G22" s="567" t="s">
        <v>385</v>
      </c>
      <c r="H22" s="716">
        <f>850+500+1000+1500+250+500+1395.7+1750+500+500+750</f>
        <v>9495.7000000000007</v>
      </c>
      <c r="I22" s="1874">
        <v>4956.55</v>
      </c>
      <c r="J22" s="1874">
        <f t="shared" si="1"/>
        <v>4539.1500000000005</v>
      </c>
      <c r="K22" s="1896"/>
      <c r="L22" s="1877">
        <f t="shared" si="2"/>
        <v>4539.1500000000005</v>
      </c>
      <c r="M22" s="717">
        <f t="shared" si="0"/>
        <v>4956.55</v>
      </c>
    </row>
    <row r="23" spans="1:13" ht="15.75" thickBot="1">
      <c r="A23" s="2177" t="s">
        <v>46</v>
      </c>
      <c r="B23" s="2178"/>
      <c r="C23" s="2178"/>
      <c r="D23" s="2178"/>
      <c r="E23" s="2178"/>
      <c r="F23" s="2178"/>
      <c r="G23" s="2179"/>
      <c r="H23" s="1441">
        <f>SUM(H10:H22)</f>
        <v>194914.03000000003</v>
      </c>
      <c r="I23" s="1874"/>
      <c r="J23" s="1874"/>
      <c r="K23" s="1896"/>
      <c r="L23" s="1877">
        <f t="shared" si="2"/>
        <v>0</v>
      </c>
      <c r="M23" s="717">
        <f t="shared" si="0"/>
        <v>0</v>
      </c>
    </row>
    <row r="24" spans="1:13" ht="30.75" hidden="1" customHeight="1" thickTop="1">
      <c r="A24" s="2199" t="s">
        <v>47</v>
      </c>
      <c r="B24" s="2199"/>
      <c r="C24" s="2199"/>
      <c r="D24" s="2199"/>
      <c r="E24" s="2199"/>
      <c r="F24" s="2199"/>
      <c r="G24" s="2199"/>
      <c r="H24" s="2199"/>
      <c r="I24" s="1874"/>
      <c r="J24" s="1874">
        <f t="shared" si="1"/>
        <v>0</v>
      </c>
      <c r="K24" s="1896"/>
      <c r="L24" s="1877">
        <f t="shared" si="2"/>
        <v>0</v>
      </c>
      <c r="M24" s="717">
        <f t="shared" si="0"/>
        <v>0</v>
      </c>
    </row>
    <row r="25" spans="1:13" ht="13.5" hidden="1" thickTop="1">
      <c r="A25" s="2199"/>
      <c r="B25" s="2199"/>
      <c r="C25" s="2199"/>
      <c r="D25" s="2199"/>
      <c r="E25" s="2199"/>
      <c r="F25" s="2199"/>
      <c r="G25" s="2199"/>
      <c r="H25" s="2199"/>
      <c r="I25" s="1874"/>
      <c r="J25" s="1874">
        <f t="shared" si="1"/>
        <v>0</v>
      </c>
      <c r="K25" s="1896"/>
      <c r="L25" s="1877">
        <f t="shared" si="2"/>
        <v>0</v>
      </c>
      <c r="M25" s="717">
        <f t="shared" si="0"/>
        <v>0</v>
      </c>
    </row>
    <row r="26" spans="1:13" ht="24.75" hidden="1" customHeight="1">
      <c r="A26" s="2200" t="s">
        <v>1017</v>
      </c>
      <c r="B26" s="2201"/>
      <c r="C26" s="2201"/>
      <c r="D26" s="2201"/>
      <c r="E26" s="2201"/>
      <c r="F26" s="2201"/>
      <c r="G26" s="2201"/>
      <c r="H26" s="2201"/>
      <c r="I26" s="1874"/>
      <c r="J26" s="1874">
        <f t="shared" si="1"/>
        <v>0</v>
      </c>
      <c r="K26" s="1896"/>
      <c r="L26" s="1877">
        <f t="shared" si="2"/>
        <v>0</v>
      </c>
      <c r="M26" s="717">
        <f t="shared" si="0"/>
        <v>0</v>
      </c>
    </row>
    <row r="27" spans="1:13" ht="15.75" hidden="1" thickTop="1">
      <c r="A27" s="11" t="s">
        <v>381</v>
      </c>
      <c r="B27" s="11" t="s">
        <v>69</v>
      </c>
      <c r="C27" s="11" t="s">
        <v>59</v>
      </c>
      <c r="D27" s="11" t="s">
        <v>62</v>
      </c>
      <c r="E27" s="11" t="s">
        <v>65</v>
      </c>
      <c r="F27" s="1084" t="s">
        <v>209</v>
      </c>
      <c r="G27" s="1079" t="s">
        <v>1118</v>
      </c>
      <c r="H27" s="1080"/>
      <c r="I27" s="1874"/>
      <c r="J27" s="1874">
        <f t="shared" si="1"/>
        <v>0</v>
      </c>
      <c r="K27" s="1896"/>
      <c r="L27" s="1877">
        <f t="shared" si="2"/>
        <v>0</v>
      </c>
      <c r="M27" s="717">
        <f t="shared" si="0"/>
        <v>0</v>
      </c>
    </row>
    <row r="28" spans="1:13" ht="15.75" hidden="1" thickTop="1">
      <c r="A28" s="11" t="s">
        <v>381</v>
      </c>
      <c r="B28" s="11" t="s">
        <v>69</v>
      </c>
      <c r="C28" s="11" t="s">
        <v>59</v>
      </c>
      <c r="D28" s="11" t="s">
        <v>62</v>
      </c>
      <c r="E28" s="11" t="s">
        <v>65</v>
      </c>
      <c r="F28" s="1086" t="s">
        <v>498</v>
      </c>
      <c r="G28" s="567" t="s">
        <v>163</v>
      </c>
      <c r="H28" s="1080"/>
      <c r="I28" s="1874"/>
      <c r="J28" s="1874">
        <f t="shared" si="1"/>
        <v>0</v>
      </c>
      <c r="K28" s="1896"/>
      <c r="L28" s="1877">
        <f t="shared" si="2"/>
        <v>0</v>
      </c>
      <c r="M28" s="717">
        <f t="shared" si="0"/>
        <v>0</v>
      </c>
    </row>
    <row r="29" spans="1:13" ht="15.75" hidden="1" thickTop="1">
      <c r="A29" s="11" t="s">
        <v>381</v>
      </c>
      <c r="B29" s="11" t="s">
        <v>69</v>
      </c>
      <c r="C29" s="11" t="s">
        <v>59</v>
      </c>
      <c r="D29" s="11" t="s">
        <v>62</v>
      </c>
      <c r="E29" s="11" t="s">
        <v>65</v>
      </c>
      <c r="F29" s="1085">
        <v>54111</v>
      </c>
      <c r="G29" s="567" t="s">
        <v>167</v>
      </c>
      <c r="H29" s="1080"/>
      <c r="I29" s="1874"/>
      <c r="J29" s="1874">
        <f t="shared" si="1"/>
        <v>0</v>
      </c>
      <c r="K29" s="1896"/>
      <c r="L29" s="1877">
        <f t="shared" si="2"/>
        <v>0</v>
      </c>
      <c r="M29" s="717">
        <f t="shared" si="0"/>
        <v>0</v>
      </c>
    </row>
    <row r="30" spans="1:13" ht="15.75" hidden="1" thickTop="1">
      <c r="A30" s="11" t="s">
        <v>381</v>
      </c>
      <c r="B30" s="11" t="s">
        <v>69</v>
      </c>
      <c r="C30" s="11" t="s">
        <v>59</v>
      </c>
      <c r="D30" s="11" t="s">
        <v>62</v>
      </c>
      <c r="E30" s="11" t="s">
        <v>65</v>
      </c>
      <c r="F30" s="1085">
        <v>54112</v>
      </c>
      <c r="G30" s="567" t="s">
        <v>168</v>
      </c>
      <c r="H30" s="1080"/>
      <c r="I30" s="1874"/>
      <c r="J30" s="1874">
        <f t="shared" si="1"/>
        <v>0</v>
      </c>
      <c r="K30" s="1896"/>
      <c r="L30" s="1877">
        <f t="shared" si="2"/>
        <v>0</v>
      </c>
      <c r="M30" s="717">
        <f t="shared" si="0"/>
        <v>0</v>
      </c>
    </row>
    <row r="31" spans="1:13" ht="15.75" hidden="1" thickTop="1">
      <c r="A31" s="11" t="s">
        <v>381</v>
      </c>
      <c r="B31" s="11" t="s">
        <v>69</v>
      </c>
      <c r="C31" s="11" t="s">
        <v>59</v>
      </c>
      <c r="D31" s="11" t="s">
        <v>62</v>
      </c>
      <c r="E31" s="11" t="s">
        <v>65</v>
      </c>
      <c r="F31" s="1085">
        <v>54118</v>
      </c>
      <c r="G31" s="567" t="s">
        <v>467</v>
      </c>
      <c r="H31" s="1080"/>
      <c r="I31" s="1874"/>
      <c r="J31" s="1874">
        <f t="shared" si="1"/>
        <v>0</v>
      </c>
      <c r="K31" s="1896"/>
      <c r="L31" s="1877">
        <f t="shared" si="2"/>
        <v>0</v>
      </c>
      <c r="M31" s="717">
        <f t="shared" si="0"/>
        <v>0</v>
      </c>
    </row>
    <row r="32" spans="1:13" ht="15.75" hidden="1" thickTop="1">
      <c r="A32" s="11" t="s">
        <v>381</v>
      </c>
      <c r="B32" s="11" t="s">
        <v>69</v>
      </c>
      <c r="C32" s="11" t="s">
        <v>59</v>
      </c>
      <c r="D32" s="11" t="s">
        <v>62</v>
      </c>
      <c r="E32" s="11" t="s">
        <v>65</v>
      </c>
      <c r="F32" s="1085">
        <v>54199</v>
      </c>
      <c r="G32" s="567" t="s">
        <v>810</v>
      </c>
      <c r="H32" s="1080"/>
      <c r="I32" s="1874"/>
      <c r="J32" s="1874">
        <f t="shared" si="1"/>
        <v>0</v>
      </c>
      <c r="K32" s="1896"/>
      <c r="L32" s="1877">
        <f t="shared" si="2"/>
        <v>0</v>
      </c>
      <c r="M32" s="717">
        <f t="shared" si="0"/>
        <v>0</v>
      </c>
    </row>
    <row r="33" spans="1:23" ht="15.75" hidden="1" thickTop="1">
      <c r="A33" s="11" t="s">
        <v>381</v>
      </c>
      <c r="B33" s="11" t="s">
        <v>69</v>
      </c>
      <c r="C33" s="11" t="s">
        <v>59</v>
      </c>
      <c r="D33" s="11" t="s">
        <v>62</v>
      </c>
      <c r="E33" s="11" t="s">
        <v>65</v>
      </c>
      <c r="F33" s="1085">
        <v>54304</v>
      </c>
      <c r="G33" s="1081" t="s">
        <v>386</v>
      </c>
      <c r="H33" s="1080"/>
      <c r="I33" s="1874"/>
      <c r="J33" s="1874">
        <f t="shared" si="1"/>
        <v>0</v>
      </c>
      <c r="K33" s="1896"/>
      <c r="L33" s="1877">
        <f t="shared" si="2"/>
        <v>0</v>
      </c>
      <c r="M33" s="717">
        <f t="shared" si="0"/>
        <v>0</v>
      </c>
    </row>
    <row r="34" spans="1:23" ht="15.75" hidden="1" thickTop="1">
      <c r="A34" s="11" t="s">
        <v>381</v>
      </c>
      <c r="B34" s="11" t="s">
        <v>69</v>
      </c>
      <c r="C34" s="11" t="s">
        <v>59</v>
      </c>
      <c r="D34" s="11" t="s">
        <v>62</v>
      </c>
      <c r="E34" s="11" t="s">
        <v>65</v>
      </c>
      <c r="F34" s="1085">
        <v>56304</v>
      </c>
      <c r="G34" s="1081" t="s">
        <v>1164</v>
      </c>
      <c r="H34" s="1080"/>
      <c r="I34" s="1874"/>
      <c r="J34" s="1874">
        <f t="shared" si="1"/>
        <v>0</v>
      </c>
      <c r="K34" s="1896"/>
      <c r="L34" s="1877">
        <f t="shared" si="2"/>
        <v>0</v>
      </c>
      <c r="M34" s="717">
        <f t="shared" si="0"/>
        <v>0</v>
      </c>
    </row>
    <row r="35" spans="1:23" ht="15.75" hidden="1" thickTop="1">
      <c r="A35" s="11" t="s">
        <v>381</v>
      </c>
      <c r="B35" s="11" t="s">
        <v>69</v>
      </c>
      <c r="C35" s="11" t="s">
        <v>59</v>
      </c>
      <c r="D35" s="11" t="s">
        <v>62</v>
      </c>
      <c r="E35" s="11" t="s">
        <v>65</v>
      </c>
      <c r="F35" s="1084" t="s">
        <v>785</v>
      </c>
      <c r="G35" s="1082" t="s">
        <v>152</v>
      </c>
      <c r="H35" s="1080"/>
      <c r="I35" s="1874"/>
      <c r="J35" s="1874">
        <f t="shared" si="1"/>
        <v>0</v>
      </c>
      <c r="K35" s="1896"/>
      <c r="L35" s="1877">
        <f t="shared" si="2"/>
        <v>0</v>
      </c>
      <c r="M35" s="717">
        <f t="shared" si="0"/>
        <v>0</v>
      </c>
    </row>
    <row r="36" spans="1:23" ht="15.75" hidden="1" thickTop="1">
      <c r="A36" s="11" t="s">
        <v>380</v>
      </c>
      <c r="B36" s="11" t="s">
        <v>64</v>
      </c>
      <c r="C36" s="11" t="s">
        <v>59</v>
      </c>
      <c r="D36" s="11" t="s">
        <v>62</v>
      </c>
      <c r="E36" s="11" t="s">
        <v>65</v>
      </c>
      <c r="F36" s="1085">
        <v>61602</v>
      </c>
      <c r="G36" s="1083" t="s">
        <v>153</v>
      </c>
      <c r="H36" s="1080"/>
      <c r="I36" s="1874"/>
      <c r="J36" s="1874">
        <f t="shared" si="1"/>
        <v>0</v>
      </c>
      <c r="K36" s="1896"/>
      <c r="L36" s="1877">
        <f t="shared" si="2"/>
        <v>0</v>
      </c>
      <c r="M36" s="717">
        <f t="shared" si="0"/>
        <v>0</v>
      </c>
    </row>
    <row r="37" spans="1:23" ht="15.75" hidden="1" thickTop="1">
      <c r="A37" s="11" t="s">
        <v>381</v>
      </c>
      <c r="B37" s="11" t="s">
        <v>69</v>
      </c>
      <c r="C37" s="11" t="s">
        <v>59</v>
      </c>
      <c r="D37" s="11" t="s">
        <v>62</v>
      </c>
      <c r="E37" s="11" t="s">
        <v>65</v>
      </c>
      <c r="F37" s="1084" t="s">
        <v>1065</v>
      </c>
      <c r="G37" s="1082" t="s">
        <v>1119</v>
      </c>
      <c r="H37" s="1080"/>
      <c r="I37" s="1874"/>
      <c r="J37" s="1874">
        <f t="shared" si="1"/>
        <v>0</v>
      </c>
      <c r="K37" s="1896"/>
      <c r="L37" s="1877">
        <f t="shared" si="2"/>
        <v>0</v>
      </c>
      <c r="M37" s="717">
        <f t="shared" si="0"/>
        <v>0</v>
      </c>
    </row>
    <row r="38" spans="1:23" ht="15.75" hidden="1" thickTop="1">
      <c r="A38" s="11" t="s">
        <v>381</v>
      </c>
      <c r="B38" s="11" t="s">
        <v>69</v>
      </c>
      <c r="C38" s="11" t="s">
        <v>59</v>
      </c>
      <c r="D38" s="11" t="s">
        <v>62</v>
      </c>
      <c r="E38" s="11" t="s">
        <v>65</v>
      </c>
      <c r="F38" s="1084" t="s">
        <v>735</v>
      </c>
      <c r="G38" s="633" t="s">
        <v>812</v>
      </c>
      <c r="H38" s="1080"/>
      <c r="I38" s="1874"/>
      <c r="J38" s="1874">
        <f t="shared" si="1"/>
        <v>0</v>
      </c>
      <c r="K38" s="1896"/>
      <c r="L38" s="1877">
        <f t="shared" si="2"/>
        <v>0</v>
      </c>
      <c r="M38" s="717">
        <f t="shared" si="0"/>
        <v>0</v>
      </c>
    </row>
    <row r="39" spans="1:23" ht="16.5" hidden="1" thickTop="1" thickBot="1">
      <c r="A39" s="2202" t="s">
        <v>979</v>
      </c>
      <c r="B39" s="2203"/>
      <c r="C39" s="2203"/>
      <c r="D39" s="2203"/>
      <c r="E39" s="2203"/>
      <c r="F39" s="2203"/>
      <c r="G39" s="2204"/>
      <c r="H39" s="1000">
        <f>SUM(H27:H38)</f>
        <v>0</v>
      </c>
      <c r="I39" s="1874"/>
      <c r="J39" s="1874">
        <f t="shared" si="1"/>
        <v>0</v>
      </c>
      <c r="K39" s="1896"/>
      <c r="L39" s="1877">
        <f t="shared" si="2"/>
        <v>0</v>
      </c>
      <c r="M39" s="717">
        <f t="shared" si="0"/>
        <v>0</v>
      </c>
    </row>
    <row r="40" spans="1:23" ht="18" hidden="1" customHeight="1" thickTop="1">
      <c r="A40" s="168">
        <v>3</v>
      </c>
      <c r="B40" s="163" t="s">
        <v>64</v>
      </c>
      <c r="C40" s="163" t="s">
        <v>59</v>
      </c>
      <c r="D40" s="168">
        <v>1</v>
      </c>
      <c r="E40" s="179">
        <v>112</v>
      </c>
      <c r="F40" s="180">
        <v>61602</v>
      </c>
      <c r="G40" s="632" t="s">
        <v>153</v>
      </c>
      <c r="H40" s="653">
        <v>0</v>
      </c>
      <c r="I40" s="1874"/>
      <c r="J40" s="1874">
        <f t="shared" si="1"/>
        <v>0</v>
      </c>
      <c r="K40" s="1896"/>
      <c r="L40" s="1877">
        <f t="shared" si="2"/>
        <v>0</v>
      </c>
      <c r="M40" s="717">
        <f t="shared" si="0"/>
        <v>0</v>
      </c>
    </row>
    <row r="41" spans="1:23" ht="12" hidden="1" customHeight="1">
      <c r="A41" s="168"/>
      <c r="B41" s="163"/>
      <c r="C41" s="163"/>
      <c r="D41" s="168"/>
      <c r="E41" s="179"/>
      <c r="F41" s="180"/>
      <c r="G41" s="631"/>
      <c r="H41" s="654">
        <v>0</v>
      </c>
      <c r="I41" s="1874"/>
      <c r="J41" s="1874">
        <f t="shared" si="1"/>
        <v>0</v>
      </c>
      <c r="K41" s="1896"/>
      <c r="L41" s="1877">
        <f t="shared" si="2"/>
        <v>0</v>
      </c>
      <c r="M41" s="717">
        <f t="shared" si="0"/>
        <v>0</v>
      </c>
    </row>
    <row r="42" spans="1:23" ht="17.25" hidden="1" thickTop="1" thickBot="1">
      <c r="A42" s="163"/>
      <c r="B42" s="163"/>
      <c r="C42" s="182" t="s">
        <v>466</v>
      </c>
      <c r="D42" s="2209" t="s">
        <v>464</v>
      </c>
      <c r="E42" s="2209"/>
      <c r="F42" s="2209"/>
      <c r="G42" s="2210"/>
      <c r="H42" s="655">
        <f>SUM(H40:H41)</f>
        <v>0</v>
      </c>
      <c r="I42" s="1874"/>
      <c r="J42" s="1874">
        <f t="shared" si="1"/>
        <v>0</v>
      </c>
      <c r="K42" s="1896"/>
      <c r="L42" s="1877">
        <f t="shared" si="2"/>
        <v>0</v>
      </c>
      <c r="M42" s="717">
        <f t="shared" si="0"/>
        <v>0</v>
      </c>
    </row>
    <row r="43" spans="1:23" ht="15.75" thickTop="1">
      <c r="A43" s="168">
        <v>3</v>
      </c>
      <c r="B43" s="163" t="s">
        <v>64</v>
      </c>
      <c r="C43" s="163" t="s">
        <v>61</v>
      </c>
      <c r="D43" s="168">
        <v>1</v>
      </c>
      <c r="E43" s="179">
        <v>111</v>
      </c>
      <c r="F43" s="181">
        <v>51101</v>
      </c>
      <c r="G43" s="567" t="s">
        <v>465</v>
      </c>
      <c r="H43" s="714">
        <f>SUM('concent, de egresos. carta'!N10)</f>
        <v>50088</v>
      </c>
      <c r="I43" s="1897"/>
      <c r="J43" s="1874">
        <f t="shared" si="1"/>
        <v>50088</v>
      </c>
      <c r="K43" s="1896">
        <v>10000</v>
      </c>
      <c r="L43" s="1877">
        <f t="shared" si="2"/>
        <v>40088</v>
      </c>
      <c r="M43" s="717">
        <v>10000</v>
      </c>
      <c r="O43" s="488"/>
      <c r="Q43"/>
      <c r="R43"/>
      <c r="S43"/>
      <c r="T43"/>
      <c r="U43"/>
      <c r="V43"/>
      <c r="W43"/>
    </row>
    <row r="44" spans="1:23" ht="15" hidden="1">
      <c r="A44" s="168">
        <v>3</v>
      </c>
      <c r="B44" s="163" t="s">
        <v>64</v>
      </c>
      <c r="C44" s="163" t="s">
        <v>61</v>
      </c>
      <c r="D44" s="168">
        <v>1</v>
      </c>
      <c r="E44" s="179">
        <v>111</v>
      </c>
      <c r="F44" s="181">
        <v>51201</v>
      </c>
      <c r="G44" s="567" t="s">
        <v>112</v>
      </c>
      <c r="H44" s="714"/>
      <c r="I44" s="1898"/>
      <c r="J44" s="1874">
        <f t="shared" si="1"/>
        <v>0</v>
      </c>
      <c r="K44" s="1896"/>
      <c r="L44" s="1877">
        <f t="shared" si="2"/>
        <v>0</v>
      </c>
      <c r="M44" s="717">
        <f t="shared" si="0"/>
        <v>0</v>
      </c>
      <c r="O44" s="488"/>
      <c r="Q44"/>
      <c r="R44"/>
      <c r="S44"/>
      <c r="T44"/>
      <c r="U44"/>
      <c r="V44"/>
      <c r="W44"/>
    </row>
    <row r="45" spans="1:23" ht="15">
      <c r="A45" s="168">
        <v>3</v>
      </c>
      <c r="B45" s="163" t="s">
        <v>64</v>
      </c>
      <c r="C45" s="163" t="s">
        <v>61</v>
      </c>
      <c r="D45" s="168">
        <v>1</v>
      </c>
      <c r="E45" s="179">
        <v>111</v>
      </c>
      <c r="F45" s="181">
        <v>51202</v>
      </c>
      <c r="G45" s="567" t="s">
        <v>117</v>
      </c>
      <c r="H45" s="714">
        <f>26304+3050</f>
        <v>29354</v>
      </c>
      <c r="I45" s="1884"/>
      <c r="J45" s="1874">
        <f t="shared" si="1"/>
        <v>29354</v>
      </c>
      <c r="K45" s="1896">
        <v>10000</v>
      </c>
      <c r="L45" s="1877">
        <f t="shared" si="2"/>
        <v>19354</v>
      </c>
      <c r="M45" s="717">
        <f t="shared" si="0"/>
        <v>10000</v>
      </c>
      <c r="O45" s="488"/>
      <c r="Q45"/>
      <c r="R45"/>
      <c r="S45"/>
      <c r="T45"/>
      <c r="U45"/>
      <c r="V45"/>
      <c r="W45"/>
    </row>
    <row r="46" spans="1:23" ht="15">
      <c r="A46" s="168">
        <v>3</v>
      </c>
      <c r="B46" s="163" t="s">
        <v>64</v>
      </c>
      <c r="C46" s="163" t="s">
        <v>61</v>
      </c>
      <c r="D46" s="168">
        <v>1</v>
      </c>
      <c r="E46" s="179">
        <v>111</v>
      </c>
      <c r="F46" s="181">
        <v>51203</v>
      </c>
      <c r="G46" s="567" t="s">
        <v>114</v>
      </c>
      <c r="H46" s="714">
        <f>SUM('concent, de egresos. carta'!N11)</f>
        <v>4174</v>
      </c>
      <c r="I46" s="1897"/>
      <c r="J46" s="1874">
        <f t="shared" si="1"/>
        <v>4174</v>
      </c>
      <c r="K46" s="1896"/>
      <c r="L46" s="1877">
        <f t="shared" si="2"/>
        <v>4174</v>
      </c>
      <c r="M46" s="717">
        <f t="shared" si="0"/>
        <v>0</v>
      </c>
      <c r="O46" s="488"/>
      <c r="Q46"/>
      <c r="R46"/>
      <c r="S46"/>
      <c r="T46"/>
      <c r="U46"/>
      <c r="V46"/>
      <c r="W46"/>
    </row>
    <row r="47" spans="1:23" ht="15">
      <c r="A47" s="168">
        <v>3</v>
      </c>
      <c r="B47" s="163" t="s">
        <v>64</v>
      </c>
      <c r="C47" s="163" t="s">
        <v>61</v>
      </c>
      <c r="D47" s="168">
        <v>1</v>
      </c>
      <c r="E47" s="179">
        <v>111</v>
      </c>
      <c r="F47" s="181">
        <v>51207</v>
      </c>
      <c r="G47" s="567" t="s">
        <v>205</v>
      </c>
      <c r="H47" s="714">
        <f>SUM('concent, de egresos. carta'!N16)</f>
        <v>4174</v>
      </c>
      <c r="I47" s="1897"/>
      <c r="J47" s="1874">
        <f t="shared" si="1"/>
        <v>4174</v>
      </c>
      <c r="K47" s="1896"/>
      <c r="L47" s="1877">
        <f t="shared" si="2"/>
        <v>4174</v>
      </c>
      <c r="M47" s="717">
        <f t="shared" si="0"/>
        <v>0</v>
      </c>
      <c r="O47" s="488"/>
      <c r="Q47"/>
      <c r="R47"/>
      <c r="S47"/>
      <c r="T47"/>
      <c r="U47"/>
      <c r="V47"/>
      <c r="W47"/>
    </row>
    <row r="48" spans="1:23" ht="15">
      <c r="A48" s="168">
        <v>3</v>
      </c>
      <c r="B48" s="163" t="s">
        <v>64</v>
      </c>
      <c r="C48" s="163" t="s">
        <v>61</v>
      </c>
      <c r="D48" s="168">
        <v>1</v>
      </c>
      <c r="E48" s="179">
        <v>111</v>
      </c>
      <c r="F48" s="326" t="s">
        <v>121</v>
      </c>
      <c r="G48" s="633" t="s">
        <v>122</v>
      </c>
      <c r="H48" s="714">
        <f>SUM('CONCENTRACION DE EGRESOS'!N19)</f>
        <v>4257.4799999999996</v>
      </c>
      <c r="I48" s="1897"/>
      <c r="J48" s="1874">
        <f t="shared" si="1"/>
        <v>4257.4799999999996</v>
      </c>
      <c r="K48" s="1896"/>
      <c r="L48" s="1877">
        <f t="shared" si="2"/>
        <v>4257.4799999999996</v>
      </c>
      <c r="M48" s="717">
        <f t="shared" si="0"/>
        <v>0</v>
      </c>
      <c r="O48" s="488"/>
      <c r="Q48"/>
      <c r="R48"/>
      <c r="S48"/>
      <c r="T48"/>
      <c r="U48"/>
      <c r="V48"/>
      <c r="W48"/>
    </row>
    <row r="49" spans="1:23" ht="15">
      <c r="A49" s="168">
        <v>3</v>
      </c>
      <c r="B49" s="163" t="s">
        <v>64</v>
      </c>
      <c r="C49" s="163" t="s">
        <v>61</v>
      </c>
      <c r="D49" s="168">
        <v>1</v>
      </c>
      <c r="E49" s="179">
        <v>111</v>
      </c>
      <c r="F49" s="326" t="s">
        <v>123</v>
      </c>
      <c r="G49" s="633" t="s">
        <v>124</v>
      </c>
      <c r="H49" s="714">
        <f>SUM('CONCENTRACION DE EGRESOS'!N20)</f>
        <v>3881.82</v>
      </c>
      <c r="I49" s="1897">
        <v>100</v>
      </c>
      <c r="J49" s="1874">
        <f>H49-I49</f>
        <v>3781.82</v>
      </c>
      <c r="K49" s="1896">
        <v>100</v>
      </c>
      <c r="L49" s="1877">
        <f t="shared" si="2"/>
        <v>3681.82</v>
      </c>
      <c r="M49" s="717">
        <f t="shared" si="0"/>
        <v>200</v>
      </c>
      <c r="O49" s="488"/>
      <c r="Q49"/>
      <c r="R49"/>
      <c r="S49"/>
      <c r="T49"/>
      <c r="U49"/>
      <c r="V49"/>
      <c r="W49"/>
    </row>
    <row r="50" spans="1:23" ht="15">
      <c r="A50" s="168">
        <v>3</v>
      </c>
      <c r="B50" s="163" t="s">
        <v>64</v>
      </c>
      <c r="C50" s="163" t="s">
        <v>61</v>
      </c>
      <c r="D50" s="168">
        <v>1</v>
      </c>
      <c r="E50" s="179">
        <v>111</v>
      </c>
      <c r="F50" s="893" t="s">
        <v>530</v>
      </c>
      <c r="G50" s="633" t="s">
        <v>531</v>
      </c>
      <c r="H50" s="714">
        <v>500</v>
      </c>
      <c r="I50" s="1884"/>
      <c r="J50" s="1874">
        <f>H50-I50</f>
        <v>500</v>
      </c>
      <c r="K50" s="1896"/>
      <c r="L50" s="1877">
        <f>J50-K50</f>
        <v>500</v>
      </c>
      <c r="M50" s="717">
        <f t="shared" si="0"/>
        <v>0</v>
      </c>
      <c r="O50" s="488"/>
      <c r="Q50"/>
      <c r="R50"/>
      <c r="S50"/>
      <c r="T50"/>
      <c r="U50"/>
      <c r="V50"/>
      <c r="W50"/>
    </row>
    <row r="51" spans="1:23" ht="15.75" hidden="1" customHeight="1">
      <c r="A51" s="168">
        <v>3</v>
      </c>
      <c r="B51" s="163" t="s">
        <v>64</v>
      </c>
      <c r="C51" s="163" t="s">
        <v>61</v>
      </c>
      <c r="D51" s="168">
        <v>1</v>
      </c>
      <c r="E51" s="179">
        <v>111</v>
      </c>
      <c r="F51" s="506" t="s">
        <v>914</v>
      </c>
      <c r="G51" s="633" t="s">
        <v>915</v>
      </c>
      <c r="H51" s="714"/>
      <c r="I51" s="1884"/>
      <c r="J51" s="1874">
        <f t="shared" si="1"/>
        <v>0</v>
      </c>
      <c r="K51" s="1896"/>
      <c r="L51" s="1877">
        <f t="shared" si="2"/>
        <v>0</v>
      </c>
      <c r="M51" s="717">
        <f t="shared" si="0"/>
        <v>0</v>
      </c>
      <c r="O51" s="488"/>
      <c r="Q51"/>
      <c r="R51"/>
      <c r="S51"/>
      <c r="T51"/>
      <c r="U51"/>
      <c r="V51"/>
      <c r="W51"/>
    </row>
    <row r="52" spans="1:23" ht="15">
      <c r="A52" s="168">
        <v>3</v>
      </c>
      <c r="B52" s="163" t="s">
        <v>64</v>
      </c>
      <c r="C52" s="163" t="s">
        <v>61</v>
      </c>
      <c r="D52" s="168">
        <v>1</v>
      </c>
      <c r="E52" s="179">
        <v>111</v>
      </c>
      <c r="F52" s="506" t="s">
        <v>752</v>
      </c>
      <c r="G52" s="633" t="s">
        <v>814</v>
      </c>
      <c r="H52" s="714">
        <v>1100</v>
      </c>
      <c r="I52" s="1884">
        <v>300</v>
      </c>
      <c r="J52" s="1874">
        <f t="shared" si="1"/>
        <v>800</v>
      </c>
      <c r="K52" s="1896"/>
      <c r="L52" s="1877">
        <f t="shared" si="2"/>
        <v>800</v>
      </c>
      <c r="M52" s="717">
        <f t="shared" si="0"/>
        <v>300</v>
      </c>
      <c r="O52" s="488"/>
      <c r="Q52"/>
      <c r="R52"/>
      <c r="S52"/>
      <c r="T52"/>
      <c r="U52"/>
      <c r="V52"/>
      <c r="W52"/>
    </row>
    <row r="53" spans="1:23" ht="15">
      <c r="A53" s="168">
        <v>3</v>
      </c>
      <c r="B53" s="163" t="s">
        <v>64</v>
      </c>
      <c r="C53" s="163" t="s">
        <v>61</v>
      </c>
      <c r="D53" s="168">
        <v>1</v>
      </c>
      <c r="E53" s="179">
        <v>111</v>
      </c>
      <c r="F53" s="506" t="s">
        <v>563</v>
      </c>
      <c r="G53" s="633" t="s">
        <v>564</v>
      </c>
      <c r="H53" s="714">
        <f>350+350</f>
        <v>700</v>
      </c>
      <c r="I53" s="1884"/>
      <c r="J53" s="1874">
        <f t="shared" si="1"/>
        <v>700</v>
      </c>
      <c r="K53" s="1896"/>
      <c r="L53" s="1877">
        <f t="shared" si="2"/>
        <v>700</v>
      </c>
      <c r="M53" s="717">
        <f t="shared" si="0"/>
        <v>0</v>
      </c>
      <c r="O53" s="488"/>
      <c r="Q53"/>
      <c r="R53"/>
      <c r="S53"/>
      <c r="T53"/>
      <c r="U53"/>
      <c r="V53"/>
      <c r="W53"/>
    </row>
    <row r="54" spans="1:23" ht="15">
      <c r="A54" s="168">
        <v>3</v>
      </c>
      <c r="B54" s="163" t="s">
        <v>64</v>
      </c>
      <c r="C54" s="163" t="s">
        <v>61</v>
      </c>
      <c r="D54" s="168">
        <v>1</v>
      </c>
      <c r="E54" s="179">
        <v>111</v>
      </c>
      <c r="F54" s="181">
        <v>54107</v>
      </c>
      <c r="G54" s="567" t="s">
        <v>163</v>
      </c>
      <c r="H54" s="714">
        <f>800+200</f>
        <v>1000</v>
      </c>
      <c r="I54" s="1899">
        <v>300</v>
      </c>
      <c r="J54" s="1874">
        <f t="shared" si="1"/>
        <v>700</v>
      </c>
      <c r="K54" s="1896"/>
      <c r="L54" s="1877">
        <f t="shared" si="2"/>
        <v>700</v>
      </c>
      <c r="M54" s="717">
        <f t="shared" si="0"/>
        <v>300</v>
      </c>
      <c r="O54" s="488"/>
      <c r="Q54"/>
      <c r="R54"/>
      <c r="S54"/>
      <c r="T54"/>
      <c r="U54"/>
      <c r="V54"/>
      <c r="W54"/>
    </row>
    <row r="55" spans="1:23" ht="15">
      <c r="A55" s="168">
        <v>3</v>
      </c>
      <c r="B55" s="163" t="s">
        <v>64</v>
      </c>
      <c r="C55" s="163" t="s">
        <v>61</v>
      </c>
      <c r="D55" s="168">
        <v>1</v>
      </c>
      <c r="E55" s="179">
        <v>111</v>
      </c>
      <c r="F55" s="181">
        <v>54109</v>
      </c>
      <c r="G55" s="567" t="s">
        <v>495</v>
      </c>
      <c r="H55" s="714">
        <v>1000</v>
      </c>
      <c r="I55" s="1884"/>
      <c r="J55" s="1874">
        <f t="shared" si="1"/>
        <v>1000</v>
      </c>
      <c r="K55" s="1896"/>
      <c r="L55" s="1877">
        <f t="shared" si="2"/>
        <v>1000</v>
      </c>
      <c r="M55" s="717">
        <f t="shared" si="0"/>
        <v>0</v>
      </c>
      <c r="O55" s="488"/>
      <c r="Q55"/>
      <c r="R55"/>
      <c r="S55"/>
      <c r="T55"/>
      <c r="U55"/>
      <c r="V55"/>
      <c r="W55"/>
    </row>
    <row r="56" spans="1:23" ht="15">
      <c r="A56" s="168">
        <v>3</v>
      </c>
      <c r="B56" s="163" t="s">
        <v>64</v>
      </c>
      <c r="C56" s="163" t="s">
        <v>61</v>
      </c>
      <c r="D56" s="168">
        <v>1</v>
      </c>
      <c r="E56" s="179">
        <v>111</v>
      </c>
      <c r="F56" s="181">
        <v>54110</v>
      </c>
      <c r="G56" s="567" t="s">
        <v>496</v>
      </c>
      <c r="H56" s="714">
        <f>5000+500</f>
        <v>5500</v>
      </c>
      <c r="I56" s="1884"/>
      <c r="J56" s="1874">
        <f t="shared" si="1"/>
        <v>5500</v>
      </c>
      <c r="K56" s="1896"/>
      <c r="L56" s="1877">
        <f t="shared" si="2"/>
        <v>5500</v>
      </c>
      <c r="M56" s="717">
        <f t="shared" si="0"/>
        <v>0</v>
      </c>
      <c r="O56" s="488"/>
      <c r="Q56"/>
      <c r="R56"/>
      <c r="S56"/>
      <c r="T56"/>
      <c r="U56"/>
      <c r="V56"/>
      <c r="W56"/>
    </row>
    <row r="57" spans="1:23" ht="15">
      <c r="A57" s="168">
        <v>3</v>
      </c>
      <c r="B57" s="163" t="s">
        <v>64</v>
      </c>
      <c r="C57" s="163" t="s">
        <v>61</v>
      </c>
      <c r="D57" s="168">
        <v>1</v>
      </c>
      <c r="E57" s="179">
        <v>111</v>
      </c>
      <c r="F57" s="181">
        <v>54111</v>
      </c>
      <c r="G57" s="567" t="s">
        <v>382</v>
      </c>
      <c r="H57" s="714">
        <f>1400-200</f>
        <v>1200</v>
      </c>
      <c r="I57" s="1884"/>
      <c r="J57" s="1874">
        <f t="shared" si="1"/>
        <v>1200</v>
      </c>
      <c r="K57" s="1896"/>
      <c r="L57" s="1877">
        <f t="shared" si="2"/>
        <v>1200</v>
      </c>
      <c r="M57" s="717">
        <f t="shared" si="0"/>
        <v>0</v>
      </c>
      <c r="O57" s="488"/>
      <c r="Q57"/>
      <c r="R57"/>
      <c r="S57"/>
      <c r="T57"/>
      <c r="U57"/>
      <c r="V57"/>
      <c r="W57"/>
    </row>
    <row r="58" spans="1:23" ht="15">
      <c r="A58" s="168">
        <v>3</v>
      </c>
      <c r="B58" s="163" t="s">
        <v>64</v>
      </c>
      <c r="C58" s="163" t="s">
        <v>61</v>
      </c>
      <c r="D58" s="168">
        <v>1</v>
      </c>
      <c r="E58" s="179">
        <v>111</v>
      </c>
      <c r="F58" s="181">
        <v>54112</v>
      </c>
      <c r="G58" s="567" t="s">
        <v>753</v>
      </c>
      <c r="H58" s="714">
        <f>800+500</f>
        <v>1300</v>
      </c>
      <c r="I58" s="1884"/>
      <c r="J58" s="1874">
        <f t="shared" si="1"/>
        <v>1300</v>
      </c>
      <c r="K58" s="1896"/>
      <c r="L58" s="1877">
        <f t="shared" si="2"/>
        <v>1300</v>
      </c>
      <c r="M58" s="717">
        <f t="shared" si="0"/>
        <v>0</v>
      </c>
    </row>
    <row r="59" spans="1:23" ht="15">
      <c r="A59" s="168">
        <v>3</v>
      </c>
      <c r="B59" s="163" t="s">
        <v>64</v>
      </c>
      <c r="C59" s="163" t="s">
        <v>61</v>
      </c>
      <c r="D59" s="168">
        <v>1</v>
      </c>
      <c r="E59" s="179">
        <v>111</v>
      </c>
      <c r="F59" s="181">
        <v>54114</v>
      </c>
      <c r="G59" s="567" t="s">
        <v>169</v>
      </c>
      <c r="H59" s="714">
        <v>200</v>
      </c>
      <c r="I59" s="1884"/>
      <c r="J59" s="1874">
        <f t="shared" si="1"/>
        <v>200</v>
      </c>
      <c r="K59" s="1896"/>
      <c r="L59" s="1877">
        <f t="shared" si="2"/>
        <v>200</v>
      </c>
      <c r="M59" s="717">
        <f t="shared" si="0"/>
        <v>0</v>
      </c>
    </row>
    <row r="60" spans="1:23" ht="15">
      <c r="A60" s="168">
        <v>3</v>
      </c>
      <c r="B60" s="163" t="s">
        <v>64</v>
      </c>
      <c r="C60" s="163" t="s">
        <v>61</v>
      </c>
      <c r="D60" s="168">
        <v>1</v>
      </c>
      <c r="E60" s="179">
        <v>111</v>
      </c>
      <c r="F60" s="181">
        <v>54115</v>
      </c>
      <c r="G60" s="567" t="s">
        <v>170</v>
      </c>
      <c r="H60" s="714">
        <v>600</v>
      </c>
      <c r="I60" s="1884"/>
      <c r="J60" s="1874">
        <f t="shared" si="1"/>
        <v>600</v>
      </c>
      <c r="K60" s="1896"/>
      <c r="L60" s="1877">
        <f t="shared" si="2"/>
        <v>600</v>
      </c>
      <c r="M60" s="717">
        <f t="shared" si="0"/>
        <v>0</v>
      </c>
    </row>
    <row r="61" spans="1:23" ht="15">
      <c r="A61" s="168">
        <v>3</v>
      </c>
      <c r="B61" s="163" t="s">
        <v>64</v>
      </c>
      <c r="C61" s="163" t="s">
        <v>61</v>
      </c>
      <c r="D61" s="168">
        <v>1</v>
      </c>
      <c r="E61" s="179">
        <v>111</v>
      </c>
      <c r="F61" s="181">
        <v>54117</v>
      </c>
      <c r="G61" s="567" t="s">
        <v>532</v>
      </c>
      <c r="H61" s="714">
        <v>2102.6999999999998</v>
      </c>
      <c r="I61" s="1884"/>
      <c r="J61" s="1874">
        <f t="shared" si="1"/>
        <v>2102.6999999999998</v>
      </c>
      <c r="K61" s="1896"/>
      <c r="L61" s="1877">
        <f t="shared" si="2"/>
        <v>2102.6999999999998</v>
      </c>
      <c r="M61" s="717">
        <f t="shared" si="0"/>
        <v>0</v>
      </c>
    </row>
    <row r="62" spans="1:23" ht="15">
      <c r="A62" s="168">
        <v>3</v>
      </c>
      <c r="B62" s="163" t="s">
        <v>64</v>
      </c>
      <c r="C62" s="163" t="s">
        <v>61</v>
      </c>
      <c r="D62" s="168">
        <v>1</v>
      </c>
      <c r="E62" s="179">
        <v>111</v>
      </c>
      <c r="F62" s="181">
        <v>54118</v>
      </c>
      <c r="G62" s="567" t="s">
        <v>533</v>
      </c>
      <c r="H62" s="714">
        <v>100</v>
      </c>
      <c r="I62" s="1884"/>
      <c r="J62" s="1874">
        <f t="shared" si="1"/>
        <v>100</v>
      </c>
      <c r="K62" s="1896"/>
      <c r="L62" s="1877">
        <f t="shared" si="2"/>
        <v>100</v>
      </c>
      <c r="M62" s="717">
        <f t="shared" si="0"/>
        <v>0</v>
      </c>
    </row>
    <row r="63" spans="1:23" ht="15">
      <c r="A63" s="168">
        <v>3</v>
      </c>
      <c r="B63" s="163" t="s">
        <v>64</v>
      </c>
      <c r="C63" s="163" t="s">
        <v>61</v>
      </c>
      <c r="D63" s="168">
        <v>1</v>
      </c>
      <c r="E63" s="179">
        <v>111</v>
      </c>
      <c r="F63" s="181">
        <v>54119</v>
      </c>
      <c r="G63" s="567" t="s">
        <v>173</v>
      </c>
      <c r="H63" s="714">
        <f>8000+150</f>
        <v>8150</v>
      </c>
      <c r="I63" s="1884"/>
      <c r="J63" s="1874">
        <f t="shared" si="1"/>
        <v>8150</v>
      </c>
      <c r="K63" s="1896"/>
      <c r="L63" s="1877">
        <f t="shared" si="2"/>
        <v>8150</v>
      </c>
      <c r="M63" s="717">
        <f t="shared" si="0"/>
        <v>0</v>
      </c>
    </row>
    <row r="64" spans="1:23" ht="15">
      <c r="A64" s="168">
        <v>3</v>
      </c>
      <c r="B64" s="163" t="s">
        <v>64</v>
      </c>
      <c r="C64" s="163" t="s">
        <v>61</v>
      </c>
      <c r="D64" s="168">
        <v>1</v>
      </c>
      <c r="E64" s="179">
        <v>111</v>
      </c>
      <c r="F64" s="181">
        <v>54199</v>
      </c>
      <c r="G64" s="567" t="s">
        <v>806</v>
      </c>
      <c r="H64" s="714">
        <f>800+248.5+200+500</f>
        <v>1748.5</v>
      </c>
      <c r="I64" s="1884"/>
      <c r="J64" s="1874">
        <f t="shared" si="1"/>
        <v>1748.5</v>
      </c>
      <c r="K64" s="1896"/>
      <c r="L64" s="1877">
        <f t="shared" si="2"/>
        <v>1748.5</v>
      </c>
      <c r="M64" s="717">
        <f t="shared" si="0"/>
        <v>0</v>
      </c>
    </row>
    <row r="65" spans="1:13" ht="15">
      <c r="A65" s="168">
        <v>3</v>
      </c>
      <c r="B65" s="163" t="s">
        <v>64</v>
      </c>
      <c r="C65" s="163" t="s">
        <v>61</v>
      </c>
      <c r="D65" s="168">
        <v>1</v>
      </c>
      <c r="E65" s="179">
        <v>111</v>
      </c>
      <c r="F65" s="181">
        <v>54201</v>
      </c>
      <c r="G65" s="567" t="s">
        <v>176</v>
      </c>
      <c r="H65" s="714">
        <v>800</v>
      </c>
      <c r="I65" s="1874"/>
      <c r="J65" s="1874">
        <f t="shared" si="1"/>
        <v>800</v>
      </c>
      <c r="K65" s="1896"/>
      <c r="L65" s="1877">
        <f t="shared" si="2"/>
        <v>800</v>
      </c>
      <c r="M65" s="717">
        <f t="shared" si="0"/>
        <v>0</v>
      </c>
    </row>
    <row r="66" spans="1:13" ht="15">
      <c r="A66" s="168">
        <v>3</v>
      </c>
      <c r="B66" s="163" t="s">
        <v>64</v>
      </c>
      <c r="C66" s="163" t="s">
        <v>61</v>
      </c>
      <c r="D66" s="168">
        <v>1</v>
      </c>
      <c r="E66" s="179">
        <v>111</v>
      </c>
      <c r="F66" s="181">
        <v>54202</v>
      </c>
      <c r="G66" s="567" t="s">
        <v>177</v>
      </c>
      <c r="H66" s="714">
        <v>2100</v>
      </c>
      <c r="I66" s="1884"/>
      <c r="J66" s="1874">
        <f t="shared" si="1"/>
        <v>2100</v>
      </c>
      <c r="K66" s="1896"/>
      <c r="L66" s="1877">
        <f t="shared" si="2"/>
        <v>2100</v>
      </c>
      <c r="M66" s="717">
        <f t="shared" si="0"/>
        <v>0</v>
      </c>
    </row>
    <row r="67" spans="1:13" ht="15" hidden="1">
      <c r="A67" s="168">
        <v>3</v>
      </c>
      <c r="B67" s="163" t="s">
        <v>64</v>
      </c>
      <c r="C67" s="163" t="s">
        <v>61</v>
      </c>
      <c r="D67" s="168">
        <v>1</v>
      </c>
      <c r="E67" s="179">
        <v>111</v>
      </c>
      <c r="F67" s="181">
        <v>54203</v>
      </c>
      <c r="G67" s="567" t="s">
        <v>178</v>
      </c>
      <c r="H67" s="714"/>
      <c r="I67" s="1884"/>
      <c r="J67" s="1874">
        <f t="shared" si="1"/>
        <v>0</v>
      </c>
      <c r="K67" s="1896"/>
      <c r="L67" s="1877">
        <f t="shared" si="2"/>
        <v>0</v>
      </c>
      <c r="M67" s="717">
        <f t="shared" si="0"/>
        <v>0</v>
      </c>
    </row>
    <row r="68" spans="1:13" ht="12.75" customHeight="1">
      <c r="A68" s="168">
        <v>3</v>
      </c>
      <c r="B68" s="163" t="s">
        <v>64</v>
      </c>
      <c r="C68" s="163" t="s">
        <v>61</v>
      </c>
      <c r="D68" s="168">
        <v>1</v>
      </c>
      <c r="E68" s="179">
        <v>111</v>
      </c>
      <c r="F68" s="181">
        <v>54205</v>
      </c>
      <c r="G68" s="567" t="s">
        <v>1407</v>
      </c>
      <c r="H68" s="714">
        <v>65000</v>
      </c>
      <c r="I68" s="1884">
        <v>24908.85</v>
      </c>
      <c r="J68" s="1874">
        <f t="shared" si="1"/>
        <v>40091.15</v>
      </c>
      <c r="K68" s="1896"/>
      <c r="L68" s="1877">
        <f t="shared" si="2"/>
        <v>40091.15</v>
      </c>
      <c r="M68" s="717">
        <f t="shared" si="0"/>
        <v>24908.85</v>
      </c>
    </row>
    <row r="69" spans="1:13" ht="15">
      <c r="A69" s="168">
        <v>3</v>
      </c>
      <c r="B69" s="163" t="s">
        <v>64</v>
      </c>
      <c r="C69" s="163" t="s">
        <v>61</v>
      </c>
      <c r="D69" s="168">
        <v>1</v>
      </c>
      <c r="E69" s="179">
        <v>111</v>
      </c>
      <c r="F69" s="181">
        <v>54302</v>
      </c>
      <c r="G69" s="567" t="s">
        <v>534</v>
      </c>
      <c r="H69" s="714">
        <v>2500</v>
      </c>
      <c r="I69" s="1884"/>
      <c r="J69" s="1874">
        <f t="shared" si="1"/>
        <v>2500</v>
      </c>
      <c r="K69" s="1896"/>
      <c r="L69" s="1877">
        <f t="shared" si="2"/>
        <v>2500</v>
      </c>
      <c r="M69" s="717">
        <f t="shared" si="0"/>
        <v>0</v>
      </c>
    </row>
    <row r="70" spans="1:13" ht="13.5" customHeight="1">
      <c r="A70" s="168">
        <v>3</v>
      </c>
      <c r="B70" s="163" t="s">
        <v>64</v>
      </c>
      <c r="C70" s="163" t="s">
        <v>61</v>
      </c>
      <c r="D70" s="168">
        <v>1</v>
      </c>
      <c r="E70" s="179">
        <v>111</v>
      </c>
      <c r="F70" s="181">
        <v>54303</v>
      </c>
      <c r="G70" s="567" t="s">
        <v>183</v>
      </c>
      <c r="H70" s="714">
        <v>7000</v>
      </c>
      <c r="I70" s="1884"/>
      <c r="J70" s="1874">
        <f t="shared" si="1"/>
        <v>7000</v>
      </c>
      <c r="K70" s="1896"/>
      <c r="L70" s="1877">
        <f t="shared" si="2"/>
        <v>7000</v>
      </c>
      <c r="M70" s="717">
        <f t="shared" si="0"/>
        <v>0</v>
      </c>
    </row>
    <row r="71" spans="1:13" ht="15">
      <c r="A71" s="168">
        <v>3</v>
      </c>
      <c r="B71" s="163" t="s">
        <v>64</v>
      </c>
      <c r="C71" s="163" t="s">
        <v>61</v>
      </c>
      <c r="D71" s="168">
        <v>1</v>
      </c>
      <c r="E71" s="179">
        <v>111</v>
      </c>
      <c r="F71" s="181">
        <v>54304</v>
      </c>
      <c r="G71" s="567" t="s">
        <v>497</v>
      </c>
      <c r="H71" s="714">
        <f>821+448.5+333.28</f>
        <v>1602.78</v>
      </c>
      <c r="I71" s="1884"/>
      <c r="J71" s="1874">
        <f t="shared" si="1"/>
        <v>1602.78</v>
      </c>
      <c r="K71" s="1896"/>
      <c r="L71" s="1877">
        <f>J71-K71</f>
        <v>1602.78</v>
      </c>
      <c r="M71" s="717">
        <f t="shared" si="0"/>
        <v>0</v>
      </c>
    </row>
    <row r="72" spans="1:13" ht="16.5" hidden="1" customHeight="1">
      <c r="A72" s="168">
        <v>3</v>
      </c>
      <c r="B72" s="163" t="s">
        <v>64</v>
      </c>
      <c r="C72" s="163" t="s">
        <v>61</v>
      </c>
      <c r="D72" s="168">
        <v>1</v>
      </c>
      <c r="E72" s="179">
        <v>111</v>
      </c>
      <c r="F72" s="181">
        <v>54313</v>
      </c>
      <c r="G72" s="567" t="s">
        <v>813</v>
      </c>
      <c r="H72" s="714"/>
      <c r="I72" s="1884"/>
      <c r="J72" s="1874">
        <f t="shared" si="1"/>
        <v>0</v>
      </c>
      <c r="K72" s="1896"/>
      <c r="L72" s="1877">
        <f t="shared" si="2"/>
        <v>0</v>
      </c>
      <c r="M72" s="717">
        <f t="shared" si="0"/>
        <v>0</v>
      </c>
    </row>
    <row r="73" spans="1:13" ht="15" hidden="1">
      <c r="A73" s="168">
        <v>3</v>
      </c>
      <c r="B73" s="163" t="s">
        <v>64</v>
      </c>
      <c r="C73" s="163" t="s">
        <v>61</v>
      </c>
      <c r="D73" s="168">
        <v>1</v>
      </c>
      <c r="E73" s="179">
        <v>111</v>
      </c>
      <c r="F73" s="181">
        <v>54316</v>
      </c>
      <c r="G73" s="567" t="s">
        <v>907</v>
      </c>
      <c r="H73" s="714"/>
      <c r="I73" s="1884"/>
      <c r="J73" s="1874">
        <f t="shared" si="1"/>
        <v>0</v>
      </c>
      <c r="K73" s="1896"/>
      <c r="L73" s="1877">
        <f t="shared" si="2"/>
        <v>0</v>
      </c>
      <c r="M73" s="717">
        <f t="shared" si="0"/>
        <v>0</v>
      </c>
    </row>
    <row r="74" spans="1:13" ht="19.5" hidden="1" customHeight="1">
      <c r="A74" s="168">
        <v>3</v>
      </c>
      <c r="B74" s="163" t="s">
        <v>64</v>
      </c>
      <c r="C74" s="163" t="s">
        <v>61</v>
      </c>
      <c r="D74" s="168">
        <v>1</v>
      </c>
      <c r="E74" s="179">
        <v>111</v>
      </c>
      <c r="F74" s="181">
        <v>54317</v>
      </c>
      <c r="G74" s="567" t="s">
        <v>907</v>
      </c>
      <c r="H74" s="714"/>
      <c r="I74" s="1884"/>
      <c r="J74" s="1874">
        <f t="shared" si="1"/>
        <v>0</v>
      </c>
      <c r="K74" s="1896"/>
      <c r="L74" s="1877">
        <f t="shared" si="2"/>
        <v>0</v>
      </c>
      <c r="M74" s="717">
        <f t="shared" ref="M74:M81" si="5">I74+K74</f>
        <v>0</v>
      </c>
    </row>
    <row r="75" spans="1:13" ht="15">
      <c r="A75" s="163" t="s">
        <v>380</v>
      </c>
      <c r="B75" s="163" t="s">
        <v>64</v>
      </c>
      <c r="C75" s="165" t="s">
        <v>61</v>
      </c>
      <c r="D75" s="172">
        <v>1</v>
      </c>
      <c r="E75" s="183" t="s">
        <v>65</v>
      </c>
      <c r="F75" s="180">
        <v>54399</v>
      </c>
      <c r="G75" s="633" t="s">
        <v>190</v>
      </c>
      <c r="H75" s="656">
        <v>28000</v>
      </c>
      <c r="I75" s="1874">
        <v>10000</v>
      </c>
      <c r="J75" s="1874">
        <f t="shared" ref="J75:J86" si="6">H75-I75</f>
        <v>18000</v>
      </c>
      <c r="K75" s="1896">
        <f>1214.64+499.2</f>
        <v>1713.8400000000001</v>
      </c>
      <c r="L75" s="1877">
        <f t="shared" ref="L75:L86" si="7">J75-K75</f>
        <v>16286.16</v>
      </c>
      <c r="M75" s="717">
        <f t="shared" si="5"/>
        <v>11713.84</v>
      </c>
    </row>
    <row r="76" spans="1:13" ht="15" hidden="1">
      <c r="A76" s="168">
        <v>3</v>
      </c>
      <c r="B76" s="163" t="s">
        <v>64</v>
      </c>
      <c r="C76" s="163" t="s">
        <v>61</v>
      </c>
      <c r="D76" s="168">
        <v>1</v>
      </c>
      <c r="E76" s="179">
        <v>111</v>
      </c>
      <c r="F76" s="180">
        <v>54403</v>
      </c>
      <c r="G76" s="633" t="s">
        <v>760</v>
      </c>
      <c r="H76" s="715"/>
      <c r="I76" s="1900"/>
      <c r="J76" s="1874">
        <f t="shared" si="6"/>
        <v>0</v>
      </c>
      <c r="K76" s="1896"/>
      <c r="L76" s="1877">
        <f t="shared" si="7"/>
        <v>0</v>
      </c>
      <c r="M76" s="717">
        <f t="shared" si="5"/>
        <v>0</v>
      </c>
    </row>
    <row r="77" spans="1:13" ht="15">
      <c r="A77" s="168">
        <v>3</v>
      </c>
      <c r="B77" s="163" t="s">
        <v>64</v>
      </c>
      <c r="C77" s="163" t="s">
        <v>61</v>
      </c>
      <c r="D77" s="168">
        <v>1</v>
      </c>
      <c r="E77" s="179">
        <v>111</v>
      </c>
      <c r="F77" s="180">
        <v>54505</v>
      </c>
      <c r="G77" s="633" t="s">
        <v>761</v>
      </c>
      <c r="H77" s="715">
        <v>3596.72</v>
      </c>
      <c r="I77" s="1900"/>
      <c r="J77" s="1874">
        <f t="shared" si="6"/>
        <v>3596.72</v>
      </c>
      <c r="K77" s="1896"/>
      <c r="L77" s="1877">
        <f t="shared" si="7"/>
        <v>3596.72</v>
      </c>
      <c r="M77" s="717">
        <f t="shared" si="5"/>
        <v>0</v>
      </c>
    </row>
    <row r="78" spans="1:13" ht="15">
      <c r="A78" s="163" t="s">
        <v>380</v>
      </c>
      <c r="B78" s="163" t="s">
        <v>64</v>
      </c>
      <c r="C78" s="165" t="s">
        <v>61</v>
      </c>
      <c r="D78" s="172">
        <v>1</v>
      </c>
      <c r="E78" s="183" t="s">
        <v>65</v>
      </c>
      <c r="F78" s="180">
        <v>56304</v>
      </c>
      <c r="G78" s="632" t="s">
        <v>141</v>
      </c>
      <c r="H78" s="1642">
        <f>10000+101343.67+20000+20000+10000+3000+15000-141.16</f>
        <v>179202.50999999998</v>
      </c>
      <c r="I78" s="1901">
        <f>40000+5063.62</f>
        <v>45063.62</v>
      </c>
      <c r="J78" s="1874">
        <f t="shared" si="6"/>
        <v>134138.88999999998</v>
      </c>
      <c r="K78" s="1902">
        <v>25000</v>
      </c>
      <c r="L78" s="1877">
        <f t="shared" si="7"/>
        <v>109138.88999999998</v>
      </c>
      <c r="M78" s="717">
        <f t="shared" si="5"/>
        <v>70063.62</v>
      </c>
    </row>
    <row r="79" spans="1:13" ht="15">
      <c r="A79" s="163" t="s">
        <v>380</v>
      </c>
      <c r="B79" s="163" t="s">
        <v>64</v>
      </c>
      <c r="C79" s="165" t="s">
        <v>61</v>
      </c>
      <c r="D79" s="172">
        <v>1</v>
      </c>
      <c r="E79" s="183" t="s">
        <v>65</v>
      </c>
      <c r="F79" s="181">
        <v>56305</v>
      </c>
      <c r="G79" s="633" t="s">
        <v>142</v>
      </c>
      <c r="H79" s="715">
        <v>90000</v>
      </c>
      <c r="I79" s="1900"/>
      <c r="J79" s="1874">
        <f t="shared" si="6"/>
        <v>90000</v>
      </c>
      <c r="K79" s="1896">
        <v>40000</v>
      </c>
      <c r="L79" s="1877">
        <f t="shared" si="7"/>
        <v>50000</v>
      </c>
      <c r="M79" s="717">
        <f t="shared" si="5"/>
        <v>40000</v>
      </c>
    </row>
    <row r="80" spans="1:13" ht="15" hidden="1">
      <c r="A80" s="163" t="s">
        <v>380</v>
      </c>
      <c r="B80" s="163" t="s">
        <v>64</v>
      </c>
      <c r="C80" s="165" t="s">
        <v>61</v>
      </c>
      <c r="D80" s="172">
        <v>1</v>
      </c>
      <c r="E80" s="183" t="s">
        <v>65</v>
      </c>
      <c r="F80" s="181">
        <v>61102</v>
      </c>
      <c r="G80" s="633" t="s">
        <v>916</v>
      </c>
      <c r="H80" s="715"/>
      <c r="I80" s="1900"/>
      <c r="J80" s="1874">
        <f t="shared" si="6"/>
        <v>0</v>
      </c>
      <c r="K80" s="1896"/>
      <c r="L80" s="1877">
        <f t="shared" si="7"/>
        <v>0</v>
      </c>
      <c r="M80" s="717">
        <f t="shared" si="5"/>
        <v>0</v>
      </c>
    </row>
    <row r="81" spans="1:23" ht="15">
      <c r="A81" s="168">
        <v>3</v>
      </c>
      <c r="B81" s="163" t="s">
        <v>64</v>
      </c>
      <c r="C81" s="163" t="s">
        <v>61</v>
      </c>
      <c r="D81" s="168">
        <v>1</v>
      </c>
      <c r="E81" s="179">
        <v>111</v>
      </c>
      <c r="F81" s="181">
        <v>61104</v>
      </c>
      <c r="G81" s="633" t="s">
        <v>144</v>
      </c>
      <c r="H81" s="715">
        <v>200</v>
      </c>
      <c r="I81" s="1900"/>
      <c r="J81" s="1874">
        <f t="shared" si="6"/>
        <v>200</v>
      </c>
      <c r="K81" s="1896"/>
      <c r="L81" s="1877">
        <f t="shared" si="7"/>
        <v>200</v>
      </c>
      <c r="M81" s="717">
        <f t="shared" si="5"/>
        <v>0</v>
      </c>
    </row>
    <row r="82" spans="1:23" ht="15" hidden="1">
      <c r="A82" s="168">
        <v>3</v>
      </c>
      <c r="B82" s="163" t="s">
        <v>64</v>
      </c>
      <c r="C82" s="163" t="s">
        <v>61</v>
      </c>
      <c r="D82" s="168">
        <v>1</v>
      </c>
      <c r="E82" s="179">
        <v>111</v>
      </c>
      <c r="F82" s="181">
        <v>61199</v>
      </c>
      <c r="G82" s="633" t="s">
        <v>146</v>
      </c>
      <c r="H82" s="715"/>
      <c r="I82" s="1900"/>
      <c r="J82" s="1874">
        <f t="shared" si="6"/>
        <v>0</v>
      </c>
      <c r="K82" s="1896"/>
      <c r="L82" s="1877">
        <f t="shared" si="7"/>
        <v>0</v>
      </c>
      <c r="M82" s="717">
        <f t="shared" ref="M82:M86" si="8">I82+K82</f>
        <v>0</v>
      </c>
    </row>
    <row r="83" spans="1:23" ht="13.5" hidden="1" customHeight="1">
      <c r="A83" s="168" t="str">
        <f>A78</f>
        <v>3</v>
      </c>
      <c r="B83" s="163" t="str">
        <f>B78</f>
        <v>03</v>
      </c>
      <c r="C83" s="163" t="str">
        <f>C78</f>
        <v>02</v>
      </c>
      <c r="D83" s="168">
        <f>D78</f>
        <v>1</v>
      </c>
      <c r="E83" s="179" t="str">
        <f>E78</f>
        <v>111</v>
      </c>
      <c r="F83" s="181">
        <v>61201</v>
      </c>
      <c r="G83" s="567" t="s">
        <v>148</v>
      </c>
      <c r="H83" s="715"/>
      <c r="I83" s="1903"/>
      <c r="J83" s="1874">
        <f t="shared" si="6"/>
        <v>0</v>
      </c>
      <c r="K83" s="1896">
        <f>6000+31800+6000+2000+8000+14000+500+18000+14000+38000</f>
        <v>138300</v>
      </c>
      <c r="L83" s="1877">
        <f t="shared" si="7"/>
        <v>-138300</v>
      </c>
      <c r="M83" s="717">
        <f t="shared" si="8"/>
        <v>138300</v>
      </c>
    </row>
    <row r="84" spans="1:23" hidden="1">
      <c r="A84" s="84" t="s">
        <v>380</v>
      </c>
      <c r="B84" s="139" t="s">
        <v>64</v>
      </c>
      <c r="C84" s="84" t="s">
        <v>61</v>
      </c>
      <c r="D84" s="84" t="s">
        <v>62</v>
      </c>
      <c r="E84" s="89" t="s">
        <v>65</v>
      </c>
      <c r="F84" s="181">
        <v>61599</v>
      </c>
      <c r="G84" s="633" t="s">
        <v>151</v>
      </c>
      <c r="H84" s="864"/>
      <c r="I84" s="1903"/>
      <c r="J84" s="1874">
        <f t="shared" si="6"/>
        <v>0</v>
      </c>
      <c r="K84" s="1896"/>
      <c r="L84" s="1877">
        <f t="shared" si="7"/>
        <v>0</v>
      </c>
      <c r="M84" s="717">
        <f t="shared" si="8"/>
        <v>0</v>
      </c>
    </row>
    <row r="85" spans="1:23" ht="15" hidden="1">
      <c r="A85" s="168">
        <v>3</v>
      </c>
      <c r="B85" s="163" t="s">
        <v>64</v>
      </c>
      <c r="C85" s="163" t="s">
        <v>61</v>
      </c>
      <c r="D85" s="168">
        <v>1</v>
      </c>
      <c r="E85" s="179">
        <v>111</v>
      </c>
      <c r="F85" s="181">
        <v>61608</v>
      </c>
      <c r="G85" s="634" t="s">
        <v>812</v>
      </c>
      <c r="H85" s="865"/>
      <c r="I85" s="1903"/>
      <c r="J85" s="1874">
        <f t="shared" si="6"/>
        <v>0</v>
      </c>
      <c r="K85" s="1896"/>
      <c r="L85" s="1877">
        <f t="shared" si="7"/>
        <v>0</v>
      </c>
      <c r="M85" s="717">
        <f t="shared" si="8"/>
        <v>0</v>
      </c>
    </row>
    <row r="86" spans="1:23" hidden="1">
      <c r="A86" s="84" t="s">
        <v>380</v>
      </c>
      <c r="B86" s="139" t="s">
        <v>64</v>
      </c>
      <c r="C86" s="84" t="s">
        <v>61</v>
      </c>
      <c r="D86" s="84" t="s">
        <v>62</v>
      </c>
      <c r="E86" s="89" t="s">
        <v>65</v>
      </c>
      <c r="F86" s="181">
        <v>72101</v>
      </c>
      <c r="G86" s="634" t="s">
        <v>158</v>
      </c>
      <c r="H86" s="865"/>
      <c r="I86" s="1904"/>
      <c r="J86" s="1874">
        <f t="shared" si="6"/>
        <v>0</v>
      </c>
      <c r="K86" s="1896">
        <f>484294.99-483976.41</f>
        <v>318.5800000000163</v>
      </c>
      <c r="L86" s="1877">
        <f t="shared" si="7"/>
        <v>-318.5800000000163</v>
      </c>
      <c r="M86" s="717">
        <f t="shared" si="8"/>
        <v>318.5800000000163</v>
      </c>
    </row>
    <row r="87" spans="1:23" ht="16.5" customHeight="1" thickBot="1">
      <c r="A87" s="2177" t="s">
        <v>46</v>
      </c>
      <c r="B87" s="2178"/>
      <c r="C87" s="2178"/>
      <c r="D87" s="2178"/>
      <c r="E87" s="2178"/>
      <c r="F87" s="2178"/>
      <c r="G87" s="2179"/>
      <c r="H87" s="1442">
        <f>SUM(H43:H86)</f>
        <v>501132.51</v>
      </c>
      <c r="I87" s="1905">
        <f>SUM(I10:I81)</f>
        <v>135079.01999999999</v>
      </c>
      <c r="J87" s="1905">
        <f ca="1">SUM(J10:J87)</f>
        <v>561932.92000000004</v>
      </c>
      <c r="K87" s="1906">
        <f>SUM(K10:K81)</f>
        <v>128813.84</v>
      </c>
      <c r="L87" s="1906">
        <f>SUM(L10:L81)</f>
        <v>432153.67999999993</v>
      </c>
      <c r="M87" s="1914">
        <f>SUM(M10:M81)</f>
        <v>263892.86</v>
      </c>
      <c r="N87" s="488">
        <f>I87+K87</f>
        <v>263892.86</v>
      </c>
    </row>
    <row r="88" spans="1:23" s="140" customFormat="1" ht="14.25" customHeight="1" thickTop="1" thickBot="1">
      <c r="A88" s="611"/>
      <c r="B88" s="611"/>
      <c r="C88" s="612"/>
      <c r="D88" s="2206"/>
      <c r="E88" s="2207"/>
      <c r="F88" s="2207"/>
      <c r="G88" s="2208"/>
      <c r="H88" s="1864"/>
      <c r="M88" s="1867"/>
      <c r="N88" s="507"/>
      <c r="O88" s="512"/>
      <c r="P88" s="507"/>
      <c r="Q88" s="512"/>
      <c r="R88" s="507"/>
      <c r="S88" s="507"/>
      <c r="T88" s="507"/>
      <c r="U88" s="507"/>
      <c r="V88" s="507"/>
      <c r="W88" s="507"/>
    </row>
    <row r="89" spans="1:23" s="140" customFormat="1" ht="14.25" customHeight="1" thickTop="1" thickBot="1">
      <c r="A89" s="2205" t="s">
        <v>202</v>
      </c>
      <c r="B89" s="2205"/>
      <c r="C89" s="2205"/>
      <c r="D89" s="2205"/>
      <c r="E89" s="2205"/>
      <c r="F89" s="2205"/>
      <c r="G89" s="2205"/>
      <c r="H89" s="1443">
        <f>H23+H39+H87</f>
        <v>696046.54</v>
      </c>
      <c r="I89" s="1858"/>
      <c r="J89" s="507"/>
      <c r="L89" s="1865"/>
      <c r="M89" s="509"/>
      <c r="N89" s="507"/>
      <c r="O89" s="512"/>
      <c r="P89" s="507"/>
      <c r="Q89" s="512"/>
      <c r="R89" s="507"/>
      <c r="S89" s="507"/>
      <c r="T89" s="507"/>
      <c r="U89" s="507"/>
      <c r="V89" s="507"/>
      <c r="W89" s="507"/>
    </row>
    <row r="90" spans="1:23" s="140" customFormat="1" ht="14.25" customHeight="1" thickTop="1">
      <c r="A90" s="185"/>
      <c r="B90" s="184"/>
      <c r="C90" s="184"/>
      <c r="D90" s="85"/>
      <c r="E90" s="185"/>
      <c r="F90" s="186"/>
      <c r="G90" s="635"/>
      <c r="H90" s="187"/>
      <c r="I90" s="1858"/>
      <c r="J90" s="507"/>
      <c r="K90" s="217"/>
      <c r="M90" s="509"/>
      <c r="N90" s="507"/>
      <c r="O90" s="512"/>
      <c r="P90" s="507"/>
      <c r="Q90" s="512"/>
      <c r="R90" s="507"/>
      <c r="S90" s="507"/>
      <c r="T90" s="507"/>
      <c r="U90" s="507"/>
      <c r="V90" s="507"/>
      <c r="W90" s="507"/>
    </row>
    <row r="91" spans="1:23" ht="15" customHeight="1">
      <c r="A91" s="2198" t="s">
        <v>1012</v>
      </c>
      <c r="B91" s="2198"/>
      <c r="C91" s="2198"/>
      <c r="D91" s="2198"/>
      <c r="E91" s="2198"/>
      <c r="F91" s="2198"/>
      <c r="G91" s="2198"/>
      <c r="H91" s="2198"/>
      <c r="K91" s="717"/>
      <c r="M91" s="1869"/>
    </row>
    <row r="92" spans="1:23" ht="30.75" customHeight="1" thickBot="1">
      <c r="A92" s="2198"/>
      <c r="B92" s="2198"/>
      <c r="C92" s="2198"/>
      <c r="D92" s="2198"/>
      <c r="E92" s="2198"/>
      <c r="F92" s="2198"/>
      <c r="G92" s="2198"/>
      <c r="H92" s="2198"/>
      <c r="I92" s="1915"/>
      <c r="J92" s="217"/>
      <c r="K92" s="2193" t="s">
        <v>1522</v>
      </c>
      <c r="L92" s="2193"/>
      <c r="M92" s="1916">
        <f>N87+'INVER.FODES 75% AG 4'!N35+'AG 4 0402  2% FODES'!M27</f>
        <v>675294.05999999994</v>
      </c>
      <c r="N92" s="1910"/>
      <c r="O92" s="511"/>
      <c r="P92" s="217"/>
      <c r="Q92" s="511"/>
      <c r="R92" s="217"/>
      <c r="S92" s="217"/>
      <c r="T92" s="217"/>
      <c r="U92" s="217"/>
      <c r="V92" s="217"/>
      <c r="W92" s="217"/>
    </row>
    <row r="93" spans="1:23" ht="18.75" thickTop="1">
      <c r="A93" s="163" t="s">
        <v>380</v>
      </c>
      <c r="B93" s="165" t="s">
        <v>64</v>
      </c>
      <c r="C93" s="165" t="s">
        <v>61</v>
      </c>
      <c r="D93" s="172" t="s">
        <v>62</v>
      </c>
      <c r="E93" s="163" t="s">
        <v>807</v>
      </c>
      <c r="F93" s="180">
        <v>56304</v>
      </c>
      <c r="G93" s="997" t="s">
        <v>1164</v>
      </c>
      <c r="H93" s="996">
        <v>43502.73</v>
      </c>
      <c r="I93" s="1915"/>
    </row>
    <row r="94" spans="1:23" ht="15">
      <c r="A94" s="185"/>
      <c r="B94" s="184"/>
      <c r="C94" s="184"/>
      <c r="D94" s="85"/>
      <c r="E94" s="185"/>
      <c r="F94" s="186"/>
      <c r="G94" s="637"/>
      <c r="H94" s="188"/>
    </row>
    <row r="95" spans="1:23" ht="15">
      <c r="A95" s="185"/>
      <c r="B95" s="184"/>
      <c r="C95" s="184"/>
      <c r="D95" s="85"/>
      <c r="E95" s="185"/>
      <c r="F95" s="186"/>
      <c r="G95" s="637"/>
      <c r="H95" s="188"/>
    </row>
    <row r="96" spans="1:23" ht="14.25" customHeight="1">
      <c r="A96" s="185"/>
      <c r="B96" s="184"/>
      <c r="C96" s="184"/>
      <c r="D96" s="85"/>
      <c r="E96" s="185"/>
      <c r="F96" s="186"/>
      <c r="G96" s="637"/>
      <c r="H96" s="188"/>
    </row>
    <row r="97" spans="1:23" ht="15.75">
      <c r="A97" s="185"/>
      <c r="B97" s="184"/>
      <c r="C97" s="184"/>
      <c r="D97" s="85"/>
      <c r="E97" s="185"/>
      <c r="F97" s="189"/>
      <c r="G97" s="638"/>
      <c r="H97" s="190"/>
    </row>
    <row r="98" spans="1:23" ht="15.75">
      <c r="A98" s="185"/>
      <c r="B98" s="184"/>
      <c r="C98" s="184"/>
      <c r="D98" s="85"/>
      <c r="E98" s="185"/>
      <c r="F98" s="86"/>
      <c r="G98" s="636"/>
      <c r="H98" s="87"/>
    </row>
    <row r="99" spans="1:23" ht="15">
      <c r="A99" s="185"/>
      <c r="B99" s="184"/>
      <c r="C99" s="184"/>
      <c r="D99" s="85"/>
      <c r="E99" s="185"/>
      <c r="F99" s="186"/>
      <c r="G99" s="637"/>
      <c r="H99" s="188"/>
    </row>
    <row r="100" spans="1:23" ht="15.75">
      <c r="A100" s="185"/>
      <c r="B100" s="184"/>
      <c r="C100" s="184"/>
      <c r="D100" s="85"/>
      <c r="E100" s="185"/>
      <c r="F100" s="86"/>
      <c r="G100" s="636"/>
      <c r="H100" s="87"/>
      <c r="L100" s="488"/>
      <c r="M100" s="510"/>
      <c r="Q100" s="488"/>
      <c r="V100"/>
      <c r="W100"/>
    </row>
    <row r="101" spans="1:23" ht="15">
      <c r="A101" s="185"/>
      <c r="B101" s="184"/>
      <c r="C101" s="184"/>
      <c r="D101" s="85"/>
      <c r="E101" s="185"/>
      <c r="F101" s="186"/>
      <c r="G101" s="637"/>
      <c r="H101" s="188"/>
      <c r="L101" s="488"/>
      <c r="M101" s="510"/>
      <c r="Q101" s="488"/>
      <c r="V101"/>
      <c r="W101"/>
    </row>
    <row r="102" spans="1:23" ht="15">
      <c r="A102" s="185"/>
      <c r="B102" s="184"/>
      <c r="C102" s="184"/>
      <c r="D102" s="85"/>
      <c r="E102" s="185"/>
      <c r="F102" s="186"/>
      <c r="G102" s="637"/>
      <c r="H102" s="188"/>
      <c r="L102" s="488"/>
      <c r="M102" s="510"/>
      <c r="Q102" s="488"/>
      <c r="V102"/>
      <c r="W102"/>
    </row>
    <row r="103" spans="1:23" ht="15.75">
      <c r="A103" s="185"/>
      <c r="B103" s="184"/>
      <c r="C103" s="184"/>
      <c r="D103" s="85"/>
      <c r="E103" s="185"/>
      <c r="F103" s="189"/>
      <c r="G103" s="638"/>
      <c r="H103" s="190"/>
      <c r="L103" s="488"/>
      <c r="M103" s="510"/>
      <c r="Q103" s="488"/>
      <c r="V103"/>
      <c r="W103"/>
    </row>
    <row r="104" spans="1:23" ht="15">
      <c r="D104" s="85"/>
      <c r="F104" s="86"/>
      <c r="G104" s="636"/>
      <c r="H104" s="87"/>
    </row>
    <row r="105" spans="1:23">
      <c r="D105" s="85"/>
      <c r="F105" s="186"/>
      <c r="G105" s="637"/>
      <c r="H105" s="188"/>
    </row>
    <row r="106" spans="1:23">
      <c r="F106" s="186"/>
      <c r="G106" s="637"/>
      <c r="H106" s="188"/>
    </row>
    <row r="107" spans="1:23">
      <c r="F107" s="186"/>
      <c r="G107" s="637"/>
      <c r="H107" s="188"/>
    </row>
    <row r="108" spans="1:23" ht="15">
      <c r="F108" s="86"/>
      <c r="G108" s="636"/>
      <c r="H108" s="87"/>
    </row>
    <row r="109" spans="1:23">
      <c r="F109" s="186"/>
      <c r="G109" s="637"/>
      <c r="H109" s="188"/>
    </row>
    <row r="110" spans="1:23">
      <c r="F110" s="314"/>
      <c r="G110" s="639"/>
      <c r="H110" s="191"/>
    </row>
    <row r="111" spans="1:23">
      <c r="F111" s="314"/>
      <c r="G111" s="639"/>
      <c r="H111" s="191"/>
    </row>
    <row r="112" spans="1:23" ht="15">
      <c r="F112" s="86"/>
      <c r="G112" s="636"/>
      <c r="H112" s="87"/>
      <c r="I112" s="1857"/>
      <c r="J112" s="217"/>
      <c r="N112" s="217"/>
      <c r="O112" s="511"/>
      <c r="P112" s="217"/>
      <c r="Q112" s="511"/>
      <c r="R112" s="217"/>
      <c r="S112" s="217"/>
      <c r="T112" s="217"/>
      <c r="U112" s="217"/>
      <c r="V112" s="217"/>
      <c r="W112" s="217"/>
    </row>
    <row r="113" spans="6:8">
      <c r="F113" s="314"/>
      <c r="G113" s="639"/>
      <c r="H113" s="191"/>
    </row>
    <row r="114" spans="6:8">
      <c r="F114" s="314"/>
      <c r="G114" s="639"/>
      <c r="H114" s="192"/>
    </row>
    <row r="115" spans="6:8">
      <c r="F115" s="314"/>
      <c r="G115" s="639"/>
      <c r="H115" s="191"/>
    </row>
    <row r="116" spans="6:8" ht="15">
      <c r="F116" s="86"/>
      <c r="G116" s="636"/>
      <c r="H116" s="87"/>
    </row>
    <row r="117" spans="6:8">
      <c r="F117" s="314"/>
      <c r="G117" s="639"/>
      <c r="H117" s="191"/>
    </row>
    <row r="118" spans="6:8">
      <c r="F118" s="314"/>
      <c r="G118" s="639"/>
      <c r="H118" s="192"/>
    </row>
    <row r="119" spans="6:8">
      <c r="F119" s="314"/>
      <c r="G119" s="639"/>
      <c r="H119" s="192"/>
    </row>
    <row r="120" spans="6:8">
      <c r="F120" s="314"/>
      <c r="H120" s="193"/>
    </row>
    <row r="121" spans="6:8">
      <c r="F121" s="314"/>
      <c r="G121" s="639"/>
      <c r="H121" s="192"/>
    </row>
    <row r="122" spans="6:8">
      <c r="F122" s="314"/>
      <c r="G122" s="639"/>
      <c r="H122" s="192"/>
    </row>
    <row r="123" spans="6:8">
      <c r="F123" s="314"/>
      <c r="G123" s="639"/>
      <c r="H123" s="192"/>
    </row>
    <row r="124" spans="6:8">
      <c r="F124" s="314"/>
      <c r="G124" s="639"/>
      <c r="H124" s="192"/>
    </row>
    <row r="125" spans="6:8">
      <c r="F125" s="314"/>
      <c r="G125" s="639"/>
      <c r="H125" s="192"/>
    </row>
    <row r="126" spans="6:8">
      <c r="F126" s="314"/>
      <c r="G126" s="639"/>
      <c r="H126" s="192"/>
    </row>
    <row r="127" spans="6:8">
      <c r="F127" s="314"/>
      <c r="H127" s="193"/>
    </row>
    <row r="128" spans="6:8">
      <c r="F128" s="314"/>
      <c r="H128" s="193"/>
    </row>
    <row r="129" spans="6:8">
      <c r="F129" s="314"/>
      <c r="G129" s="639"/>
      <c r="H129" s="192"/>
    </row>
    <row r="130" spans="6:8">
      <c r="F130" s="314"/>
      <c r="H130" s="193"/>
    </row>
    <row r="131" spans="6:8">
      <c r="F131" s="314"/>
      <c r="H131" s="193"/>
    </row>
    <row r="132" spans="6:8">
      <c r="F132" s="314"/>
      <c r="G132" s="639"/>
      <c r="H132" s="192"/>
    </row>
    <row r="133" spans="6:8">
      <c r="F133" s="314"/>
      <c r="G133" s="175"/>
      <c r="H133" s="194"/>
    </row>
  </sheetData>
  <mergeCells count="19">
    <mergeCell ref="A1:H1"/>
    <mergeCell ref="A2:H2"/>
    <mergeCell ref="A3:H3"/>
    <mergeCell ref="A4:H4"/>
    <mergeCell ref="A5:H6"/>
    <mergeCell ref="K92:L92"/>
    <mergeCell ref="A7:H7"/>
    <mergeCell ref="A8:F8"/>
    <mergeCell ref="G8:G9"/>
    <mergeCell ref="H8:H9"/>
    <mergeCell ref="A91:H92"/>
    <mergeCell ref="A24:H25"/>
    <mergeCell ref="A26:H26"/>
    <mergeCell ref="A23:G23"/>
    <mergeCell ref="A39:G39"/>
    <mergeCell ref="A89:G89"/>
    <mergeCell ref="D88:G88"/>
    <mergeCell ref="D42:G42"/>
    <mergeCell ref="A87:G87"/>
  </mergeCells>
  <phoneticPr fontId="11" type="noConversion"/>
  <pageMargins left="1.1299999999999999" right="0.12" top="0.17" bottom="0.65" header="7.874015748031496E-2" footer="0.25"/>
  <pageSetup orientation="portrait" verticalDpi="300"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28</vt:i4>
      </vt:variant>
      <vt:variant>
        <vt:lpstr>Rangos con nombre</vt:lpstr>
      </vt:variant>
      <vt:variant>
        <vt:i4>6</vt:i4>
      </vt:variant>
    </vt:vector>
  </HeadingPairs>
  <TitlesOfParts>
    <vt:vector size="34" baseType="lpstr">
      <vt:lpstr>Decreto del presupuesto </vt:lpstr>
      <vt:lpstr>RESUMEN DE INGRESOS </vt:lpstr>
      <vt:lpstr>Ingresos</vt:lpstr>
      <vt:lpstr>concent, de egresos. carta</vt:lpstr>
      <vt:lpstr>CONCENTRACION DE EGRESOS</vt:lpstr>
      <vt:lpstr>PAG, FOND, PROP</vt:lpstr>
      <vt:lpstr>FONDOS PROPIOS</vt:lpstr>
      <vt:lpstr>25% FODES </vt:lpstr>
      <vt:lpstr> 75% FODES AG3 </vt:lpstr>
      <vt:lpstr>INVER.FODES 75% AG 4</vt:lpstr>
      <vt:lpstr>AG 4 0402  2% FODES</vt:lpstr>
      <vt:lpstr>Pres.Servicio Deuda Publica</vt:lpstr>
      <vt:lpstr>Saldos de ctas. Bancarias</vt:lpstr>
      <vt:lpstr>FOND GENE.109</vt:lpstr>
      <vt:lpstr>Media Simple 5 años ingresos</vt:lpstr>
      <vt:lpstr> Metodo de regresion Lineal</vt:lpstr>
      <vt:lpstr>Proy. de recur.Humanos</vt:lpstr>
      <vt:lpstr>Concen. de  Recursos Huma</vt:lpstr>
      <vt:lpstr>LIQUID, PROY</vt:lpstr>
      <vt:lpstr>proy, original</vt:lpstr>
      <vt:lpstr>Detalle de proy. diversos 2020</vt:lpstr>
      <vt:lpstr>PROY,0301</vt:lpstr>
      <vt:lpstr>PROY. 2% FODE</vt:lpstr>
      <vt:lpstr>PROY,0302</vt:lpstr>
      <vt:lpstr>PROY,0401</vt:lpstr>
      <vt:lpstr>Hoja2</vt:lpstr>
      <vt:lpstr>Hoja3</vt:lpstr>
      <vt:lpstr>Hoja4</vt:lpstr>
      <vt:lpstr>'CONCENTRACION DE EGRESOS'!Área_de_impresión</vt:lpstr>
      <vt:lpstr>'Detalle de proy. diversos 2020'!Área_de_impresión</vt:lpstr>
      <vt:lpstr>Ingresos!Área_de_impresión</vt:lpstr>
      <vt:lpstr>'proy, original'!Área_de_impresión</vt:lpstr>
      <vt:lpstr>'Proy. de recur.Humanos'!Área_de_impresión</vt:lpstr>
      <vt:lpstr>'Saldos de ctas. Bancarias'!Área_de_impresión</vt:lpstr>
    </vt:vector>
  </TitlesOfParts>
  <Company>SUBDERE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Estructura de Presupuesto Municipal</dc:title>
  <dc:creator>Gastón Collao</dc:creator>
  <cp:lastModifiedBy>A. M. CHILTIUPAN</cp:lastModifiedBy>
  <cp:lastPrinted>2021-05-27T16:10:33Z</cp:lastPrinted>
  <dcterms:created xsi:type="dcterms:W3CDTF">2007-07-18T15:13:44Z</dcterms:created>
  <dcterms:modified xsi:type="dcterms:W3CDTF">2023-04-19T17:23:14Z</dcterms:modified>
</cp:coreProperties>
</file>