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 M. CHILTIUPAN\Desktop\"/>
    </mc:Choice>
  </mc:AlternateContent>
  <bookViews>
    <workbookView xWindow="0" yWindow="0" windowWidth="11910" windowHeight="2430" tabRatio="955" firstSheet="13" activeTab="21"/>
  </bookViews>
  <sheets>
    <sheet name="Decreto del presupuesto " sheetId="35" r:id="rId1"/>
    <sheet name="RESUMEN DE INGRESOS " sheetId="45" r:id="rId2"/>
    <sheet name="Ingresos" sheetId="16" r:id="rId3"/>
    <sheet name="concent, de egresos. carta" sheetId="82" r:id="rId4"/>
    <sheet name="CONCENTRACION DE EGRESOS" sheetId="23" state="hidden" r:id="rId5"/>
    <sheet name="PAG, FOND, PROP" sheetId="59" r:id="rId6"/>
    <sheet name="FONDOS PROPIOS" sheetId="56" r:id="rId7"/>
    <sheet name="120 libre Administ." sheetId="57" r:id="rId8"/>
    <sheet name="120- Libre disp, social" sheetId="38" r:id="rId9"/>
    <sheet name="INVER.FODES 75% AG 4" sheetId="37" state="hidden" r:id="rId10"/>
    <sheet name="AG 4 0402  2% FODES" sheetId="85" state="hidden" r:id="rId11"/>
    <sheet name="Pres.Servicio Deuda Publica" sheetId="28" state="hidden" r:id="rId12"/>
    <sheet name="FOND GENE.109" sheetId="83" state="hidden" r:id="rId13"/>
    <sheet name="2% FODES" sheetId="90" r:id="rId14"/>
    <sheet name="Saldos de ctas. Bancarias" sheetId="29" r:id="rId15"/>
    <sheet name="Media Simple 5 años ingresos" sheetId="27" r:id="rId16"/>
    <sheet name=" Metodo de regresion Lineal" sheetId="32" r:id="rId17"/>
    <sheet name="Proy. de recur.Humanos" sheetId="34" r:id="rId18"/>
    <sheet name="Concen. de  Recursos Huma" sheetId="33" r:id="rId19"/>
    <sheet name="Proy. Original" sheetId="64" r:id="rId20"/>
    <sheet name="Hoja1" sheetId="89" state="hidden" r:id="rId21"/>
    <sheet name="PROY. 120" sheetId="80" r:id="rId22"/>
    <sheet name="Hoja3" sheetId="88" state="hidden" r:id="rId23"/>
  </sheets>
  <definedNames>
    <definedName name="_xlnm.Print_Area" localSheetId="4">'CONCENTRACION DE EGRESOS'!$A$1:$W$99</definedName>
    <definedName name="_xlnm.Print_Area" localSheetId="2">Ingresos!$A$1:$M$50</definedName>
    <definedName name="_xlnm.Print_Area" localSheetId="21">'PROY. 120'!$A$1:$I$718</definedName>
    <definedName name="_xlnm.Print_Area" localSheetId="17">'Proy. de recur.Humanos'!$A$1:$Q$109</definedName>
    <definedName name="_xlnm.Print_Area" localSheetId="19">'Proy. Original'!$B$3:$X$51</definedName>
    <definedName name="_xlnm.Print_Area" localSheetId="14">'Saldos de ctas. Bancarias'!$A$1:$W$81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3" i="57" l="1"/>
  <c r="I9" i="38"/>
  <c r="I11" i="38"/>
  <c r="I12" i="38"/>
  <c r="I13" i="38"/>
  <c r="I54" i="38" s="1"/>
  <c r="I14" i="38"/>
  <c r="I15" i="38"/>
  <c r="I16" i="38"/>
  <c r="I17" i="38"/>
  <c r="I18" i="38"/>
  <c r="I20" i="38"/>
  <c r="I23" i="38"/>
  <c r="I24" i="38"/>
  <c r="I25" i="38"/>
  <c r="I28" i="38"/>
  <c r="I29" i="38"/>
  <c r="I30" i="38"/>
  <c r="I31" i="38"/>
  <c r="I32" i="38"/>
  <c r="I36" i="38"/>
  <c r="I37" i="38"/>
  <c r="I39" i="38"/>
  <c r="I44" i="38"/>
  <c r="I46" i="38"/>
  <c r="I53" i="38"/>
  <c r="H11" i="90"/>
  <c r="H52" i="57" l="1"/>
  <c r="H48" i="38"/>
  <c r="J40" i="64"/>
  <c r="J45" i="64" s="1"/>
  <c r="H19" i="80"/>
  <c r="G3" i="59"/>
  <c r="F27" i="59"/>
  <c r="H9" i="59"/>
  <c r="I4" i="59"/>
  <c r="I5" i="59"/>
  <c r="I6" i="59"/>
  <c r="I7" i="59"/>
  <c r="I8" i="59"/>
  <c r="I9" i="59"/>
  <c r="I10" i="59"/>
  <c r="I11" i="59"/>
  <c r="I12" i="59"/>
  <c r="H4" i="59"/>
  <c r="H5" i="59"/>
  <c r="H6" i="59"/>
  <c r="H7" i="59"/>
  <c r="H8" i="59"/>
  <c r="H10" i="59"/>
  <c r="H11" i="59"/>
  <c r="H12" i="59"/>
  <c r="H3" i="59"/>
  <c r="G4" i="59"/>
  <c r="G5" i="59"/>
  <c r="G6" i="59"/>
  <c r="G7" i="59"/>
  <c r="G8" i="59"/>
  <c r="G10" i="59"/>
  <c r="G11" i="59"/>
  <c r="G12" i="59"/>
  <c r="H686" i="80"/>
  <c r="K40" i="64" l="1"/>
  <c r="G9" i="59"/>
  <c r="J90" i="82"/>
  <c r="Q18" i="29" l="1"/>
  <c r="R18" i="29" s="1"/>
  <c r="Q17" i="29"/>
  <c r="R17" i="29" s="1"/>
  <c r="R16" i="29"/>
  <c r="H500" i="80"/>
  <c r="J15" i="82" l="1"/>
  <c r="J16" i="82"/>
  <c r="J19" i="82"/>
  <c r="J20" i="82"/>
  <c r="J27" i="82"/>
  <c r="J42" i="82"/>
  <c r="J56" i="82"/>
  <c r="J62" i="82"/>
  <c r="J63" i="82"/>
  <c r="J64" i="82"/>
  <c r="J65" i="82"/>
  <c r="J66" i="82"/>
  <c r="J67" i="82"/>
  <c r="J69" i="82"/>
  <c r="J70" i="82"/>
  <c r="J72" i="82"/>
  <c r="J74" i="82"/>
  <c r="J80" i="82"/>
  <c r="J81" i="82"/>
  <c r="J85" i="82"/>
  <c r="J86" i="82"/>
  <c r="J87" i="82"/>
  <c r="J88" i="82"/>
  <c r="J89" i="82"/>
  <c r="J91" i="82"/>
  <c r="J93" i="82"/>
  <c r="J94" i="82"/>
  <c r="J95" i="82"/>
  <c r="D49" i="16"/>
  <c r="C61" i="29"/>
  <c r="I12" i="82"/>
  <c r="H19" i="38"/>
  <c r="H21" i="38"/>
  <c r="H22" i="38"/>
  <c r="I29" i="82" s="1"/>
  <c r="H26" i="38"/>
  <c r="H27" i="38"/>
  <c r="H33" i="38"/>
  <c r="H34" i="38"/>
  <c r="I43" i="82" s="1"/>
  <c r="J43" i="82" s="1"/>
  <c r="H35" i="38"/>
  <c r="I45" i="82" s="1"/>
  <c r="H38" i="38"/>
  <c r="I48" i="82" s="1"/>
  <c r="H40" i="38"/>
  <c r="I51" i="82" s="1"/>
  <c r="H41" i="38"/>
  <c r="I52" i="82" s="1"/>
  <c r="J52" i="82" s="1"/>
  <c r="H42" i="38"/>
  <c r="H43" i="38"/>
  <c r="H45" i="38"/>
  <c r="I61" i="82" s="1"/>
  <c r="H47" i="38"/>
  <c r="H51" i="38"/>
  <c r="I83" i="82" s="1"/>
  <c r="J83" i="82" s="1"/>
  <c r="H52" i="38"/>
  <c r="I84" i="82" s="1"/>
  <c r="J84" i="82" s="1"/>
  <c r="H53" i="38"/>
  <c r="H44" i="38"/>
  <c r="I59" i="82" s="1"/>
  <c r="H39" i="38"/>
  <c r="I49" i="82" s="1"/>
  <c r="H37" i="38"/>
  <c r="I47" i="82" s="1"/>
  <c r="H30" i="38"/>
  <c r="I38" i="82" s="1"/>
  <c r="H36" i="38"/>
  <c r="I46" i="82" s="1"/>
  <c r="H32" i="38"/>
  <c r="H31" i="38"/>
  <c r="H29" i="38"/>
  <c r="H28" i="38"/>
  <c r="H25" i="38"/>
  <c r="H24" i="38"/>
  <c r="I31" i="82" s="1"/>
  <c r="H23" i="38"/>
  <c r="I30" i="82" s="1"/>
  <c r="H20" i="38"/>
  <c r="H18" i="38"/>
  <c r="I24" i="82" s="1"/>
  <c r="H17" i="38"/>
  <c r="I23" i="82" s="1"/>
  <c r="H16" i="38"/>
  <c r="I22" i="82" s="1"/>
  <c r="H15" i="38"/>
  <c r="I21" i="82" s="1"/>
  <c r="H14" i="38"/>
  <c r="I18" i="82" s="1"/>
  <c r="J39" i="34"/>
  <c r="M45" i="34"/>
  <c r="O39" i="34"/>
  <c r="M39" i="34"/>
  <c r="H13" i="38"/>
  <c r="I17" i="82" s="1"/>
  <c r="H12" i="38"/>
  <c r="I14" i="82" s="1"/>
  <c r="H11" i="38"/>
  <c r="H47" i="80"/>
  <c r="H659" i="80"/>
  <c r="H474" i="80"/>
  <c r="H418" i="80"/>
  <c r="H337" i="80"/>
  <c r="H139" i="80"/>
  <c r="H74" i="80"/>
  <c r="H630" i="80"/>
  <c r="H579" i="80"/>
  <c r="H549" i="80"/>
  <c r="H526" i="80"/>
  <c r="H443" i="80"/>
  <c r="H390" i="80"/>
  <c r="H361" i="80"/>
  <c r="H311" i="80"/>
  <c r="H602" i="80"/>
  <c r="H605" i="80"/>
  <c r="H96" i="80"/>
  <c r="H110" i="80"/>
  <c r="H104" i="80"/>
  <c r="H106" i="80"/>
  <c r="H107" i="80"/>
  <c r="F184" i="80"/>
  <c r="H160" i="80" s="1"/>
  <c r="G191" i="80"/>
  <c r="G192" i="80"/>
  <c r="G193" i="80"/>
  <c r="G194" i="80"/>
  <c r="G195" i="80"/>
  <c r="F196" i="80"/>
  <c r="H161" i="80" s="1"/>
  <c r="F200" i="80"/>
  <c r="G200" i="80" s="1"/>
  <c r="F201" i="80"/>
  <c r="G201" i="80" s="1"/>
  <c r="F202" i="80"/>
  <c r="G202" i="80" s="1"/>
  <c r="H164" i="80" s="1"/>
  <c r="H220" i="80"/>
  <c r="H241" i="80"/>
  <c r="F265" i="80"/>
  <c r="G265" i="80" s="1"/>
  <c r="H265" i="80" s="1"/>
  <c r="F266" i="80"/>
  <c r="G266" i="80" s="1"/>
  <c r="H266" i="80" s="1"/>
  <c r="H285" i="80"/>
  <c r="H9" i="38" l="1"/>
  <c r="H54" i="38" s="1"/>
  <c r="H267" i="80"/>
  <c r="H246" i="80" s="1"/>
  <c r="H257" i="80" s="1"/>
  <c r="H99" i="80"/>
  <c r="H112" i="80" s="1"/>
  <c r="H608" i="80"/>
  <c r="G196" i="80"/>
  <c r="H162" i="80" s="1"/>
  <c r="G203" i="80"/>
  <c r="H163" i="80"/>
  <c r="F203" i="80"/>
  <c r="H170" i="80" l="1"/>
  <c r="I12" i="29"/>
  <c r="I43" i="29" s="1"/>
  <c r="C67" i="29"/>
  <c r="C68" i="29" s="1"/>
  <c r="E6" i="29"/>
  <c r="J15" i="29"/>
  <c r="C55" i="29"/>
  <c r="H10" i="29"/>
  <c r="G57" i="29" s="1"/>
  <c r="K20" i="64" l="1"/>
  <c r="K21" i="64"/>
  <c r="K22" i="64"/>
  <c r="K23" i="64"/>
  <c r="K24" i="64"/>
  <c r="K25" i="64"/>
  <c r="K26" i="64"/>
  <c r="K27" i="64"/>
  <c r="K28" i="64"/>
  <c r="K30" i="64"/>
  <c r="K31" i="64"/>
  <c r="K32" i="64"/>
  <c r="K33" i="64"/>
  <c r="K12" i="64"/>
  <c r="K13" i="64"/>
  <c r="K11" i="64"/>
  <c r="K41" i="64"/>
  <c r="K39" i="64"/>
  <c r="J29" i="64"/>
  <c r="K29" i="64" l="1"/>
  <c r="J35" i="64"/>
  <c r="K45" i="64"/>
  <c r="K18" i="64"/>
  <c r="I39" i="34"/>
  <c r="K35" i="64" l="1"/>
  <c r="G50" i="16"/>
  <c r="J50" i="16"/>
  <c r="L50" i="16"/>
  <c r="E48" i="16"/>
  <c r="E50" i="16" s="1"/>
  <c r="C60" i="29"/>
  <c r="C62" i="29" s="1"/>
  <c r="I98" i="82" s="1"/>
  <c r="G9" i="29"/>
  <c r="G43" i="29" s="1"/>
  <c r="F8" i="29"/>
  <c r="C57" i="29" s="1"/>
  <c r="C58" i="29" s="1"/>
  <c r="G55" i="29" l="1"/>
  <c r="H43" i="29"/>
  <c r="H30" i="56"/>
  <c r="G63" i="27"/>
  <c r="K28" i="59"/>
  <c r="K29" i="59"/>
  <c r="K30" i="59"/>
  <c r="K31" i="59"/>
  <c r="K32" i="59"/>
  <c r="K33" i="59"/>
  <c r="K34" i="59"/>
  <c r="K35" i="59"/>
  <c r="K36" i="59"/>
  <c r="K37" i="59"/>
  <c r="K38" i="59"/>
  <c r="K27" i="59"/>
  <c r="I28" i="59"/>
  <c r="I29" i="59"/>
  <c r="I30" i="59"/>
  <c r="I31" i="59"/>
  <c r="I32" i="59"/>
  <c r="I33" i="59"/>
  <c r="I34" i="59"/>
  <c r="I35" i="59"/>
  <c r="I36" i="59"/>
  <c r="I37" i="59"/>
  <c r="I38" i="59"/>
  <c r="I27" i="59"/>
  <c r="H28" i="59"/>
  <c r="H29" i="59"/>
  <c r="H30" i="59"/>
  <c r="H31" i="59"/>
  <c r="H32" i="59"/>
  <c r="H33" i="59"/>
  <c r="H34" i="59"/>
  <c r="H35" i="59"/>
  <c r="H36" i="59"/>
  <c r="H37" i="59"/>
  <c r="H38" i="59"/>
  <c r="H27" i="59"/>
  <c r="G28" i="59"/>
  <c r="G29" i="59"/>
  <c r="G30" i="59"/>
  <c r="G31" i="59"/>
  <c r="G32" i="59"/>
  <c r="G33" i="59"/>
  <c r="G34" i="59"/>
  <c r="G35" i="59"/>
  <c r="G36" i="59"/>
  <c r="G37" i="59"/>
  <c r="G38" i="59"/>
  <c r="G27" i="59"/>
  <c r="F28" i="59"/>
  <c r="F29" i="59"/>
  <c r="F30" i="59"/>
  <c r="F31" i="59"/>
  <c r="F32" i="59"/>
  <c r="F33" i="59"/>
  <c r="F34" i="59"/>
  <c r="F35" i="59"/>
  <c r="F36" i="59"/>
  <c r="F37" i="59"/>
  <c r="F38" i="59"/>
  <c r="C56" i="29" l="1"/>
  <c r="C48" i="16"/>
  <c r="D48" i="16"/>
  <c r="D50" i="16" s="1"/>
  <c r="I49" i="16"/>
  <c r="G62" i="27"/>
  <c r="G61" i="27" s="1"/>
  <c r="I25" i="82"/>
  <c r="J25" i="82" s="1"/>
  <c r="N83" i="34"/>
  <c r="C81" i="34"/>
  <c r="L11" i="34"/>
  <c r="N11" i="34"/>
  <c r="N36" i="34" s="1"/>
  <c r="L59" i="34"/>
  <c r="N59" i="34"/>
  <c r="G59" i="34"/>
  <c r="H58" i="34"/>
  <c r="O58" i="34" s="1"/>
  <c r="I58" i="34"/>
  <c r="J58" i="34"/>
  <c r="H57" i="34"/>
  <c r="K57" i="34" s="1"/>
  <c r="I57" i="34"/>
  <c r="J57" i="34"/>
  <c r="J14" i="64"/>
  <c r="J47" i="64" l="1"/>
  <c r="J49" i="64" s="1"/>
  <c r="L36" i="34"/>
  <c r="O57" i="34"/>
  <c r="M58" i="34"/>
  <c r="K58" i="34"/>
  <c r="M57" i="34"/>
  <c r="I9" i="34"/>
  <c r="I10" i="34"/>
  <c r="I12" i="34"/>
  <c r="I13" i="34"/>
  <c r="I16" i="34"/>
  <c r="I17" i="34"/>
  <c r="I18" i="34"/>
  <c r="I19" i="34"/>
  <c r="I15" i="34"/>
  <c r="I20" i="34"/>
  <c r="I21" i="34"/>
  <c r="I23" i="34"/>
  <c r="I24" i="34"/>
  <c r="I25" i="34"/>
  <c r="I28" i="34"/>
  <c r="I32" i="34"/>
  <c r="I30" i="34"/>
  <c r="I31" i="34"/>
  <c r="I33" i="34"/>
  <c r="I35" i="34"/>
  <c r="I40" i="34"/>
  <c r="I41" i="34"/>
  <c r="I42" i="34"/>
  <c r="I43" i="34"/>
  <c r="I44" i="34"/>
  <c r="I45" i="34"/>
  <c r="I49" i="34"/>
  <c r="I55" i="34"/>
  <c r="I56" i="34"/>
  <c r="H24" i="34"/>
  <c r="K24" i="34" s="1"/>
  <c r="J24" i="34"/>
  <c r="M24" i="34"/>
  <c r="O24" i="34"/>
  <c r="J51" i="27"/>
  <c r="J52" i="27"/>
  <c r="J53" i="27"/>
  <c r="J54" i="27"/>
  <c r="J55" i="27"/>
  <c r="J56" i="27"/>
  <c r="J57" i="27"/>
  <c r="J58" i="27"/>
  <c r="J60" i="27"/>
  <c r="J63" i="27"/>
  <c r="J44" i="27"/>
  <c r="J45" i="27"/>
  <c r="J46" i="27"/>
  <c r="J47" i="27"/>
  <c r="J48" i="27"/>
  <c r="J50" i="27"/>
  <c r="J43" i="27"/>
  <c r="J39" i="27"/>
  <c r="J40" i="27"/>
  <c r="J38" i="27"/>
  <c r="J34" i="27"/>
  <c r="J35" i="27"/>
  <c r="J33" i="27"/>
  <c r="J20" i="27"/>
  <c r="J21" i="27"/>
  <c r="J22" i="27"/>
  <c r="J23" i="27"/>
  <c r="J24" i="27"/>
  <c r="J25" i="27"/>
  <c r="J26" i="27"/>
  <c r="J27" i="27"/>
  <c r="J28" i="27"/>
  <c r="J29" i="27"/>
  <c r="J30" i="27"/>
  <c r="J31" i="27"/>
  <c r="J19" i="27"/>
  <c r="J9" i="27"/>
  <c r="J10" i="27"/>
  <c r="J11" i="27"/>
  <c r="J12" i="27"/>
  <c r="J13" i="27"/>
  <c r="J14" i="27"/>
  <c r="J15" i="27"/>
  <c r="J16" i="27"/>
  <c r="J8" i="27"/>
  <c r="D63" i="27"/>
  <c r="C47" i="27"/>
  <c r="C46" i="27"/>
  <c r="H62" i="34"/>
  <c r="P57" i="34" l="1"/>
  <c r="Q57" i="34" s="1"/>
  <c r="I59" i="34"/>
  <c r="P58" i="34"/>
  <c r="Q58" i="34" s="1"/>
  <c r="P24" i="34"/>
  <c r="Q24" i="34" s="1"/>
  <c r="J31" i="34"/>
  <c r="H21" i="34"/>
  <c r="K21" i="34" s="1"/>
  <c r="J21" i="34"/>
  <c r="M21" i="34"/>
  <c r="O21" i="34"/>
  <c r="H20" i="34"/>
  <c r="K20" i="34" s="1"/>
  <c r="J20" i="34"/>
  <c r="M20" i="34"/>
  <c r="O20" i="34"/>
  <c r="H15" i="34"/>
  <c r="K15" i="34" s="1"/>
  <c r="J15" i="34"/>
  <c r="M15" i="34"/>
  <c r="O15" i="34"/>
  <c r="H19" i="34"/>
  <c r="K19" i="34" s="1"/>
  <c r="J19" i="34"/>
  <c r="M19" i="34"/>
  <c r="O19" i="34"/>
  <c r="H18" i="34"/>
  <c r="K18" i="34" s="1"/>
  <c r="J18" i="34"/>
  <c r="M18" i="34"/>
  <c r="O18" i="34"/>
  <c r="H16" i="34"/>
  <c r="K16" i="34" s="1"/>
  <c r="J16" i="34"/>
  <c r="M16" i="34"/>
  <c r="O16" i="34"/>
  <c r="H17" i="34"/>
  <c r="K17" i="34" s="1"/>
  <c r="J17" i="34"/>
  <c r="M17" i="34"/>
  <c r="O17" i="34"/>
  <c r="I14" i="34"/>
  <c r="H12" i="34"/>
  <c r="J12" i="34"/>
  <c r="M12" i="34"/>
  <c r="O12" i="34"/>
  <c r="H13" i="34"/>
  <c r="K13" i="34" s="1"/>
  <c r="J13" i="34"/>
  <c r="M13" i="34"/>
  <c r="O13" i="34"/>
  <c r="H10" i="34"/>
  <c r="K10" i="34" s="1"/>
  <c r="J10" i="34"/>
  <c r="M10" i="34"/>
  <c r="O10" i="34"/>
  <c r="I3" i="59"/>
  <c r="K10" i="59"/>
  <c r="K11" i="59"/>
  <c r="K12" i="59"/>
  <c r="K9" i="59"/>
  <c r="K4" i="59"/>
  <c r="K5" i="59"/>
  <c r="K6" i="59"/>
  <c r="K7" i="59"/>
  <c r="K8" i="59"/>
  <c r="K3" i="59"/>
  <c r="T11" i="59"/>
  <c r="H14" i="34" l="1"/>
  <c r="H31" i="34"/>
  <c r="M31" i="34"/>
  <c r="O31" i="34"/>
  <c r="P21" i="34"/>
  <c r="Q21" i="34" s="1"/>
  <c r="P20" i="34"/>
  <c r="Q20" i="34" s="1"/>
  <c r="P15" i="34"/>
  <c r="Q15" i="34" s="1"/>
  <c r="P19" i="34"/>
  <c r="Q19" i="34" s="1"/>
  <c r="J14" i="34"/>
  <c r="P18" i="34"/>
  <c r="Q18" i="34" s="1"/>
  <c r="P17" i="34"/>
  <c r="Q17" i="34" s="1"/>
  <c r="P16" i="34"/>
  <c r="Q16" i="34" s="1"/>
  <c r="P13" i="34"/>
  <c r="Q13" i="34" s="1"/>
  <c r="K12" i="34"/>
  <c r="P10" i="34"/>
  <c r="Q10" i="34" s="1"/>
  <c r="P14" i="34" l="1"/>
  <c r="Q14" i="34" s="1"/>
  <c r="P12" i="34"/>
  <c r="K31" i="34"/>
  <c r="P31" i="34" s="1"/>
  <c r="Q31" i="34" s="1"/>
  <c r="Q12" i="34" l="1"/>
  <c r="G13" i="59" l="1"/>
  <c r="C70" i="34"/>
  <c r="K95" i="82" l="1"/>
  <c r="C40" i="82"/>
  <c r="C41" i="82"/>
  <c r="C39" i="82"/>
  <c r="C29" i="82"/>
  <c r="G34" i="34"/>
  <c r="H34" i="34" l="1"/>
  <c r="K34" i="34" s="1"/>
  <c r="I34" i="34"/>
  <c r="J34" i="34"/>
  <c r="M34" i="34"/>
  <c r="O34" i="34"/>
  <c r="J62" i="27"/>
  <c r="J61" i="27" l="1"/>
  <c r="P34" i="34"/>
  <c r="Q34" i="34" s="1"/>
  <c r="C64" i="29" l="1"/>
  <c r="C66" i="29" s="1"/>
  <c r="H75" i="82" s="1"/>
  <c r="H97" i="82" s="1"/>
  <c r="E24" i="85" l="1"/>
  <c r="D24" i="85"/>
  <c r="A24" i="85"/>
  <c r="H27" i="85" l="1"/>
  <c r="G73" i="82" l="1"/>
  <c r="L50" i="34" l="1"/>
  <c r="N50" i="34"/>
  <c r="G50" i="34"/>
  <c r="O49" i="34"/>
  <c r="O50" i="34" s="1"/>
  <c r="M49" i="34"/>
  <c r="M50" i="34" s="1"/>
  <c r="J49" i="34"/>
  <c r="J50" i="34" s="1"/>
  <c r="C109" i="34" s="1"/>
  <c r="H11" i="37" s="1"/>
  <c r="I50" i="34"/>
  <c r="D109" i="34" s="1"/>
  <c r="H12" i="37" s="1"/>
  <c r="H49" i="34"/>
  <c r="K49" i="34" s="1"/>
  <c r="K50" i="34" s="1"/>
  <c r="Q107" i="34" s="1"/>
  <c r="H14" i="37" s="1"/>
  <c r="G46" i="34"/>
  <c r="L107" i="34" l="1"/>
  <c r="H13" i="37" s="1"/>
  <c r="H50" i="34"/>
  <c r="C106" i="34" s="1"/>
  <c r="H10" i="37" s="1"/>
  <c r="P49" i="34"/>
  <c r="Q49" i="34" l="1"/>
  <c r="Q50" i="34" s="1"/>
  <c r="P50" i="34"/>
  <c r="H30" i="83" l="1"/>
  <c r="F49" i="16" l="1"/>
  <c r="F42" i="16"/>
  <c r="H42" i="16" l="1"/>
  <c r="J43" i="29" l="1"/>
  <c r="G58" i="29" s="1"/>
  <c r="G59" i="29" s="1"/>
  <c r="C70" i="29"/>
  <c r="K48" i="16" s="1"/>
  <c r="K50" i="16" s="1"/>
  <c r="F48" i="16" l="1"/>
  <c r="M15" i="29"/>
  <c r="M14" i="29"/>
  <c r="M13" i="29"/>
  <c r="H48" i="16" l="1"/>
  <c r="F50" i="16"/>
  <c r="F62" i="27"/>
  <c r="F61" i="27" s="1"/>
  <c r="E62" i="27"/>
  <c r="E61" i="27" s="1"/>
  <c r="D62" i="27"/>
  <c r="D61" i="27" s="1"/>
  <c r="C62" i="27"/>
  <c r="C61" i="27" s="1"/>
  <c r="G37" i="82" l="1"/>
  <c r="J37" i="82" s="1"/>
  <c r="K46" i="64" l="1"/>
  <c r="K14" i="64" l="1"/>
  <c r="K47" i="64" l="1"/>
  <c r="J3" i="59"/>
  <c r="H13" i="59"/>
  <c r="C61" i="82" l="1"/>
  <c r="J61" i="82" s="1"/>
  <c r="K62" i="34"/>
  <c r="M62" i="34" l="1"/>
  <c r="F39" i="82" l="1"/>
  <c r="L54" i="34" l="1"/>
  <c r="N54" i="34"/>
  <c r="G54" i="34"/>
  <c r="L60" i="34" l="1"/>
  <c r="N60" i="34"/>
  <c r="G60" i="34"/>
  <c r="C86" i="34"/>
  <c r="H56" i="34"/>
  <c r="K56" i="34" s="1"/>
  <c r="J56" i="34"/>
  <c r="H55" i="34"/>
  <c r="J55" i="34"/>
  <c r="J59" i="34" l="1"/>
  <c r="K72" i="34" s="1"/>
  <c r="H59" i="34"/>
  <c r="C72" i="34" s="1"/>
  <c r="J72" i="34"/>
  <c r="F88" i="34" s="1"/>
  <c r="K55" i="34"/>
  <c r="K59" i="34" s="1"/>
  <c r="O55" i="34"/>
  <c r="O56" i="34"/>
  <c r="M56" i="34"/>
  <c r="M55" i="34"/>
  <c r="H12" i="56" l="1"/>
  <c r="C13" i="82" s="1"/>
  <c r="M59" i="34"/>
  <c r="D72" i="34" s="1"/>
  <c r="O59" i="34"/>
  <c r="F72" i="34"/>
  <c r="P55" i="34"/>
  <c r="P56" i="34"/>
  <c r="Q56" i="34" s="1"/>
  <c r="P59" i="34" l="1"/>
  <c r="F24" i="33"/>
  <c r="F13" i="82"/>
  <c r="H48" i="56" s="1"/>
  <c r="H72" i="34"/>
  <c r="Q55" i="34"/>
  <c r="Q59" i="34" s="1"/>
  <c r="O62" i="34" l="1"/>
  <c r="O32" i="34"/>
  <c r="O33" i="34"/>
  <c r="O40" i="34"/>
  <c r="O41" i="34"/>
  <c r="O42" i="34"/>
  <c r="O43" i="34"/>
  <c r="O44" i="34"/>
  <c r="O45" i="34"/>
  <c r="O46" i="34" l="1"/>
  <c r="H40" i="34"/>
  <c r="J40" i="34"/>
  <c r="M40" i="34"/>
  <c r="K40" i="34" l="1"/>
  <c r="P40" i="34" s="1"/>
  <c r="Q40" i="34" s="1"/>
  <c r="N13" i="23" l="1"/>
  <c r="G14" i="23"/>
  <c r="J14" i="23"/>
  <c r="K14" i="23"/>
  <c r="R14" i="23"/>
  <c r="H17" i="23"/>
  <c r="W17" i="23" s="1"/>
  <c r="W18" i="23"/>
  <c r="W21" i="23"/>
  <c r="W22" i="23"/>
  <c r="C23" i="23"/>
  <c r="G23" i="23"/>
  <c r="R23" i="23"/>
  <c r="F24" i="23"/>
  <c r="N24" i="23"/>
  <c r="G25" i="23"/>
  <c r="K25" i="23"/>
  <c r="G26" i="23"/>
  <c r="H26" i="23"/>
  <c r="I26" i="23"/>
  <c r="J26" i="23"/>
  <c r="R26" i="23"/>
  <c r="F27" i="23"/>
  <c r="G27" i="23"/>
  <c r="K27" i="23"/>
  <c r="R27" i="23"/>
  <c r="W28" i="23"/>
  <c r="G29" i="23"/>
  <c r="G30" i="23"/>
  <c r="R30" i="23"/>
  <c r="F31" i="23"/>
  <c r="R31" i="23"/>
  <c r="F32" i="23"/>
  <c r="K32" i="23"/>
  <c r="R32" i="23"/>
  <c r="G33" i="23"/>
  <c r="H33" i="23"/>
  <c r="I33" i="23"/>
  <c r="J33" i="23"/>
  <c r="N33" i="23"/>
  <c r="G34" i="23"/>
  <c r="H34" i="23"/>
  <c r="I34" i="23"/>
  <c r="J34" i="23"/>
  <c r="F36" i="23"/>
  <c r="G36" i="23"/>
  <c r="J36" i="23"/>
  <c r="K36" i="23"/>
  <c r="R36" i="23"/>
  <c r="F37" i="23"/>
  <c r="G37" i="23"/>
  <c r="J37" i="23"/>
  <c r="H38" i="23"/>
  <c r="W38" i="23" s="1"/>
  <c r="C39" i="23"/>
  <c r="F39" i="23"/>
  <c r="G39" i="23"/>
  <c r="H39" i="23"/>
  <c r="J39" i="23"/>
  <c r="K39" i="23"/>
  <c r="R39" i="23"/>
  <c r="G40" i="23"/>
  <c r="G41" i="23"/>
  <c r="G42" i="23"/>
  <c r="G43" i="23"/>
  <c r="W43" i="23" s="1"/>
  <c r="W44" i="23"/>
  <c r="C45" i="23"/>
  <c r="G45" i="23"/>
  <c r="J45" i="23"/>
  <c r="N45" i="23"/>
  <c r="C46" i="23"/>
  <c r="G46" i="23"/>
  <c r="F47" i="23"/>
  <c r="G47" i="23"/>
  <c r="J47" i="23"/>
  <c r="N47" i="23"/>
  <c r="C48" i="23"/>
  <c r="G48" i="23"/>
  <c r="H48" i="23"/>
  <c r="J48" i="23"/>
  <c r="K48" i="23"/>
  <c r="R48" i="23"/>
  <c r="G49" i="23"/>
  <c r="W49" i="23" s="1"/>
  <c r="G50" i="23"/>
  <c r="C51" i="23"/>
  <c r="G51" i="23"/>
  <c r="C52" i="23"/>
  <c r="N52" i="23"/>
  <c r="R52" i="23"/>
  <c r="N53" i="23"/>
  <c r="R53" i="23"/>
  <c r="C54" i="23"/>
  <c r="G54" i="23"/>
  <c r="N54" i="23"/>
  <c r="G55" i="23"/>
  <c r="H55" i="23"/>
  <c r="I55" i="23"/>
  <c r="J55" i="23"/>
  <c r="G56" i="23"/>
  <c r="H56" i="23"/>
  <c r="I56" i="23"/>
  <c r="J56" i="23"/>
  <c r="W57" i="23"/>
  <c r="C58" i="23"/>
  <c r="G58" i="23"/>
  <c r="G59" i="23"/>
  <c r="W59" i="23" s="1"/>
  <c r="G60" i="23"/>
  <c r="G61" i="23"/>
  <c r="W61" i="23" s="1"/>
  <c r="G62" i="23"/>
  <c r="R62" i="23"/>
  <c r="W63" i="23"/>
  <c r="W64" i="23"/>
  <c r="W65" i="23"/>
  <c r="W66" i="23"/>
  <c r="V67" i="23"/>
  <c r="W67" i="23" s="1"/>
  <c r="V68" i="23"/>
  <c r="W68" i="23" s="1"/>
  <c r="G69" i="23"/>
  <c r="W69" i="23" s="1"/>
  <c r="W70" i="23"/>
  <c r="G71" i="23"/>
  <c r="W71" i="23" s="1"/>
  <c r="G72" i="23"/>
  <c r="H72" i="23"/>
  <c r="G73" i="23"/>
  <c r="H73" i="23"/>
  <c r="W75" i="23"/>
  <c r="C76" i="23"/>
  <c r="G76" i="23"/>
  <c r="R76" i="23"/>
  <c r="N77" i="23"/>
  <c r="W77" i="23" s="1"/>
  <c r="G78" i="23"/>
  <c r="W78" i="23" s="1"/>
  <c r="G79" i="23"/>
  <c r="N79" i="23"/>
  <c r="G80" i="23"/>
  <c r="H80" i="23"/>
  <c r="W81" i="23"/>
  <c r="G82" i="23"/>
  <c r="W82" i="23" s="1"/>
  <c r="K83" i="23"/>
  <c r="R83" i="23"/>
  <c r="G84" i="23"/>
  <c r="W84" i="23" s="1"/>
  <c r="K85" i="23"/>
  <c r="N85" i="23"/>
  <c r="R85" i="23"/>
  <c r="R86" i="23"/>
  <c r="W86" i="23" s="1"/>
  <c r="W87" i="23"/>
  <c r="M88" i="23"/>
  <c r="R90" i="23"/>
  <c r="W90" i="23" s="1"/>
  <c r="M91" i="23"/>
  <c r="N91" i="23"/>
  <c r="R91" i="23"/>
  <c r="W92" i="23"/>
  <c r="W93" i="23"/>
  <c r="V94" i="23"/>
  <c r="W94" i="23" s="1"/>
  <c r="C95" i="23"/>
  <c r="N95" i="23"/>
  <c r="L96" i="23"/>
  <c r="O96" i="23"/>
  <c r="P96" i="23"/>
  <c r="Q96" i="23"/>
  <c r="S96" i="23"/>
  <c r="T96" i="23"/>
  <c r="V98" i="23" s="1"/>
  <c r="U96" i="23"/>
  <c r="T97" i="23"/>
  <c r="V97" i="23"/>
  <c r="N76" i="23"/>
  <c r="F40" i="82"/>
  <c r="V99" i="23" l="1"/>
  <c r="W73" i="23"/>
  <c r="R98" i="23"/>
  <c r="W55" i="23"/>
  <c r="W72" i="23"/>
  <c r="W51" i="23"/>
  <c r="W58" i="23"/>
  <c r="W62" i="23"/>
  <c r="W24" i="23"/>
  <c r="W52" i="23"/>
  <c r="W53" i="23"/>
  <c r="V96" i="23"/>
  <c r="W95" i="23"/>
  <c r="W45" i="23"/>
  <c r="W54" i="23"/>
  <c r="W85" i="23"/>
  <c r="W76" i="23"/>
  <c r="W83" i="23"/>
  <c r="W79" i="23"/>
  <c r="W47" i="23"/>
  <c r="W33" i="23"/>
  <c r="R96" i="23"/>
  <c r="M96" i="23"/>
  <c r="T98" i="23" s="1"/>
  <c r="G22" i="34"/>
  <c r="I22" i="34" s="1"/>
  <c r="O23" i="34"/>
  <c r="O25" i="34"/>
  <c r="O28" i="34"/>
  <c r="G27" i="34"/>
  <c r="I27" i="34" s="1"/>
  <c r="O35" i="34"/>
  <c r="O22" i="34" l="1"/>
  <c r="O27" i="34"/>
  <c r="O9" i="34"/>
  <c r="M9" i="34"/>
  <c r="G8" i="34"/>
  <c r="G36" i="34" s="1"/>
  <c r="I8" i="34" l="1"/>
  <c r="I36" i="34" s="1"/>
  <c r="D88" i="34" s="1"/>
  <c r="O8" i="34"/>
  <c r="M8" i="34"/>
  <c r="O30" i="34"/>
  <c r="O36" i="34" l="1"/>
  <c r="J27" i="23"/>
  <c r="K91" i="23" l="1"/>
  <c r="W91" i="23" s="1"/>
  <c r="K89" i="23"/>
  <c r="W89" i="23" s="1"/>
  <c r="K88" i="23"/>
  <c r="W88" i="23" s="1"/>
  <c r="N29" i="23" l="1"/>
  <c r="W29" i="23" s="1"/>
  <c r="N35" i="23"/>
  <c r="W35" i="23" s="1"/>
  <c r="N48" i="23" l="1"/>
  <c r="W48" i="23" s="1"/>
  <c r="N50" i="23"/>
  <c r="W50" i="23" s="1"/>
  <c r="N39" i="23"/>
  <c r="W39" i="23" s="1"/>
  <c r="N31" i="23"/>
  <c r="N23" i="23"/>
  <c r="W23" i="23" s="1"/>
  <c r="N27" i="23"/>
  <c r="W27" i="23" s="1"/>
  <c r="C96" i="82" l="1"/>
  <c r="J96" i="82" s="1"/>
  <c r="I92" i="82"/>
  <c r="J92" i="82" s="1"/>
  <c r="G82" i="82"/>
  <c r="J82" i="82" s="1"/>
  <c r="G79" i="82"/>
  <c r="G78" i="82"/>
  <c r="J78" i="82" s="1"/>
  <c r="G77" i="82"/>
  <c r="J77" i="82" s="1"/>
  <c r="I76" i="82"/>
  <c r="J76" i="82" s="1"/>
  <c r="G71" i="82"/>
  <c r="J71" i="82" s="1"/>
  <c r="G68" i="82"/>
  <c r="J68" i="82" s="1"/>
  <c r="G60" i="82"/>
  <c r="J60" i="82" s="1"/>
  <c r="G59" i="82"/>
  <c r="J59" i="82" s="1"/>
  <c r="G58" i="82"/>
  <c r="J58" i="82" s="1"/>
  <c r="G57" i="82"/>
  <c r="J57" i="82" s="1"/>
  <c r="G55" i="82"/>
  <c r="G54" i="82"/>
  <c r="J54" i="82" s="1"/>
  <c r="I53" i="82"/>
  <c r="C53" i="82"/>
  <c r="C51" i="82"/>
  <c r="J51" i="82" s="1"/>
  <c r="G50" i="82"/>
  <c r="C50" i="82"/>
  <c r="G49" i="82"/>
  <c r="J49" i="82" s="1"/>
  <c r="G48" i="82"/>
  <c r="J48" i="82" s="1"/>
  <c r="G47" i="82"/>
  <c r="C47" i="82"/>
  <c r="G46" i="82"/>
  <c r="F46" i="82"/>
  <c r="G45" i="82"/>
  <c r="C45" i="82"/>
  <c r="G44" i="82"/>
  <c r="C44" i="82"/>
  <c r="G41" i="82"/>
  <c r="G40" i="82"/>
  <c r="G39" i="82"/>
  <c r="G38" i="82"/>
  <c r="F38" i="82"/>
  <c r="C38" i="82"/>
  <c r="G36" i="82"/>
  <c r="F36" i="82"/>
  <c r="G35" i="82"/>
  <c r="F35" i="82"/>
  <c r="I34" i="82"/>
  <c r="J34" i="82" s="1"/>
  <c r="G33" i="82"/>
  <c r="I32" i="82"/>
  <c r="G32" i="82"/>
  <c r="F31" i="82"/>
  <c r="J31" i="82" s="1"/>
  <c r="F30" i="82"/>
  <c r="J30" i="82" s="1"/>
  <c r="G29" i="82"/>
  <c r="J29" i="82" s="1"/>
  <c r="I28" i="82"/>
  <c r="G28" i="82"/>
  <c r="I26" i="82"/>
  <c r="G26" i="82"/>
  <c r="F26" i="82"/>
  <c r="G24" i="82"/>
  <c r="J24" i="82" s="1"/>
  <c r="G23" i="82"/>
  <c r="J23" i="82" s="1"/>
  <c r="F22" i="82"/>
  <c r="J22" i="82" s="1"/>
  <c r="G21" i="82"/>
  <c r="C21" i="82"/>
  <c r="J21" i="82" l="1"/>
  <c r="J28" i="82"/>
  <c r="J53" i="82"/>
  <c r="J26" i="82"/>
  <c r="J32" i="82"/>
  <c r="J38" i="82"/>
  <c r="J45" i="82"/>
  <c r="J47" i="82"/>
  <c r="J50" i="82"/>
  <c r="J44" i="82"/>
  <c r="J46" i="82"/>
  <c r="C75" i="82"/>
  <c r="K72" i="82" l="1"/>
  <c r="F32" i="35" s="1"/>
  <c r="C43" i="29"/>
  <c r="K31" i="23" l="1"/>
  <c r="I75" i="82"/>
  <c r="W31" i="23" l="1"/>
  <c r="K96" i="23"/>
  <c r="G75" i="82"/>
  <c r="J75" i="82" l="1"/>
  <c r="H35" i="37"/>
  <c r="H45" i="16" l="1"/>
  <c r="M45" i="16" s="1"/>
  <c r="H43" i="16"/>
  <c r="M43" i="16" s="1"/>
  <c r="H44" i="16"/>
  <c r="M44" i="16" s="1"/>
  <c r="H46" i="16"/>
  <c r="M46" i="16" s="1"/>
  <c r="H47" i="16"/>
  <c r="J48" i="64" l="1"/>
  <c r="F4" i="29"/>
  <c r="F18" i="27" l="1"/>
  <c r="F17" i="27" s="1"/>
  <c r="H63" i="34" l="1"/>
  <c r="N63" i="34"/>
  <c r="L63" i="34"/>
  <c r="J63" i="34"/>
  <c r="I63" i="34"/>
  <c r="I64" i="34" s="1"/>
  <c r="G63" i="34"/>
  <c r="G64" i="34" s="1"/>
  <c r="L64" i="34" l="1"/>
  <c r="N64" i="34"/>
  <c r="H53" i="34"/>
  <c r="I53" i="34"/>
  <c r="J53" i="34"/>
  <c r="I52" i="34"/>
  <c r="J52" i="34"/>
  <c r="H52" i="34"/>
  <c r="I54" i="34" l="1"/>
  <c r="J71" i="34" s="1"/>
  <c r="J74" i="34" s="1"/>
  <c r="H54" i="34"/>
  <c r="J54" i="34"/>
  <c r="J60" i="34" s="1"/>
  <c r="K53" i="34"/>
  <c r="J64" i="34"/>
  <c r="O63" i="34"/>
  <c r="H70" i="34"/>
  <c r="K52" i="34"/>
  <c r="M52" i="34"/>
  <c r="O53" i="34"/>
  <c r="M53" i="34"/>
  <c r="O52" i="34"/>
  <c r="D70" i="34"/>
  <c r="I60" i="34" l="1"/>
  <c r="N81" i="34"/>
  <c r="C71" i="34"/>
  <c r="K71" i="34"/>
  <c r="K74" i="34" s="1"/>
  <c r="M54" i="34"/>
  <c r="D71" i="34" s="1"/>
  <c r="D74" i="34" s="1"/>
  <c r="H60" i="34"/>
  <c r="O54" i="34"/>
  <c r="H71" i="34" s="1"/>
  <c r="H74" i="34" s="1"/>
  <c r="F89" i="34"/>
  <c r="F92" i="34" s="1"/>
  <c r="K54" i="34"/>
  <c r="F71" i="34" s="1"/>
  <c r="P62" i="34"/>
  <c r="Q62" i="34" s="1"/>
  <c r="H64" i="34"/>
  <c r="O64" i="34"/>
  <c r="P53" i="34"/>
  <c r="K63" i="34"/>
  <c r="K64" i="34" s="1"/>
  <c r="F70" i="34"/>
  <c r="N87" i="34" s="1"/>
  <c r="M63" i="34"/>
  <c r="P52" i="34"/>
  <c r="M60" i="34" l="1"/>
  <c r="H34" i="56"/>
  <c r="D13" i="23" s="1"/>
  <c r="W13" i="23" s="1"/>
  <c r="C74" i="34"/>
  <c r="O60" i="34"/>
  <c r="D13" i="82"/>
  <c r="J13" i="82" s="1"/>
  <c r="D24" i="33"/>
  <c r="G24" i="33" s="1"/>
  <c r="P54" i="34"/>
  <c r="P60" i="34" s="1"/>
  <c r="K60" i="34"/>
  <c r="F74" i="34"/>
  <c r="M64" i="34"/>
  <c r="Q53" i="34"/>
  <c r="Q63" i="34"/>
  <c r="P63" i="34"/>
  <c r="Q52" i="34"/>
  <c r="H35" i="56" l="1"/>
  <c r="D15" i="23" s="1"/>
  <c r="W15" i="23" s="1"/>
  <c r="Q54" i="34"/>
  <c r="Q60" i="34" s="1"/>
  <c r="Q64" i="34"/>
  <c r="P64" i="34"/>
  <c r="N32" i="23" l="1"/>
  <c r="W32" i="23" s="1"/>
  <c r="I79" i="82"/>
  <c r="J79" i="82" s="1"/>
  <c r="N80" i="23"/>
  <c r="W80" i="23" s="1"/>
  <c r="I41" i="82"/>
  <c r="J41" i="82" s="1"/>
  <c r="N42" i="23"/>
  <c r="W42" i="23" s="1"/>
  <c r="N26" i="23"/>
  <c r="W26" i="23" s="1"/>
  <c r="N46" i="23"/>
  <c r="W46" i="23" s="1"/>
  <c r="I33" i="82"/>
  <c r="J33" i="82" s="1"/>
  <c r="N34" i="23"/>
  <c r="W34" i="23" s="1"/>
  <c r="N60" i="23"/>
  <c r="W60" i="23" s="1"/>
  <c r="N14" i="23"/>
  <c r="I39" i="82"/>
  <c r="J39" i="82" s="1"/>
  <c r="N40" i="23"/>
  <c r="W40" i="23" s="1"/>
  <c r="I40" i="82"/>
  <c r="J40" i="82" s="1"/>
  <c r="N41" i="23"/>
  <c r="W41" i="23" s="1"/>
  <c r="N25" i="23"/>
  <c r="W25" i="23" s="1"/>
  <c r="I55" i="82"/>
  <c r="J55" i="82" s="1"/>
  <c r="N56" i="23"/>
  <c r="W56" i="23" s="1"/>
  <c r="I35" i="82"/>
  <c r="J35" i="82" s="1"/>
  <c r="N36" i="23"/>
  <c r="W36" i="23" s="1"/>
  <c r="N30" i="23"/>
  <c r="W30" i="23" s="1"/>
  <c r="I36" i="82"/>
  <c r="J36" i="82" s="1"/>
  <c r="N37" i="23"/>
  <c r="W37" i="23" s="1"/>
  <c r="Z10" i="23"/>
  <c r="K65" i="82" l="1"/>
  <c r="F31" i="35" s="1"/>
  <c r="K93" i="82"/>
  <c r="F34" i="35" s="1"/>
  <c r="F36" i="35" l="1"/>
  <c r="F3" i="29" l="1"/>
  <c r="C49" i="29" l="1"/>
  <c r="I48" i="16" s="1"/>
  <c r="G49" i="29"/>
  <c r="M39" i="16"/>
  <c r="M38" i="16"/>
  <c r="I50" i="16" l="1"/>
  <c r="M48" i="16"/>
  <c r="H49" i="16"/>
  <c r="C27" i="45" l="1"/>
  <c r="D98" i="82"/>
  <c r="I62" i="56" s="1"/>
  <c r="H32" i="34"/>
  <c r="K32" i="34" s="1"/>
  <c r="J32" i="34"/>
  <c r="M32" i="34"/>
  <c r="M33" i="34"/>
  <c r="J33" i="34" l="1"/>
  <c r="H33" i="34"/>
  <c r="K33" i="34" s="1"/>
  <c r="P32" i="34"/>
  <c r="Q32" i="34" s="1"/>
  <c r="P33" i="34" l="1"/>
  <c r="Q33" i="34" s="1"/>
  <c r="C41" i="16" l="1"/>
  <c r="M42" i="16" l="1"/>
  <c r="N44" i="16" l="1"/>
  <c r="F18" i="35" s="1"/>
  <c r="M20" i="16" l="1"/>
  <c r="M10" i="16"/>
  <c r="M11" i="16"/>
  <c r="M12" i="16"/>
  <c r="M13" i="16"/>
  <c r="M14" i="16"/>
  <c r="N97" i="23" l="1"/>
  <c r="G52" i="29"/>
  <c r="H97" i="23" l="1"/>
  <c r="G53" i="29" l="1"/>
  <c r="G54" i="29" s="1"/>
  <c r="M8" i="29"/>
  <c r="M6" i="29" l="1"/>
  <c r="C50" i="16" l="1"/>
  <c r="J4" i="59" l="1"/>
  <c r="L5" i="59"/>
  <c r="J6" i="59"/>
  <c r="L7" i="59"/>
  <c r="L8" i="59"/>
  <c r="J9" i="59"/>
  <c r="J10" i="59"/>
  <c r="J12" i="59"/>
  <c r="L3" i="59"/>
  <c r="M3" i="59" s="1"/>
  <c r="N3" i="59" s="1"/>
  <c r="E14" i="59"/>
  <c r="A28" i="59"/>
  <c r="A29" i="59" s="1"/>
  <c r="A30" i="59" s="1"/>
  <c r="A31" i="59" s="1"/>
  <c r="A32" i="59" s="1"/>
  <c r="A33" i="59" s="1"/>
  <c r="A34" i="59" s="1"/>
  <c r="A35" i="59" s="1"/>
  <c r="A36" i="59" s="1"/>
  <c r="A37" i="59" s="1"/>
  <c r="A38" i="59" s="1"/>
  <c r="K14" i="59"/>
  <c r="I14" i="59"/>
  <c r="A4" i="59"/>
  <c r="A5" i="59" s="1"/>
  <c r="A6" i="59" s="1"/>
  <c r="A7" i="59" s="1"/>
  <c r="A8" i="59" s="1"/>
  <c r="A9" i="59" s="1"/>
  <c r="A10" i="59" s="1"/>
  <c r="A11" i="59" s="1"/>
  <c r="A12" i="59" s="1"/>
  <c r="A13" i="59" s="1"/>
  <c r="L4" i="59" l="1"/>
  <c r="M4" i="59" s="1"/>
  <c r="N4" i="59" s="1"/>
  <c r="L12" i="59"/>
  <c r="M12" i="59" s="1"/>
  <c r="N12" i="59" s="1"/>
  <c r="L10" i="59"/>
  <c r="M10" i="59" s="1"/>
  <c r="N10" i="59" s="1"/>
  <c r="J8" i="59"/>
  <c r="M8" i="59" s="1"/>
  <c r="N8" i="59" s="1"/>
  <c r="K69" i="59"/>
  <c r="J7" i="59"/>
  <c r="M7" i="59" s="1"/>
  <c r="N7" i="59" s="1"/>
  <c r="L6" i="59"/>
  <c r="M6" i="59" s="1"/>
  <c r="N6" i="59" s="1"/>
  <c r="L13" i="59"/>
  <c r="J5" i="59"/>
  <c r="M5" i="59" s="1"/>
  <c r="N5" i="59" s="1"/>
  <c r="J11" i="59"/>
  <c r="L39" i="59"/>
  <c r="J13" i="59"/>
  <c r="J39" i="59"/>
  <c r="I39" i="59"/>
  <c r="K39" i="59"/>
  <c r="N35" i="59"/>
  <c r="N33" i="59"/>
  <c r="N27" i="59"/>
  <c r="M39" i="59"/>
  <c r="N28" i="59"/>
  <c r="N31" i="59"/>
  <c r="N30" i="59"/>
  <c r="H39" i="59"/>
  <c r="N34" i="59"/>
  <c r="N38" i="59"/>
  <c r="L11" i="59"/>
  <c r="F14" i="59"/>
  <c r="L9" i="59"/>
  <c r="M9" i="59" s="1"/>
  <c r="N9" i="59" s="1"/>
  <c r="N37" i="59"/>
  <c r="N32" i="59"/>
  <c r="N29" i="59"/>
  <c r="N36" i="59"/>
  <c r="G39" i="59"/>
  <c r="F39" i="59"/>
  <c r="N39" i="59" l="1"/>
  <c r="H46" i="56" s="1"/>
  <c r="M11" i="59"/>
  <c r="N11" i="59" s="1"/>
  <c r="M13" i="59"/>
  <c r="N13" i="59" s="1"/>
  <c r="H14" i="59"/>
  <c r="L14" i="59"/>
  <c r="J14" i="59"/>
  <c r="N14" i="59" l="1"/>
  <c r="F14" i="23"/>
  <c r="W14" i="23" s="1"/>
  <c r="N54" i="59"/>
  <c r="F12" i="82"/>
  <c r="J12" i="82" s="1"/>
  <c r="M14" i="59"/>
  <c r="A23" i="56" l="1"/>
  <c r="A24" i="56" s="1"/>
  <c r="A25" i="56" s="1"/>
  <c r="A26" i="56" s="1"/>
  <c r="A27" i="56" s="1"/>
  <c r="A28" i="56" s="1"/>
  <c r="A29" i="56" s="1"/>
  <c r="A30" i="56" s="1"/>
  <c r="A31" i="56" s="1"/>
  <c r="H44" i="34" l="1"/>
  <c r="K44" i="34" s="1"/>
  <c r="J44" i="34"/>
  <c r="M44" i="34"/>
  <c r="H43" i="34"/>
  <c r="K43" i="34" s="1"/>
  <c r="J43" i="34"/>
  <c r="M43" i="34"/>
  <c r="P44" i="34" l="1"/>
  <c r="Q44" i="34" s="1"/>
  <c r="P43" i="34"/>
  <c r="Q43" i="34" s="1"/>
  <c r="H60" i="27" l="1"/>
  <c r="I60" i="27" s="1"/>
  <c r="G59" i="27"/>
  <c r="J59" i="27" s="1"/>
  <c r="F59" i="27"/>
  <c r="H58" i="27"/>
  <c r="I58" i="27" s="1"/>
  <c r="H57" i="27"/>
  <c r="I57" i="27" s="1"/>
  <c r="H56" i="27"/>
  <c r="I56" i="27" s="1"/>
  <c r="H55" i="27"/>
  <c r="I55" i="27" s="1"/>
  <c r="H54" i="27"/>
  <c r="I54" i="27" s="1"/>
  <c r="H53" i="27"/>
  <c r="I53" i="27" s="1"/>
  <c r="H51" i="27"/>
  <c r="I51" i="27" s="1"/>
  <c r="H50" i="27"/>
  <c r="I50" i="27" s="1"/>
  <c r="F49" i="27"/>
  <c r="E49" i="27"/>
  <c r="D49" i="27"/>
  <c r="C49" i="27"/>
  <c r="H48" i="27"/>
  <c r="I48" i="27" s="1"/>
  <c r="F42" i="27"/>
  <c r="E42" i="27"/>
  <c r="D42" i="27"/>
  <c r="C42" i="27"/>
  <c r="H40" i="27"/>
  <c r="I40" i="27" s="1"/>
  <c r="F37" i="27"/>
  <c r="F36" i="27" s="1"/>
  <c r="E37" i="27"/>
  <c r="E36" i="27" s="1"/>
  <c r="D37" i="27"/>
  <c r="C37" i="27"/>
  <c r="C36" i="27" s="1"/>
  <c r="F32" i="27"/>
  <c r="E32" i="27"/>
  <c r="D32" i="27"/>
  <c r="C32" i="27"/>
  <c r="H30" i="27"/>
  <c r="I30" i="27" s="1"/>
  <c r="H22" i="27"/>
  <c r="I22" i="27" s="1"/>
  <c r="E18" i="27"/>
  <c r="D18" i="27"/>
  <c r="C18" i="27"/>
  <c r="H13" i="27"/>
  <c r="I13" i="27" s="1"/>
  <c r="H12" i="27"/>
  <c r="I12" i="27" s="1"/>
  <c r="H11" i="27"/>
  <c r="I11" i="27" s="1"/>
  <c r="H10" i="27"/>
  <c r="I10" i="27" s="1"/>
  <c r="H9" i="27"/>
  <c r="I9" i="27" s="1"/>
  <c r="F7" i="27"/>
  <c r="F6" i="27" s="1"/>
  <c r="E7" i="27"/>
  <c r="D7" i="27"/>
  <c r="C7" i="27"/>
  <c r="C6" i="27" s="1"/>
  <c r="D64" i="27" l="1"/>
  <c r="C7" i="32" s="1"/>
  <c r="C41" i="27"/>
  <c r="D6" i="27"/>
  <c r="E41" i="27"/>
  <c r="E64" i="27"/>
  <c r="C8" i="32" s="1"/>
  <c r="E17" i="27"/>
  <c r="H46" i="27"/>
  <c r="I46" i="27" s="1"/>
  <c r="F41" i="27"/>
  <c r="H47" i="27"/>
  <c r="I47" i="27" s="1"/>
  <c r="F64" i="27"/>
  <c r="C9" i="32" s="1"/>
  <c r="D9" i="32" s="1"/>
  <c r="D41" i="27"/>
  <c r="H59" i="27"/>
  <c r="I59" i="27" s="1"/>
  <c r="C64" i="27"/>
  <c r="C6" i="32" s="1"/>
  <c r="D6" i="32" s="1"/>
  <c r="D17" i="27"/>
  <c r="D36" i="27"/>
  <c r="E6" i="27"/>
  <c r="C17" i="27"/>
  <c r="H41" i="16" l="1"/>
  <c r="H50" i="16" l="1"/>
  <c r="C25" i="45" s="1"/>
  <c r="M41" i="16"/>
  <c r="N41" i="16" l="1"/>
  <c r="K43" i="29"/>
  <c r="G60" i="29" l="1"/>
  <c r="G62" i="29" s="1"/>
  <c r="H42" i="34"/>
  <c r="K42" i="34" s="1"/>
  <c r="J42" i="34"/>
  <c r="M42" i="34"/>
  <c r="H41" i="34"/>
  <c r="J41" i="34"/>
  <c r="M41" i="34"/>
  <c r="J45" i="34"/>
  <c r="H39" i="34"/>
  <c r="K39" i="34" s="1"/>
  <c r="H45" i="34"/>
  <c r="K45" i="34" s="1"/>
  <c r="M46" i="34" l="1"/>
  <c r="H46" i="34"/>
  <c r="K41" i="34"/>
  <c r="P41" i="34" s="1"/>
  <c r="Q41" i="34" s="1"/>
  <c r="P42" i="34"/>
  <c r="Q42" i="34" s="1"/>
  <c r="P45" i="34"/>
  <c r="Q45" i="34" s="1"/>
  <c r="P39" i="34"/>
  <c r="Q39" i="34" s="1"/>
  <c r="I46" i="34"/>
  <c r="K46" i="34" l="1"/>
  <c r="Q106" i="34" s="1"/>
  <c r="D108" i="34"/>
  <c r="N16" i="23" s="1"/>
  <c r="C105" i="34"/>
  <c r="I9" i="82" s="1"/>
  <c r="J46" i="34"/>
  <c r="C108" i="34" s="1"/>
  <c r="N10" i="23" l="1"/>
  <c r="N11" i="23"/>
  <c r="I10" i="82"/>
  <c r="I97" i="82" s="1"/>
  <c r="N20" i="23" l="1"/>
  <c r="L46" i="34"/>
  <c r="L106" i="34" s="1"/>
  <c r="N46" i="34" l="1"/>
  <c r="P46" i="34" l="1"/>
  <c r="N19" i="23" l="1"/>
  <c r="Q46" i="34"/>
  <c r="Q65" i="34" s="1"/>
  <c r="N96" i="23" l="1"/>
  <c r="N98" i="23" s="1"/>
  <c r="N99" i="23" s="1"/>
  <c r="M35" i="34" l="1"/>
  <c r="M28" i="34"/>
  <c r="M22" i="34"/>
  <c r="M23" i="34"/>
  <c r="M25" i="34"/>
  <c r="M30" i="34"/>
  <c r="M27" i="34"/>
  <c r="M36" i="34" l="1"/>
  <c r="M47" i="34" s="1"/>
  <c r="J8" i="34"/>
  <c r="M7" i="29"/>
  <c r="M12" i="29"/>
  <c r="M40" i="29"/>
  <c r="M41" i="29"/>
  <c r="C50" i="29"/>
  <c r="G9" i="33"/>
  <c r="G10" i="33"/>
  <c r="G11" i="33"/>
  <c r="G21" i="33"/>
  <c r="G23" i="33"/>
  <c r="G26" i="33"/>
  <c r="L81" i="34" l="1"/>
  <c r="F27" i="33"/>
  <c r="F12" i="33"/>
  <c r="N82" i="34"/>
  <c r="L82" i="34"/>
  <c r="D90" i="34"/>
  <c r="E25" i="33" s="1"/>
  <c r="D89" i="34"/>
  <c r="M47" i="16"/>
  <c r="M3" i="29"/>
  <c r="G48" i="29" s="1"/>
  <c r="E43" i="29"/>
  <c r="C75" i="29"/>
  <c r="G50" i="29"/>
  <c r="G51" i="29" l="1"/>
  <c r="D25" i="33"/>
  <c r="D16" i="23" s="1"/>
  <c r="E14" i="82"/>
  <c r="E16" i="23"/>
  <c r="H41" i="56" s="1"/>
  <c r="J19" i="23"/>
  <c r="F17" i="82"/>
  <c r="F19" i="23"/>
  <c r="H49" i="56" s="1"/>
  <c r="F25" i="33"/>
  <c r="F14" i="82" l="1"/>
  <c r="F16" i="23"/>
  <c r="H47" i="56" s="1"/>
  <c r="D14" i="82"/>
  <c r="H36" i="56"/>
  <c r="J35" i="34" l="1"/>
  <c r="H35" i="34"/>
  <c r="K35" i="34" s="1"/>
  <c r="J9" i="34"/>
  <c r="H9" i="34"/>
  <c r="K9" i="34" s="1"/>
  <c r="M5" i="29"/>
  <c r="P9" i="34" l="1"/>
  <c r="P35" i="34"/>
  <c r="Q35" i="34" s="1"/>
  <c r="M11" i="29"/>
  <c r="Q9" i="34" l="1"/>
  <c r="J25" i="34"/>
  <c r="H25" i="34"/>
  <c r="K25" i="34" s="1"/>
  <c r="J22" i="34"/>
  <c r="J23" i="34"/>
  <c r="J27" i="34"/>
  <c r="J30" i="34"/>
  <c r="J28" i="34"/>
  <c r="H22" i="34"/>
  <c r="H23" i="34"/>
  <c r="K23" i="34" s="1"/>
  <c r="H27" i="34"/>
  <c r="K27" i="34" s="1"/>
  <c r="H30" i="34"/>
  <c r="H28" i="34"/>
  <c r="K28" i="34" s="1"/>
  <c r="C22" i="33"/>
  <c r="H8" i="34"/>
  <c r="D7" i="32"/>
  <c r="D8" i="32"/>
  <c r="D43" i="29"/>
  <c r="H14" i="28"/>
  <c r="J36" i="34" l="1"/>
  <c r="C88" i="34" s="1"/>
  <c r="C8" i="33" s="1"/>
  <c r="H36" i="34"/>
  <c r="K8" i="34"/>
  <c r="C89" i="34"/>
  <c r="K22" i="34"/>
  <c r="F8" i="33"/>
  <c r="I65" i="34"/>
  <c r="C11" i="82"/>
  <c r="J11" i="82" s="1"/>
  <c r="C12" i="23"/>
  <c r="W12" i="23" s="1"/>
  <c r="G65" i="34"/>
  <c r="G47" i="34"/>
  <c r="G22" i="33"/>
  <c r="L47" i="34"/>
  <c r="I47" i="34"/>
  <c r="L37" i="34"/>
  <c r="L65" i="34" s="1"/>
  <c r="K30" i="34"/>
  <c r="P23" i="34"/>
  <c r="Q23" i="34" s="1"/>
  <c r="P28" i="34"/>
  <c r="Q28" i="34" s="1"/>
  <c r="P27" i="34"/>
  <c r="P25" i="34"/>
  <c r="Q25" i="34" s="1"/>
  <c r="K36" i="34" l="1"/>
  <c r="L87" i="34" s="1"/>
  <c r="D80" i="34"/>
  <c r="C20" i="33" s="1"/>
  <c r="C80" i="34"/>
  <c r="P8" i="34"/>
  <c r="Q8" i="34" s="1"/>
  <c r="P22" i="34"/>
  <c r="Q22" i="34" s="1"/>
  <c r="L88" i="34"/>
  <c r="D13" i="33" s="1"/>
  <c r="N88" i="34"/>
  <c r="D28" i="33" s="1"/>
  <c r="L89" i="34"/>
  <c r="E13" i="33" s="1"/>
  <c r="N89" i="34"/>
  <c r="E28" i="33" s="1"/>
  <c r="D82" i="34"/>
  <c r="E20" i="33" s="1"/>
  <c r="C82" i="34"/>
  <c r="E7" i="33" s="1"/>
  <c r="F20" i="33"/>
  <c r="F7" i="33"/>
  <c r="C12" i="33"/>
  <c r="L83" i="34"/>
  <c r="E12" i="33" s="1"/>
  <c r="C13" i="33"/>
  <c r="C28" i="33"/>
  <c r="D81" i="34"/>
  <c r="D7" i="33"/>
  <c r="C27" i="33"/>
  <c r="C17" i="82" s="1"/>
  <c r="J11" i="23"/>
  <c r="G10" i="82"/>
  <c r="J10" i="82" s="1"/>
  <c r="G11" i="23"/>
  <c r="H11" i="56"/>
  <c r="F17" i="35"/>
  <c r="M65" i="34"/>
  <c r="J47" i="34"/>
  <c r="N47" i="34"/>
  <c r="D92" i="34"/>
  <c r="C25" i="33"/>
  <c r="H47" i="34"/>
  <c r="O47" i="34"/>
  <c r="H65" i="34"/>
  <c r="J65" i="34"/>
  <c r="N65" i="34"/>
  <c r="P30" i="34"/>
  <c r="Q30" i="34" s="1"/>
  <c r="D8" i="33"/>
  <c r="C90" i="34"/>
  <c r="E8" i="33" s="1"/>
  <c r="Q27" i="34"/>
  <c r="G8" i="33" l="1"/>
  <c r="P36" i="34"/>
  <c r="Q36" i="34"/>
  <c r="K65" i="34"/>
  <c r="F13" i="33"/>
  <c r="F28" i="33"/>
  <c r="C19" i="23"/>
  <c r="H14" i="56" s="1"/>
  <c r="Q81" i="34"/>
  <c r="I10" i="23"/>
  <c r="I11" i="23"/>
  <c r="E9" i="82"/>
  <c r="E10" i="23"/>
  <c r="H40" i="56" s="1"/>
  <c r="F9" i="82"/>
  <c r="F10" i="23"/>
  <c r="C14" i="82"/>
  <c r="J14" i="82" s="1"/>
  <c r="C16" i="23"/>
  <c r="W16" i="23" s="1"/>
  <c r="I19" i="23"/>
  <c r="H11" i="23"/>
  <c r="E18" i="82"/>
  <c r="E20" i="23"/>
  <c r="H43" i="56" s="1"/>
  <c r="G18" i="82"/>
  <c r="G20" i="23"/>
  <c r="H14" i="57" s="1"/>
  <c r="J10" i="23"/>
  <c r="H10" i="23"/>
  <c r="C18" i="82"/>
  <c r="C20" i="23"/>
  <c r="I20" i="23"/>
  <c r="C9" i="82"/>
  <c r="C10" i="23"/>
  <c r="H20" i="23"/>
  <c r="D18" i="82"/>
  <c r="D20" i="23"/>
  <c r="G17" i="82"/>
  <c r="G19" i="23"/>
  <c r="C29" i="33"/>
  <c r="C14" i="33"/>
  <c r="O65" i="34"/>
  <c r="C7" i="33"/>
  <c r="E80" i="34"/>
  <c r="H12" i="57"/>
  <c r="E15" i="33"/>
  <c r="E27" i="33"/>
  <c r="L85" i="34"/>
  <c r="D12" i="33"/>
  <c r="G12" i="33" s="1"/>
  <c r="G25" i="33"/>
  <c r="K47" i="34"/>
  <c r="E83" i="34"/>
  <c r="Q83" i="34"/>
  <c r="C92" i="34"/>
  <c r="E82" i="34"/>
  <c r="C84" i="34"/>
  <c r="Q87" i="34"/>
  <c r="Q84" i="34"/>
  <c r="C30" i="33" l="1"/>
  <c r="G29" i="33"/>
  <c r="I96" i="23"/>
  <c r="W11" i="23"/>
  <c r="C73" i="82"/>
  <c r="J73" i="82" s="1"/>
  <c r="C74" i="23"/>
  <c r="E17" i="82"/>
  <c r="E97" i="82" s="1"/>
  <c r="E19" i="23"/>
  <c r="E96" i="23" s="1"/>
  <c r="F18" i="82"/>
  <c r="F97" i="82" s="1"/>
  <c r="F20" i="23"/>
  <c r="F96" i="23" s="1"/>
  <c r="G9" i="82"/>
  <c r="G97" i="82" s="1"/>
  <c r="G10" i="23"/>
  <c r="H11" i="57" s="1"/>
  <c r="H15" i="57" s="1"/>
  <c r="J20" i="23"/>
  <c r="H13" i="57"/>
  <c r="H10" i="56"/>
  <c r="G74" i="23"/>
  <c r="H19" i="23"/>
  <c r="H38" i="56"/>
  <c r="G7" i="33"/>
  <c r="D15" i="33"/>
  <c r="E30" i="33"/>
  <c r="H15" i="56"/>
  <c r="C15" i="33"/>
  <c r="G13" i="33"/>
  <c r="F15" i="33"/>
  <c r="H13" i="56"/>
  <c r="H45" i="56"/>
  <c r="G28" i="33"/>
  <c r="F30" i="33"/>
  <c r="G14" i="33"/>
  <c r="P47" i="34"/>
  <c r="Q47" i="34"/>
  <c r="P65" i="34"/>
  <c r="Q93" i="34"/>
  <c r="Q89" i="34"/>
  <c r="Q90" i="34"/>
  <c r="L91" i="34"/>
  <c r="Q88" i="34"/>
  <c r="M4" i="29"/>
  <c r="F43" i="29"/>
  <c r="J18" i="82" l="1"/>
  <c r="K76" i="82"/>
  <c r="F33" i="35" s="1"/>
  <c r="H50" i="56"/>
  <c r="H61" i="56" s="1"/>
  <c r="W20" i="23"/>
  <c r="G96" i="23"/>
  <c r="J96" i="23"/>
  <c r="W74" i="23"/>
  <c r="H96" i="23"/>
  <c r="C97" i="82"/>
  <c r="C96" i="23"/>
  <c r="H42" i="56"/>
  <c r="H44" i="56" s="1"/>
  <c r="G15" i="33"/>
  <c r="I11" i="33" s="1"/>
  <c r="N91" i="34"/>
  <c r="Q91" i="34"/>
  <c r="H98" i="23" l="1"/>
  <c r="H99" i="23" s="1"/>
  <c r="H32" i="56"/>
  <c r="H62" i="56" s="1"/>
  <c r="E81" i="34" l="1"/>
  <c r="D84" i="34"/>
  <c r="E84" i="34" s="1"/>
  <c r="D20" i="33"/>
  <c r="G20" i="33" l="1"/>
  <c r="D10" i="23"/>
  <c r="D9" i="82"/>
  <c r="J9" i="82" s="1"/>
  <c r="W10" i="23" l="1"/>
  <c r="H33" i="56"/>
  <c r="N85" i="34"/>
  <c r="Q82" i="34"/>
  <c r="Q85" i="34" s="1"/>
  <c r="D27" i="33"/>
  <c r="D17" i="82" l="1"/>
  <c r="D30" i="33"/>
  <c r="G30" i="33" s="1"/>
  <c r="G32" i="33" s="1"/>
  <c r="D19" i="23"/>
  <c r="D96" i="23" s="1"/>
  <c r="D98" i="23" s="1"/>
  <c r="G27" i="33"/>
  <c r="D97" i="82" l="1"/>
  <c r="J17" i="82"/>
  <c r="J98" i="82" s="1"/>
  <c r="H37" i="56"/>
  <c r="H39" i="56" s="1"/>
  <c r="J62" i="56" s="1"/>
  <c r="W19" i="23"/>
  <c r="W97" i="23" s="1"/>
  <c r="W96" i="23"/>
  <c r="G14" i="59"/>
  <c r="D99" i="82" l="1"/>
  <c r="J97" i="82"/>
  <c r="L43" i="29"/>
  <c r="G56" i="29" l="1"/>
  <c r="G63" i="29" s="1"/>
  <c r="M43" i="29"/>
  <c r="M28" i="16"/>
  <c r="M17" i="16"/>
  <c r="M22" i="16"/>
  <c r="M27" i="16"/>
  <c r="M31" i="16"/>
  <c r="M36" i="16"/>
  <c r="H8" i="27"/>
  <c r="I8" i="27" s="1"/>
  <c r="M32" i="16"/>
  <c r="M37" i="16"/>
  <c r="M18" i="16"/>
  <c r="M15" i="16"/>
  <c r="M24" i="16"/>
  <c r="M29" i="16"/>
  <c r="M33" i="16"/>
  <c r="F15" i="35" s="1"/>
  <c r="M40" i="16"/>
  <c r="M23" i="16"/>
  <c r="M19" i="16"/>
  <c r="M16" i="16"/>
  <c r="M21" i="16"/>
  <c r="M26" i="16"/>
  <c r="M30" i="16"/>
  <c r="M35" i="16"/>
  <c r="M9" i="16"/>
  <c r="N16" i="16" l="1"/>
  <c r="N33" i="16"/>
  <c r="N40" i="16"/>
  <c r="F16" i="35"/>
  <c r="H43" i="27"/>
  <c r="G42" i="27"/>
  <c r="H16" i="27"/>
  <c r="I16" i="27" s="1"/>
  <c r="H26" i="27"/>
  <c r="I26" i="27" s="1"/>
  <c r="H44" i="27"/>
  <c r="I44" i="27" s="1"/>
  <c r="H29" i="27"/>
  <c r="I29" i="27" s="1"/>
  <c r="H19" i="27"/>
  <c r="I19" i="27" s="1"/>
  <c r="M49" i="16"/>
  <c r="H34" i="27"/>
  <c r="I34" i="27" s="1"/>
  <c r="H23" i="27"/>
  <c r="I23" i="27" s="1"/>
  <c r="H21" i="27"/>
  <c r="I21" i="27" s="1"/>
  <c r="J49" i="27"/>
  <c r="G49" i="27"/>
  <c r="H52" i="27"/>
  <c r="I52" i="27" s="1"/>
  <c r="H33" i="27"/>
  <c r="I33" i="27" s="1"/>
  <c r="G32" i="27"/>
  <c r="H32" i="27" s="1"/>
  <c r="I32" i="27" s="1"/>
  <c r="H15" i="27"/>
  <c r="I15" i="27" s="1"/>
  <c r="H45" i="27"/>
  <c r="I45" i="27" s="1"/>
  <c r="M25" i="16"/>
  <c r="F14" i="35" s="1"/>
  <c r="G7" i="27"/>
  <c r="H35" i="27"/>
  <c r="I35" i="27" s="1"/>
  <c r="H24" i="27"/>
  <c r="I24" i="27" s="1"/>
  <c r="H31" i="27"/>
  <c r="I31" i="27" s="1"/>
  <c r="H28" i="27"/>
  <c r="I28" i="27" s="1"/>
  <c r="H25" i="27"/>
  <c r="I25" i="27" s="1"/>
  <c r="H39" i="27"/>
  <c r="I39" i="27" s="1"/>
  <c r="H20" i="27"/>
  <c r="I20" i="27" s="1"/>
  <c r="H38" i="27"/>
  <c r="I38" i="27" s="1"/>
  <c r="G37" i="27"/>
  <c r="F13" i="35"/>
  <c r="F20" i="35" l="1"/>
  <c r="F21" i="35" s="1"/>
  <c r="M50" i="16"/>
  <c r="N50" i="16" s="1"/>
  <c r="J37" i="27"/>
  <c r="J36" i="27" s="1"/>
  <c r="J7" i="27"/>
  <c r="J6" i="27" s="1"/>
  <c r="H49" i="27"/>
  <c r="I49" i="27" s="1"/>
  <c r="J32" i="27"/>
  <c r="H7" i="27"/>
  <c r="G6" i="27"/>
  <c r="G41" i="27"/>
  <c r="J18" i="27"/>
  <c r="H27" i="27"/>
  <c r="I27" i="27" s="1"/>
  <c r="I43" i="27"/>
  <c r="I42" i="27" s="1"/>
  <c r="H42" i="27"/>
  <c r="G18" i="27"/>
  <c r="G64" i="27" s="1"/>
  <c r="J42" i="27"/>
  <c r="J41" i="27" s="1"/>
  <c r="G36" i="27"/>
  <c r="H37" i="27"/>
  <c r="H63" i="27"/>
  <c r="I63" i="27" s="1"/>
  <c r="N31" i="16"/>
  <c r="D97" i="23"/>
  <c r="C31" i="45"/>
  <c r="J17" i="27" l="1"/>
  <c r="H41" i="27"/>
  <c r="I41" i="27"/>
  <c r="J64" i="27"/>
  <c r="H62" i="27"/>
  <c r="H36" i="27"/>
  <c r="I37" i="27"/>
  <c r="I36" i="27" s="1"/>
  <c r="G17" i="27"/>
  <c r="H18" i="27"/>
  <c r="I7" i="27"/>
  <c r="H6" i="27"/>
  <c r="D11" i="45"/>
  <c r="D27" i="45"/>
  <c r="D99" i="23"/>
  <c r="I18" i="27" l="1"/>
  <c r="I17" i="27" s="1"/>
  <c r="H17" i="27"/>
  <c r="C48" i="29"/>
  <c r="C52" i="29" s="1"/>
  <c r="C81" i="29" s="1"/>
  <c r="C10" i="32"/>
  <c r="H64" i="27"/>
  <c r="I62" i="27"/>
  <c r="H61" i="27"/>
  <c r="I61" i="27" s="1"/>
  <c r="I6" i="27"/>
  <c r="I64" i="27" l="1"/>
  <c r="C11" i="32"/>
  <c r="C17" i="32" s="1"/>
  <c r="B25" i="32" s="1"/>
  <c r="B26" i="32" s="1"/>
  <c r="C29" i="32"/>
  <c r="D10" i="32"/>
  <c r="D11" i="32" s="1"/>
  <c r="C20" i="32" s="1"/>
  <c r="C25" i="32" s="1"/>
  <c r="C26" i="32" s="1"/>
  <c r="B30" i="32"/>
  <c r="D30" i="32" s="1"/>
  <c r="B27" i="32" l="1"/>
  <c r="B29" i="32" s="1"/>
  <c r="D29" i="32" s="1"/>
  <c r="B32" i="32" s="1"/>
  <c r="B33" i="32" s="1"/>
  <c r="M9" i="29"/>
  <c r="I99" i="82" l="1"/>
  <c r="I100" i="82" s="1"/>
  <c r="D13" i="45" l="1"/>
  <c r="D17" i="45" s="1"/>
  <c r="D25" i="45"/>
  <c r="D31" i="45" s="1"/>
  <c r="L97" i="82"/>
  <c r="K20" i="82"/>
  <c r="F30" i="35" s="1"/>
  <c r="F38" i="35" l="1"/>
  <c r="H38" i="35" s="1"/>
  <c r="G31" i="45"/>
  <c r="F31" i="45"/>
</calcChain>
</file>

<file path=xl/comments1.xml><?xml version="1.0" encoding="utf-8"?>
<comments xmlns="http://schemas.openxmlformats.org/spreadsheetml/2006/main">
  <authors>
    <author>Dagoberto</author>
    <author>DAGOBERTO</author>
    <author>win10</author>
  </authors>
  <commentList>
    <comment ref="D15" authorId="0" shapeId="0">
      <text>
        <r>
          <rPr>
            <b/>
            <sz val="8"/>
            <color indexed="81"/>
            <rFont val="Tahoma"/>
            <family val="2"/>
          </rPr>
          <t>Dagoberto:</t>
        </r>
        <r>
          <rPr>
            <sz val="8"/>
            <color indexed="81"/>
            <rFont val="Tahoma"/>
            <family val="2"/>
          </rPr>
          <t xml:space="preserve">
Pago de Prestamo</t>
        </r>
      </text>
    </comment>
    <comment ref="B25" authorId="1" shapeId="0">
      <text>
        <r>
          <rPr>
            <b/>
            <sz val="8"/>
            <color indexed="81"/>
            <rFont val="Tahoma"/>
            <family val="2"/>
          </rPr>
          <t>DAGOBERTO:</t>
        </r>
        <r>
          <rPr>
            <sz val="8"/>
            <color indexed="81"/>
            <rFont val="Tahoma"/>
            <family val="2"/>
          </rPr>
          <t xml:space="preserve">
FODES,FISDL Y VICEMINISTERIO DE VIVIENDA</t>
        </r>
      </text>
    </comment>
    <comment ref="C27" authorId="2" shapeId="0">
      <text>
        <r>
          <rPr>
            <b/>
            <sz val="9"/>
            <color indexed="81"/>
            <rFont val="Tahoma"/>
            <family val="2"/>
          </rPr>
          <t>win10:</t>
        </r>
        <r>
          <rPr>
            <sz val="9"/>
            <color indexed="81"/>
            <rFont val="Tahoma"/>
            <family val="2"/>
          </rPr>
          <t xml:space="preserve">
areglar mañana esto por que esta mal lo que esta jalando lo del prestamo 
</t>
        </r>
      </text>
    </comment>
  </commentList>
</comments>
</file>

<file path=xl/comments10.xml><?xml version="1.0" encoding="utf-8"?>
<comments xmlns="http://schemas.openxmlformats.org/spreadsheetml/2006/main">
  <authors>
    <author>win10</author>
  </authors>
  <commentList>
    <comment ref="H12" authorId="0" shapeId="0">
      <text>
        <r>
          <rPr>
            <b/>
            <sz val="9"/>
            <color indexed="81"/>
            <rFont val="Tahoma"/>
            <family val="2"/>
          </rPr>
          <t>win10:</t>
        </r>
        <r>
          <rPr>
            <sz val="9"/>
            <color indexed="81"/>
            <rFont val="Tahoma"/>
            <family val="2"/>
          </rPr>
          <t xml:space="preserve">
INTERESES VA EN ESTE 
CODIGO</t>
        </r>
      </text>
    </comment>
    <comment ref="H13" authorId="0" shapeId="0">
      <text>
        <r>
          <rPr>
            <b/>
            <sz val="9"/>
            <color indexed="81"/>
            <rFont val="Tahoma"/>
            <family val="2"/>
          </rPr>
          <t>win10:</t>
        </r>
        <r>
          <rPr>
            <sz val="9"/>
            <color indexed="81"/>
            <rFont val="Tahoma"/>
            <family val="2"/>
          </rPr>
          <t xml:space="preserve">
CAPITAL
EN ESTE CODIGO</t>
        </r>
      </text>
    </comment>
  </commentList>
</comments>
</file>

<file path=xl/comments11.xml><?xml version="1.0" encoding="utf-8"?>
<comments xmlns="http://schemas.openxmlformats.org/spreadsheetml/2006/main">
  <authors>
    <author>USER</author>
    <author>win10</author>
  </authors>
  <commentList>
    <comment ref="H10" authorId="0" shapeId="0">
      <text>
        <r>
          <rPr>
            <b/>
            <sz val="9"/>
            <color indexed="81"/>
            <rFont val="Tahoma"/>
            <family val="2"/>
          </rPr>
          <t>USER:</t>
        </r>
        <r>
          <rPr>
            <sz val="9"/>
            <color indexed="81"/>
            <rFont val="Tahoma"/>
            <family val="2"/>
          </rPr>
          <t xml:space="preserve">
AQUÍ AGREGUE EL SOBRANTE DE CAMINOS VECINALES 2018 QUE SON $6.380.34</t>
        </r>
      </text>
    </comment>
    <comment ref="H11" authorId="0" shapeId="0">
      <text>
        <r>
          <rPr>
            <b/>
            <sz val="9"/>
            <color indexed="81"/>
            <rFont val="Tahoma"/>
            <family val="2"/>
          </rPr>
          <t>USER:</t>
        </r>
        <r>
          <rPr>
            <sz val="9"/>
            <color indexed="81"/>
            <rFont val="Tahoma"/>
            <family val="2"/>
          </rPr>
          <t xml:space="preserve">
para proyecto concreteado pasaje la ronda vides</t>
        </r>
      </text>
    </comment>
    <comment ref="H23" authorId="1" shapeId="0">
      <text>
        <r>
          <rPr>
            <b/>
            <sz val="9"/>
            <color indexed="81"/>
            <rFont val="Tahoma"/>
            <family val="2"/>
          </rPr>
          <t>win10:</t>
        </r>
        <r>
          <rPr>
            <sz val="9"/>
            <color indexed="81"/>
            <rFont val="Tahoma"/>
            <family val="2"/>
          </rPr>
          <t xml:space="preserve">
aquí esta el proyecto, atencion a Emergencia por pandemia COVID-19
Aquí tambien va el sobrante de la cuenta, (decreto 608)
</t>
        </r>
      </text>
    </comment>
  </commentList>
</comments>
</file>

<file path=xl/comments12.xml><?xml version="1.0" encoding="utf-8"?>
<comments xmlns="http://schemas.openxmlformats.org/spreadsheetml/2006/main">
  <authors>
    <author>win10</author>
  </authors>
  <commentList>
    <comment ref="C54" authorId="0" shapeId="0">
      <text>
        <r>
          <rPr>
            <b/>
            <sz val="9"/>
            <color indexed="81"/>
            <rFont val="Tahoma"/>
            <family val="2"/>
          </rPr>
          <t xml:space="preserve">win10:   AQUÍ VA EL SALDO DE LOS MESES QUE NO HEMOS RECIVIDO EL FODES DEL 25%, QUE SON JUNIO, JULIO, AGOSTO, SEPTIEMBRE, OCTUBRE Y NOVIEMBRE 2020.  </t>
        </r>
        <r>
          <rPr>
            <sz val="9"/>
            <color indexed="81"/>
            <rFont val="Tahoma"/>
            <family val="2"/>
          </rPr>
          <t xml:space="preserve">
</t>
        </r>
      </text>
    </comment>
    <comment ref="C60" authorId="0" shapeId="0">
      <text>
        <r>
          <rPr>
            <b/>
            <sz val="9"/>
            <color indexed="81"/>
            <rFont val="Tahoma"/>
            <family val="2"/>
          </rPr>
          <t>win10:</t>
        </r>
        <r>
          <rPr>
            <sz val="9"/>
            <color indexed="81"/>
            <rFont val="Tahoma"/>
            <family val="2"/>
          </rPr>
          <t xml:space="preserve">
 </t>
        </r>
        <r>
          <rPr>
            <b/>
            <i/>
            <sz val="9"/>
            <color indexed="81"/>
            <rFont val="Tahoma"/>
            <family val="2"/>
          </rPr>
          <t>AQUÍ VA EL SALDO DE LOS MESES QUE NO HEMOS RECIVIDO EL FODES DEL 75%, QUE SON JUNIO, JULIO, AGOSTO, SEPTIEMBRE, OCTUBRE Y NOVIEMBRE 2020.</t>
        </r>
        <r>
          <rPr>
            <sz val="9"/>
            <color indexed="81"/>
            <rFont val="Tahoma"/>
            <family val="2"/>
          </rPr>
          <t xml:space="preserve">  </t>
        </r>
      </text>
    </comment>
    <comment ref="C63" authorId="0" shapeId="0">
      <text>
        <r>
          <rPr>
            <b/>
            <sz val="9"/>
            <color indexed="81"/>
            <rFont val="Tahoma"/>
            <family val="2"/>
          </rPr>
          <t>win10:</t>
        </r>
        <r>
          <rPr>
            <sz val="9"/>
            <color indexed="81"/>
            <rFont val="Tahoma"/>
            <family val="2"/>
          </rPr>
          <t xml:space="preserve">
</t>
        </r>
        <r>
          <rPr>
            <b/>
            <i/>
            <sz val="9"/>
            <color indexed="81"/>
            <rFont val="Tahoma"/>
            <family val="2"/>
          </rPr>
          <t xml:space="preserve"> AQUÍ VA EL SALDO DE LOS MESES QUE NO HEMOS RECIVIDO EL FODES DEL 2%, FODES   QUE SON JUNIO, JULIO, AGOSTO, SEPTIEMBRE, OCTUBRE Y NOVIEMBRE 2020.  </t>
        </r>
      </text>
    </comment>
    <comment ref="C65" authorId="0" shapeId="0">
      <text>
        <r>
          <rPr>
            <b/>
            <sz val="9"/>
            <color indexed="81"/>
            <rFont val="Tahoma"/>
            <family val="2"/>
          </rPr>
          <t>win10:</t>
        </r>
        <r>
          <rPr>
            <sz val="9"/>
            <color indexed="81"/>
            <rFont val="Tahoma"/>
            <family val="2"/>
          </rPr>
          <t xml:space="preserve">
CUOTA PENDIENTE DE TRANSFERIR
AL 2% FODES QUE CORRESPONDE AL MES DE DICIEMBRE 2020</t>
        </r>
      </text>
    </comment>
    <comment ref="C67" authorId="0" shapeId="0">
      <text>
        <r>
          <rPr>
            <b/>
            <sz val="9"/>
            <color indexed="81"/>
            <rFont val="Tahoma"/>
            <family val="2"/>
          </rPr>
          <t>win10:</t>
        </r>
        <r>
          <rPr>
            <sz val="9"/>
            <color indexed="81"/>
            <rFont val="Tahoma"/>
            <family val="2"/>
          </rPr>
          <t xml:space="preserve">
</t>
        </r>
        <r>
          <rPr>
            <b/>
            <i/>
            <sz val="9"/>
            <color indexed="81"/>
            <rFont val="Tahoma"/>
            <family val="2"/>
          </rPr>
          <t xml:space="preserve"> CUOTA PENDIENTE DE TRANSFERIR
AL 75% FODES QUE CORRESPONDE AL MES DE DICIEMBRE 2020</t>
        </r>
      </text>
    </comment>
  </commentList>
</comments>
</file>

<file path=xl/comments13.xml><?xml version="1.0" encoding="utf-8"?>
<comments xmlns="http://schemas.openxmlformats.org/spreadsheetml/2006/main">
  <authors>
    <author>USER</author>
    <author>win10</author>
  </authors>
  <commentList>
    <comment ref="H62" authorId="0" shapeId="0">
      <text>
        <r>
          <rPr>
            <b/>
            <sz val="9"/>
            <color indexed="81"/>
            <rFont val="Tahoma"/>
            <family val="2"/>
          </rPr>
          <t>USER:</t>
        </r>
        <r>
          <rPr>
            <sz val="9"/>
            <color indexed="81"/>
            <rFont val="Tahoma"/>
            <family val="2"/>
          </rPr>
          <t xml:space="preserve">
AQUÍ VA LOS 12 MESES INCLUIDO DEL AÑO Y DOS DIETA DE JUNIO Y DOS DIETAS MAS EN DICIEMBRE</t>
        </r>
      </text>
    </comment>
    <comment ref="J71" authorId="1" shapeId="0">
      <text>
        <r>
          <rPr>
            <b/>
            <sz val="9"/>
            <color indexed="81"/>
            <rFont val="Tahoma"/>
            <family val="2"/>
          </rPr>
          <t>win10:</t>
        </r>
        <r>
          <rPr>
            <sz val="9"/>
            <color indexed="81"/>
            <rFont val="Tahoma"/>
            <family val="2"/>
          </rPr>
          <t xml:space="preserve">
RECTIFICAR FORMULA LA $312.00 ESA SE QUEDARA EN LA 0102 Y LA OTRA DE $460.00 SE QUEDARA EN LA 0202 SEGÚN LA BONIFICACIÓN POR QUE LAS DOS ESTAN EN LA 0102</t>
        </r>
      </text>
    </comment>
    <comment ref="N88" authorId="0" shapeId="0">
      <text>
        <r>
          <rPr>
            <b/>
            <sz val="9"/>
            <color indexed="81"/>
            <rFont val="Tahoma"/>
            <family val="2"/>
          </rPr>
          <t>USER:</t>
        </r>
        <r>
          <rPr>
            <sz val="9"/>
            <color indexed="81"/>
            <rFont val="Tahoma"/>
            <family val="2"/>
          </rPr>
          <t xml:space="preserve">
SE LE ILIMINARA LA FORMULA POR QUE ME ESTA AUMENTANDO UN CENTAVO MAS EN EL PRESUPUESTO $1.510.79, ESTO ES LO CORRECTO EN LA FORMULA
FORMULA =K19/12*3</t>
        </r>
      </text>
    </comment>
    <comment ref="N89" authorId="0" shapeId="0">
      <text>
        <r>
          <rPr>
            <b/>
            <sz val="9"/>
            <color indexed="81"/>
            <rFont val="Tahoma"/>
            <family val="2"/>
          </rPr>
          <t>USER:</t>
        </r>
        <r>
          <rPr>
            <sz val="9"/>
            <color indexed="81"/>
            <rFont val="Tahoma"/>
            <family val="2"/>
          </rPr>
          <t xml:space="preserve">
SE LE ILIMINARA LA FORMULA POR QUE ME ESTA AUMENTANDO UN CENTAVO MAS EN EL PRESUPUESTO $1.510.79, ESTO ES LO CORRECTO EN LA FORMULA
FORMULA =K22/12*3</t>
        </r>
      </text>
    </comment>
  </commentList>
</comments>
</file>

<file path=xl/comments14.xml><?xml version="1.0" encoding="utf-8"?>
<comments xmlns="http://schemas.openxmlformats.org/spreadsheetml/2006/main">
  <authors>
    <author>USER</author>
  </authors>
  <commentList>
    <comment ref="C7" authorId="0" shapeId="0">
      <text>
        <r>
          <rPr>
            <b/>
            <sz val="9"/>
            <color indexed="81"/>
            <rFont val="Tahoma"/>
            <family val="2"/>
          </rPr>
          <t>USER:</t>
        </r>
        <r>
          <rPr>
            <sz val="9"/>
            <color indexed="81"/>
            <rFont val="Tahoma"/>
            <family val="2"/>
          </rPr>
          <t xml:space="preserve">
SUELDO DE LA LINEA 01-01, PARA PAGAR LO DE 9 MESES </t>
        </r>
      </text>
    </comment>
    <comment ref="D7" authorId="0" shapeId="0">
      <text>
        <r>
          <rPr>
            <b/>
            <sz val="9"/>
            <color indexed="81"/>
            <rFont val="Tahoma"/>
            <family val="2"/>
          </rPr>
          <t>USER:</t>
        </r>
        <r>
          <rPr>
            <sz val="9"/>
            <color indexed="81"/>
            <rFont val="Tahoma"/>
            <family val="2"/>
          </rPr>
          <t xml:space="preserve">
SUELDO DE LA LINEA 01-02, PARA PAGAR 9 MESES</t>
        </r>
      </text>
    </comment>
    <comment ref="E7" authorId="0" shapeId="0">
      <text>
        <r>
          <rPr>
            <b/>
            <sz val="9"/>
            <color indexed="81"/>
            <rFont val="Tahoma"/>
            <family val="2"/>
          </rPr>
          <t>USER:</t>
        </r>
        <r>
          <rPr>
            <sz val="9"/>
            <color indexed="81"/>
            <rFont val="Tahoma"/>
            <family val="2"/>
          </rPr>
          <t xml:space="preserve">
SUELDO DE LA LINEA 02-01, PARA PAGAR  9 MESES </t>
        </r>
      </text>
    </comment>
    <comment ref="F7" authorId="0" shapeId="0">
      <text>
        <r>
          <rPr>
            <b/>
            <sz val="9"/>
            <color indexed="81"/>
            <rFont val="Tahoma"/>
            <family val="2"/>
          </rPr>
          <t>USER
SUELDO DE LA LINEA 02-02, PAGA PAGAR EN 9 MESES</t>
        </r>
      </text>
    </comment>
    <comment ref="C10" authorId="0" shapeId="0">
      <text>
        <r>
          <rPr>
            <b/>
            <sz val="9"/>
            <color indexed="81"/>
            <rFont val="Tahoma"/>
            <family val="2"/>
          </rPr>
          <t xml:space="preserve">USER:
SUELDO DEL AUDITOR DE LA 01-01, PAGO EN 9 MESES </t>
        </r>
        <r>
          <rPr>
            <sz val="9"/>
            <color indexed="81"/>
            <rFont val="Tahoma"/>
            <family val="2"/>
          </rPr>
          <t xml:space="preserve">
</t>
        </r>
      </text>
    </comment>
    <comment ref="F10" authorId="0" shapeId="0">
      <text>
        <r>
          <rPr>
            <b/>
            <sz val="9"/>
            <color indexed="81"/>
            <rFont val="Tahoma"/>
            <family val="2"/>
          </rPr>
          <t xml:space="preserve">USER:
SUELDO DE LOS DE CONTRATO DE LA LINEA 02-02 PAGO DE 9 MESES </t>
        </r>
        <r>
          <rPr>
            <sz val="9"/>
            <color indexed="81"/>
            <rFont val="Tahoma"/>
            <family val="2"/>
          </rPr>
          <t xml:space="preserve">
</t>
        </r>
      </text>
    </comment>
    <comment ref="C20" authorId="0" shapeId="0">
      <text>
        <r>
          <rPr>
            <b/>
            <sz val="9"/>
            <color indexed="81"/>
            <rFont val="Tahoma"/>
            <family val="2"/>
          </rPr>
          <t>USER:</t>
        </r>
        <r>
          <rPr>
            <sz val="9"/>
            <color indexed="81"/>
            <rFont val="Tahoma"/>
            <family val="2"/>
          </rPr>
          <t xml:space="preserve">
SE PAGRA DE FONDOS PROPIOS 2  MESES</t>
        </r>
      </text>
    </comment>
    <comment ref="D20" authorId="0" shapeId="0">
      <text>
        <r>
          <rPr>
            <b/>
            <sz val="9"/>
            <color indexed="81"/>
            <rFont val="Tahoma"/>
            <family val="2"/>
          </rPr>
          <t>USER:</t>
        </r>
        <r>
          <rPr>
            <sz val="9"/>
            <color indexed="81"/>
            <rFont val="Tahoma"/>
            <family val="2"/>
          </rPr>
          <t xml:space="preserve">
SE PAGARA 2 MESES DE FONDOS PROPIOS</t>
        </r>
      </text>
    </comment>
    <comment ref="E20" authorId="0" shapeId="0">
      <text>
        <r>
          <rPr>
            <b/>
            <sz val="9"/>
            <color indexed="81"/>
            <rFont val="Tahoma"/>
            <family val="2"/>
          </rPr>
          <t>USER:</t>
        </r>
        <r>
          <rPr>
            <sz val="9"/>
            <color indexed="81"/>
            <rFont val="Tahoma"/>
            <family val="2"/>
          </rPr>
          <t xml:space="preserve">
SE PAGARA DE FONDOS PROPIOS 2  MESES </t>
        </r>
      </text>
    </comment>
    <comment ref="F20" authorId="0" shapeId="0">
      <text>
        <r>
          <rPr>
            <b/>
            <sz val="9"/>
            <color indexed="81"/>
            <rFont val="Tahoma"/>
            <family val="2"/>
          </rPr>
          <t>USER:</t>
        </r>
        <r>
          <rPr>
            <sz val="9"/>
            <color indexed="81"/>
            <rFont val="Tahoma"/>
            <family val="2"/>
          </rPr>
          <t xml:space="preserve">
SE PAGARA DE FONDOS PROPIOS 2 MESES</t>
        </r>
      </text>
    </comment>
  </commentList>
</comments>
</file>

<file path=xl/comments15.xml><?xml version="1.0" encoding="utf-8"?>
<comments xmlns="http://schemas.openxmlformats.org/spreadsheetml/2006/main">
  <authors>
    <author>USER</author>
    <author>Chiltuipan</author>
  </authors>
  <commentList>
    <comment ref="H136" authorId="0" shapeId="0">
      <text>
        <r>
          <rPr>
            <b/>
            <sz val="9"/>
            <color indexed="81"/>
            <rFont val="Tahoma"/>
            <family val="2"/>
          </rPr>
          <t>USER:</t>
        </r>
        <r>
          <rPr>
            <sz val="9"/>
            <color indexed="81"/>
            <rFont val="Tahoma"/>
            <family val="2"/>
          </rPr>
          <t xml:space="preserve">
PARA COMPRA DE DETERGENTE DE LIMPIEZA Y PAPELES DE ORNATO</t>
        </r>
      </text>
    </comment>
    <comment ref="H166" authorId="0" shapeId="0">
      <text>
        <r>
          <rPr>
            <b/>
            <sz val="9"/>
            <color indexed="81"/>
            <rFont val="Tahoma"/>
            <family val="2"/>
          </rPr>
          <t>USER:</t>
        </r>
        <r>
          <rPr>
            <sz val="9"/>
            <color indexed="81"/>
            <rFont val="Tahoma"/>
            <family val="2"/>
          </rPr>
          <t xml:space="preserve">
municiones, cascos, cartuchos, herramientas de campaña y afines, etc. y equipo destinado a la defensa de la soberanía nacional, mantenimiento del orden público y seguridad </t>
        </r>
      </text>
    </comment>
    <comment ref="H167" authorId="0" shapeId="0">
      <text>
        <r>
          <rPr>
            <b/>
            <sz val="9"/>
            <color indexed="81"/>
            <rFont val="Tahoma"/>
            <family val="2"/>
          </rPr>
          <t>USER:</t>
        </r>
        <r>
          <rPr>
            <sz val="9"/>
            <color indexed="81"/>
            <rFont val="Tahoma"/>
            <family val="2"/>
          </rPr>
          <t xml:space="preserve">
aquí agrego lo que son compra de trofeos y pelotas y para otras actividades prevención contra la violencia </t>
        </r>
      </text>
    </comment>
    <comment ref="A179" authorId="0" shapeId="0">
      <text>
        <r>
          <rPr>
            <b/>
            <sz val="9"/>
            <color indexed="81"/>
            <rFont val="Tahoma"/>
            <family val="2"/>
          </rPr>
          <t>USER:</t>
        </r>
        <r>
          <rPr>
            <sz val="9"/>
            <color indexed="81"/>
            <rFont val="Tahoma"/>
            <family val="2"/>
          </rPr>
          <t xml:space="preserve">
JOSE ALCIDES GUERRA</t>
        </r>
      </text>
    </comment>
    <comment ref="A180" authorId="0" shapeId="0">
      <text>
        <r>
          <rPr>
            <b/>
            <sz val="9"/>
            <color indexed="81"/>
            <rFont val="Tahoma"/>
            <family val="2"/>
          </rPr>
          <t>USER:</t>
        </r>
        <r>
          <rPr>
            <sz val="9"/>
            <color indexed="81"/>
            <rFont val="Tahoma"/>
            <family val="2"/>
          </rPr>
          <t xml:space="preserve">
ARNOLDO ROGELIO CLARA</t>
        </r>
      </text>
    </comment>
    <comment ref="A181" authorId="0" shapeId="0">
      <text>
        <r>
          <rPr>
            <b/>
            <sz val="9"/>
            <color indexed="81"/>
            <rFont val="Tahoma"/>
            <family val="2"/>
          </rPr>
          <t>USER:</t>
        </r>
        <r>
          <rPr>
            <sz val="9"/>
            <color indexed="81"/>
            <rFont val="Tahoma"/>
            <family val="2"/>
          </rPr>
          <t xml:space="preserve">
FREDIS MENJIVAR ORELLANA</t>
        </r>
      </text>
    </comment>
    <comment ref="A182" authorId="0" shapeId="0">
      <text>
        <r>
          <rPr>
            <b/>
            <sz val="9"/>
            <color indexed="81"/>
            <rFont val="Tahoma"/>
            <family val="2"/>
          </rPr>
          <t>USER:</t>
        </r>
        <r>
          <rPr>
            <sz val="9"/>
            <color indexed="81"/>
            <rFont val="Tahoma"/>
            <family val="2"/>
          </rPr>
          <t xml:space="preserve">
JOSE RICARDO ALAS RENDEROS </t>
        </r>
      </text>
    </comment>
    <comment ref="A183" authorId="0" shapeId="0">
      <text>
        <r>
          <rPr>
            <b/>
            <sz val="9"/>
            <color indexed="81"/>
            <rFont val="Tahoma"/>
            <family val="2"/>
          </rPr>
          <t>USER:</t>
        </r>
        <r>
          <rPr>
            <sz val="9"/>
            <color indexed="81"/>
            <rFont val="Tahoma"/>
            <family val="2"/>
          </rPr>
          <t xml:space="preserve">
EVARISTO BADIO OLIVA</t>
        </r>
      </text>
    </comment>
    <comment ref="A191" authorId="0" shapeId="0">
      <text>
        <r>
          <rPr>
            <b/>
            <sz val="9"/>
            <color indexed="81"/>
            <rFont val="Tahoma"/>
            <family val="2"/>
          </rPr>
          <t>USER:</t>
        </r>
        <r>
          <rPr>
            <sz val="9"/>
            <color indexed="81"/>
            <rFont val="Tahoma"/>
            <family val="2"/>
          </rPr>
          <t xml:space="preserve">
EVARISTO BADIO OLIVA</t>
        </r>
      </text>
    </comment>
    <comment ref="A192" authorId="0" shapeId="0">
      <text>
        <r>
          <rPr>
            <b/>
            <sz val="9"/>
            <color indexed="81"/>
            <rFont val="Tahoma"/>
            <family val="2"/>
          </rPr>
          <t>USER:</t>
        </r>
        <r>
          <rPr>
            <sz val="9"/>
            <color indexed="81"/>
            <rFont val="Tahoma"/>
            <family val="2"/>
          </rPr>
          <t xml:space="preserve">
EVARISTO BADIO OLIVA</t>
        </r>
      </text>
    </comment>
    <comment ref="A193" authorId="0" shapeId="0">
      <text>
        <r>
          <rPr>
            <b/>
            <sz val="9"/>
            <color indexed="81"/>
            <rFont val="Tahoma"/>
            <family val="2"/>
          </rPr>
          <t>USER:</t>
        </r>
        <r>
          <rPr>
            <sz val="9"/>
            <color indexed="81"/>
            <rFont val="Tahoma"/>
            <family val="2"/>
          </rPr>
          <t xml:space="preserve">
EVARISTO BADIO OLIVA</t>
        </r>
      </text>
    </comment>
    <comment ref="A194" authorId="0" shapeId="0">
      <text>
        <r>
          <rPr>
            <b/>
            <sz val="9"/>
            <color indexed="81"/>
            <rFont val="Tahoma"/>
            <family val="2"/>
          </rPr>
          <t>USER:</t>
        </r>
        <r>
          <rPr>
            <sz val="9"/>
            <color indexed="81"/>
            <rFont val="Tahoma"/>
            <family val="2"/>
          </rPr>
          <t xml:space="preserve">
EVARISTO BADIO OLIVA</t>
        </r>
      </text>
    </comment>
    <comment ref="A195" authorId="0" shapeId="0">
      <text>
        <r>
          <rPr>
            <b/>
            <sz val="9"/>
            <color indexed="81"/>
            <rFont val="Tahoma"/>
            <family val="2"/>
          </rPr>
          <t>USER:</t>
        </r>
        <r>
          <rPr>
            <sz val="9"/>
            <color indexed="81"/>
            <rFont val="Tahoma"/>
            <family val="2"/>
          </rPr>
          <t xml:space="preserve">
EVARISTO BADIO OLIVA</t>
        </r>
      </text>
    </comment>
    <comment ref="F265" authorId="1" shapeId="0">
      <text>
        <r>
          <rPr>
            <b/>
            <sz val="9"/>
            <color indexed="81"/>
            <rFont val="Tahoma"/>
            <family val="2"/>
          </rPr>
          <t>Chiltiupán:</t>
        </r>
        <r>
          <rPr>
            <sz val="9"/>
            <color indexed="81"/>
            <rFont val="Tahoma"/>
            <family val="2"/>
          </rPr>
          <t xml:space="preserve">
SALARIO DE LOS RECOLECTORES DE BASURA ES $123.00 POR PERSONA Y EN LOS CUATRO SALE, $492,00 POR MES</t>
        </r>
      </text>
    </comment>
    <comment ref="J276" authorId="0" shapeId="0">
      <text>
        <r>
          <rPr>
            <b/>
            <sz val="9"/>
            <color indexed="81"/>
            <rFont val="Tahoma"/>
            <family val="2"/>
          </rPr>
          <t>USER:</t>
        </r>
        <r>
          <rPr>
            <sz val="9"/>
            <color indexed="81"/>
            <rFont val="Tahoma"/>
            <family val="2"/>
          </rPr>
          <t xml:space="preserve">
2.000, mas para recolector de basura
500 para metalicos y 1.500, para combustible</t>
        </r>
      </text>
    </comment>
    <comment ref="J357" authorId="0" shapeId="0">
      <text>
        <r>
          <rPr>
            <b/>
            <sz val="9"/>
            <color indexed="81"/>
            <rFont val="Tahoma"/>
            <family val="2"/>
          </rPr>
          <t>USER:</t>
        </r>
        <r>
          <rPr>
            <sz val="9"/>
            <color indexed="81"/>
            <rFont val="Tahoma"/>
            <family val="2"/>
          </rPr>
          <t xml:space="preserve">
2.000, mas para recolector de basura
500 para metalicos y 1.500, para combustible</t>
        </r>
      </text>
    </comment>
    <comment ref="H381" authorId="0" shapeId="0">
      <text>
        <r>
          <rPr>
            <b/>
            <sz val="9"/>
            <color indexed="81"/>
            <rFont val="Tahoma"/>
            <family val="2"/>
          </rPr>
          <t>USER:</t>
        </r>
        <r>
          <rPr>
            <sz val="9"/>
            <color indexed="81"/>
            <rFont val="Tahoma"/>
            <family val="2"/>
          </rPr>
          <t xml:space="preserve">
SEGÚN LA LEY DE TRABAJO ES PAGAR A $ 8.17, DOLARES</t>
        </r>
      </text>
    </comment>
    <comment ref="H410" authorId="0" shapeId="0">
      <text>
        <r>
          <rPr>
            <b/>
            <sz val="9"/>
            <color indexed="81"/>
            <rFont val="Tahoma"/>
            <family val="2"/>
          </rPr>
          <t>USER:</t>
        </r>
        <r>
          <rPr>
            <sz val="9"/>
            <color indexed="81"/>
            <rFont val="Tahoma"/>
            <family val="2"/>
          </rPr>
          <t xml:space="preserve">
SEGÚN LA LEY DE TRABAJO ES PAGAR A $ 8.17, DOLARES</t>
        </r>
      </text>
    </comment>
  </commentList>
</comments>
</file>

<file path=xl/comments2.xml><?xml version="1.0" encoding="utf-8"?>
<comments xmlns="http://schemas.openxmlformats.org/spreadsheetml/2006/main">
  <authors>
    <author>win10</author>
    <author>DAGOBERTO</author>
    <author>USER</author>
  </authors>
  <commentList>
    <comment ref="I39" authorId="0" shapeId="0">
      <text>
        <r>
          <rPr>
            <b/>
            <sz val="9"/>
            <color indexed="81"/>
            <rFont val="Tahoma"/>
            <family val="2"/>
          </rPr>
          <t>win10:</t>
        </r>
        <r>
          <rPr>
            <sz val="9"/>
            <color indexed="81"/>
            <rFont val="Tahoma"/>
            <family val="2"/>
          </rPr>
          <t xml:space="preserve">
PROVISION DE DICIEMBRE 2021
</t>
        </r>
      </text>
    </comment>
    <comment ref="D42" authorId="1" shapeId="0">
      <text>
        <r>
          <rPr>
            <b/>
            <sz val="8"/>
            <color indexed="81"/>
            <rFont val="Tahoma"/>
            <family val="2"/>
          </rPr>
          <t>DAGOBERTO:</t>
        </r>
        <r>
          <rPr>
            <sz val="8"/>
            <color indexed="81"/>
            <rFont val="Tahoma"/>
            <family val="2"/>
          </rPr>
          <t xml:space="preserve">
$1,093.809.74,Asignacion  de 2020, mas $85.819.68  de diciembre de 2019
ESTO SE ESPERA EN EL AÑO 2020 DEL 2% FODES $364,603.26</t>
        </r>
      </text>
    </comment>
    <comment ref="F43" authorId="1" shapeId="0">
      <text>
        <r>
          <rPr>
            <b/>
            <sz val="8"/>
            <color indexed="81"/>
            <rFont val="Tahoma"/>
            <family val="2"/>
          </rPr>
          <t>DAGOBERTO:</t>
        </r>
        <r>
          <rPr>
            <sz val="8"/>
            <color indexed="81"/>
            <rFont val="Tahoma"/>
            <family val="2"/>
          </rPr>
          <t xml:space="preserve">
Se buscara financiamiento para proyecto de agua en Siberia-Regadio-El zonte</t>
        </r>
      </text>
    </comment>
    <comment ref="F48" authorId="2" shapeId="0">
      <text>
        <r>
          <rPr>
            <b/>
            <sz val="9"/>
            <color indexed="81"/>
            <rFont val="Tahoma"/>
            <family val="2"/>
          </rPr>
          <t>USER:</t>
        </r>
        <r>
          <rPr>
            <sz val="9"/>
            <color indexed="81"/>
            <rFont val="Tahoma"/>
            <family val="2"/>
          </rPr>
          <t xml:space="preserve">
sobrantes de interés y Se va a transferir a la 120 libre disponibilidad</t>
        </r>
      </text>
    </comment>
    <comment ref="I48" authorId="2" shapeId="0">
      <text>
        <r>
          <rPr>
            <b/>
            <sz val="9"/>
            <color indexed="81"/>
            <rFont val="Tahoma"/>
            <family val="2"/>
          </rPr>
          <t>USER:</t>
        </r>
        <r>
          <rPr>
            <sz val="9"/>
            <color indexed="81"/>
            <rFont val="Tahoma"/>
            <family val="2"/>
          </rPr>
          <t xml:space="preserve">
aquí va lo del saldo final del fondo municipal lo que queda en Diciembre</t>
        </r>
      </text>
    </comment>
    <comment ref="K48" authorId="2" shapeId="0">
      <text>
        <r>
          <rPr>
            <b/>
            <sz val="9"/>
            <color indexed="81"/>
            <rFont val="Tahoma"/>
            <family val="2"/>
          </rPr>
          <t>USER:</t>
        </r>
        <r>
          <rPr>
            <sz val="9"/>
            <color indexed="81"/>
            <rFont val="Tahoma"/>
            <family val="2"/>
          </rPr>
          <t xml:space="preserve">
sobrantes de prestamos Seva a transferir al fondo propio</t>
        </r>
      </text>
    </comment>
  </commentList>
</comments>
</file>

<file path=xl/comments3.xml><?xml version="1.0" encoding="utf-8"?>
<comments xmlns="http://schemas.openxmlformats.org/spreadsheetml/2006/main">
  <authors>
    <author>USER</author>
    <author>DAGOBERTO</author>
    <author>win10</author>
    <author>Chiltuipan</author>
  </authors>
  <commentList>
    <comment ref="I9" authorId="0" shapeId="0">
      <text>
        <r>
          <rPr>
            <b/>
            <sz val="9"/>
            <color indexed="81"/>
            <rFont val="Tahoma"/>
            <family val="2"/>
          </rPr>
          <t>USER:</t>
        </r>
        <r>
          <rPr>
            <sz val="9"/>
            <color indexed="81"/>
            <rFont val="Tahoma"/>
            <family val="2"/>
          </rPr>
          <t xml:space="preserve">
Pago sueldos a encargados de casa de la juventud,
pago de sueldo comité local de derechos de la niñez
 motorista de ambulancia de u. de salud,
 pago a 6 vigilantes de programa de apoyo a la seguridad CAM,PNC Y FAES
</t>
        </r>
      </text>
    </comment>
    <comment ref="G13" authorId="1" shapeId="0">
      <text>
        <r>
          <rPr>
            <b/>
            <sz val="8"/>
            <color indexed="81"/>
            <rFont val="Tahoma"/>
            <family val="2"/>
          </rPr>
          <t>DAGOBERTO:</t>
        </r>
        <r>
          <rPr>
            <sz val="8"/>
            <color indexed="81"/>
            <rFont val="Tahoma"/>
            <family val="2"/>
          </rPr>
          <t xml:space="preserve">
Aguinaldo del Auditor</t>
        </r>
      </text>
    </comment>
    <comment ref="I17" authorId="1" shapeId="0">
      <text>
        <r>
          <rPr>
            <b/>
            <sz val="8"/>
            <color indexed="81"/>
            <rFont val="Tahoma"/>
            <family val="2"/>
          </rPr>
          <t>JORGE VIDES:</t>
        </r>
        <r>
          <rPr>
            <sz val="8"/>
            <color indexed="81"/>
            <rFont val="Tahoma"/>
            <family val="2"/>
          </rPr>
          <t xml:space="preserve">
ISSS   a vigilantes o CAM
ISSS, DE MOTORISTA DE AMBULANCIA
ISSS, COMITÉ DE DERECHO DE LA NIÑEZ
ISSS,  CASA DE ENCUENTRO JUVENIL
MAS EL APORTE DEL INSAFORD QUE VA INCLUIDO CON EL PAGO DEL ISSS $453.48</t>
        </r>
      </text>
    </comment>
    <comment ref="I18" authorId="1" shapeId="0">
      <text>
        <r>
          <rPr>
            <b/>
            <sz val="8"/>
            <color indexed="81"/>
            <rFont val="Tahoma"/>
            <family val="2"/>
          </rPr>
          <t>JORGEVIDES:</t>
        </r>
        <r>
          <rPr>
            <sz val="8"/>
            <color indexed="81"/>
            <rFont val="Tahoma"/>
            <family val="2"/>
          </rPr>
          <t xml:space="preserve">
AFP   a vigilantes o CAM
AFP, DE MOTORISTA DE AMBULANCIA
AFP, COMITÉ DE DERECHO DE LA NIÑEZ
AFP,  CASA DE ENCUENTRO JUVENIL</t>
        </r>
      </text>
    </comment>
    <comment ref="C21" authorId="0" shapeId="0">
      <text>
        <r>
          <rPr>
            <b/>
            <sz val="9"/>
            <color indexed="81"/>
            <rFont val="Tahoma"/>
            <family val="2"/>
          </rPr>
          <t>USER:</t>
        </r>
        <r>
          <rPr>
            <sz val="9"/>
            <color indexed="81"/>
            <rFont val="Tahoma"/>
            <family val="2"/>
          </rPr>
          <t xml:space="preserve">
alimentos o refrigerio del consejo municipal $1.500
adulto mayor $300
día de la madre $1.000
día del padre  $ 700
apoyo a charlas prevención de la violencia $800
otros actividades $800</t>
        </r>
      </text>
    </comment>
    <comment ref="I21" authorId="1" shapeId="0">
      <text>
        <r>
          <rPr>
            <b/>
            <sz val="8"/>
            <color indexed="81"/>
            <rFont val="Tahoma"/>
            <family val="2"/>
          </rPr>
          <t>DAGOBERTO:</t>
        </r>
        <r>
          <rPr>
            <sz val="8"/>
            <color indexed="81"/>
            <rFont val="Tahoma"/>
            <family val="2"/>
          </rPr>
          <t xml:space="preserve">
1) </t>
        </r>
        <r>
          <rPr>
            <sz val="9"/>
            <color indexed="81"/>
            <rFont val="Tahoma"/>
            <family val="2"/>
          </rPr>
          <t>Compra alimentos para elementos de tropa de Regimiento de Caballería  destacados en el Municipio, en programa de Seguridad del municipio,
2) Almuerzo y refrigerios para actividades de Casa de Encuentro,
3) Programas  del comité de Derechos de la niñes , 
4) Unidad de la mujer, reuniones de deporte, Etc.
5) plan municipal prevención a la violencia hacia la mujer</t>
        </r>
      </text>
    </comment>
    <comment ref="I22" authorId="0" shapeId="0">
      <text>
        <r>
          <rPr>
            <b/>
            <sz val="9"/>
            <color indexed="81"/>
            <rFont val="Tahoma"/>
            <family val="2"/>
          </rPr>
          <t>USER:</t>
        </r>
        <r>
          <rPr>
            <sz val="9"/>
            <color indexed="81"/>
            <rFont val="Tahoma"/>
            <family val="2"/>
          </rPr>
          <t xml:space="preserve">
PARA COMPRA DE DE SEMILLA DE HUERTOS DE EDUCO A LAS ESCUELAS </t>
        </r>
      </text>
    </comment>
    <comment ref="F26" authorId="1" shapeId="0">
      <text>
        <r>
          <rPr>
            <b/>
            <sz val="8"/>
            <color indexed="81"/>
            <rFont val="Tahoma"/>
            <family val="2"/>
          </rPr>
          <t>DAGOBERTO:</t>
        </r>
        <r>
          <rPr>
            <sz val="8"/>
            <color indexed="81"/>
            <rFont val="Tahoma"/>
            <family val="2"/>
          </rPr>
          <t xml:space="preserve">
Para comprar fertilizante para la finca municipal</t>
        </r>
      </text>
    </comment>
    <comment ref="I26" authorId="1" shapeId="0">
      <text>
        <r>
          <rPr>
            <b/>
            <sz val="8"/>
            <color indexed="81"/>
            <rFont val="Tahoma"/>
            <family val="2"/>
          </rPr>
          <t>DAGOBERTO:</t>
        </r>
        <r>
          <rPr>
            <sz val="8"/>
            <color indexed="81"/>
            <rFont val="Tahoma"/>
            <family val="2"/>
          </rPr>
          <t xml:space="preserve">
Para fertilizante de la cancha el bambú</t>
        </r>
      </text>
    </comment>
    <comment ref="I29" authorId="1" shapeId="0">
      <text>
        <r>
          <rPr>
            <b/>
            <sz val="8"/>
            <color indexed="81"/>
            <rFont val="Tahoma"/>
            <family val="2"/>
          </rPr>
          <t>DAGOBERTO:</t>
        </r>
        <r>
          <rPr>
            <sz val="8"/>
            <color indexed="81"/>
            <rFont val="Tahoma"/>
            <family val="2"/>
          </rPr>
          <t xml:space="preserve">
Combustible para camión recolector, para Ambulancia 
 Unidad de Salud 
cancha el bambú</t>
        </r>
      </text>
    </comment>
    <comment ref="I34" authorId="1" shapeId="0">
      <text>
        <r>
          <rPr>
            <b/>
            <sz val="8"/>
            <color indexed="81"/>
            <rFont val="Tahoma"/>
            <family val="2"/>
          </rPr>
          <t>DAGOBERTO:</t>
        </r>
        <r>
          <rPr>
            <sz val="8"/>
            <color indexed="81"/>
            <rFont val="Tahoma"/>
            <family val="2"/>
          </rPr>
          <t xml:space="preserve">
Munición para los mismos.</t>
        </r>
      </text>
    </comment>
    <comment ref="F36" authorId="0" shapeId="0">
      <text>
        <r>
          <rPr>
            <b/>
            <sz val="9"/>
            <color indexed="81"/>
            <rFont val="Tahoma"/>
            <family val="2"/>
          </rPr>
          <t>USER:</t>
        </r>
        <r>
          <rPr>
            <sz val="9"/>
            <color indexed="81"/>
            <rFont val="Tahoma"/>
            <family val="2"/>
          </rPr>
          <t xml:space="preserve">
compra de materiales eléctricos para mantenimiento de alumbrado publico </t>
        </r>
      </text>
    </comment>
    <comment ref="G37" authorId="2" shapeId="0">
      <text>
        <r>
          <rPr>
            <b/>
            <sz val="9"/>
            <color indexed="81"/>
            <rFont val="Tahoma"/>
            <family val="2"/>
          </rPr>
          <t>win10:</t>
        </r>
        <r>
          <rPr>
            <sz val="9"/>
            <color indexed="81"/>
            <rFont val="Tahoma"/>
            <family val="2"/>
          </rPr>
          <t xml:space="preserve">
especies donde van carnet, formulas Isam y otras </t>
        </r>
      </text>
    </comment>
    <comment ref="I39" authorId="1" shapeId="0">
      <text>
        <r>
          <rPr>
            <b/>
            <sz val="8"/>
            <color indexed="81"/>
            <rFont val="Tahoma"/>
            <family val="2"/>
          </rPr>
          <t>DAGOBERTO:</t>
        </r>
        <r>
          <rPr>
            <sz val="8"/>
            <color indexed="81"/>
            <rFont val="Tahoma"/>
            <family val="2"/>
          </rPr>
          <t xml:space="preserve">
Energía Eléctrica para Alumbrado Publico
y de la cancha el bambú</t>
        </r>
      </text>
    </comment>
    <comment ref="I40" authorId="1" shapeId="0">
      <text>
        <r>
          <rPr>
            <b/>
            <sz val="8"/>
            <color indexed="81"/>
            <rFont val="Tahoma"/>
            <family val="2"/>
          </rPr>
          <t>DAGOBERTO:</t>
        </r>
        <r>
          <rPr>
            <sz val="8"/>
            <color indexed="81"/>
            <rFont val="Tahoma"/>
            <family val="2"/>
          </rPr>
          <t xml:space="preserve">
Pago agua  de Cancha el Bambú 
</t>
        </r>
      </text>
    </comment>
    <comment ref="I41" authorId="1" shapeId="0">
      <text>
        <r>
          <rPr>
            <b/>
            <sz val="8"/>
            <color indexed="81"/>
            <rFont val="Tahoma"/>
            <family val="2"/>
          </rPr>
          <t>DAGOBERTO:</t>
        </r>
        <r>
          <rPr>
            <sz val="8"/>
            <color indexed="81"/>
            <rFont val="Tahoma"/>
            <family val="2"/>
          </rPr>
          <t xml:space="preserve">
Internet de Casa de Encuentro</t>
        </r>
      </text>
    </comment>
    <comment ref="I44" authorId="1" shapeId="0">
      <text>
        <r>
          <rPr>
            <b/>
            <sz val="8"/>
            <color indexed="81"/>
            <rFont val="Tahoma"/>
            <family val="2"/>
          </rPr>
          <t>DAGOBERTO:</t>
        </r>
        <r>
          <rPr>
            <sz val="8"/>
            <color indexed="81"/>
            <rFont val="Tahoma"/>
            <family val="2"/>
          </rPr>
          <t xml:space="preserve">
Para mantenimiento de equipos informáticos en  Casa de Encuentro </t>
        </r>
      </text>
    </comment>
    <comment ref="I45" authorId="1" shapeId="0">
      <text>
        <r>
          <rPr>
            <b/>
            <sz val="8"/>
            <color indexed="81"/>
            <rFont val="Tahoma"/>
            <family val="2"/>
          </rPr>
          <t>DAGOBERTO:</t>
        </r>
        <r>
          <rPr>
            <sz val="8"/>
            <color indexed="81"/>
            <rFont val="Tahoma"/>
            <family val="2"/>
          </rPr>
          <t xml:space="preserve">
Mantenimiento de Camión recolector
ambulancia 
policía</t>
        </r>
      </text>
    </comment>
    <comment ref="F46" authorId="0" shapeId="0">
      <text>
        <r>
          <rPr>
            <b/>
            <sz val="9"/>
            <color indexed="81"/>
            <rFont val="Tahoma"/>
            <family val="2"/>
          </rPr>
          <t>USER:</t>
        </r>
        <r>
          <rPr>
            <sz val="9"/>
            <color indexed="81"/>
            <rFont val="Tahoma"/>
            <family val="2"/>
          </rPr>
          <t xml:space="preserve">
mantenimiento de bienes muebles como alumbrado publico, reparación de cañerías las flores, taquillo, corinto y otras</t>
        </r>
      </text>
    </comment>
    <comment ref="I46" authorId="3" shapeId="0">
      <text>
        <r>
          <rPr>
            <b/>
            <sz val="9"/>
            <color indexed="81"/>
            <rFont val="Tahoma"/>
            <family val="2"/>
          </rPr>
          <t>Chiltiupan:</t>
        </r>
        <r>
          <rPr>
            <sz val="9"/>
            <color indexed="81"/>
            <rFont val="Tahoma"/>
            <family val="2"/>
          </rPr>
          <t xml:space="preserve">
 mantenimiento de agua potable, corinto, taquillo, las flores y Siberia 
los tres miradores </t>
        </r>
      </text>
    </comment>
    <comment ref="I49" authorId="3" shapeId="0">
      <text>
        <r>
          <rPr>
            <b/>
            <sz val="9"/>
            <color indexed="81"/>
            <rFont val="Tahoma"/>
            <family val="2"/>
          </rPr>
          <t>Chiltiupan:</t>
        </r>
        <r>
          <rPr>
            <sz val="9"/>
            <color indexed="81"/>
            <rFont val="Tahoma"/>
            <family val="2"/>
          </rPr>
          <t xml:space="preserve">
IMPRECIONES DE BLOCCHUR, BANER, PUBLICACIONES, DE TURISMO</t>
        </r>
      </text>
    </comment>
    <comment ref="C50" authorId="0" shapeId="0">
      <text>
        <r>
          <rPr>
            <b/>
            <sz val="9"/>
            <color indexed="81"/>
            <rFont val="Tahoma"/>
            <family val="2"/>
          </rPr>
          <t>USER:</t>
        </r>
        <r>
          <rPr>
            <sz val="9"/>
            <color indexed="81"/>
            <rFont val="Tahoma"/>
            <family val="2"/>
          </rPr>
          <t xml:space="preserve">
día del empleado municipal 
convivio con otras instituciones </t>
        </r>
      </text>
    </comment>
    <comment ref="G50" authorId="1" shapeId="0">
      <text>
        <r>
          <rPr>
            <b/>
            <sz val="8"/>
            <color indexed="81"/>
            <rFont val="Tahoma"/>
            <family val="2"/>
          </rPr>
          <t>DAGOBERTO:</t>
        </r>
        <r>
          <rPr>
            <sz val="8"/>
            <color indexed="81"/>
            <rFont val="Tahoma"/>
            <family val="2"/>
          </rPr>
          <t xml:space="preserve">
pago de atenciones a alcaldes del CDA, cuando es reunión local</t>
        </r>
      </text>
    </comment>
    <comment ref="I50" authorId="3" shapeId="0">
      <text>
        <r>
          <rPr>
            <b/>
            <sz val="9"/>
            <color indexed="81"/>
            <rFont val="Tahoma"/>
            <family val="2"/>
          </rPr>
          <t>Chiltiupan:</t>
        </r>
        <r>
          <rPr>
            <sz val="9"/>
            <color indexed="81"/>
            <rFont val="Tahoma"/>
            <family val="2"/>
          </rPr>
          <t xml:space="preserve">
pago de basura al puerto de la libertad</t>
        </r>
      </text>
    </comment>
    <comment ref="C51" authorId="3" shapeId="0">
      <text>
        <r>
          <rPr>
            <b/>
            <sz val="9"/>
            <color indexed="81"/>
            <rFont val="Tahoma"/>
            <family val="2"/>
          </rPr>
          <t>Chiltiupan:</t>
        </r>
        <r>
          <rPr>
            <sz val="9"/>
            <color indexed="81"/>
            <rFont val="Tahoma"/>
            <family val="2"/>
          </rPr>
          <t xml:space="preserve">
ESTA PARTIDA ES PARA PAGAR ALGUNA GRUA PARA PODER REMOLCAR ALGUN VEHICULO </t>
        </r>
      </text>
    </comment>
    <comment ref="I51" authorId="0" shapeId="0">
      <text>
        <r>
          <rPr>
            <b/>
            <sz val="9"/>
            <color indexed="81"/>
            <rFont val="Tahoma"/>
            <family val="2"/>
          </rPr>
          <t>USER:</t>
        </r>
        <r>
          <rPr>
            <sz val="9"/>
            <color indexed="81"/>
            <rFont val="Tahoma"/>
            <family val="2"/>
          </rPr>
          <t xml:space="preserve">
PARA PAGO DE MAQUINA QUE TRABAJO EN CANCHA TAQUILLO
</t>
        </r>
      </text>
    </comment>
    <comment ref="I52" authorId="1" shapeId="0">
      <text>
        <r>
          <rPr>
            <b/>
            <sz val="8"/>
            <color indexed="81"/>
            <rFont val="Tahoma"/>
            <family val="2"/>
          </rPr>
          <t>DAGOBERTO:</t>
        </r>
        <r>
          <rPr>
            <sz val="8"/>
            <color indexed="81"/>
            <rFont val="Tahoma"/>
            <family val="2"/>
          </rPr>
          <t xml:space="preserve">
Alquiler local Casa de encuentro Juvenil</t>
        </r>
      </text>
    </comment>
    <comment ref="C53" authorId="0" shapeId="0">
      <text>
        <r>
          <rPr>
            <b/>
            <sz val="9"/>
            <color indexed="81"/>
            <rFont val="Tahoma"/>
            <family val="2"/>
          </rPr>
          <t>USER:</t>
        </r>
        <r>
          <rPr>
            <sz val="9"/>
            <color indexed="81"/>
            <rFont val="Tahoma"/>
            <family val="2"/>
          </rPr>
          <t xml:space="preserve">
3- MESES DE PAGO DE CAPSA SOBRE LO QUE ES LA BASURA PORQUE DEL 75% ESTA PRESUPUESTADO HASTA SEPTIEMBRE Y SE PAGARA 3 MESES DE AQUÍ DEL FONDOS PROPIOS. </t>
        </r>
      </text>
    </comment>
    <comment ref="I53" authorId="1" shapeId="0">
      <text>
        <r>
          <rPr>
            <b/>
            <sz val="8"/>
            <color indexed="81"/>
            <rFont val="Tahoma"/>
            <family val="2"/>
          </rPr>
          <t>DAGOBERTO:</t>
        </r>
        <r>
          <rPr>
            <sz val="8"/>
            <color indexed="81"/>
            <rFont val="Tahoma"/>
            <family val="2"/>
          </rPr>
          <t xml:space="preserve">
DISPOSICION FINAL DE DESECHOS SOLIDOS DE CHILTIUAPAN ( PAGO A   (CAPSA, S.A )</t>
        </r>
      </text>
    </comment>
    <comment ref="G54" authorId="1" shapeId="0">
      <text>
        <r>
          <rPr>
            <b/>
            <sz val="8"/>
            <color indexed="81"/>
            <rFont val="Tahoma"/>
            <family val="2"/>
          </rPr>
          <t>DAGOBERTO:</t>
        </r>
        <r>
          <rPr>
            <sz val="8"/>
            <color indexed="81"/>
            <rFont val="Tahoma"/>
            <family val="2"/>
          </rPr>
          <t xml:space="preserve">
pago pasajes a personal operativo y para gestión de proyectos</t>
        </r>
      </text>
    </comment>
    <comment ref="G55" authorId="1" shapeId="0">
      <text>
        <r>
          <rPr>
            <b/>
            <sz val="8"/>
            <color indexed="81"/>
            <rFont val="Tahoma"/>
            <family val="2"/>
          </rPr>
          <t>DAGOBERTO:</t>
        </r>
        <r>
          <rPr>
            <sz val="8"/>
            <color indexed="81"/>
            <rFont val="Tahoma"/>
            <family val="2"/>
          </rPr>
          <t xml:space="preserve">
Viáticos personal operativo
Viáticos para Gestión de  Proyectos</t>
        </r>
      </text>
    </comment>
    <comment ref="G61" authorId="1" shapeId="0">
      <text>
        <r>
          <rPr>
            <b/>
            <sz val="8"/>
            <color indexed="81"/>
            <rFont val="Tahoma"/>
            <family val="2"/>
          </rPr>
          <t>DAGOBERTO:</t>
        </r>
        <r>
          <rPr>
            <sz val="8"/>
            <color indexed="81"/>
            <rFont val="Tahoma"/>
            <family val="2"/>
          </rPr>
          <t xml:space="preserve">
,Ordenanza de medio Ambiente, </t>
        </r>
      </text>
    </comment>
    <comment ref="G71" authorId="0" shapeId="0">
      <text>
        <r>
          <rPr>
            <b/>
            <sz val="9"/>
            <color indexed="81"/>
            <rFont val="Tahoma"/>
            <family val="2"/>
          </rPr>
          <t>USER:</t>
        </r>
        <r>
          <rPr>
            <sz val="9"/>
            <color indexed="81"/>
            <rFont val="Tahoma"/>
            <family val="2"/>
          </rPr>
          <t xml:space="preserve">
certificación de cheque</t>
        </r>
      </text>
    </comment>
    <comment ref="G72" authorId="0" shapeId="0">
      <text>
        <r>
          <rPr>
            <b/>
            <sz val="9"/>
            <color indexed="81"/>
            <rFont val="Tahoma"/>
            <family val="2"/>
          </rPr>
          <t>USER:</t>
        </r>
        <r>
          <rPr>
            <sz val="9"/>
            <color indexed="81"/>
            <rFont val="Tahoma"/>
            <family val="2"/>
          </rPr>
          <t xml:space="preserve">
pago para refrenda de tarjeta de vehículo</t>
        </r>
      </text>
    </comment>
    <comment ref="C73" authorId="1" shapeId="0">
      <text>
        <r>
          <rPr>
            <b/>
            <sz val="8"/>
            <color indexed="81"/>
            <rFont val="Tahoma"/>
            <family val="2"/>
          </rPr>
          <t>DAGOBERTO:</t>
        </r>
        <r>
          <rPr>
            <sz val="8"/>
            <color indexed="81"/>
            <rFont val="Tahoma"/>
            <family val="2"/>
          </rPr>
          <t xml:space="preserve">
Cuotas de INSAFORP, Concejales y empleados</t>
        </r>
      </text>
    </comment>
    <comment ref="G73" authorId="1" shapeId="0">
      <text>
        <r>
          <rPr>
            <b/>
            <sz val="8"/>
            <color indexed="81"/>
            <rFont val="Tahoma"/>
            <family val="2"/>
          </rPr>
          <t>DAGOBERTO:</t>
        </r>
        <r>
          <rPr>
            <sz val="8"/>
            <color indexed="81"/>
            <rFont val="Tahoma"/>
            <family val="2"/>
          </rPr>
          <t xml:space="preserve">
Cuota de afiliación a COMURES $ 14,400.00 ,
   pago al INSAFORP $ 1.459.53
  y  CDA, SON $100, ANUAL $1.200
Y MENBRESIA DE AMUSDELI, $3.600, ANUAL AÑO 2018</t>
        </r>
      </text>
    </comment>
    <comment ref="I73" authorId="1" shapeId="0">
      <text>
        <r>
          <rPr>
            <b/>
            <sz val="8"/>
            <color indexed="81"/>
            <rFont val="Tahoma"/>
            <family val="2"/>
          </rPr>
          <t>DAGOBERTO:</t>
        </r>
        <r>
          <rPr>
            <sz val="8"/>
            <color indexed="81"/>
            <rFont val="Tahoma"/>
            <family val="2"/>
          </rPr>
          <t xml:space="preserve">
   pago al INSAFORP $ 1.431.63
</t>
        </r>
      </text>
    </comment>
    <comment ref="C75" authorId="0" shapeId="0">
      <text>
        <r>
          <rPr>
            <b/>
            <sz val="9"/>
            <color indexed="81"/>
            <rFont val="Tahoma"/>
            <family val="2"/>
          </rPr>
          <t>USER:</t>
        </r>
        <r>
          <rPr>
            <sz val="9"/>
            <color indexed="81"/>
            <rFont val="Tahoma"/>
            <family val="2"/>
          </rPr>
          <t xml:space="preserve">
APOYO A PERSONAS DE ESCASOS RECURSOS MEDICOS Y OTRAS </t>
        </r>
      </text>
    </comment>
    <comment ref="G78" authorId="0" shapeId="0">
      <text>
        <r>
          <rPr>
            <b/>
            <sz val="9"/>
            <color indexed="81"/>
            <rFont val="Tahoma"/>
            <family val="2"/>
          </rPr>
          <t>USER:</t>
        </r>
        <r>
          <rPr>
            <sz val="9"/>
            <color indexed="81"/>
            <rFont val="Tahoma"/>
            <family val="2"/>
          </rPr>
          <t xml:space="preserve">
ESTA PARTIDA LA HEMOS DEJADO PARA COMPRAR LOS AIRES ACONDICIONADO DE LA COMUNAL </t>
        </r>
      </text>
    </comment>
    <comment ref="G82" authorId="0" shapeId="0">
      <text>
        <r>
          <rPr>
            <b/>
            <sz val="9"/>
            <color indexed="81"/>
            <rFont val="Tahoma"/>
            <family val="2"/>
          </rPr>
          <t>USER:</t>
        </r>
        <r>
          <rPr>
            <sz val="9"/>
            <color indexed="81"/>
            <rFont val="Tahoma"/>
            <family val="2"/>
          </rPr>
          <t xml:space="preserve">
PARA COMPRA DE CORTINAS DE LA CASA COMUNAL </t>
        </r>
      </text>
    </comment>
    <comment ref="I83" authorId="1" shapeId="0">
      <text>
        <r>
          <rPr>
            <b/>
            <sz val="8"/>
            <color indexed="81"/>
            <rFont val="Tahoma"/>
            <family val="2"/>
          </rPr>
          <t>DAGOBERTO:</t>
        </r>
        <r>
          <rPr>
            <sz val="8"/>
            <color indexed="81"/>
            <rFont val="Tahoma"/>
            <family val="2"/>
          </rPr>
          <t xml:space="preserve">
Compra de terreno , para Casa  Comunal en Caserío El Progreso Cuervo Arriba .</t>
        </r>
      </text>
    </comment>
    <comment ref="G84" authorId="0" shapeId="0">
      <text>
        <r>
          <rPr>
            <b/>
            <sz val="9"/>
            <color indexed="81"/>
            <rFont val="Tahoma"/>
            <family val="2"/>
          </rPr>
          <t>USER:</t>
        </r>
        <r>
          <rPr>
            <sz val="9"/>
            <color indexed="81"/>
            <rFont val="Tahoma"/>
            <family val="2"/>
          </rPr>
          <t xml:space="preserve">
compra para licencia de computadora
Mejoramiento del sistema catastral</t>
        </r>
      </text>
    </comment>
    <comment ref="G96" authorId="0" shapeId="0">
      <text>
        <r>
          <rPr>
            <b/>
            <sz val="9"/>
            <color indexed="81"/>
            <rFont val="Tahoma"/>
            <family val="2"/>
          </rPr>
          <t>USER:</t>
        </r>
        <r>
          <rPr>
            <sz val="9"/>
            <color indexed="81"/>
            <rFont val="Tahoma"/>
            <family val="2"/>
          </rPr>
          <t xml:space="preserve">
CUOTA DE MENBRESIA DE AMUSDELI  DE AÑOS ANTERIORES, NOV, Y DIC, 2013 ASTA 2017
pago de facturas de año 2017 por pagar $4.672.17
</t>
        </r>
      </text>
    </comment>
    <comment ref="G99" authorId="2" shapeId="0">
      <text>
        <r>
          <rPr>
            <b/>
            <sz val="9"/>
            <color indexed="81"/>
            <rFont val="Tahoma"/>
            <family val="2"/>
          </rPr>
          <t>win10:</t>
        </r>
        <r>
          <rPr>
            <sz val="9"/>
            <color indexed="81"/>
            <rFont val="Tahoma"/>
            <family val="2"/>
          </rPr>
          <t xml:space="preserve">
120- LIBRE DISPONIBILIDAD ADMINISTRACION </t>
        </r>
      </text>
    </comment>
  </commentList>
</comments>
</file>

<file path=xl/comments4.xml><?xml version="1.0" encoding="utf-8"?>
<comments xmlns="http://schemas.openxmlformats.org/spreadsheetml/2006/main">
  <authors>
    <author>USER</author>
    <author>DAGOBERTO</author>
    <author>Chiltuipan</author>
  </authors>
  <commentList>
    <comment ref="AE10" authorId="0" shapeId="0">
      <text>
        <r>
          <rPr>
            <b/>
            <sz val="9"/>
            <color indexed="81"/>
            <rFont val="Tahoma"/>
            <family val="2"/>
          </rPr>
          <t>USER:</t>
        </r>
        <r>
          <rPr>
            <sz val="9"/>
            <color indexed="81"/>
            <rFont val="Tahoma"/>
            <family val="2"/>
          </rPr>
          <t xml:space="preserve">
SUELDO DE LA LINEA 01-02, PARA PAGAR 9 MESES</t>
        </r>
      </text>
    </comment>
    <comment ref="AF10" authorId="0" shapeId="0">
      <text>
        <r>
          <rPr>
            <b/>
            <sz val="9"/>
            <color indexed="81"/>
            <rFont val="Tahoma"/>
            <family val="2"/>
          </rPr>
          <t>USER:</t>
        </r>
        <r>
          <rPr>
            <sz val="9"/>
            <color indexed="81"/>
            <rFont val="Tahoma"/>
            <family val="2"/>
          </rPr>
          <t xml:space="preserve">
SUELDO DE LA LINEA 02-01, PARA PAGAR  9 MESES </t>
        </r>
      </text>
    </comment>
    <comment ref="AG10" authorId="0" shapeId="0">
      <text>
        <r>
          <rPr>
            <b/>
            <sz val="9"/>
            <color indexed="81"/>
            <rFont val="Tahoma"/>
            <family val="2"/>
          </rPr>
          <t>USER
SUELDO DE LA LINEA 02-02, PAGA PAGAR EN 9 MESES</t>
        </r>
      </text>
    </comment>
    <comment ref="AK10" authorId="0" shapeId="0">
      <text>
        <r>
          <rPr>
            <b/>
            <sz val="9"/>
            <color indexed="81"/>
            <rFont val="Tahoma"/>
            <family val="2"/>
          </rPr>
          <t>USER:</t>
        </r>
        <r>
          <rPr>
            <sz val="9"/>
            <color indexed="81"/>
            <rFont val="Tahoma"/>
            <family val="2"/>
          </rPr>
          <t xml:space="preserve">
Pago sueldos a encargados de casa de la juventud,
pago de sueldo comité local de derechos de la niñez
 motorista de ambulacia de u. de salud,
 pago a 6 viglinates de program de apoyo a la deguridad CAM,PNC Y FAES
</t>
        </r>
      </text>
    </comment>
    <comment ref="Z13" authorId="1" shapeId="0">
      <text>
        <r>
          <rPr>
            <b/>
            <sz val="8"/>
            <color indexed="81"/>
            <rFont val="Tahoma"/>
            <family val="2"/>
          </rPr>
          <t>DAGOBERTO:</t>
        </r>
        <r>
          <rPr>
            <sz val="8"/>
            <color indexed="81"/>
            <rFont val="Tahoma"/>
            <family val="2"/>
          </rPr>
          <t xml:space="preserve">
Pago Auditor Interno 2 meses</t>
        </r>
      </text>
    </comment>
    <comment ref="AD13" authorId="1" shapeId="0">
      <text>
        <r>
          <rPr>
            <b/>
            <sz val="8"/>
            <color indexed="81"/>
            <rFont val="Tahoma"/>
            <family val="2"/>
          </rPr>
          <t>DAGOBERTO:</t>
        </r>
        <r>
          <rPr>
            <sz val="8"/>
            <color indexed="81"/>
            <rFont val="Tahoma"/>
            <family val="2"/>
          </rPr>
          <t xml:space="preserve">
pago del Auditor Intern  10 meses  del 25% fodes</t>
        </r>
      </text>
    </comment>
    <comment ref="AG13" authorId="1" shapeId="0">
      <text>
        <r>
          <rPr>
            <b/>
            <sz val="8"/>
            <color indexed="81"/>
            <rFont val="Tahoma"/>
            <family val="2"/>
          </rPr>
          <t>DAGOBERTO:</t>
        </r>
        <r>
          <rPr>
            <sz val="8"/>
            <color indexed="81"/>
            <rFont val="Tahoma"/>
            <family val="2"/>
          </rPr>
          <t xml:space="preserve">
PAGO A OF. DE INFORMACION, Y A 2 POLICIAS ( Vigilantes Municipales) y Ordenanza de limpieza
</t>
        </r>
      </text>
    </comment>
    <comment ref="AD15" authorId="1" shapeId="0">
      <text>
        <r>
          <rPr>
            <b/>
            <sz val="8"/>
            <color indexed="81"/>
            <rFont val="Tahoma"/>
            <family val="2"/>
          </rPr>
          <t>DAGOBERTO:</t>
        </r>
        <r>
          <rPr>
            <sz val="8"/>
            <color indexed="81"/>
            <rFont val="Tahoma"/>
            <family val="2"/>
          </rPr>
          <t xml:space="preserve">
Aguinaldo del Auditor</t>
        </r>
      </text>
    </comment>
    <comment ref="AG15" authorId="1" shapeId="0">
      <text>
        <r>
          <rPr>
            <b/>
            <sz val="8"/>
            <color indexed="81"/>
            <rFont val="Tahoma"/>
            <family val="2"/>
          </rPr>
          <t>DAGOBERTO:</t>
        </r>
        <r>
          <rPr>
            <sz val="8"/>
            <color indexed="81"/>
            <rFont val="Tahoma"/>
            <family val="2"/>
          </rPr>
          <t xml:space="preserve">
Aguinaldo de Of.de Informacion y 2 policias
</t>
        </r>
      </text>
    </comment>
    <comment ref="AE17" authorId="0" shapeId="0">
      <text>
        <r>
          <rPr>
            <b/>
            <sz val="9"/>
            <color indexed="81"/>
            <rFont val="Tahoma"/>
            <family val="2"/>
          </rPr>
          <t>USER:</t>
        </r>
        <r>
          <rPr>
            <sz val="9"/>
            <color indexed="81"/>
            <rFont val="Tahoma"/>
            <family val="2"/>
          </rPr>
          <t xml:space="preserve">
PARA HORAS EXTRAS </t>
        </r>
      </text>
    </comment>
    <comment ref="AK19" authorId="1" shapeId="0">
      <text>
        <r>
          <rPr>
            <b/>
            <sz val="8"/>
            <color indexed="81"/>
            <rFont val="Tahoma"/>
            <family val="2"/>
          </rPr>
          <t>JORGE VIDES:</t>
        </r>
        <r>
          <rPr>
            <sz val="8"/>
            <color indexed="81"/>
            <rFont val="Tahoma"/>
            <family val="2"/>
          </rPr>
          <t xml:space="preserve">
ISSS   a vigilantes o CAM
ISSS, DE MOTORISTA DE AMBULANCIA
ISSS, COMITÉ DE DERECHO DE LA NIÑEZ
ISSS,  CASA DE ENCUENTRO JUVENIL
MAS EL APORTE DEL INSAFORD QUE VA INCLUIDO CON EL PAGO DEL ISSS $453.48</t>
        </r>
      </text>
    </comment>
    <comment ref="AK20" authorId="1" shapeId="0">
      <text>
        <r>
          <rPr>
            <b/>
            <sz val="8"/>
            <color indexed="81"/>
            <rFont val="Tahoma"/>
            <family val="2"/>
          </rPr>
          <t>JORGEVIDES:</t>
        </r>
        <r>
          <rPr>
            <sz val="8"/>
            <color indexed="81"/>
            <rFont val="Tahoma"/>
            <family val="2"/>
          </rPr>
          <t xml:space="preserve">
AFP   a vigilantes o CAM
AFP, DE MOTORISTA DE AMBULANCIA
AFP, COMITÉ DE DERECHO DE LA NIÑEZ
AFP,  CASA DE ENCUENTRO JUVENIL</t>
        </r>
      </text>
    </comment>
    <comment ref="Z23" authorId="0" shapeId="0">
      <text>
        <r>
          <rPr>
            <b/>
            <sz val="9"/>
            <color indexed="81"/>
            <rFont val="Tahoma"/>
            <family val="2"/>
          </rPr>
          <t>USER:</t>
        </r>
        <r>
          <rPr>
            <sz val="9"/>
            <color indexed="81"/>
            <rFont val="Tahoma"/>
            <family val="2"/>
          </rPr>
          <t xml:space="preserve">
alimentos o refrigerio del consejo municipal $1.500
adulto mayor $300
dia de la madre $1.000
dia del padre  $ 700
apoyo a charlas prevencion de la violencia $800
otros actividades $800</t>
        </r>
      </text>
    </comment>
    <comment ref="AK23" authorId="1" shapeId="0">
      <text>
        <r>
          <rPr>
            <b/>
            <sz val="8"/>
            <color indexed="81"/>
            <rFont val="Tahoma"/>
            <family val="2"/>
          </rPr>
          <t>DAGOBERTO:</t>
        </r>
        <r>
          <rPr>
            <sz val="8"/>
            <color indexed="81"/>
            <rFont val="Tahoma"/>
            <family val="2"/>
          </rPr>
          <t xml:space="preserve">
1) </t>
        </r>
        <r>
          <rPr>
            <sz val="9"/>
            <color indexed="81"/>
            <rFont val="Tahoma"/>
            <family val="2"/>
          </rPr>
          <t>Compra alimentos para elementos de tropa de Regimiento de Caballeria  destacados en el Municipio, en programa de Seguridad del municipio,
2) Almuerzo y refrigerios para actividades de Casa de Encuentro,
3) Progrmas  del comité de Derechos de la niñes , 
4) Unidad de la mujer,reuniones de deporte, Etc.
5) plan municipal prevencion a la violencia hacia la mujer</t>
        </r>
      </text>
    </comment>
    <comment ref="AK24" authorId="0" shapeId="0">
      <text>
        <r>
          <rPr>
            <b/>
            <sz val="9"/>
            <color indexed="81"/>
            <rFont val="Tahoma"/>
            <family val="2"/>
          </rPr>
          <t>USER:</t>
        </r>
        <r>
          <rPr>
            <sz val="9"/>
            <color indexed="81"/>
            <rFont val="Tahoma"/>
            <family val="2"/>
          </rPr>
          <t xml:space="preserve">
PARA COMPRA DE DE SEMILLA DE HUERTOS DE EDUCO A LAS ESCUELAS </t>
        </r>
      </text>
    </comment>
    <comment ref="AE26" authorId="0" shapeId="0">
      <text>
        <r>
          <rPr>
            <b/>
            <sz val="9"/>
            <color indexed="81"/>
            <rFont val="Tahoma"/>
            <family val="2"/>
          </rPr>
          <t>USER:</t>
        </r>
        <r>
          <rPr>
            <sz val="9"/>
            <color indexed="81"/>
            <rFont val="Tahoma"/>
            <family val="2"/>
          </rPr>
          <t xml:space="preserve">
PARA COMPRAR SOBRES BLANCOS PARA COLECTURIA</t>
        </r>
      </text>
    </comment>
    <comment ref="AC27" authorId="1" shapeId="0">
      <text>
        <r>
          <rPr>
            <b/>
            <sz val="8"/>
            <color indexed="81"/>
            <rFont val="Tahoma"/>
            <family val="2"/>
          </rPr>
          <t>DAGOBERTO:</t>
        </r>
        <r>
          <rPr>
            <sz val="8"/>
            <color indexed="81"/>
            <rFont val="Tahoma"/>
            <family val="2"/>
          </rPr>
          <t xml:space="preserve">
Para comprar fertilizante para la finca municipal</t>
        </r>
      </text>
    </comment>
    <comment ref="AK27" authorId="1" shapeId="0">
      <text>
        <r>
          <rPr>
            <b/>
            <sz val="8"/>
            <color indexed="81"/>
            <rFont val="Tahoma"/>
            <family val="2"/>
          </rPr>
          <t>DAGOBERTO:</t>
        </r>
        <r>
          <rPr>
            <sz val="8"/>
            <color indexed="81"/>
            <rFont val="Tahoma"/>
            <family val="2"/>
          </rPr>
          <t xml:space="preserve">
Para fertilizante de la cancha el bambu</t>
        </r>
      </text>
    </comment>
    <comment ref="AK30" authorId="1" shapeId="0">
      <text>
        <r>
          <rPr>
            <b/>
            <sz val="8"/>
            <color indexed="81"/>
            <rFont val="Tahoma"/>
            <family val="2"/>
          </rPr>
          <t>DAGOBERTO:</t>
        </r>
        <r>
          <rPr>
            <sz val="8"/>
            <color indexed="81"/>
            <rFont val="Tahoma"/>
            <family val="2"/>
          </rPr>
          <t xml:space="preserve">
Combustble para camion recolector, para Ambulancia 
 Unidad de Salud 
cancha el bambu</t>
        </r>
      </text>
    </comment>
    <comment ref="AK35" authorId="1" shapeId="0">
      <text>
        <r>
          <rPr>
            <b/>
            <sz val="8"/>
            <color indexed="81"/>
            <rFont val="Tahoma"/>
            <family val="2"/>
          </rPr>
          <t>DAGOBERTO:</t>
        </r>
        <r>
          <rPr>
            <sz val="8"/>
            <color indexed="81"/>
            <rFont val="Tahoma"/>
            <family val="2"/>
          </rPr>
          <t xml:space="preserve">
Municion para los mismos.</t>
        </r>
      </text>
    </comment>
    <comment ref="AC37" authorId="0" shapeId="0">
      <text>
        <r>
          <rPr>
            <b/>
            <sz val="9"/>
            <color indexed="81"/>
            <rFont val="Tahoma"/>
            <family val="2"/>
          </rPr>
          <t>USER:</t>
        </r>
        <r>
          <rPr>
            <sz val="9"/>
            <color indexed="81"/>
            <rFont val="Tahoma"/>
            <family val="2"/>
          </rPr>
          <t xml:space="preserve">
compra de materiales electricos para mantenimiento de alumbrado publico </t>
        </r>
      </text>
    </comment>
    <comment ref="AH37" authorId="1" shapeId="0">
      <text>
        <r>
          <rPr>
            <b/>
            <sz val="8"/>
            <color indexed="81"/>
            <rFont val="Tahoma"/>
            <family val="2"/>
          </rPr>
          <t>DAGOBERTO:</t>
        </r>
        <r>
          <rPr>
            <sz val="8"/>
            <color indexed="81"/>
            <rFont val="Tahoma"/>
            <family val="2"/>
          </rPr>
          <t xml:space="preserve">
Compra de materiales electricos para alumbrado publico en zonas estrategicas para la seguridad  ciudadana</t>
        </r>
      </text>
    </comment>
    <comment ref="AE38" authorId="0" shapeId="0">
      <text>
        <r>
          <rPr>
            <b/>
            <sz val="9"/>
            <color indexed="81"/>
            <rFont val="Tahoma"/>
            <family val="2"/>
          </rPr>
          <t>USER:</t>
        </r>
        <r>
          <rPr>
            <sz val="9"/>
            <color indexed="81"/>
            <rFont val="Tahoma"/>
            <family val="2"/>
          </rPr>
          <t xml:space="preserve">
especies donde van carnet, formulas Isam y otras </t>
        </r>
      </text>
    </comment>
    <comment ref="AK40" authorId="1" shapeId="0">
      <text>
        <r>
          <rPr>
            <b/>
            <sz val="8"/>
            <color indexed="81"/>
            <rFont val="Tahoma"/>
            <family val="2"/>
          </rPr>
          <t>DAGOBERTO:</t>
        </r>
        <r>
          <rPr>
            <sz val="8"/>
            <color indexed="81"/>
            <rFont val="Tahoma"/>
            <family val="2"/>
          </rPr>
          <t xml:space="preserve">
Energia Electrica para Alumbrado Publico
y de la cancha el bambu</t>
        </r>
      </text>
    </comment>
    <comment ref="AK41" authorId="1" shapeId="0">
      <text>
        <r>
          <rPr>
            <b/>
            <sz val="8"/>
            <color indexed="81"/>
            <rFont val="Tahoma"/>
            <family val="2"/>
          </rPr>
          <t>DAGOBERTO:</t>
        </r>
        <r>
          <rPr>
            <sz val="8"/>
            <color indexed="81"/>
            <rFont val="Tahoma"/>
            <family val="2"/>
          </rPr>
          <t xml:space="preserve">
Pago agua  de Cancha el Bambu 
</t>
        </r>
      </text>
    </comment>
    <comment ref="AK42" authorId="1" shapeId="0">
      <text>
        <r>
          <rPr>
            <b/>
            <sz val="8"/>
            <color indexed="81"/>
            <rFont val="Tahoma"/>
            <family val="2"/>
          </rPr>
          <t>DAGOBERTO:</t>
        </r>
        <r>
          <rPr>
            <sz val="8"/>
            <color indexed="81"/>
            <rFont val="Tahoma"/>
            <family val="2"/>
          </rPr>
          <t xml:space="preserve">
Internet de Casa de Encuentro</t>
        </r>
      </text>
    </comment>
    <comment ref="AK45" authorId="1" shapeId="0">
      <text>
        <r>
          <rPr>
            <b/>
            <sz val="8"/>
            <color indexed="81"/>
            <rFont val="Tahoma"/>
            <family val="2"/>
          </rPr>
          <t>DAGOBERTO:</t>
        </r>
        <r>
          <rPr>
            <sz val="8"/>
            <color indexed="81"/>
            <rFont val="Tahoma"/>
            <family val="2"/>
          </rPr>
          <t xml:space="preserve">
Para mantenimiento de equipos informaticos en  Casa de Encuentro </t>
        </r>
      </text>
    </comment>
    <comment ref="AK46" authorId="1" shapeId="0">
      <text>
        <r>
          <rPr>
            <b/>
            <sz val="8"/>
            <color indexed="81"/>
            <rFont val="Tahoma"/>
            <family val="2"/>
          </rPr>
          <t>DAGOBERTO:</t>
        </r>
        <r>
          <rPr>
            <sz val="8"/>
            <color indexed="81"/>
            <rFont val="Tahoma"/>
            <family val="2"/>
          </rPr>
          <t xml:space="preserve">
Mantenimiento de Camion recolector
ambulancia 
policia</t>
        </r>
      </text>
    </comment>
    <comment ref="AC47" authorId="0" shapeId="0">
      <text>
        <r>
          <rPr>
            <b/>
            <sz val="9"/>
            <color indexed="81"/>
            <rFont val="Tahoma"/>
            <family val="2"/>
          </rPr>
          <t>USER:</t>
        </r>
        <r>
          <rPr>
            <sz val="9"/>
            <color indexed="81"/>
            <rFont val="Tahoma"/>
            <family val="2"/>
          </rPr>
          <t xml:space="preserve">
mantenimiento de bienes muebles como alumbrado publico, reparacion de cañerias las flores, taquillo, corinto y otras</t>
        </r>
      </text>
    </comment>
    <comment ref="AK47" authorId="2" shapeId="0">
      <text>
        <r>
          <rPr>
            <b/>
            <sz val="9"/>
            <color indexed="81"/>
            <rFont val="Tahoma"/>
            <family val="2"/>
          </rPr>
          <t>Chiltuipan:</t>
        </r>
        <r>
          <rPr>
            <sz val="9"/>
            <color indexed="81"/>
            <rFont val="Tahoma"/>
            <family val="2"/>
          </rPr>
          <t xml:space="preserve">
 mantenimiento de agua potable, corinto, taquillo,las flores y siberia 
los tres miradores </t>
        </r>
      </text>
    </comment>
    <comment ref="AK50" authorId="2" shapeId="0">
      <text>
        <r>
          <rPr>
            <b/>
            <sz val="9"/>
            <color indexed="81"/>
            <rFont val="Tahoma"/>
            <family val="2"/>
          </rPr>
          <t>Chiltuipan:</t>
        </r>
        <r>
          <rPr>
            <sz val="9"/>
            <color indexed="81"/>
            <rFont val="Tahoma"/>
            <family val="2"/>
          </rPr>
          <t xml:space="preserve">
IMPRECIONES DE BLOCCHUR, BANER, PUBLICACIONES, DE TURISMO</t>
        </r>
      </text>
    </comment>
    <comment ref="Z51" authorId="0" shapeId="0">
      <text>
        <r>
          <rPr>
            <b/>
            <sz val="9"/>
            <color indexed="81"/>
            <rFont val="Tahoma"/>
            <family val="2"/>
          </rPr>
          <t>USER:</t>
        </r>
        <r>
          <rPr>
            <sz val="9"/>
            <color indexed="81"/>
            <rFont val="Tahoma"/>
            <family val="2"/>
          </rPr>
          <t xml:space="preserve">
dia del empleado municipal 
convivio con otras instituciones </t>
        </r>
      </text>
    </comment>
    <comment ref="AD51" authorId="1" shapeId="0">
      <text>
        <r>
          <rPr>
            <b/>
            <sz val="8"/>
            <color indexed="81"/>
            <rFont val="Tahoma"/>
            <family val="2"/>
          </rPr>
          <t>DAGOBERTO:</t>
        </r>
        <r>
          <rPr>
            <sz val="8"/>
            <color indexed="81"/>
            <rFont val="Tahoma"/>
            <family val="2"/>
          </rPr>
          <t xml:space="preserve">
pago de atenciones a alcaldes del CDA, cuando es reunion local</t>
        </r>
      </text>
    </comment>
    <comment ref="AK51" authorId="2" shapeId="0">
      <text>
        <r>
          <rPr>
            <b/>
            <sz val="9"/>
            <color indexed="81"/>
            <rFont val="Tahoma"/>
            <family val="2"/>
          </rPr>
          <t>Chiltuipan:</t>
        </r>
        <r>
          <rPr>
            <sz val="9"/>
            <color indexed="81"/>
            <rFont val="Tahoma"/>
            <family val="2"/>
          </rPr>
          <t xml:space="preserve">
pago de basura al puerto de la libertad</t>
        </r>
      </text>
    </comment>
    <comment ref="Z52" authorId="2" shapeId="0">
      <text>
        <r>
          <rPr>
            <b/>
            <sz val="9"/>
            <color indexed="81"/>
            <rFont val="Tahoma"/>
            <family val="2"/>
          </rPr>
          <t>Chiltuipan:</t>
        </r>
        <r>
          <rPr>
            <sz val="9"/>
            <color indexed="81"/>
            <rFont val="Tahoma"/>
            <family val="2"/>
          </rPr>
          <t xml:space="preserve">
ESTA PARTIDA ES PARA PAGAR ALGUNA GRUA PARA PODER REMOLCAR ALGUN VEHICULO </t>
        </r>
      </text>
    </comment>
    <comment ref="AK52" authorId="0" shapeId="0">
      <text>
        <r>
          <rPr>
            <b/>
            <sz val="9"/>
            <color indexed="81"/>
            <rFont val="Tahoma"/>
            <family val="2"/>
          </rPr>
          <t>USER:</t>
        </r>
        <r>
          <rPr>
            <sz val="9"/>
            <color indexed="81"/>
            <rFont val="Tahoma"/>
            <family val="2"/>
          </rPr>
          <t xml:space="preserve">
PARA PAGO DE MAQUINA QUE TRABAJO EN CANCHA TAQUILLO
</t>
        </r>
      </text>
    </comment>
    <comment ref="AO52" authorId="2" shapeId="0">
      <text>
        <r>
          <rPr>
            <b/>
            <sz val="9"/>
            <color indexed="81"/>
            <rFont val="Tahoma"/>
            <family val="2"/>
          </rPr>
          <t>Chiltuipan:</t>
        </r>
        <r>
          <rPr>
            <sz val="9"/>
            <color indexed="81"/>
            <rFont val="Tahoma"/>
            <family val="2"/>
          </rPr>
          <t xml:space="preserve">
para alquilar maquina para las calles de caminos vecinales</t>
        </r>
      </text>
    </comment>
    <comment ref="AK53" authorId="1" shapeId="0">
      <text>
        <r>
          <rPr>
            <b/>
            <sz val="8"/>
            <color indexed="81"/>
            <rFont val="Tahoma"/>
            <family val="2"/>
          </rPr>
          <t>DAGOBERTO:</t>
        </r>
        <r>
          <rPr>
            <sz val="8"/>
            <color indexed="81"/>
            <rFont val="Tahoma"/>
            <family val="2"/>
          </rPr>
          <t xml:space="preserve">
Alquiler local Casa de encuentro Juvenil</t>
        </r>
      </text>
    </comment>
    <comment ref="AO53" authorId="2" shapeId="0">
      <text>
        <r>
          <rPr>
            <b/>
            <sz val="9"/>
            <color indexed="81"/>
            <rFont val="Tahoma"/>
            <family val="2"/>
          </rPr>
          <t>Chiltuipan:</t>
        </r>
        <r>
          <rPr>
            <sz val="9"/>
            <color indexed="81"/>
            <rFont val="Tahoma"/>
            <family val="2"/>
          </rPr>
          <t xml:space="preserve">
pago de alquiler donde dejar herramientas de proyecto</t>
        </r>
      </text>
    </comment>
    <comment ref="Z54" authorId="0" shapeId="0">
      <text>
        <r>
          <rPr>
            <b/>
            <sz val="9"/>
            <color indexed="81"/>
            <rFont val="Tahoma"/>
            <family val="2"/>
          </rPr>
          <t>USER:</t>
        </r>
        <r>
          <rPr>
            <sz val="9"/>
            <color indexed="81"/>
            <rFont val="Tahoma"/>
            <family val="2"/>
          </rPr>
          <t xml:space="preserve">
3- MESES DE PAGO DE CAPSA SOBRE LO QUE ES LA BASURA PORQUE DEL 75% ESTA PRESUPUESTADO HASTA SEPTIEMBRE Y SE PAGARA 3 MESES DE AQUÍ DEL FONDOS PROPIOS. </t>
        </r>
      </text>
    </comment>
    <comment ref="AK54" authorId="1" shapeId="0">
      <text>
        <r>
          <rPr>
            <b/>
            <sz val="8"/>
            <color indexed="81"/>
            <rFont val="Tahoma"/>
            <family val="2"/>
          </rPr>
          <t>DAGOBERTO:</t>
        </r>
        <r>
          <rPr>
            <sz val="8"/>
            <color indexed="81"/>
            <rFont val="Tahoma"/>
            <family val="2"/>
          </rPr>
          <t xml:space="preserve">
DISPOSICION FINAL DE DESECHOS SOLIDOS DE CHILTIUAPAN ( PAGO A   (CAPSA, S.A )</t>
        </r>
      </text>
    </comment>
    <comment ref="AD55" authorId="1" shapeId="0">
      <text>
        <r>
          <rPr>
            <b/>
            <sz val="8"/>
            <color indexed="81"/>
            <rFont val="Tahoma"/>
            <family val="2"/>
          </rPr>
          <t>DAGOBERTO:</t>
        </r>
        <r>
          <rPr>
            <sz val="8"/>
            <color indexed="81"/>
            <rFont val="Tahoma"/>
            <family val="2"/>
          </rPr>
          <t xml:space="preserve">
pago pasajes a personal operativo y para gestion de proyectos</t>
        </r>
      </text>
    </comment>
    <comment ref="AD56" authorId="1" shapeId="0">
      <text>
        <r>
          <rPr>
            <b/>
            <sz val="8"/>
            <color indexed="81"/>
            <rFont val="Tahoma"/>
            <family val="2"/>
          </rPr>
          <t>DAGOBERTO:</t>
        </r>
        <r>
          <rPr>
            <sz val="8"/>
            <color indexed="81"/>
            <rFont val="Tahoma"/>
            <family val="2"/>
          </rPr>
          <t xml:space="preserve">
Viaticos personal opertivo
Viaticos para Gestion de  Proyectos</t>
        </r>
      </text>
    </comment>
    <comment ref="AD62" authorId="1" shapeId="0">
      <text>
        <r>
          <rPr>
            <b/>
            <sz val="8"/>
            <color indexed="81"/>
            <rFont val="Tahoma"/>
            <family val="2"/>
          </rPr>
          <t>DAGOBERTO:</t>
        </r>
        <r>
          <rPr>
            <sz val="8"/>
            <color indexed="81"/>
            <rFont val="Tahoma"/>
            <family val="2"/>
          </rPr>
          <t xml:space="preserve">
,Ordenaza de medio Ambiente, </t>
        </r>
      </text>
    </comment>
    <comment ref="AO62" authorId="2" shapeId="0">
      <text>
        <r>
          <rPr>
            <b/>
            <sz val="9"/>
            <color indexed="81"/>
            <rFont val="Tahoma"/>
            <family val="2"/>
          </rPr>
          <t>Chiltuipan:</t>
        </r>
        <r>
          <rPr>
            <sz val="9"/>
            <color indexed="81"/>
            <rFont val="Tahoma"/>
            <family val="2"/>
          </rPr>
          <t xml:space="preserve">
pago del aquitecto </t>
        </r>
      </text>
    </comment>
    <comment ref="AS67" authorId="1" shapeId="0">
      <text>
        <r>
          <rPr>
            <b/>
            <sz val="8"/>
            <color indexed="81"/>
            <rFont val="Tahoma"/>
            <family val="2"/>
          </rPr>
          <t>DAGOBERTO:</t>
        </r>
        <r>
          <rPr>
            <sz val="8"/>
            <color indexed="81"/>
            <rFont val="Tahoma"/>
            <family val="2"/>
          </rPr>
          <t xml:space="preserve">
PAGO DE COMISION POR PRESTAMOS A ISDEM</t>
        </r>
      </text>
    </comment>
    <comment ref="AS68" authorId="1" shapeId="0">
      <text>
        <r>
          <rPr>
            <b/>
            <sz val="8"/>
            <color indexed="81"/>
            <rFont val="Tahoma"/>
            <family val="2"/>
          </rPr>
          <t>DAGOBERTO:</t>
        </r>
        <r>
          <rPr>
            <sz val="8"/>
            <color indexed="81"/>
            <rFont val="Tahoma"/>
            <family val="2"/>
          </rPr>
          <t xml:space="preserve">
Intereses  por pagar al B.H. por creditos</t>
        </r>
      </text>
    </comment>
    <comment ref="AD72" authorId="0" shapeId="0">
      <text>
        <r>
          <rPr>
            <b/>
            <sz val="9"/>
            <color indexed="81"/>
            <rFont val="Tahoma"/>
            <family val="2"/>
          </rPr>
          <t>USER:</t>
        </r>
        <r>
          <rPr>
            <sz val="9"/>
            <color indexed="81"/>
            <rFont val="Tahoma"/>
            <family val="2"/>
          </rPr>
          <t xml:space="preserve">
certificacion de cheque</t>
        </r>
      </text>
    </comment>
    <comment ref="AD73" authorId="0" shapeId="0">
      <text>
        <r>
          <rPr>
            <b/>
            <sz val="9"/>
            <color indexed="81"/>
            <rFont val="Tahoma"/>
            <family val="2"/>
          </rPr>
          <t>USER:</t>
        </r>
        <r>
          <rPr>
            <sz val="9"/>
            <color indexed="81"/>
            <rFont val="Tahoma"/>
            <family val="2"/>
          </rPr>
          <t xml:space="preserve">
pago para refrenda de tarjeta de vehiculo</t>
        </r>
      </text>
    </comment>
    <comment ref="Z74" authorId="1" shapeId="0">
      <text>
        <r>
          <rPr>
            <b/>
            <sz val="8"/>
            <color indexed="81"/>
            <rFont val="Tahoma"/>
            <family val="2"/>
          </rPr>
          <t>DAGOBERTO:</t>
        </r>
        <r>
          <rPr>
            <sz val="8"/>
            <color indexed="81"/>
            <rFont val="Tahoma"/>
            <family val="2"/>
          </rPr>
          <t xml:space="preserve">
Cuotas de INSAFORP, Concejales y empleados</t>
        </r>
      </text>
    </comment>
    <comment ref="AD74" authorId="1" shapeId="0">
      <text>
        <r>
          <rPr>
            <b/>
            <sz val="8"/>
            <color indexed="81"/>
            <rFont val="Tahoma"/>
            <family val="2"/>
          </rPr>
          <t>DAGOBERTO:</t>
        </r>
        <r>
          <rPr>
            <sz val="8"/>
            <color indexed="81"/>
            <rFont val="Tahoma"/>
            <family val="2"/>
          </rPr>
          <t xml:space="preserve">
Cuota de afiliacion a COMURES $ 14,400.00 ,
   pago al INSAFORP $ 1.459.53
  y  CDA, SON $100, ANUAL $1.200
Y MENBRESIA DE AMUSDELI, $3.600, ANUAL AÑO 2018</t>
        </r>
      </text>
    </comment>
    <comment ref="AK74" authorId="1" shapeId="0">
      <text>
        <r>
          <rPr>
            <b/>
            <sz val="8"/>
            <color indexed="81"/>
            <rFont val="Tahoma"/>
            <family val="2"/>
          </rPr>
          <t>DAGOBERTO:</t>
        </r>
        <r>
          <rPr>
            <sz val="8"/>
            <color indexed="81"/>
            <rFont val="Tahoma"/>
            <family val="2"/>
          </rPr>
          <t xml:space="preserve">
   pago al INSAFORP $ 1.431.63
</t>
        </r>
      </text>
    </comment>
    <comment ref="Z76" authorId="0" shapeId="0">
      <text>
        <r>
          <rPr>
            <b/>
            <sz val="9"/>
            <color indexed="81"/>
            <rFont val="Tahoma"/>
            <family val="2"/>
          </rPr>
          <t>USER:</t>
        </r>
        <r>
          <rPr>
            <sz val="9"/>
            <color indexed="81"/>
            <rFont val="Tahoma"/>
            <family val="2"/>
          </rPr>
          <t xml:space="preserve">
APOYO A PERSONAS DE ESCASOS RECURSOS MEDICOS Y OTRAS </t>
        </r>
      </text>
    </comment>
    <comment ref="AK76" authorId="2" shapeId="0">
      <text>
        <r>
          <rPr>
            <b/>
            <sz val="9"/>
            <color indexed="81"/>
            <rFont val="Tahoma"/>
            <family val="2"/>
          </rPr>
          <t>Chiltuipan:</t>
        </r>
        <r>
          <rPr>
            <sz val="9"/>
            <color indexed="81"/>
            <rFont val="Tahoma"/>
            <family val="2"/>
          </rPr>
          <t xml:space="preserve">
Unidad de la Mujer $ 500.00
 proyectos  diversos 2018 $ 69.300
 fiestas patronales,2018, $ 20.000 
apoyo con materiales electricos a personas de escasos recursos. $4.000
Mitigacion de Daños, y apoyo a personas afectadas por eventos naturales. $10.000
dotacion de laminas para mejoramiento de techos a personas de escasos recursos, $38,000</t>
        </r>
      </text>
    </comment>
    <comment ref="AO76" authorId="2" shapeId="0">
      <text>
        <r>
          <rPr>
            <b/>
            <sz val="9"/>
            <color indexed="81"/>
            <rFont val="Tahoma"/>
            <family val="2"/>
          </rPr>
          <t>Chiltuipan:</t>
        </r>
        <r>
          <rPr>
            <sz val="9"/>
            <color indexed="81"/>
            <rFont val="Tahoma"/>
            <family val="2"/>
          </rPr>
          <t xml:space="preserve">
compra de abono </t>
        </r>
      </text>
    </comment>
    <comment ref="AD79" authorId="0" shapeId="0">
      <text>
        <r>
          <rPr>
            <b/>
            <sz val="9"/>
            <color indexed="81"/>
            <rFont val="Tahoma"/>
            <family val="2"/>
          </rPr>
          <t>USER:</t>
        </r>
        <r>
          <rPr>
            <sz val="9"/>
            <color indexed="81"/>
            <rFont val="Tahoma"/>
            <family val="2"/>
          </rPr>
          <t xml:space="preserve">
ESTA PARTIDA LA HEMOS DEJADO PARA COMPRAR LOS AIRES ACONDICIONADO DE LA COMUNAL </t>
        </r>
      </text>
    </comment>
    <comment ref="AD82" authorId="0" shapeId="0">
      <text>
        <r>
          <rPr>
            <b/>
            <sz val="9"/>
            <color indexed="81"/>
            <rFont val="Tahoma"/>
            <family val="2"/>
          </rPr>
          <t>USER:</t>
        </r>
        <r>
          <rPr>
            <sz val="9"/>
            <color indexed="81"/>
            <rFont val="Tahoma"/>
            <family val="2"/>
          </rPr>
          <t xml:space="preserve">
PARA COMPRA DE CORTINAS DE LA CASA COMUNAL </t>
        </r>
      </text>
    </comment>
    <comment ref="AK83" authorId="1" shapeId="0">
      <text>
        <r>
          <rPr>
            <b/>
            <sz val="8"/>
            <color indexed="81"/>
            <rFont val="Tahoma"/>
            <family val="2"/>
          </rPr>
          <t>DAGOBERTO:</t>
        </r>
        <r>
          <rPr>
            <sz val="8"/>
            <color indexed="81"/>
            <rFont val="Tahoma"/>
            <family val="2"/>
          </rPr>
          <t xml:space="preserve">
Compra de terreno , para Casa  Comunal en Caserio El Progreso Cuervo Arriba .</t>
        </r>
      </text>
    </comment>
    <comment ref="AD84" authorId="0" shapeId="0">
      <text>
        <r>
          <rPr>
            <b/>
            <sz val="9"/>
            <color indexed="81"/>
            <rFont val="Tahoma"/>
            <family val="2"/>
          </rPr>
          <t>USER:</t>
        </r>
        <r>
          <rPr>
            <sz val="9"/>
            <color indexed="81"/>
            <rFont val="Tahoma"/>
            <family val="2"/>
          </rPr>
          <t xml:space="preserve">
compra para licencia de computadora
Mejoramiento del sistema catastral</t>
        </r>
      </text>
    </comment>
    <comment ref="AH85" authorId="1" shapeId="0">
      <text>
        <r>
          <rPr>
            <b/>
            <sz val="8"/>
            <color indexed="81"/>
            <rFont val="Tahoma"/>
            <family val="2"/>
          </rPr>
          <t>DAGOBERTO:</t>
        </r>
        <r>
          <rPr>
            <sz val="8"/>
            <color indexed="81"/>
            <rFont val="Tahoma"/>
            <family val="2"/>
          </rPr>
          <t xml:space="preserve">
pago de Carpetas tecnicas</t>
        </r>
      </text>
    </comment>
    <comment ref="AO85" authorId="1" shapeId="0">
      <text>
        <r>
          <rPr>
            <b/>
            <sz val="8"/>
            <color indexed="81"/>
            <rFont val="Tahoma"/>
            <family val="2"/>
          </rPr>
          <t>DAGOBERTO:</t>
        </r>
        <r>
          <rPr>
            <sz val="8"/>
            <color indexed="81"/>
            <rFont val="Tahoma"/>
            <family val="2"/>
          </rPr>
          <t xml:space="preserve">
pago de formulacion de carpetas tecnicas</t>
        </r>
      </text>
    </comment>
    <comment ref="AO86" authorId="2" shapeId="0">
      <text>
        <r>
          <rPr>
            <b/>
            <sz val="9"/>
            <color indexed="81"/>
            <rFont val="Tahoma"/>
            <family val="2"/>
          </rPr>
          <t>Chiltuipan:</t>
        </r>
        <r>
          <rPr>
            <sz val="9"/>
            <color indexed="81"/>
            <rFont val="Tahoma"/>
            <family val="2"/>
          </rPr>
          <t xml:space="preserve">
ampliacion de puente santa marta $14,229-03
mejoramiento y balastado cton siberia sur y norte $30,000</t>
        </r>
      </text>
    </comment>
    <comment ref="AR86" authorId="1" shapeId="0">
      <text>
        <r>
          <rPr>
            <b/>
            <sz val="8"/>
            <color indexed="81"/>
            <rFont val="Tahoma"/>
            <family val="2"/>
          </rPr>
          <t>DAGOBERTO:</t>
        </r>
        <r>
          <rPr>
            <sz val="8"/>
            <color indexed="81"/>
            <rFont val="Tahoma"/>
            <family val="2"/>
          </rPr>
          <t xml:space="preserve">
SOLO ESPERAMOS QUE DESCONGELEN ESTOS FONDOS,</t>
        </r>
      </text>
    </comment>
    <comment ref="AH88" authorId="1" shapeId="0">
      <text>
        <r>
          <rPr>
            <b/>
            <sz val="8"/>
            <color indexed="81"/>
            <rFont val="Tahoma"/>
            <family val="2"/>
          </rPr>
          <t>DAGOBERTO:</t>
        </r>
        <r>
          <rPr>
            <sz val="8"/>
            <color indexed="81"/>
            <rFont val="Tahoma"/>
            <family val="2"/>
          </rPr>
          <t xml:space="preserve">
CONVENIO CON 4 ESCUELAS ADARLE UNA CONTRAPARTE, Y LA CANCHA DE JU LUPE</t>
        </r>
      </text>
    </comment>
    <comment ref="AJ88" authorId="0" shapeId="0">
      <text>
        <r>
          <rPr>
            <b/>
            <sz val="9"/>
            <color indexed="81"/>
            <rFont val="Tahoma"/>
            <family val="2"/>
          </rPr>
          <t>USER:</t>
        </r>
        <r>
          <rPr>
            <sz val="9"/>
            <color indexed="81"/>
            <rFont val="Tahoma"/>
            <family val="2"/>
          </rPr>
          <t xml:space="preserve">
30.000, QUE DIO EL MINISTERIO DE HACIENDA PARA HACER UN PARQUE EN EL ZONTE</t>
        </r>
      </text>
    </comment>
    <comment ref="AH93" authorId="1" shapeId="0">
      <text>
        <r>
          <rPr>
            <b/>
            <sz val="8"/>
            <color indexed="81"/>
            <rFont val="Tahoma"/>
            <family val="2"/>
          </rPr>
          <t>DAGOBERTO:</t>
        </r>
        <r>
          <rPr>
            <sz val="8"/>
            <color indexed="81"/>
            <rFont val="Tahoma"/>
            <family val="2"/>
          </rPr>
          <t xml:space="preserve">
Contrapartida a ANDA, para introducir agua potable a El balsamo y las Pacayas</t>
        </r>
      </text>
    </comment>
    <comment ref="AD95" authorId="0" shapeId="0">
      <text>
        <r>
          <rPr>
            <b/>
            <sz val="9"/>
            <color indexed="81"/>
            <rFont val="Tahoma"/>
            <family val="2"/>
          </rPr>
          <t>USER:</t>
        </r>
        <r>
          <rPr>
            <sz val="9"/>
            <color indexed="81"/>
            <rFont val="Tahoma"/>
            <family val="2"/>
          </rPr>
          <t xml:space="preserve">
CUOTA DE MENBRESIA DE AMUSDELI  DE AÑOS ANTERIORES, NOV, Y DIC, 2013 ASTA 2017
pago de facturas de año 2017 por pagar $4.672.17
</t>
        </r>
      </text>
    </comment>
    <comment ref="AH95" authorId="2" shapeId="0">
      <text>
        <r>
          <rPr>
            <b/>
            <sz val="9"/>
            <color indexed="81"/>
            <rFont val="Tahoma"/>
            <family val="2"/>
          </rPr>
          <t>Chiltuipan:</t>
        </r>
        <r>
          <rPr>
            <sz val="9"/>
            <color indexed="81"/>
            <rFont val="Tahoma"/>
            <family val="2"/>
          </rPr>
          <t xml:space="preserve">
saldo de proyectos anteriores de la G3- 03-01</t>
        </r>
      </text>
    </comment>
    <comment ref="AO95" authorId="2" shapeId="0">
      <text>
        <r>
          <rPr>
            <b/>
            <sz val="9"/>
            <color indexed="81"/>
            <rFont val="Tahoma"/>
            <family val="2"/>
          </rPr>
          <t>Chiltuipan:</t>
        </r>
        <r>
          <rPr>
            <sz val="9"/>
            <color indexed="81"/>
            <rFont val="Tahoma"/>
            <family val="2"/>
          </rPr>
          <t xml:space="preserve">
SALDO DE PROYECTOS ANTERIORES DE LA G4, 04-01</t>
        </r>
      </text>
    </comment>
  </commentList>
</comments>
</file>

<file path=xl/comments5.xml><?xml version="1.0" encoding="utf-8"?>
<comments xmlns="http://schemas.openxmlformats.org/spreadsheetml/2006/main">
  <authors>
    <author>USER</author>
  </authors>
  <commentList>
    <comment ref="J27" authorId="0" shapeId="0">
      <text>
        <r>
          <rPr>
            <b/>
            <sz val="9"/>
            <color indexed="81"/>
            <rFont val="Tahoma"/>
            <family val="2"/>
          </rPr>
          <t>USER:</t>
        </r>
        <r>
          <rPr>
            <sz val="9"/>
            <color indexed="81"/>
            <rFont val="Tahoma"/>
            <family val="2"/>
          </rPr>
          <t xml:space="preserve">
2.000, DOLARES PARA para limpieza y chapeo de los cementerio de chiltiupan Siberia y julupe</t>
        </r>
      </text>
    </comment>
  </commentList>
</comments>
</file>

<file path=xl/comments6.xml><?xml version="1.0" encoding="utf-8"?>
<comments xmlns="http://schemas.openxmlformats.org/spreadsheetml/2006/main">
  <authors>
    <author>USER</author>
  </authors>
  <commentList>
    <comment ref="H27" authorId="0" shapeId="0">
      <text>
        <r>
          <rPr>
            <b/>
            <sz val="9"/>
            <color indexed="81"/>
            <rFont val="Tahoma"/>
            <family val="2"/>
          </rPr>
          <t>USER:</t>
        </r>
        <r>
          <rPr>
            <sz val="9"/>
            <color indexed="81"/>
            <rFont val="Tahoma"/>
            <family val="2"/>
          </rPr>
          <t xml:space="preserve">
PARA PAGO DE BASURA SI EN EL AÑO 2019 YA NO DAN PROLOGA A SO SE  DEJA PRESUPUESTADO LO DE  3 MESES DEL AÑO 2019 </t>
        </r>
      </text>
    </comment>
  </commentList>
</comments>
</file>

<file path=xl/comments7.xml><?xml version="1.0" encoding="utf-8"?>
<comments xmlns="http://schemas.openxmlformats.org/spreadsheetml/2006/main">
  <authors>
    <author>USER</author>
  </authors>
  <commentList>
    <comment ref="H46" authorId="0" shapeId="0">
      <text>
        <r>
          <rPr>
            <b/>
            <sz val="9"/>
            <color indexed="81"/>
            <rFont val="Tahoma"/>
            <family val="2"/>
          </rPr>
          <t>USER:</t>
        </r>
        <r>
          <rPr>
            <sz val="9"/>
            <color indexed="81"/>
            <rFont val="Tahoma"/>
            <family val="2"/>
          </rPr>
          <t xml:space="preserve">
MENBRESIA DE AMUSDELI, $3.600, ANUAL AÑO 2020</t>
        </r>
      </text>
    </comment>
  </commentList>
</comments>
</file>

<file path=xl/comments8.xml><?xml version="1.0" encoding="utf-8"?>
<comments xmlns="http://schemas.openxmlformats.org/spreadsheetml/2006/main">
  <authors>
    <author>USER</author>
  </authors>
  <commentList>
    <comment ref="H10" authorId="0" shapeId="0">
      <text>
        <r>
          <rPr>
            <b/>
            <sz val="9"/>
            <color indexed="81"/>
            <rFont val="Tahoma"/>
            <family val="2"/>
          </rPr>
          <t>USER:</t>
        </r>
        <r>
          <rPr>
            <sz val="9"/>
            <color indexed="81"/>
            <rFont val="Tahoma"/>
            <family val="2"/>
          </rPr>
          <t xml:space="preserve">
AQUÍ AGREGUE EL SOBRANTE DE CAMINOS VECINALES 2018 QUE SON $6.380.34</t>
        </r>
      </text>
    </comment>
    <comment ref="H11" authorId="0" shapeId="0">
      <text>
        <r>
          <rPr>
            <b/>
            <sz val="9"/>
            <color indexed="81"/>
            <rFont val="Tahoma"/>
            <family val="2"/>
          </rPr>
          <t>USER:</t>
        </r>
        <r>
          <rPr>
            <sz val="9"/>
            <color indexed="81"/>
            <rFont val="Tahoma"/>
            <family val="2"/>
          </rPr>
          <t xml:space="preserve">
para proyecto concreteado pasaje la ronda vides</t>
        </r>
      </text>
    </comment>
    <comment ref="H25" authorId="0" shapeId="0">
      <text>
        <r>
          <rPr>
            <b/>
            <sz val="9"/>
            <color indexed="81"/>
            <rFont val="Tahoma"/>
            <family val="2"/>
          </rPr>
          <t>USER:</t>
        </r>
        <r>
          <rPr>
            <sz val="9"/>
            <color indexed="81"/>
            <rFont val="Tahoma"/>
            <family val="2"/>
          </rPr>
          <t xml:space="preserve">
PAGO DE ALQUILER DE LA MAQUINA PARA AREGLAR LAS CALLES </t>
        </r>
      </text>
    </comment>
    <comment ref="H27" authorId="0" shapeId="0">
      <text>
        <r>
          <rPr>
            <b/>
            <sz val="9"/>
            <color indexed="81"/>
            <rFont val="Tahoma"/>
            <family val="2"/>
          </rPr>
          <t>USER:</t>
        </r>
        <r>
          <rPr>
            <sz val="9"/>
            <color indexed="81"/>
            <rFont val="Tahoma"/>
            <family val="2"/>
          </rPr>
          <t xml:space="preserve">
para  pago del arquitecto 5% fodes
</t>
        </r>
      </text>
    </comment>
    <comment ref="H28" authorId="0" shapeId="0">
      <text>
        <r>
          <rPr>
            <b/>
            <sz val="9"/>
            <color indexed="81"/>
            <rFont val="Tahoma"/>
            <family val="2"/>
          </rPr>
          <t>USER:</t>
        </r>
        <r>
          <rPr>
            <sz val="9"/>
            <color indexed="81"/>
            <rFont val="Tahoma"/>
            <family val="2"/>
          </rPr>
          <t xml:space="preserve">
LAS COLAS DE LOS PROYECTOS 0401
mejoramiento de calle internas en canton el zonte$60.000
concreteado de calle la ronda poniente barrio santo domingo$20.000
concreteado de calle hacia la cooperativa las termopilas $15.000
Mejoramiento de calle principal canton el regadillo $31.614.95
mejoramiento de calle los pajales canton julupe $20.000
mejoramiento de calle a caserio rio mar canton taquillo $20.000
FORTALECIMIENTO A LA PRODUCTIVIDAD AGRICOLA $120.000</t>
        </r>
      </text>
    </comment>
    <comment ref="H29" authorId="0" shapeId="0">
      <text>
        <r>
          <rPr>
            <b/>
            <sz val="9"/>
            <color indexed="81"/>
            <rFont val="Tahoma"/>
            <family val="2"/>
          </rPr>
          <t>USER:</t>
        </r>
        <r>
          <rPr>
            <sz val="9"/>
            <color indexed="81"/>
            <rFont val="Tahoma"/>
            <family val="2"/>
          </rPr>
          <t xml:space="preserve">
para pago de carpetas 
</t>
        </r>
      </text>
    </comment>
  </commentList>
</comments>
</file>

<file path=xl/comments9.xml><?xml version="1.0" encoding="utf-8"?>
<comments xmlns="http://schemas.openxmlformats.org/spreadsheetml/2006/main">
  <authors>
    <author>USER</author>
    <author>win10</author>
  </authors>
  <commentList>
    <comment ref="H17" authorId="0" shapeId="0">
      <text>
        <r>
          <rPr>
            <b/>
            <sz val="9"/>
            <color indexed="81"/>
            <rFont val="Tahoma"/>
            <family val="2"/>
          </rPr>
          <t>USER:</t>
        </r>
        <r>
          <rPr>
            <sz val="9"/>
            <color indexed="81"/>
            <rFont val="Tahoma"/>
            <family val="2"/>
          </rPr>
          <t xml:space="preserve">
PAGO DE ALQUILER DE LA MAQUINA PARA AREGLAR LAS CALLES </t>
        </r>
      </text>
    </comment>
    <comment ref="H19" authorId="0" shapeId="0">
      <text>
        <r>
          <rPr>
            <b/>
            <sz val="9"/>
            <color indexed="81"/>
            <rFont val="Tahoma"/>
            <family val="2"/>
          </rPr>
          <t>USER:</t>
        </r>
        <r>
          <rPr>
            <sz val="9"/>
            <color indexed="81"/>
            <rFont val="Tahoma"/>
            <family val="2"/>
          </rPr>
          <t xml:space="preserve">
para  pago del arquitecto 5% fodes
</t>
        </r>
      </text>
    </comment>
    <comment ref="H20" authorId="0" shapeId="0">
      <text>
        <r>
          <rPr>
            <b/>
            <sz val="9"/>
            <color indexed="81"/>
            <rFont val="Tahoma"/>
            <family val="2"/>
          </rPr>
          <t>USER:</t>
        </r>
        <r>
          <rPr>
            <sz val="9"/>
            <color indexed="81"/>
            <rFont val="Tahoma"/>
            <family val="2"/>
          </rPr>
          <t xml:space="preserve">
LAS COLAS DE LOS PROYECTOS 0401
</t>
        </r>
      </text>
    </comment>
    <comment ref="H21" authorId="0" shapeId="0">
      <text>
        <r>
          <rPr>
            <b/>
            <sz val="9"/>
            <color indexed="81"/>
            <rFont val="Tahoma"/>
            <family val="2"/>
          </rPr>
          <t>USER:</t>
        </r>
        <r>
          <rPr>
            <sz val="9"/>
            <color indexed="81"/>
            <rFont val="Tahoma"/>
            <family val="2"/>
          </rPr>
          <t xml:space="preserve">
para pago de carpetas 
</t>
        </r>
      </text>
    </comment>
    <comment ref="H23" authorId="1" shapeId="0">
      <text>
        <r>
          <rPr>
            <b/>
            <sz val="9"/>
            <color indexed="81"/>
            <rFont val="Tahoma"/>
            <family val="2"/>
          </rPr>
          <t>win10:</t>
        </r>
        <r>
          <rPr>
            <sz val="9"/>
            <color indexed="81"/>
            <rFont val="Tahoma"/>
            <family val="2"/>
          </rPr>
          <t xml:space="preserve">
en este codigo VIAL van lo de dos proyectos 
Mejoramiento de calle caserio el Mollejo canton taquillo $20.000
Mejoramiento de calle caserio taquillito canton santa marta $20.000</t>
        </r>
      </text>
    </comment>
    <comment ref="H24" authorId="1" shapeId="0">
      <text>
        <r>
          <rPr>
            <b/>
            <sz val="9"/>
            <color indexed="81"/>
            <rFont val="Tahoma"/>
            <family val="2"/>
          </rPr>
          <t>win10:</t>
        </r>
        <r>
          <rPr>
            <sz val="9"/>
            <color indexed="81"/>
            <rFont val="Tahoma"/>
            <family val="2"/>
          </rPr>
          <t xml:space="preserve">
aquí va el sobrante del proy, introduccion de agua potable el regadillo</t>
        </r>
      </text>
    </comment>
    <comment ref="H25" authorId="1" shapeId="0">
      <text>
        <r>
          <rPr>
            <b/>
            <sz val="9"/>
            <color indexed="81"/>
            <rFont val="Tahoma"/>
            <family val="2"/>
          </rPr>
          <t>win10:</t>
        </r>
        <r>
          <rPr>
            <sz val="9"/>
            <color indexed="81"/>
            <rFont val="Tahoma"/>
            <family val="2"/>
          </rPr>
          <t xml:space="preserve">
aquí va el sobrante del proy, y el sobrandte de 9,204.63 para poder cuadrar 
</t>
        </r>
      </text>
    </comment>
  </commentList>
</comments>
</file>

<file path=xl/sharedStrings.xml><?xml version="1.0" encoding="utf-8"?>
<sst xmlns="http://schemas.openxmlformats.org/spreadsheetml/2006/main" count="4069" uniqueCount="1168">
  <si>
    <t>De los Nombramientos y Licencias.</t>
  </si>
  <si>
    <t>Alimentación $</t>
  </si>
  <si>
    <t>V/  según gastos de transporte</t>
  </si>
  <si>
    <t>Otras misiones especiales , deberán tener acuerdo específico.  Para comisiones fuera del país, los fijará el Concejo Municipal.</t>
  </si>
  <si>
    <t>ALCALDE MUNICIPAL</t>
  </si>
  <si>
    <t xml:space="preserve"> TERCER REGIDOR</t>
  </si>
  <si>
    <t>QUINTO REGIDOR</t>
  </si>
  <si>
    <t>SEXTO REGIDOR</t>
  </si>
  <si>
    <t xml:space="preserve"> PRIMER REGIDOR SUPLENTE</t>
  </si>
  <si>
    <t>TERCER REGIDOR SUPLENTE</t>
  </si>
  <si>
    <t xml:space="preserve">          CUARTO REGIDOR SUPLENTE</t>
  </si>
  <si>
    <t>ESTRUCTURA PRESUPUESTARIA</t>
  </si>
  <si>
    <t>(En Dolares de los Estados Unidos de America)</t>
  </si>
  <si>
    <t>FORMULACION DEL PRESUPUESTO MUNICIPAL DE EGRESOS</t>
  </si>
  <si>
    <t>(En Dolares de los Estados Unidos de América)</t>
  </si>
  <si>
    <t>DETALLE CONSOLIDADO DE EGRESOS POR ESPECIFICO Y ESTRUCTURA PRESUPUESTARIA</t>
  </si>
  <si>
    <t>(1) Objeto Específico</t>
  </si>
  <si>
    <t>(4) TOTAL</t>
  </si>
  <si>
    <t>(5)TOTAL EGRESOS</t>
  </si>
  <si>
    <t>(1) Area de Gestión</t>
  </si>
  <si>
    <t>(3) Linea de Trabajo</t>
  </si>
  <si>
    <t>(5) Subfuente de Financiamiento</t>
  </si>
  <si>
    <t>(6) Objeto Específico</t>
  </si>
  <si>
    <t>(7) DENOMINACIÓN</t>
  </si>
  <si>
    <t>(4) Fuente de Financiamiento</t>
  </si>
  <si>
    <t>TOTAL INVERSION  F.O.D.E.S 75 %</t>
  </si>
  <si>
    <t>PRESUPUESTO MUNICIPAL DE FUNCIONAMIENTO POR ESTRUCTURA PRESUPUESTARIA</t>
  </si>
  <si>
    <t>DETALLE CONSOLIDADO DE INGRESOS POR ESPECIFICO Y FUENTE DE FINANCIAMIENTO</t>
  </si>
  <si>
    <t>PRESUPUESTO MUNICIPAL DE INVERSION POR ESTRUCTURA PRESUPUESTARIA</t>
  </si>
  <si>
    <t>PRESUPUESTO MUNICIPAL DEL SERVICIO DE LA DEUDA POR ESTRUCTURA PRESUPUESTARIA</t>
  </si>
  <si>
    <t>(8) MONTO</t>
  </si>
  <si>
    <t>Alumbrado Público</t>
  </si>
  <si>
    <t>Permisos y Licencias Municipales</t>
  </si>
  <si>
    <t>Cotejo de Fierros</t>
  </si>
  <si>
    <t>51101</t>
  </si>
  <si>
    <t>Sueldos</t>
  </si>
  <si>
    <t>01</t>
  </si>
  <si>
    <t>2</t>
  </si>
  <si>
    <t>02</t>
  </si>
  <si>
    <t>1</t>
  </si>
  <si>
    <t>03</t>
  </si>
  <si>
    <t>111</t>
  </si>
  <si>
    <t>HORAS  EXTRAORDINARIAS</t>
  </si>
  <si>
    <t>000</t>
  </si>
  <si>
    <t>05</t>
  </si>
  <si>
    <t>04</t>
  </si>
  <si>
    <t>Comercio</t>
  </si>
  <si>
    <t>Industria</t>
  </si>
  <si>
    <t>Servicios</t>
  </si>
  <si>
    <t>Bares y Restaurantes</t>
  </si>
  <si>
    <t>Transportes</t>
  </si>
  <si>
    <t>Impuestos Municipales Diversos</t>
  </si>
  <si>
    <t>Servicios de Certificación</t>
  </si>
  <si>
    <t>Cementerios Municipales</t>
  </si>
  <si>
    <t>Desechos</t>
  </si>
  <si>
    <t>Fiestas</t>
  </si>
  <si>
    <t>Mercados</t>
  </si>
  <si>
    <t>Pavimentación</t>
  </si>
  <si>
    <t>Postes, Torres y Antenas</t>
  </si>
  <si>
    <t>Rastro y Tiangue</t>
  </si>
  <si>
    <t>Tasas Diversas</t>
  </si>
  <si>
    <t>Derechos Diversos</t>
  </si>
  <si>
    <t>Servicios básicos</t>
  </si>
  <si>
    <t>Servicios diversos</t>
  </si>
  <si>
    <t>Multas  por pago de Impuestos</t>
  </si>
  <si>
    <t>Intereses por Mora Impuestos</t>
  </si>
  <si>
    <t>Multas  por Registro Civil</t>
  </si>
  <si>
    <t>Rentabilidad de Ctas.Bancarias</t>
  </si>
  <si>
    <t>Ingresos Diversos</t>
  </si>
  <si>
    <t>Transferencias Corrientes del Sec.Pub</t>
  </si>
  <si>
    <t>Transferencias Corrientes de Cap.Pub</t>
  </si>
  <si>
    <t>Transferencias Ctes .de Cap.Pub FISDL</t>
  </si>
  <si>
    <t>Transferencias Ctes .de Cap.Pub. PFGL</t>
  </si>
  <si>
    <t>Saldo Inicial en Caja</t>
  </si>
  <si>
    <t>Saldo Inicial en Banco</t>
  </si>
  <si>
    <t>Cuentas por cobrar  de  años anteriores</t>
  </si>
  <si>
    <t>De empresas publicas financieras</t>
  </si>
  <si>
    <t>TOTALES</t>
  </si>
  <si>
    <t>55302</t>
  </si>
  <si>
    <t>71304</t>
  </si>
  <si>
    <t>55304</t>
  </si>
  <si>
    <t>De Instituciones Desentralizadas no Empresariales</t>
  </si>
  <si>
    <t>De Empresas Publicas Financieras</t>
  </si>
  <si>
    <t>ALCALDIA MUNICIPAL DE CHILTIUPAN</t>
  </si>
  <si>
    <t>DEPARTAMENTO DE LA LIBERTAD</t>
  </si>
  <si>
    <t>SUELDOS</t>
  </si>
  <si>
    <t>51103</t>
  </si>
  <si>
    <t>AGUINALDOS</t>
  </si>
  <si>
    <t>51105</t>
  </si>
  <si>
    <t>DIETAS</t>
  </si>
  <si>
    <t>SUELDOS POR JORNAL</t>
  </si>
  <si>
    <t>51203</t>
  </si>
  <si>
    <t>HORAS EXTRAORDINARIAS</t>
  </si>
  <si>
    <t>BENEFICIOS EXTRAORDINARIAS</t>
  </si>
  <si>
    <t>51401</t>
  </si>
  <si>
    <t>CONTRIB PAT.INST.SEG.PUB</t>
  </si>
  <si>
    <t>51501</t>
  </si>
  <si>
    <t>CONTRIB PAT.INST.SEG.PRIV.</t>
  </si>
  <si>
    <t>REMUNERACIONES DIVERSAS</t>
  </si>
  <si>
    <t>PASAJES AL INTERIOR</t>
  </si>
  <si>
    <t>VIATICOS AL INTERIOR</t>
  </si>
  <si>
    <t>SERVICIOS JURIDICOS</t>
  </si>
  <si>
    <t>CONSULT., ESTUDIOS  E INVESTIG. DIVIERSAS</t>
  </si>
  <si>
    <t>LIMPIEZA DE  DE CALLES</t>
  </si>
  <si>
    <t>DEPOSITOS DE DESECHOS</t>
  </si>
  <si>
    <t>RECOLECCION DE DESECHOS</t>
  </si>
  <si>
    <t>SERVICIOS DIVERSOS</t>
  </si>
  <si>
    <t>DE INSTITUCIONES DESENTRALIZADAS NO EMPRESARIALES</t>
  </si>
  <si>
    <t>PRIMAS Y GASTOS DE SEGUROS DE BIENES</t>
  </si>
  <si>
    <t>COMISION Y GASTOS BANCARIOS</t>
  </si>
  <si>
    <t>GASTOS DIVERSOS</t>
  </si>
  <si>
    <t>TRANSFERENCIAS CORRIENTES</t>
  </si>
  <si>
    <t>TRANSFERENCIAS CORRIENTES AL SECTOR PUBLICO</t>
  </si>
  <si>
    <t>ORGANISMOS SIN FINES DE LUCRO</t>
  </si>
  <si>
    <t>A PERSONAS NATURALES</t>
  </si>
  <si>
    <t>BECAS</t>
  </si>
  <si>
    <t>61104</t>
  </si>
  <si>
    <t>EQUIPOS INFORMATICOS</t>
  </si>
  <si>
    <t>61199</t>
  </si>
  <si>
    <t>BIENES MUEBLES DIVERSOS</t>
  </si>
  <si>
    <t>61201</t>
  </si>
  <si>
    <t>TERRENOS</t>
  </si>
  <si>
    <t>61403</t>
  </si>
  <si>
    <t>DERECHOS  DE  PROPIEDAD  INTELECTUAL</t>
  </si>
  <si>
    <t>PROYECTOS Y PROGRAMAS DE INVERSION DIVERSA</t>
  </si>
  <si>
    <t>VIALES</t>
  </si>
  <si>
    <t>DE SALUD Y SANEAMIENTO AMBIENTAL</t>
  </si>
  <si>
    <t>DE EDUCACION Y RECREACION</t>
  </si>
  <si>
    <t>ELECTRICAS Y COMUNICACIONES</t>
  </si>
  <si>
    <t>SUPERVISION DE INFRAESTRUCTURAS</t>
  </si>
  <si>
    <t>OBRAS DE INFRAESTRUCTURA DIVERSAS</t>
  </si>
  <si>
    <t>CUENTAS POR PAGAR AÑOS ANTERIORES</t>
  </si>
  <si>
    <t>PRODUCTOS ALIMENTICIOS P/PERSONAS</t>
  </si>
  <si>
    <t>PRODUCTOS AGROPECUARIOS Y FORESTAL</t>
  </si>
  <si>
    <t>PRODUCTOS TEXTILES</t>
  </si>
  <si>
    <t>PRODUCTOS  PAPEL Y CARTON</t>
  </si>
  <si>
    <t>PRODUCTOS QUIMICOS</t>
  </si>
  <si>
    <t>PRODUCTOS FARMACEUTICOS Y MEDICINALES</t>
  </si>
  <si>
    <t>LLANTAS Y NEUMATICOS</t>
  </si>
  <si>
    <t>COMBUSTIBLES Y LUBRICANTES</t>
  </si>
  <si>
    <t>MINERALES NO METALICOS Y PROD.DERIVADOS</t>
  </si>
  <si>
    <t>MINERALES METALICOS Y PRODUCTOS DERV.</t>
  </si>
  <si>
    <t>MATERIALES DE OFICINA</t>
  </si>
  <si>
    <t>MATERIALES INFORMATICOS</t>
  </si>
  <si>
    <t>MATERIALES DE DEFENSA Y SEG.PUBLICA</t>
  </si>
  <si>
    <t>HERRAMIENTAS, REPUESTOS Y ACCESOR.</t>
  </si>
  <si>
    <t>MATERIALES ELECTRICOS</t>
  </si>
  <si>
    <t>ESPECIES MUNICIPALES DIVERSAS</t>
  </si>
  <si>
    <t>BIENES DE USO Y CONSUMO DIVERSO</t>
  </si>
  <si>
    <t>ENERGIA ELECTRICA</t>
  </si>
  <si>
    <t>SERVICIO DE AGUA</t>
  </si>
  <si>
    <t>TELECOMUNICACIONES</t>
  </si>
  <si>
    <t>CORREOS</t>
  </si>
  <si>
    <t>ALUMBRADO PUBLICO</t>
  </si>
  <si>
    <t>MANT.REPARACION BIENES MUEBLES</t>
  </si>
  <si>
    <t>MANT.REPARACION DE VEHICULOS</t>
  </si>
  <si>
    <t>MANT. REPARACION BIENES INMUEBLES</t>
  </si>
  <si>
    <t>TRANSPORTES, FLETES Y ALMACENAMIENTO</t>
  </si>
  <si>
    <t>SERVICIOS DE PUBLICIDAD</t>
  </si>
  <si>
    <t>IMPRESIONES, PUBLICAC. Y REPRODUC.</t>
  </si>
  <si>
    <t>ATENCIONES OFICIALES</t>
  </si>
  <si>
    <t>ARRENDAMIENTO DE BIENES MUEBLES</t>
  </si>
  <si>
    <t>ARRENDAMIENTO DE BIENES INMUEBLES</t>
  </si>
  <si>
    <t>SERVICIOS GENERALES DIVERSOS</t>
  </si>
  <si>
    <t>HONORARIOS</t>
  </si>
  <si>
    <t>TRANSPORTES</t>
  </si>
  <si>
    <t xml:space="preserve">MOBILIARIOS </t>
  </si>
  <si>
    <t>MAQUINARIA Y EQUIPO</t>
  </si>
  <si>
    <t>DERECHOS DE PROPIEDAD INTELECTUAL</t>
  </si>
  <si>
    <t>CUENTAS X PAGAR AÑOS ANTERIORES</t>
  </si>
  <si>
    <t>TOTAL</t>
  </si>
  <si>
    <t>SUB 'TOTAL</t>
  </si>
  <si>
    <t>GRAN TOTAL</t>
  </si>
  <si>
    <t>SERVICIOS DE CONTABILIDAD Y AUDITORIA</t>
  </si>
  <si>
    <t>51207</t>
  </si>
  <si>
    <t>BENEFICIOS ADICIONALES</t>
  </si>
  <si>
    <t xml:space="preserve"> AL SECTOR PUBLICO</t>
  </si>
  <si>
    <t>SALARIOS POR JORNAL</t>
  </si>
  <si>
    <t>Sueldos por jornal</t>
  </si>
  <si>
    <t>51202</t>
  </si>
  <si>
    <t xml:space="preserve"> PRESUPUESTO MUNICIPAL DE EGRESOS</t>
  </si>
  <si>
    <t>VIATICOS POR COMISION  EXTERNA</t>
  </si>
  <si>
    <t>PRIMAS Y GASTOS DE SEGUROS DE PERSONAS</t>
  </si>
  <si>
    <t>MOBILIARIOS</t>
  </si>
  <si>
    <t>DE EMPRESAS PUBLICAS FINANCIERAS</t>
  </si>
  <si>
    <t>(2) Unidad Presupuestaria</t>
  </si>
  <si>
    <t>Cta. Ctb.</t>
  </si>
  <si>
    <t>Nombre de la Cuenta</t>
  </si>
  <si>
    <t>Saldo</t>
  </si>
  <si>
    <t>Fdo Mpal</t>
  </si>
  <si>
    <t>FISDL</t>
  </si>
  <si>
    <t xml:space="preserve">OTROS- CREDITOS </t>
  </si>
  <si>
    <t>Caja  General</t>
  </si>
  <si>
    <t>A G 1</t>
  </si>
  <si>
    <t>Caja  Chica</t>
  </si>
  <si>
    <t>25 % FODES,  PARA ADMINISTRACION</t>
  </si>
  <si>
    <t>75 % FODES PARA INVERSION</t>
  </si>
  <si>
    <t>CREDITOS</t>
  </si>
  <si>
    <t>FONDOS PROPIOS</t>
  </si>
  <si>
    <t>Caja General</t>
  </si>
  <si>
    <t>Fondo Municipal</t>
  </si>
  <si>
    <t>TRANSF. INTERESES  GENERADOS EN CUENTA DE AHORROS</t>
  </si>
  <si>
    <t xml:space="preserve">TOTAL </t>
  </si>
  <si>
    <t>TOTAL FODES</t>
  </si>
  <si>
    <t>FODES 25%</t>
  </si>
  <si>
    <t>FONDOS DEL  F I S D L</t>
  </si>
  <si>
    <t>INGRESOS PROPIOS DE LOS ULTIMOS   5  AÑOS, PARA  ESTABLECER   UNA  MEDIA  SIMPLE</t>
  </si>
  <si>
    <t>AÑOS</t>
  </si>
  <si>
    <t>METODO DE MEDIA SIMPLE</t>
  </si>
  <si>
    <t>METODO DE  REGRESION LINEAL</t>
  </si>
  <si>
    <t>IMPUESTOS</t>
  </si>
  <si>
    <t>IMPUESTOS MUNICIPALES</t>
  </si>
  <si>
    <t>Financiero</t>
  </si>
  <si>
    <t>Bares  y Restaurantes</t>
  </si>
  <si>
    <t>Vialidad</t>
  </si>
  <si>
    <t>TASAS  Y DERECHOS</t>
  </si>
  <si>
    <t>TASAS DE SERVICIOS PUBLICOS</t>
  </si>
  <si>
    <t>Exp.Doc. De  Ident.Carné de Minoridad</t>
  </si>
  <si>
    <t>Terminal de Buses</t>
  </si>
  <si>
    <t xml:space="preserve">DERECHOS  </t>
  </si>
  <si>
    <t>VENTA DE BIENES Y SERVICIOS</t>
  </si>
  <si>
    <t>INGRESOS POR PRES. DE SER. PUB</t>
  </si>
  <si>
    <t>Servicios básicos  ( agua)</t>
  </si>
  <si>
    <t>INGRESOS FINANCIEROS Y OTROS</t>
  </si>
  <si>
    <t>MULTAS E INTERESES POR MORA</t>
  </si>
  <si>
    <t>Multas  por pago de impuestos</t>
  </si>
  <si>
    <t>Otras multas Municipales</t>
  </si>
  <si>
    <t xml:space="preserve">ARRENDAMIENTO DE BIENES   </t>
  </si>
  <si>
    <t>Arrendamiento de Bienes Diversos</t>
  </si>
  <si>
    <t>OTROS INGRESOS NO CLASIFICADOS</t>
  </si>
  <si>
    <t>Diferenciales Bancarios</t>
  </si>
  <si>
    <t xml:space="preserve">TRANSFERENCIAS CORRIENTES  </t>
  </si>
  <si>
    <t>TRANS. CTES DEL SECTOR PUBLICO</t>
  </si>
  <si>
    <t>TRANSFERENCIAS DE CAPITAL</t>
  </si>
  <si>
    <t>TRANS. CAP.SECTOR PUBLICO</t>
  </si>
  <si>
    <t>SALDOS DE AÑOS ANTERIORES</t>
  </si>
  <si>
    <t>CTAS.X COBRAR AÑOS ANTERIORES</t>
  </si>
  <si>
    <t>X</t>
  </si>
  <si>
    <t>Y     INGRESOS ANUALES</t>
  </si>
  <si>
    <t>X   Y</t>
  </si>
  <si>
    <t>a   =</t>
  </si>
  <si>
    <t>N</t>
  </si>
  <si>
    <t>b   =</t>
  </si>
  <si>
    <t>X =  3</t>
  </si>
  <si>
    <t>Y  =</t>
  </si>
  <si>
    <t>x 3</t>
  </si>
  <si>
    <t>Δ =</t>
  </si>
  <si>
    <t xml:space="preserve">Δ = </t>
  </si>
  <si>
    <t>No.</t>
  </si>
  <si>
    <t>Nombres del Empleado</t>
  </si>
  <si>
    <t>Cargo o Puesto</t>
  </si>
  <si>
    <t>Depto.</t>
  </si>
  <si>
    <t>sub- Linea</t>
  </si>
  <si>
    <t>Sistema de remuneración</t>
  </si>
  <si>
    <t>SALARIO</t>
  </si>
  <si>
    <t>Aportes Por Contribuciones Patronales</t>
  </si>
  <si>
    <t>Mensual</t>
  </si>
  <si>
    <t>Anual</t>
  </si>
  <si>
    <t>Aguinaldo</t>
  </si>
  <si>
    <t>ISSS 7.5%</t>
  </si>
  <si>
    <t>INSAFORP</t>
  </si>
  <si>
    <t>Total</t>
  </si>
  <si>
    <t>Alcalde  Municipal</t>
  </si>
  <si>
    <t>Despacho</t>
  </si>
  <si>
    <t>0101</t>
  </si>
  <si>
    <t>Ley de Salario</t>
  </si>
  <si>
    <t>Secretaria  Municipal</t>
  </si>
  <si>
    <t>SUB-TOTAL   ( LINEA 0101)</t>
  </si>
  <si>
    <t>Catastro</t>
  </si>
  <si>
    <t>Jefe de la U.A.C.I.</t>
  </si>
  <si>
    <t>U.A.C.I.</t>
  </si>
  <si>
    <t>Contrato</t>
  </si>
  <si>
    <t>Contador</t>
  </si>
  <si>
    <t>Contabilidad</t>
  </si>
  <si>
    <t xml:space="preserve"> SUB- TOTAL  ( LINEA 0102)</t>
  </si>
  <si>
    <t>Jefe del Reg. Del Estado Familiar</t>
  </si>
  <si>
    <t>Reg. Del Estado Fam.</t>
  </si>
  <si>
    <t>SUB-TOTAL (LINEA 0201)</t>
  </si>
  <si>
    <t>SUB TOTAL ( LINEA  0101) + (LINEA 0102) + (LINEA 0201)+(LINEA 0202)</t>
  </si>
  <si>
    <t>DIETAS A CONCEJALES</t>
  </si>
  <si>
    <t>Auditoria Interna</t>
  </si>
  <si>
    <t>Pago  de sueldos, dietas y  aguinaldos</t>
  </si>
  <si>
    <t>Contribuciones    Patronales</t>
  </si>
  <si>
    <t>TOTAL   SUELDOS</t>
  </si>
  <si>
    <t>Totales</t>
  </si>
  <si>
    <t>0101       Dir. Y Administ. Superior</t>
  </si>
  <si>
    <t>A  Instit. De Seg.Publica</t>
  </si>
  <si>
    <t>0102  Adm. Financiera y Tribut.</t>
  </si>
  <si>
    <t>0101      Dir. Y Administ. Superior</t>
  </si>
  <si>
    <t>0201     Serv. Internos</t>
  </si>
  <si>
    <t>0102    Adm. Financiera y Tribut.</t>
  </si>
  <si>
    <t>0202     Serv. Externos</t>
  </si>
  <si>
    <t>0201   Serv. Internos</t>
  </si>
  <si>
    <t>0202   Serv. Externos</t>
  </si>
  <si>
    <t>Dietas</t>
  </si>
  <si>
    <t>Pagar con fdo. Mppal.</t>
  </si>
  <si>
    <t>A Inst.de Seg. Privada</t>
  </si>
  <si>
    <t>0101     Dir. Y Administ. Superior</t>
  </si>
  <si>
    <t>0101        Dir. Y Administ. Superior</t>
  </si>
  <si>
    <t>0102   Adm. Financiera y Tribut.</t>
  </si>
  <si>
    <t>0101   'Tranf. Sector Publico. INSAFORP</t>
  </si>
  <si>
    <t>DIFERENCIA</t>
  </si>
  <si>
    <t>COD.</t>
  </si>
  <si>
    <t>0202 servicios externos</t>
  </si>
  <si>
    <t>SUB TOTAL</t>
  </si>
  <si>
    <t>CONCEPTO</t>
  </si>
  <si>
    <t>51201</t>
  </si>
  <si>
    <t>51301</t>
  </si>
  <si>
    <t>SUB-TOTAL</t>
  </si>
  <si>
    <t>FONDOS PROPIOS - FF2</t>
  </si>
  <si>
    <t>0102 Administración Financiera y Tributaria</t>
  </si>
  <si>
    <t>REMUNERACIONES EN LAS 2 FUENTES DE FINANCIAMIENTO</t>
  </si>
  <si>
    <t>3</t>
  </si>
  <si>
    <t>4</t>
  </si>
  <si>
    <t>MINERALES NO METALICOS Y PROD. DERIVADOS</t>
  </si>
  <si>
    <t>TRANSPORTES FLETES Y ALMACENAMIENTOS</t>
  </si>
  <si>
    <t>56304</t>
  </si>
  <si>
    <t>ELECTRICAS Y DE COMUNCACIONES</t>
  </si>
  <si>
    <t>OBRAS DE INFRAESTRUCTURAS DIVERSAS</t>
  </si>
  <si>
    <t>Los viáticos  y   pasajes, en comisiones oficiales que cumplan funcionarios, empleados y demás trabajadores se autorizan de conformidad al detalle siguiente:</t>
  </si>
  <si>
    <t>(5) Sub fuente de Financiamiento</t>
  </si>
  <si>
    <t xml:space="preserve">ALCALDIA  MUNICIPAL  DE CHILTIUPAN,  </t>
  </si>
  <si>
    <t>LA MUNICIPALIDAD DE CHILTIUPÁN</t>
  </si>
  <si>
    <t>DEPARTAMENTO DE LA LIBERTAD.</t>
  </si>
  <si>
    <t>En uso de las facultades que le confiere el Art. 30 numeral 7 del Código  Municipal,</t>
  </si>
  <si>
    <t>ACUERDA:</t>
  </si>
  <si>
    <t xml:space="preserve">Art. 1.- Apruébese el Presupuesto de Ingresos y Egresos del Municipio de Chiltiupán, con sus Disposiciones Generales. </t>
  </si>
  <si>
    <t>EN DÓLARES AMERICANOS</t>
  </si>
  <si>
    <t>PRIMERA PARTE</t>
  </si>
  <si>
    <t>RUBRO</t>
  </si>
  <si>
    <t xml:space="preserve">             TOTAL</t>
  </si>
  <si>
    <t>TASAS Y DERECHOS</t>
  </si>
  <si>
    <t>VENTA  DE BIENES Y SERVICIOS</t>
  </si>
  <si>
    <t>INGRESOS FINANCIEROS  Y OTROS</t>
  </si>
  <si>
    <t>TRANFERENCIAS DE CAPITAL</t>
  </si>
  <si>
    <t>ENDEUDAMIENTO PUBLICO</t>
  </si>
  <si>
    <t>TOTAL INGRESOS</t>
  </si>
  <si>
    <t>REMUNERACIONES</t>
  </si>
  <si>
    <t>ADQUISICION DE BIENES Y SERVICIOS</t>
  </si>
  <si>
    <t>GASTOS FINANCIEROS Y OTROS</t>
  </si>
  <si>
    <t>TRANSFERENCIAS   CORRIENTES</t>
  </si>
  <si>
    <t>INVERSIONES EN  ACTIVOS FIJOS</t>
  </si>
  <si>
    <t>AMORTIZACION   DEL ENDEUDAMIENTO  PUBLICO</t>
  </si>
  <si>
    <t>TOTAL   EGRESOS</t>
  </si>
  <si>
    <t>Art. 2.-El presente presupuesto se aplicará bajo la modalidad de ÁREAS DE GESTIÓN, a fin de facilitar el cumplimiento de la técnica del registro de los hechos económicos de la Contabilidad Gubernamental.</t>
  </si>
  <si>
    <t>DISPOSICIONES GENERALES</t>
  </si>
  <si>
    <t>Disposiciones Fundamentales</t>
  </si>
  <si>
    <t>Art. 6.- Todo compromiso legalmente adquirido disminuye un crédito presupuestario, por tanto, no se podrá incurrir en gasto alguno sin afectar un crédito del presupuesto; tampoco deberá autorizarse pagos a cuenta de una asignación que estuviere agotada.</t>
  </si>
  <si>
    <t>Art. 7.- Los créditos presupuestarios se administrarán con orden y economía, no deben comprometerse sino en la medida estrictamente necesaria, para obtener un funcionamiento ordenado y económico de la administración municipal.</t>
  </si>
  <si>
    <t>A una asignación de carácter general no se podrá imputar gastos para los cuales exista en el Presupuesto una asignación de carácter específico, aún cuando esta última estuviere agotada.</t>
  </si>
  <si>
    <t>Las reservas de crédito constituidas estarán disponibles para los fines a que las mismas se refieran.</t>
  </si>
  <si>
    <t>Para afectar una asignación o cuota que no tenga saldo disponible, deberá previamente ser reforzada en forma legal.</t>
  </si>
  <si>
    <t>Art. 9. Los funcionarios que contravengan lo dispuesto en el inciso anterior responderán con sus bienes por los sueldos pagados o compromisos económicos adquiridos.</t>
  </si>
  <si>
    <t>Art. 11- Cuando una obra, proyecto o compromiso no se termine o liquide en el ejercicio del presupuesto vigente y éstos exigieren continuidad, los saldos deberán ser trasladados al presupuesto del ejercicio siguiente en las asignaciones respectivas.  Si las obras, proyectos o compromisos no requieren  continuidad , el  Concejo Municipal resolverá lo mas conveniente.</t>
  </si>
  <si>
    <t>Art. 12- Los saldos provenientes de asignaciones o cuotas, al término del ejercicio fiscal, y que no tengan requerimientos o compromisos pendientes, caducarán y serán cancelados.</t>
  </si>
  <si>
    <t>Art. 15- Los Funcionarios y Empleados que ordenen gastos, son responsables personalmente y con sus bienes de aquellas erogaciones que no estén comprendidas en el presupuesto, sin perjuicio de la acción penal que corresponda.</t>
  </si>
  <si>
    <t>Art. 17-  El Alcalde mensualmente evaluará la aplicación y desarrollo del presupuesto; con ese objeto, las unidades ejecutoras de los programas estarán obligadas a preparar y rendir los informes de la labor realizada, de conformidad con las instrucciones recibidas por dicho funcionario, la que los verificará en la oportunidad que estimare necesaria.</t>
  </si>
  <si>
    <t>El Concejo Municipal podrá suspender la provisión de fondos que correspondiere a los proyectos o programas, en los casos en que verifique incumplimiento de las metas fijadas en los mismos, conforme al calendario de actividades.</t>
  </si>
  <si>
    <t>Los recibos por viáticos y transportes deben ser firmados en concepto de recipientes, por cada uno de los funcionarios, empleados o trabajadores beneficiarios que desempeñen la comisión oficial, por la cual se autorizan los viáticos y el transporte.</t>
  </si>
  <si>
    <t>Sé prohíbe adquirir al crédito los suministros y servicios que menciona el inciso primero de este Artículo.</t>
  </si>
  <si>
    <t>CUADRO RESUMEN</t>
  </si>
  <si>
    <t>PRESUPUESTO DE EGRESOS POR</t>
  </si>
  <si>
    <t>CLASIFICACIONES ECONOMICAS DE GASTO</t>
  </si>
  <si>
    <t>21</t>
  </si>
  <si>
    <t>GASTOS CORRIENTES</t>
  </si>
  <si>
    <t>22</t>
  </si>
  <si>
    <t>GASTOS DE CAPITAL</t>
  </si>
  <si>
    <t>23</t>
  </si>
  <si>
    <t>APLICACIONES FINANCIERAS</t>
  </si>
  <si>
    <t>CUADRO RESUMEN POR FUENTE DE FINANCIAMIENTO</t>
  </si>
  <si>
    <t>N°</t>
  </si>
  <si>
    <t>FUENTE</t>
  </si>
  <si>
    <t>INGRESOS</t>
  </si>
  <si>
    <t>EGRESOS</t>
  </si>
  <si>
    <t>FONDO GENERAL</t>
  </si>
  <si>
    <t>FONDO MUNICIPAL</t>
  </si>
  <si>
    <t>Auditor Interno</t>
  </si>
  <si>
    <t>Concejales</t>
  </si>
  <si>
    <t>Otras Multas Municipales</t>
  </si>
  <si>
    <t>3 - 03 - 01 - 1 - 112   Infraestructura Social. Fondos FISDL</t>
  </si>
  <si>
    <t>3-03-03-0-000  Infraestructura social , prestamos internos</t>
  </si>
  <si>
    <t>3-03-04-1-112 Infraestructura Social ,fondos  PFGL</t>
  </si>
  <si>
    <t>4-04-02-0-000 Desarrollo Economico, Prestamos Internos</t>
  </si>
  <si>
    <t>4-04-03-1-112 desarrollo Economico,Fondos  PFGL</t>
  </si>
  <si>
    <t>MTTO.Y REPARACION DE  INMUEBLES</t>
  </si>
  <si>
    <t>TRANSF. CORRIENTES AL SECTOR PUBLICO</t>
  </si>
  <si>
    <t xml:space="preserve">SUELDOS </t>
  </si>
  <si>
    <t>HERRAMIENTAS ,REPUESTOS Y ACCESORIOS</t>
  </si>
  <si>
    <t>El Fondo Circulante se formará en el mes de enero y se liquidará al final del ejercicio presupuestario.  Los reintegros al Fondo por pagos y gastos efectuados se harán cuantas veces sea necesario y por lo menos cada mes, previa autorización correspondiente.</t>
  </si>
  <si>
    <t>El Fondo Circulante cuyo monto exceda de: QUINIENTOS 00/100 DOLARES ($  500.00),  deberá depositarse en cuenta bancaria, y los pagos se harán por medio de cheques.</t>
  </si>
  <si>
    <t>Art. 26- El funcionario o empleado que en nombre de la Municipalidad contraiga deudas o compromisos de cualquier naturaleza, en contra de las leyes y reglamentos o sin autorización legal, será exclusivamente responsable ante los acreedores correspondientes y además será suspendido del ejercicio de sus funciones hasta por un mes sin goce de sueldo; en caso de reincidencia y si el hecho fuere delictuoso, será destituido. Cuando se tratare de un miembro del Concejo Municipal, éste quedará en la obligación de responder; si no cumpliere o reincidiere, el Concejo procederá a la suspensión correspondiente.</t>
  </si>
  <si>
    <t>PFGL</t>
  </si>
  <si>
    <t>FODES 75 %</t>
  </si>
  <si>
    <t>FDO. MPAL.</t>
  </si>
  <si>
    <t>A.G.</t>
  </si>
  <si>
    <t>BIENES DE USO Y CONSUMO DIVERSOS</t>
  </si>
  <si>
    <t>Art. 5.- Las presentes Disposiciones Generales son parte de los Documentos Técnicos que identifican los criterios, normas y procedimientos que regularán el proceso de ejecución presupuestaria. El Alcalde Municipal coordinará la integración de actividades, registros e información con las demás unidades administrativas y financieras, a fin de que interactúen conjuntamente en dicho proceso.</t>
  </si>
  <si>
    <t xml:space="preserve">Vallas Publicitarias </t>
  </si>
  <si>
    <t>Vallas publicitarias</t>
  </si>
  <si>
    <t xml:space="preserve"> TOTAL CAJA GENERAL  Y FDO MPAL</t>
  </si>
  <si>
    <t>Encargado del Depto.Catastro</t>
  </si>
  <si>
    <t>∑      Y</t>
  </si>
  <si>
    <t xml:space="preserve">      XY</t>
  </si>
  <si>
    <t>Disponibilidad</t>
  </si>
  <si>
    <t>Diferencia</t>
  </si>
  <si>
    <t>DESARROLLOS INFORMATICOS</t>
  </si>
  <si>
    <t>Disp. 75% fodes</t>
  </si>
  <si>
    <t>3-03-02-1-111 Desarrollo                             social</t>
  </si>
  <si>
    <t>Dispn. PFGL</t>
  </si>
  <si>
    <t>3 - 03 - 01 - 1  - 111 Infraestructura Social</t>
  </si>
  <si>
    <t>1-  02- 01- 2-  000     FONDOS PROPIOS</t>
  </si>
  <si>
    <t>1- 02- 02- 2- 000         FONDOS PROPIOS</t>
  </si>
  <si>
    <t>Denominacion</t>
  </si>
  <si>
    <t>54107</t>
  </si>
  <si>
    <t>CLASIFICACION PRESUPUESTARIA DE  INGRESOS</t>
  </si>
  <si>
    <t>CLASIFICACION PRESUPUESTARIA DE EGRESOS</t>
  </si>
  <si>
    <t>1-  01- 01- 2- 000       FONDOS PROPIOS</t>
  </si>
  <si>
    <t>1 -  01-02 -2 -000 FONDOS  PROPIOS</t>
  </si>
  <si>
    <t>Fondo  propio  -Prestamos Internos (Bco.Hipotecario )</t>
  </si>
  <si>
    <t xml:space="preserve">PRESTACIONES </t>
  </si>
  <si>
    <t>Total prestaciones laborales y sociales</t>
  </si>
  <si>
    <t>Pagar en Junio  bono con Fdo Mpal</t>
  </si>
  <si>
    <t>SERVICIOS DE CAPACITACION</t>
  </si>
  <si>
    <t>4-04-01-1-112 Dearrollo economico, Fondos FISDL</t>
  </si>
  <si>
    <t>61105</t>
  </si>
  <si>
    <t>VEHICULOS DE TRANSPORTE</t>
  </si>
  <si>
    <t>MINERALES   NO   METALICOS   Y    PRODUCTOS   DERIVADOS</t>
  </si>
  <si>
    <t>TRANSFERENCIAS DE CAPITAL AL SECTOR PUBLICO</t>
  </si>
  <si>
    <t>Disponib.Prest.</t>
  </si>
  <si>
    <t xml:space="preserve"> </t>
  </si>
  <si>
    <t>COMBUSTIBLES  Y LUBRICANTES</t>
  </si>
  <si>
    <t>54101</t>
  </si>
  <si>
    <t>PRODUCTOS ALIMENTICION PARA PERSONAS</t>
  </si>
  <si>
    <t>MATERIALES DE DEFENSA Y SEGURIDAD PUBLICA</t>
  </si>
  <si>
    <t>MANTENIMIENTO Y REPARACION DE VEHICULOS</t>
  </si>
  <si>
    <t>Disp.FISDL</t>
  </si>
  <si>
    <t>56201</t>
  </si>
  <si>
    <t>TRANSFERENCIAS CORRIENTES AL SECTOR PUBLICO ( INSAFORP )</t>
  </si>
  <si>
    <t>TRANSFERENCIAS CORRIENTES AL SECTOR PUBLICO  ( INSAFORP )</t>
  </si>
  <si>
    <t xml:space="preserve">Aguinaldo    y  un  Bono </t>
  </si>
  <si>
    <t>PRESTAMO  Nº  AA 1026091,  BANCO HOPETECARIO DE EL SALVADOR</t>
  </si>
  <si>
    <t>PRESTAMO  Nº  AA 1026101,  BANCO HOPETECARIO DE EL SALVADOR</t>
  </si>
  <si>
    <t>PRIMER REGIDOR</t>
  </si>
  <si>
    <t>AFP,s 7.75%</t>
  </si>
  <si>
    <t xml:space="preserve">Facilitadora </t>
  </si>
  <si>
    <t>Presupuesto</t>
  </si>
  <si>
    <t>Tesoreria</t>
  </si>
  <si>
    <t>TOTAL A PAGAR   DEL 25% FODES  Y FONDO MUNICIPAL</t>
  </si>
  <si>
    <t xml:space="preserve">TOTAL A PAGAR CON EL 75% FODES         PROGRAMAS SOCIALES </t>
  </si>
  <si>
    <t>SUB TOTAL ( LINEA  0302)</t>
  </si>
  <si>
    <t xml:space="preserve">0302       Programa Social </t>
  </si>
  <si>
    <t xml:space="preserve"> Pagar  Aguinaldo en  Dic. Con  75 % fodes</t>
  </si>
  <si>
    <t>IPSFA 7.0%</t>
  </si>
  <si>
    <t>INPEP 7.50%</t>
  </si>
  <si>
    <t>ARENDAMIENTO DE BIENES MUEBLES</t>
  </si>
  <si>
    <t>DESARROLLO INFORMATICOS</t>
  </si>
  <si>
    <t>54105</t>
  </si>
  <si>
    <t>PRODUCTOS DE PAPEL Y CARTON</t>
  </si>
  <si>
    <t>NOMBRE</t>
  </si>
  <si>
    <t>CARGO</t>
  </si>
  <si>
    <t>INGRESOS DEVENGADOS</t>
  </si>
  <si>
    <t>APORTACIONES PATRONALES</t>
  </si>
  <si>
    <t>VALOR C/U</t>
  </si>
  <si>
    <t>ANUAL</t>
  </si>
  <si>
    <t>TOTAL APORTACIONES</t>
  </si>
  <si>
    <t>Dieta</t>
  </si>
  <si>
    <t>Primer Regidor</t>
  </si>
  <si>
    <t>Segundo Regidor</t>
  </si>
  <si>
    <t>Tercer Regidor</t>
  </si>
  <si>
    <t>Cuarto Regidor</t>
  </si>
  <si>
    <t>Quinto Regidor</t>
  </si>
  <si>
    <t>Sexto Regidor</t>
  </si>
  <si>
    <t>1er. Reg. Supl.</t>
  </si>
  <si>
    <t>2do. Reg. Supl.</t>
  </si>
  <si>
    <t>3er. Reg. Supl.</t>
  </si>
  <si>
    <t>4to. Reg. Supl.</t>
  </si>
  <si>
    <t>TOTAL REMUNERACIONES CONCEJALES</t>
  </si>
  <si>
    <t>FUENTE DE FINANCIAMIENTO: Fondos propios.</t>
  </si>
  <si>
    <t>DETALLE REMUNERACIONES EVENTUALES</t>
  </si>
  <si>
    <t>PERIODOS</t>
  </si>
  <si>
    <t xml:space="preserve">VIGILANCIA DEL CEMENTERIO </t>
  </si>
  <si>
    <t>SUMINISTRO DE AGUA LAS FLORES</t>
  </si>
  <si>
    <t>SUMINISTRO DE AGUA TAQUILLO</t>
  </si>
  <si>
    <t>CODIGO</t>
  </si>
  <si>
    <t>FUENTE DE FINANCIAMIENTO</t>
  </si>
  <si>
    <t>Enero</t>
  </si>
  <si>
    <t>Febrero</t>
  </si>
  <si>
    <t>Marzo</t>
  </si>
  <si>
    <t>Abril</t>
  </si>
  <si>
    <t>Mayo</t>
  </si>
  <si>
    <t>Junio</t>
  </si>
  <si>
    <t>Julio</t>
  </si>
  <si>
    <t>Agosto</t>
  </si>
  <si>
    <t>Septiembre</t>
  </si>
  <si>
    <t>Octubre</t>
  </si>
  <si>
    <t>Noviembre</t>
  </si>
  <si>
    <t>Diciembre</t>
  </si>
  <si>
    <t>No. DE PERSONAS CONTRATADAS EVENTUALMENTE POR MES</t>
  </si>
  <si>
    <t>PROYECCION GASTOS CORRIENTES</t>
  </si>
  <si>
    <t>ESTIMADO AÑO</t>
  </si>
  <si>
    <t>Concejo Municipal</t>
  </si>
  <si>
    <t>Otros eventos</t>
  </si>
  <si>
    <t xml:space="preserve">ESTRUCTURA </t>
  </si>
  <si>
    <t>U.P.</t>
  </si>
  <si>
    <t>L.T.</t>
  </si>
  <si>
    <t>F.F.</t>
  </si>
  <si>
    <t>NATURALEZA DEL PROYECTO</t>
  </si>
  <si>
    <t>FODES           MONTO</t>
  </si>
  <si>
    <t>F. R.</t>
  </si>
  <si>
    <t>MODALIDAD DE EJECUCION</t>
  </si>
  <si>
    <t>TOTAL INVERSION</t>
  </si>
  <si>
    <t>Infraestrucctura Social</t>
  </si>
  <si>
    <t>Infraestructura social</t>
  </si>
  <si>
    <t>contrato</t>
  </si>
  <si>
    <t xml:space="preserve">Inversión Social </t>
  </si>
  <si>
    <t>Administración</t>
  </si>
  <si>
    <t xml:space="preserve">Infraestructura Vial </t>
  </si>
  <si>
    <t xml:space="preserve"> MONTO</t>
  </si>
  <si>
    <t xml:space="preserve"> DENOMINACIÓN</t>
  </si>
  <si>
    <t>54110</t>
  </si>
  <si>
    <t>Bienes y consumo Diversos</t>
  </si>
  <si>
    <t>51107</t>
  </si>
  <si>
    <t xml:space="preserve">Beneficios Adicionales </t>
  </si>
  <si>
    <t>Contribuciones Patronales de Instituciones de Seguridad Privada</t>
  </si>
  <si>
    <t>Productos Alimenticios para Personas</t>
  </si>
  <si>
    <t>Productos Textiles y Vestuarios</t>
  </si>
  <si>
    <t>Productos de Papel y Cartón</t>
  </si>
  <si>
    <t>54199</t>
  </si>
  <si>
    <t>Bienes de Uso y Consumo Diversos</t>
  </si>
  <si>
    <t>Telecomunicaciones.</t>
  </si>
  <si>
    <t>Transporte</t>
  </si>
  <si>
    <t>54302</t>
  </si>
  <si>
    <t xml:space="preserve">Sueldos </t>
  </si>
  <si>
    <t>NOMBRES</t>
  </si>
  <si>
    <t>2- Los aguinaldos y bonos se componen de la siguiente manera:</t>
  </si>
  <si>
    <t>VALOR AGUINALDO</t>
  </si>
  <si>
    <t xml:space="preserve">ISSS </t>
  </si>
  <si>
    <t xml:space="preserve">INSAFORP </t>
  </si>
  <si>
    <t>AFP</t>
  </si>
  <si>
    <t xml:space="preserve"> Las cuotas patronales de ISSS, INSAFORP y AFP se componen de la siguiente manera:</t>
  </si>
  <si>
    <t>Los Sueldos se componen de la siguiente manera:</t>
  </si>
  <si>
    <t>54304</t>
  </si>
  <si>
    <t>Transportes, Fletes y Almacenamientos</t>
  </si>
  <si>
    <t xml:space="preserve">Personas naturales </t>
  </si>
  <si>
    <t xml:space="preserve">SECTOR: SOCIAL </t>
  </si>
  <si>
    <t>MODALIDAD: ADMINISTRACIÓN</t>
  </si>
  <si>
    <t>RESPONSABLE: CONCEJO MUNICIPAL</t>
  </si>
  <si>
    <t>PROGRAMA: MANTENIMIENTO DE CANCHA EL BAMBÚ</t>
  </si>
  <si>
    <t>Productos Textiles y Vestuario</t>
  </si>
  <si>
    <t>POLICIA MUNICIPAL</t>
  </si>
  <si>
    <t xml:space="preserve">Salario por Jornal </t>
  </si>
  <si>
    <t>54111</t>
  </si>
  <si>
    <t xml:space="preserve">Herramienta Repuesto y Accesorios </t>
  </si>
  <si>
    <t>61608</t>
  </si>
  <si>
    <t>MODALIDAD: CONTRATO</t>
  </si>
  <si>
    <t xml:space="preserve"> DESGLOSE DE GASTOS CORRIENTES  </t>
  </si>
  <si>
    <t xml:space="preserve">DEPARTAMENTO DE LA LIBERTAD </t>
  </si>
  <si>
    <t xml:space="preserve">ALCALDIA MUNICIPAL DE CHILTIUPÁN </t>
  </si>
  <si>
    <t>Combustible y Lubricantes</t>
  </si>
  <si>
    <t>Herramientas, Repuestos y Accesorios</t>
  </si>
  <si>
    <t>54399</t>
  </si>
  <si>
    <t>MES</t>
  </si>
  <si>
    <t>AÑO</t>
  </si>
  <si>
    <t>54104</t>
  </si>
  <si>
    <t>PROGRAMA: FIESTAS PATRONALES</t>
  </si>
  <si>
    <t>ALCALDIA MUNICIPAL DE CHILTIUPÁN</t>
  </si>
  <si>
    <t>Salarios por Jornal</t>
  </si>
  <si>
    <t>VIATICOS</t>
  </si>
  <si>
    <t>54112</t>
  </si>
  <si>
    <t>54118</t>
  </si>
  <si>
    <t xml:space="preserve">Herramienta y Accesorio </t>
  </si>
  <si>
    <t>Bienes y Consumo Diversos</t>
  </si>
  <si>
    <t xml:space="preserve">Transporte y Fletes </t>
  </si>
  <si>
    <t>Minerales No Metálicos y Productos Derivados</t>
  </si>
  <si>
    <t>Minerales Metálicos y Productos Derivados</t>
  </si>
  <si>
    <t>Arrendamiento de Bienes Muebles.</t>
  </si>
  <si>
    <t>Becas</t>
  </si>
  <si>
    <t>Personas Naturales</t>
  </si>
  <si>
    <t xml:space="preserve">BIENES Y CONSUMO DIVERSOS </t>
  </si>
  <si>
    <t>PRODUCTOS ALIMENTICIOS</t>
  </si>
  <si>
    <t>COMBUSTIBLE Y LUBRICANTES</t>
  </si>
  <si>
    <t>BIENES Y USO CONSUMO DIVERSOS</t>
  </si>
  <si>
    <t>CONSULTORIAS, ESTUDIOS E INVESTIGACIONES DIVERSAS</t>
  </si>
  <si>
    <t>IMPRECIONES Y PUBLICACIONES Y REPRODUCCIONES</t>
  </si>
  <si>
    <t xml:space="preserve">PRODUCTOS Y TEXTILES Y VESTUARIOS </t>
  </si>
  <si>
    <t xml:space="preserve"> ESTRUCTURA PRESUPUESTARIA</t>
  </si>
  <si>
    <t>1- 01-  02-  1-      110                         25 % FODES</t>
  </si>
  <si>
    <t xml:space="preserve">CAJA GENERAL </t>
  </si>
  <si>
    <t>1- 01-  01-  1-      110                         25 % FODES</t>
  </si>
  <si>
    <t>1- 02-  01-  1-      110                         25 % FODES</t>
  </si>
  <si>
    <t>1- 02-  02-  1-      110                         25 % FODES</t>
  </si>
  <si>
    <t>4 - 04 - 01 - 1 - 111         Desarrollo economico, Fondos FODES</t>
  </si>
  <si>
    <t>5-05-01-1-111                                 servicio a la Deuda Publica</t>
  </si>
  <si>
    <t>PROCEDIMIENTO PARA FIRMAR Y  COBRAR, DOCUMENTOS CONTRA LA MUNICIPALIDAD</t>
  </si>
  <si>
    <t>FALCULTAD DE HACER DESCUENTOS</t>
  </si>
  <si>
    <t xml:space="preserve">DE LAS DEVOLUCIONES DE RENTA Y OTROS DEPOSITOS </t>
  </si>
  <si>
    <t xml:space="preserve">PAGO A FAVORES DE PERSONAS FALLECIDAS </t>
  </si>
  <si>
    <t>DE LOS ASUETOS, VACACIONES, LICENCIAS,ANTICIPOS, DESCUENTOS VIATICOS Y SUBSIDIOS</t>
  </si>
  <si>
    <t>SUBSIDIO PARA FUNERALES</t>
  </si>
  <si>
    <t>DE LOS CONTRATOS Y SUMINISTROS</t>
  </si>
  <si>
    <t>DE LAS DIETAS DE LOS MIEMBROS DEL CONSEJO MUNICIPAL.</t>
  </si>
  <si>
    <t>VIATICOS.</t>
  </si>
  <si>
    <t>RESPONSABILIDADES DE FUNCIONARIOS Y EMPLEADOS.</t>
  </si>
  <si>
    <t xml:space="preserve">DE LOS SERVICIOS EVENTUALES </t>
  </si>
  <si>
    <t>DE LAS REMUNERACIONES PERMANENTE.</t>
  </si>
  <si>
    <t>RESPONSABILIDADES DE LOS REFRENDARIOS DE CHEQUE</t>
  </si>
  <si>
    <t>PROHIBIDO RECIBIR VALORES SIN OTORGAR RECIBO O HACER COBROS ILEGALES.</t>
  </si>
  <si>
    <t>NO ES NECESARIO ACUERDO O RESOLUCION.</t>
  </si>
  <si>
    <t>DEL FONDO CIRCULANTE</t>
  </si>
  <si>
    <t>Art. 27- Se prohíbe a todo funcionario o empleado, recibir valor alguno sin que se extienda el recibo correspondiente en la forma legal o cuyo pago no esté contemplado en la Ley u Ordenanza.  La infracción de este precepto hará incurrir al culpable en una multa que será impuesta por el Concejo Municipal de acuerdo con la gravedad de la falta.  Pudiendo el culpable ser sujeto de suspensión de labores. Multa que será impuesta por el Concejo Municipal de acuerdo con la gravedad de la falta.  Pudiendo el culpable ser sujeto de suspensión de labores.</t>
  </si>
  <si>
    <t>Art. 28- Los refrendarios de cheques incurrirán en responsabilidad solidaria con el Tesorero o Encargado del Fondo Circulante, por el valor de los cheques que refrenden, en el caso de no existir crédito presupuestario, o no estén respaldados por los comprobantes de egreso respectivo, debidamente legalizado.</t>
  </si>
  <si>
    <t>Art. 29- Queda obligado el Concejo Municipal, a emitir acuerdos relacionados con el nombramiento, licencia o cancelación de funcionarios y empleados o cualquier otro movimiento de personal, que afecte los créditos presupuestarios.</t>
  </si>
  <si>
    <t>Art. 30- Los Empleados que en el Presupuesto son considerados en la nómina de Remuneraciones Permanente se regirán por estas normas:</t>
  </si>
  <si>
    <t>Art. 31- Para el presente presupuesto , son  Servicios    de  Carácter Eventual  y  sus honorarios estarán considerados  en la cifra  presupuestaria  especifica correspondiente , toda persona natural  o jurídica , contratada  para realizar actividades  o funciones  relacionadas  con su formación profesional o técnica, sin subordinación ,   más que solamente  presentar a satisfacción  del  contratante  el producto  o servicio para el que fue   contratado, de acuerdo a las siguientes condiciones:</t>
  </si>
  <si>
    <t>Art. 33.- Tendrán derecho al reconocimiento y pago de viáticos todos los funcionarios, empleados o trabajadores municipales que viajen en comisión oficial, dentro o fuera del territorio nacional, debiendo fijárseles la cuota necesaria para sufragar sus gastos de alojamiento y alimentación.  También tendrán derecho a que se les paguen los gastos de transporte.</t>
  </si>
  <si>
    <t>Art. 35.-. Cuando se disponga realizar Adquisiciones y Contrataciones de Bienes y Servicios para la Municipalidad o la construcción de obras, se estará sujeto a lo dispuesto en la Ley de Adquisiciones y Contrataciones de la Administración Pública (LACAP), siendo responsabilidad de dar cumplimiento a dicha normativa el Jefe de la Unidad de Adquisiciones y Contrataciones Institucional (UACI).</t>
  </si>
  <si>
    <t xml:space="preserve">DE LA EJECUCIÓN DEL PRESUPUESTO </t>
  </si>
  <si>
    <t>DE LOS CREDITOS PRESUPUESTOS.</t>
  </si>
  <si>
    <t>DE LA ADMINISTRACIÓN DE LOS CREDITOS PRESUPUESTOS</t>
  </si>
  <si>
    <t>UTILIZACIÓN DE LAS ASIGNACIONES</t>
  </si>
  <si>
    <t>DE LOS SOBRANTES DE AUTORIZACIONES DE GASTOS</t>
  </si>
  <si>
    <t xml:space="preserve">SALDOS PENDIENTES DE PAGO DEBEN CONSIGNARSE EN EL EJERCICIO SIGUIENTES </t>
  </si>
  <si>
    <t>VENCIMIENTOS DE ASIGNACIONES Y CUOTAS</t>
  </si>
  <si>
    <t xml:space="preserve">DE LOS GASTOS FIJOS </t>
  </si>
  <si>
    <t>RESPONSABILIDAD EN LOS GASTOS ILEGALES</t>
  </si>
  <si>
    <t>RESPONSABILIDAD DEL ORDENADOR DE PAGOS</t>
  </si>
  <si>
    <t>DE LA LIQUIDACIÓN DEL PRESUPUESTO</t>
  </si>
  <si>
    <t>DE LA EVALUACIÓN DEL PRESUPUESTO</t>
  </si>
  <si>
    <t xml:space="preserve"> T O T A L   </t>
  </si>
  <si>
    <t>Servicios Generales y Arrendamientos Diversos (puerto de la libertad)</t>
  </si>
  <si>
    <t>Productos Alimenticios        (a pagar de fondos propios).</t>
  </si>
  <si>
    <t>Art. 26- No será necesario Acuerdo o Resolución para erogaciones en el pago de dietas de los miembros del Concejo Municipal, salarios permanentes  por Ley de salario  o por contrato, Bonificaciones, horas extraordinarias, aguinaldos, alquileres de inmuebles, servicios básicos, subvenciones mensuales a instituciones culturales  o de beneficencia y demás gastos fijos debidamente consignados en el Presupuesto, para los cuales bastará que haya crédito presupuestario y fondos disponibles para efectuar los pagos.</t>
  </si>
  <si>
    <t>ALCALDÍA  MUNICIPAL DE CHILTIUPAN</t>
  </si>
  <si>
    <t>SIN FECHA  DEFINIDA  PARA  EJECUCIÓN</t>
  </si>
  <si>
    <t>LAS FUNCIONES, COBROS, ESPECIES, RESPONSAVILIDADES Y PROHIBICIONES EN TESORERIA MUNICIPAL</t>
  </si>
  <si>
    <t>i )       Las personas contratadas de forma temporal, por días, semanas, catorcenas u otro periodo que no implique una plaza fija; para efectuar labores de  índole operativa, bajo relación de subordinación o dependencia laboral,  se considerarán de carácter permanente de acuerdo a la definición en  El Art. 64 de La Ley de Impuesto Sobre la Renta. Y la retención de la Renta estará sujeta a las tablas de retención, según Art.155 del código Tributario.</t>
  </si>
  <si>
    <t xml:space="preserve">Servicios de Agua </t>
  </si>
  <si>
    <t xml:space="preserve">ARENDAMIENTO DE BIENES INMUEBLES </t>
  </si>
  <si>
    <t>54103</t>
  </si>
  <si>
    <t xml:space="preserve">PRODUCTOS AGROPECUARIOS Y FORESTALES </t>
  </si>
  <si>
    <t xml:space="preserve">Baltazar Aguirre Echeverria </t>
  </si>
  <si>
    <t>.</t>
  </si>
  <si>
    <t>verificado correcto</t>
  </si>
  <si>
    <t>Mantenimiento y Reparación de bienes inmuebles</t>
  </si>
  <si>
    <t>verificado y corregido</t>
  </si>
  <si>
    <t xml:space="preserve">verificada y corregida </t>
  </si>
  <si>
    <t>verificado corregido</t>
  </si>
  <si>
    <t>SUELDO DE ENE- A DIC - 2019</t>
  </si>
  <si>
    <t>54313</t>
  </si>
  <si>
    <t>RRODUCTOS TEXTILES Y VESTUARIO</t>
  </si>
  <si>
    <t>IMPUESTOS, TASAS Y DERECHOS DIVERSOS</t>
  </si>
  <si>
    <t xml:space="preserve">Empleados Eventuales </t>
  </si>
  <si>
    <t>CONCEJALES</t>
  </si>
  <si>
    <t>GRAN TOTAL REMUNEACIONES</t>
  </si>
  <si>
    <t>EMPLEADOS A PAGAR CON 75% FODES</t>
  </si>
  <si>
    <t>PAGADOS CON FONDOS PROPIOS</t>
  </si>
  <si>
    <t xml:space="preserve">SUB TOTAL EMPLEADOS EVENTUALES </t>
  </si>
  <si>
    <t xml:space="preserve">SUB TOTAL A PAGAR CON FONDOS PROPIOS AL CONCEJO </t>
  </si>
  <si>
    <t xml:space="preserve">TOTAL A PAGAR CON FONDOS PROPIOS </t>
  </si>
  <si>
    <t>PAGAR 12 MESES DEL FONDOS PROPIOS</t>
  </si>
  <si>
    <t>BONO</t>
  </si>
  <si>
    <t>AGUINALDO</t>
  </si>
  <si>
    <t xml:space="preserve">PAGAR CON FONDOS PROPIOS </t>
  </si>
  <si>
    <t>Ramo de Justicia y Seguridad Publica</t>
  </si>
  <si>
    <t>3 - 03 -  01  - 121               Ministerio de Justicia y Seguridad Publica</t>
  </si>
  <si>
    <t>DE VIVIENDA Y OFICINA</t>
  </si>
  <si>
    <t xml:space="preserve">ordenanza   </t>
  </si>
  <si>
    <t>Encargado del personal de Limpieza</t>
  </si>
  <si>
    <t>Auxiliar de Tesoreria</t>
  </si>
  <si>
    <t>SUMINISTRO DE AGUA EN CORINTO</t>
  </si>
  <si>
    <t>Motorista de Recolector</t>
  </si>
  <si>
    <t>Sueldos ($370.00 x 12)</t>
  </si>
  <si>
    <t>AÑO 2020</t>
  </si>
  <si>
    <t xml:space="preserve">ASIGNACION 2% FODES, PARA INVERSIÓN </t>
  </si>
  <si>
    <t xml:space="preserve"> PRESUPUESTO MUNICIPAL DE EGRESOS AÑO 2020</t>
  </si>
  <si>
    <r>
      <t xml:space="preserve">FUENTE  DE FINANCIAMIENTO:   </t>
    </r>
    <r>
      <rPr>
        <b/>
        <i/>
        <sz val="12"/>
        <color rgb="FFFF0000"/>
        <rFont val="Trebuchet MS"/>
        <family val="2"/>
      </rPr>
      <t xml:space="preserve"> F.O.D.E.S.  75 %</t>
    </r>
  </si>
  <si>
    <t>Art.20- Se faculta al Alcalde Municipal para que ordene descuentos a funcionario o empleados o trabajadores municipales, por la pérdida de herramientas, materiales y demás bienes del municipio, así como, por daños ocasionados a bienes de propiedad municipal, cuando dicha perdida o deterior se deba a negligencia de los funcionarios, empleados o trabajadores responsable de su manejo. El descuento se hará en proporción de remuneración respectiva, sin exceder del 15% sobre dicha remuneración y de acuerdo al precio de la cosa perdida o deteriorada, hasta el completo pago o reparación del daño causado.</t>
  </si>
  <si>
    <t>Productos de papel y cartón</t>
  </si>
  <si>
    <t xml:space="preserve">Bienes de uso y consumo Diversos </t>
  </si>
  <si>
    <t>Salario por Jornal</t>
  </si>
  <si>
    <t>NATURALEZA: PROYECTO DE INFRAESTRUCTURA  SOCIAL</t>
  </si>
  <si>
    <t>MODALIDAD: ADMINSTRACIÓN</t>
  </si>
  <si>
    <t>0202  Adm. Financiera y Tribut.</t>
  </si>
  <si>
    <t>SERVICIO DE ENERGIA ELECTRICA</t>
  </si>
  <si>
    <t xml:space="preserve">CONSULTORIA ESTUDIOS E INVESTIGACIONES DIVERSAS </t>
  </si>
  <si>
    <t xml:space="preserve">AFP </t>
  </si>
  <si>
    <t xml:space="preserve"> Pagar 2 Meses con Fdo.Mpal</t>
  </si>
  <si>
    <t xml:space="preserve"> PRESUPUESTO MUNICIPAL DE EGRESOS  AÑO 2021</t>
  </si>
  <si>
    <t>Bono en Junio  2021</t>
  </si>
  <si>
    <t>2% FODES PARA INVERSION.</t>
  </si>
  <si>
    <t>FODES 2%</t>
  </si>
  <si>
    <t>FONDO GENERAL109 (DECRETO 608)</t>
  </si>
  <si>
    <t>TOTAL FODES 2%</t>
  </si>
  <si>
    <t>TOTAL DE FONDO GENERAL 109</t>
  </si>
  <si>
    <t xml:space="preserve">OBJETO ESPECIFICO </t>
  </si>
  <si>
    <t>(13) TOTAL</t>
  </si>
  <si>
    <t>35</t>
  </si>
  <si>
    <r>
      <t xml:space="preserve">FUENTE  DE FINANCIAMIENTO:   </t>
    </r>
    <r>
      <rPr>
        <b/>
        <i/>
        <sz val="12"/>
        <color rgb="FFFF0000"/>
        <rFont val="Trebuchet MS"/>
        <family val="2"/>
      </rPr>
      <t xml:space="preserve"> F O N D O     G E N E R A L    1 0 9</t>
    </r>
  </si>
  <si>
    <t xml:space="preserve">  </t>
  </si>
  <si>
    <t>Productos de cuero y caucho</t>
  </si>
  <si>
    <t>Unidad de Planeamiento</t>
  </si>
  <si>
    <t>0401</t>
  </si>
  <si>
    <t>SUELDO</t>
  </si>
  <si>
    <r>
      <t xml:space="preserve">FUENTE  DE FINANCIAMIENTO:   </t>
    </r>
    <r>
      <rPr>
        <b/>
        <i/>
        <sz val="12"/>
        <color rgb="FFFF0000"/>
        <rFont val="Trebuchet MS"/>
        <family val="2"/>
      </rPr>
      <t xml:space="preserve">     2% F O D E S </t>
    </r>
  </si>
  <si>
    <t>36</t>
  </si>
  <si>
    <t xml:space="preserve">TELECOMUNICACIONES </t>
  </si>
  <si>
    <t>TOTAL INVERSION  FONDO GENERAL   109</t>
  </si>
  <si>
    <t xml:space="preserve">Introducción de energia electrica en diferentes Zonas del Municipio (Convenio de Conversión con DEL SUR) </t>
  </si>
  <si>
    <t>09</t>
  </si>
  <si>
    <t>10</t>
  </si>
  <si>
    <t>11</t>
  </si>
  <si>
    <t>12</t>
  </si>
  <si>
    <t>13</t>
  </si>
  <si>
    <t>14</t>
  </si>
  <si>
    <t>54119</t>
  </si>
  <si>
    <t>Infraestructura Electric</t>
  </si>
  <si>
    <t>VALOR DE DOS REUNIONES</t>
  </si>
  <si>
    <t>SUMINISTRO DE AGUA EN LA CAMARONERA</t>
  </si>
  <si>
    <t>Tito Antonio Cartagena Escobar</t>
  </si>
  <si>
    <t xml:space="preserve">Sindico Municipal </t>
  </si>
  <si>
    <t>Maria Cristina Menjivar de Guerra</t>
  </si>
  <si>
    <t>Auxiliar de Contador</t>
  </si>
  <si>
    <t>Aux.Contabilidad</t>
  </si>
  <si>
    <t xml:space="preserve">Aux, de Catastro </t>
  </si>
  <si>
    <t xml:space="preserve">Jefe de la Unidad de Medio Ambiente </t>
  </si>
  <si>
    <t>Aux, de Medio Ambiente</t>
  </si>
  <si>
    <t xml:space="preserve">Cuentas Corrientes  </t>
  </si>
  <si>
    <t xml:space="preserve">Motorista   </t>
  </si>
  <si>
    <t>INVERSION 2% FODES</t>
  </si>
  <si>
    <t xml:space="preserve">FISDL </t>
  </si>
  <si>
    <t xml:space="preserve">SUB, TOTAL </t>
  </si>
  <si>
    <t>SALDO EN BANCOS AL 31/12/2021  DISPONIBLE DEL  (2% FODES)</t>
  </si>
  <si>
    <t>SALDO EN BANCOS AL 31/12/2021  DISPONIBLE, (FONDO GENERAL 109) COVID-19 TORMENTA TROPICAL AMANDA</t>
  </si>
  <si>
    <t>ASIGNACION  75% FODES, DIC/2021, mas la asignacion que esta pendiente de trasferir</t>
  </si>
  <si>
    <t>DENOMINACIONES</t>
  </si>
  <si>
    <t>Encar de Act Fijo, Archi, Vale de combus y especi  Munic</t>
  </si>
  <si>
    <t xml:space="preserve">Encargada de Fusal </t>
  </si>
  <si>
    <t>DETALLE DE PROYECTOS A EJECUTAR  EN EL AÑO 2022</t>
  </si>
  <si>
    <t xml:space="preserve">Mejora en el Servio de agua potable en diferentes Cantones del Municipio </t>
  </si>
  <si>
    <t>Compra de Terrenos</t>
  </si>
  <si>
    <t>PROYECTOS A EJECUTAR EN 2022</t>
  </si>
  <si>
    <t>120- LIBRE DISPONIBILIDAD</t>
  </si>
  <si>
    <t xml:space="preserve">Talleres de prevención de la violencia para Jóvenes del Municipio de Chiltiupán </t>
  </si>
  <si>
    <t>EMPLEADOS A PAGAR CON 120 LIBRE DISPONIBILIDAD</t>
  </si>
  <si>
    <t xml:space="preserve">Encargado de comunicaciones </t>
  </si>
  <si>
    <t xml:space="preserve">encargado de Fontanero </t>
  </si>
  <si>
    <t xml:space="preserve"> Pagar 2  Mes con Fdo.Mpal</t>
  </si>
  <si>
    <t xml:space="preserve">CUERO Y CAUCHO </t>
  </si>
  <si>
    <t>54106</t>
  </si>
  <si>
    <t>PRODUCTOS DE CUERO Y CAUCHO</t>
  </si>
  <si>
    <t xml:space="preserve">FONDOS PARA INVERSION  120- LIBRE DISPONIBILIDAD </t>
  </si>
  <si>
    <t>PROYECCIÓN DE RECURSOS HUMANO PARA EL AÑO 2022</t>
  </si>
  <si>
    <t>120-LIBRE DISP</t>
  </si>
  <si>
    <t>SUMARIO DE INGRESOS PARA EL AÑO 2022</t>
  </si>
  <si>
    <t>SUMARIO DE EGRESOS PARA EL AÑO 2022</t>
  </si>
  <si>
    <t xml:space="preserve"> PRESUPUESTO MUNICIPAL DEL AÑO  2022</t>
  </si>
  <si>
    <t xml:space="preserve"> PRESUPUESTO MUNICIPAL DE INGRESOS AÑO  2022</t>
  </si>
  <si>
    <t>AÑO 2022</t>
  </si>
  <si>
    <t xml:space="preserve"> PRESUPUESTO MUNICIPAL DE EGRESOS  AÑO 2022</t>
  </si>
  <si>
    <t>PROYECCION DE DISPONIBILIDAD  DE FONDOS PARA EL EJERCICIO 2022</t>
  </si>
  <si>
    <t xml:space="preserve"> Y  DETERMINAR  EL PROMEDIO ESTIMADO DE INGRESOS DEL AÑO  2022</t>
  </si>
  <si>
    <t xml:space="preserve">FONDO GENERAL </t>
  </si>
  <si>
    <t>TITO ANTONIO CARTAGENA ESCOBAR</t>
  </si>
  <si>
    <t>MARIA CRISTINA MENJIVAR DE GUERRA</t>
  </si>
  <si>
    <t>CARLOS ARNOLDO BADIO ARIZA</t>
  </si>
  <si>
    <t xml:space="preserve">ADELA GUADALUPE LIEVANO AGUILAR </t>
  </si>
  <si>
    <t xml:space="preserve">EDUARDO ALEXANDER ALVAREZ ALVARENGA </t>
  </si>
  <si>
    <t xml:space="preserve">BALTAZAR AGUIRRE ECHEVERRIA </t>
  </si>
  <si>
    <t>NATIVIDAD DE JESUS SOLORZANO PALMA</t>
  </si>
  <si>
    <t>JESUS NEFTALY AVALOS AGUILAR</t>
  </si>
  <si>
    <t xml:space="preserve">MARIA SOLIS MORALES </t>
  </si>
  <si>
    <t>120- LIBRE DISPONIBILIDAD GASTOS DE ADMINISTRACION</t>
  </si>
  <si>
    <t xml:space="preserve">120- LIBRE DISPONIBILIDAD </t>
  </si>
  <si>
    <t xml:space="preserve">FODES </t>
  </si>
  <si>
    <t>120- LIBRE DISPONIB, GASTOS DE ADMINISTRACION</t>
  </si>
  <si>
    <t>SALDO DEL BANCOS AL 31/12/2021</t>
  </si>
  <si>
    <t>ESTIMADO DE INGRESOS PROPIOS,  UTILIZANDO, COMO REFERENCIA EL AÑO 2021</t>
  </si>
  <si>
    <t xml:space="preserve">120-LIBRE DISPONIBILIDAD-FONDOS PARA GASTOS DE  ADMINISTRACION.  </t>
  </si>
  <si>
    <t>ASIGNACION, FODES 2022, GASTOS DE ADMINISTRACIOS</t>
  </si>
  <si>
    <t>LISTADO  DE  CUENTAS  BANCARIAS  Y  SUS  SALDOS AL  31  DE  DICIEMBRE  DE  2021</t>
  </si>
  <si>
    <t xml:space="preserve">SALDO EN BANCOS AL 31/12/2021, DEL 25% F O D E S </t>
  </si>
  <si>
    <t xml:space="preserve">SALDO DEL BANCOS AL 31/12/2021,  GASTOS DE ADMINISTRACION </t>
  </si>
  <si>
    <t>SALDO EN BANCOS AL 31/12/2021  DISPONIBLE, EN CUENTA 75% FODES</t>
  </si>
  <si>
    <t xml:space="preserve">GASTOS DE ADMINISTACION </t>
  </si>
  <si>
    <t>120-LIBRE DISPONIBILIDAD</t>
  </si>
  <si>
    <t xml:space="preserve">SALDO EN BANCOS AL 31/12/2021,  120-LIBRE DISPONIBILIDAD </t>
  </si>
  <si>
    <t xml:space="preserve">FONDO GENERAL 75% FODES </t>
  </si>
  <si>
    <t>Creación de Parque Recreativo</t>
  </si>
  <si>
    <t>Fomento al Turismo</t>
  </si>
  <si>
    <t xml:space="preserve">Alumbrado Público </t>
  </si>
  <si>
    <t xml:space="preserve">Celebración de Fiestas Patronales </t>
  </si>
  <si>
    <t>Recolección y disposición final de desechos sólidos</t>
  </si>
  <si>
    <t>Fomento a la Educación</t>
  </si>
  <si>
    <t>Jefe del Departamento Jurídico</t>
  </si>
  <si>
    <t xml:space="preserve">Gestión y Coperación </t>
  </si>
  <si>
    <t xml:space="preserve">Unidad de la Mujer, Niñez y adolescencia </t>
  </si>
  <si>
    <t>Jefe del Departamento Jurídico y Acceso a la Informacón Pública</t>
  </si>
  <si>
    <t>Caja</t>
  </si>
  <si>
    <t xml:space="preserve"> Pagar en  Dic. Con  Gastos de administración Aguinaldo</t>
  </si>
  <si>
    <t>Casetas Telefónicas</t>
  </si>
  <si>
    <t>Aux. contabilidad</t>
  </si>
  <si>
    <t>Unidad de  Medio Ambiente Agricultura y Protección Civil</t>
  </si>
  <si>
    <t>Reparación de Caminos y Ornamento del municipio</t>
  </si>
  <si>
    <t xml:space="preserve">Mejoramiento  de Cementerios  Municipales.     </t>
  </si>
  <si>
    <t xml:space="preserve">Mantenimiento de Cementerio General de Chiltiupán </t>
  </si>
  <si>
    <t>Fomento a la seguridad y prevención de la violencia en las Inst.Municipales Inversiones de proyectos y Participación Ciudadana con el Apoyo de la P.N.C.</t>
  </si>
  <si>
    <t>Carpertas Técnicas Chiltiupán</t>
  </si>
  <si>
    <t>Mantenimiento a la cancha de Fútbol de Julupe, Santa Marta y Taquillo.</t>
  </si>
  <si>
    <t xml:space="preserve">Actualización Catastral </t>
  </si>
  <si>
    <t>HERRAMIENTAS, REPUESTOS Y ACCESORIOS</t>
  </si>
  <si>
    <r>
      <t xml:space="preserve">INFRAESTRUCTURA SOCIAL: </t>
    </r>
    <r>
      <rPr>
        <u/>
        <sz val="16"/>
        <rFont val="Arial"/>
        <family val="2"/>
      </rPr>
      <t>DETALLE DE PROYECTOS A EJECUTAR CORRESPONDIENTES AL 2022</t>
    </r>
  </si>
  <si>
    <t xml:space="preserve">SECTOR: INFRAESTRUCTURA SOCIAL </t>
  </si>
  <si>
    <t>PROYECTO: MEJORAMIENTO DE CEMENTERIOS MUNICIPALES</t>
  </si>
  <si>
    <t>INDICADOR: CANTIDAD DE PERSONAS SATISFECHAS CON LAS MEJORAS</t>
  </si>
  <si>
    <t>FECHA DE INICIO/FINALIZACION : 01/01/2022 - 31/12/2022</t>
  </si>
  <si>
    <t>Servicios de capacitación</t>
  </si>
  <si>
    <t>Productos alimenticios para personas</t>
  </si>
  <si>
    <t xml:space="preserve">PROGRAMA: COMITÉ LOCAL DE DERECHOS DE LA NIÑEZ Y LA ADOLECENCIA </t>
  </si>
  <si>
    <t>META: VELAR Y GARANTIZAR QUE LOS DERECHOS DE LA NIÑEZ Y LA ADOLESCENCIA SE CUMPLAN Y SEAN RESPETADOS.</t>
  </si>
  <si>
    <t>INDICADOR: NIÑOS BENEFICIADOS POR PROYECTOS QUE CUIDEN SU INTEGRIDAD.</t>
  </si>
  <si>
    <t>PROYECTO: PLAN ANUAL DEL COMITÉ LOCAL DE DERECHOS DE LA NIÑEZ Y LA ADOLECENCIA</t>
  </si>
  <si>
    <t xml:space="preserve">Plan Anual del comité local de derechos de la Niñez y Adolecencia  </t>
  </si>
  <si>
    <t>SUELDO DE ENE- DIC, 2022</t>
  </si>
  <si>
    <t>Aguinaldos</t>
  </si>
  <si>
    <t>Materiales de Defensa y Seguridad Pública.</t>
  </si>
  <si>
    <t>COTIZACIONES</t>
  </si>
  <si>
    <t>VALOR DE BONIFICACION</t>
  </si>
  <si>
    <t xml:space="preserve">PROYECTO: FOMENTO A LA EDUCACIÓN </t>
  </si>
  <si>
    <t>INDICADOR: AUMENTO DE TURISTAS AL MUNICIPIO.</t>
  </si>
  <si>
    <t>DESCRIPCION</t>
  </si>
  <si>
    <t>Día</t>
  </si>
  <si>
    <t xml:space="preserve">6- Barrenderos, 4- en la zona urbana y 2-En cantón el Zonte a $12.00 el día </t>
  </si>
  <si>
    <t>PROYECTO: CELEBRACIÓN DE FIESTA PATRONALES</t>
  </si>
  <si>
    <t xml:space="preserve">Construccion de muros de Retención en la Zona Urbana </t>
  </si>
  <si>
    <t>Fomento al Deporte</t>
  </si>
  <si>
    <t>PROYECTO: MANTENIMIENTO A LA  CANCHA DE FUTBOL EL BAMBÚ</t>
  </si>
  <si>
    <t>Servicio de Agua</t>
  </si>
  <si>
    <t>Productos Químicos</t>
  </si>
  <si>
    <t>INDICADOR: CANTIDAD DE PERSONAS QUE HACEN USO DE LA CANCHA.</t>
  </si>
  <si>
    <t>Materiales Eléctricos</t>
  </si>
  <si>
    <t>PROYECTO: FOMENTO AL DEPORTE</t>
  </si>
  <si>
    <t>PROGRAMA: FOMENTO AL TURISMO</t>
  </si>
  <si>
    <t>A Personas Naturales</t>
  </si>
  <si>
    <t>Casa de Encuentro Juvenil de Chiltiupán</t>
  </si>
  <si>
    <t>Arrendamiento de Bienes Inmuebles</t>
  </si>
  <si>
    <t>Derechos de Propiedad Intelectual</t>
  </si>
  <si>
    <t>Servicios de Capacitación</t>
  </si>
  <si>
    <t>Bienes de Uso y Consumo Diverso</t>
  </si>
  <si>
    <t>PROYECTO: FOMENTO AL TURISMO</t>
  </si>
  <si>
    <t>Minerales no Metálicos y Productos Derivados</t>
  </si>
  <si>
    <t>Servicios de Publicidad</t>
  </si>
  <si>
    <t>REABILITACION DE CALLE EN FINAL PASAJE LAS PACAYAS (DECRETO 728)</t>
  </si>
  <si>
    <t>CONSTRUCCION DE PUENTE EN COLONIA EL ESPIRITU SANTOO, CANTON EL ZONTE (DECRETO 728)</t>
  </si>
  <si>
    <t>MEJORAMIENTO DE CALLE PRINCIPAL DE CACERIO EL PROGRESO, MUNICIPIO DE CHILTIUPAN</t>
  </si>
  <si>
    <t>CONSTRUCCION DE PUENTE PASARELA EN PASAJE LOS PINEDA (DECRETO 728)</t>
  </si>
  <si>
    <t>MEJORAMIENTO DE CALLE PRINCIPAL DE CACERIO RIO MAR (DECRETO 728)</t>
  </si>
  <si>
    <t>REHABILITACION DE CALLE PRINCIPAL CANTON SIBERIA</t>
  </si>
  <si>
    <t xml:space="preserve">PROYECTOS DIVERSOS </t>
  </si>
  <si>
    <t>ALUMBRADO PUBLICO 2021</t>
  </si>
  <si>
    <t>FOMENTO AL TURISMO 2021</t>
  </si>
  <si>
    <t>UNIDAD DE MEDIO AMBIENTE</t>
  </si>
  <si>
    <t>FOMENTO A LA EDUCACION</t>
  </si>
  <si>
    <t>MANTENIMIENTO A LA CANCHA DE FUTBOL EL BAMBU 2021</t>
  </si>
  <si>
    <t>GASTOS PRE-INVERSION 5% FODES</t>
  </si>
  <si>
    <t>PLAN ANUAL DEL COMITÉ LOCAL DE DERECHOS DE LA NIÑEZ Y ADOLESCENCIA</t>
  </si>
  <si>
    <t>FOMENTO A LA SEGURIDAD Y PREVENCION A LA VIOLENCIA N LAS INSTALACIONES MUNICIPALES INVERSIONES DE PROYECTOS Y PARTICIPACION CIUDADANA CON EL APOYO DE LA PNC</t>
  </si>
  <si>
    <t>ACTIALIZACION DE CATASTRO 2021</t>
  </si>
  <si>
    <t>SALDO PENDIENTE DE TRANSFERIR DE AÑOS ANTERIORES</t>
  </si>
  <si>
    <t xml:space="preserve"> TOTAL  GENERAL</t>
  </si>
  <si>
    <t>TOTAL GENERAL</t>
  </si>
  <si>
    <t>120</t>
  </si>
  <si>
    <t>6</t>
  </si>
  <si>
    <t xml:space="preserve">Pagar  12  Meses con la 120 libre disponibilidad             </t>
  </si>
  <si>
    <t>Pagar  12  Meses con la 120 libre disponibilidad</t>
  </si>
  <si>
    <t>PROYECTO: COMPRA DE TERRENOS</t>
  </si>
  <si>
    <t>PROGRAMA: CASA DE ENCUENTRO JUVENIL</t>
  </si>
  <si>
    <r>
      <t xml:space="preserve">FUENTE O SUBFUENTE DE FINANCIAMIENTO:   </t>
    </r>
    <r>
      <rPr>
        <b/>
        <i/>
        <sz val="12"/>
        <color theme="0"/>
        <rFont val="Trebuchet MS"/>
        <family val="2"/>
      </rPr>
      <t xml:space="preserve"> 120- LIBRE DISPONIBLIDAD </t>
    </r>
  </si>
  <si>
    <t>COMBUSTIBLE Y LUBRICANTE</t>
  </si>
  <si>
    <t>MAQUINARIA Y EQUIPO PARA LA PRODUCCION</t>
  </si>
  <si>
    <t xml:space="preserve">Materiales informáticos </t>
  </si>
  <si>
    <t>Materiales de oficina</t>
  </si>
  <si>
    <t xml:space="preserve">ARENDAMIENTO DE BIENES MUEBLES </t>
  </si>
  <si>
    <t>6- 01-  01-  1-      GASTOS DE ADMINISTRACION   120 FODES</t>
  </si>
  <si>
    <t>61109</t>
  </si>
  <si>
    <t xml:space="preserve">6-01-01-1-120 Desarrollo Económico FODES </t>
  </si>
  <si>
    <t>De los nombramientos de Funcionarios y Empleados y otros compromisos</t>
  </si>
  <si>
    <r>
      <t>a)</t>
    </r>
    <r>
      <rPr>
        <sz val="10"/>
        <rFont val="Arial"/>
        <family val="2"/>
      </rPr>
      <t xml:space="preserve">        Ninguna persona tomará posesión de su cargo, si no ha sido </t>
    </r>
    <r>
      <rPr>
        <b/>
        <u/>
        <sz val="10"/>
        <rFont val="Arial"/>
        <family val="2"/>
      </rPr>
      <t xml:space="preserve">nombrada </t>
    </r>
    <r>
      <rPr>
        <u/>
        <sz val="10"/>
        <rFont val="Arial"/>
        <family val="2"/>
      </rPr>
      <t>o</t>
    </r>
    <r>
      <rPr>
        <b/>
        <u/>
        <sz val="10"/>
        <rFont val="Arial"/>
        <family val="2"/>
      </rPr>
      <t xml:space="preserve"> contratada</t>
    </r>
    <r>
      <rPr>
        <b/>
        <sz val="10"/>
        <rFont val="Arial"/>
        <family val="2"/>
      </rPr>
      <t xml:space="preserve"> </t>
    </r>
    <r>
      <rPr>
        <sz val="10"/>
        <rFont val="Arial"/>
        <family val="2"/>
      </rPr>
      <t>formalmente.</t>
    </r>
  </si>
  <si>
    <r>
      <t>b)</t>
    </r>
    <r>
      <rPr>
        <sz val="10"/>
        <rFont val="Arial"/>
        <family val="2"/>
      </rPr>
      <t>        Se entenderá que una persona ha tomado posesión de su cargo, cuando asuma los deberes y responsabilidades del mismo; y que deja de ocuparlo, en el momento en que cesa de cumplir sus deberes y de incurrir en responsabilidades con relación a su puesto oficial.</t>
    </r>
  </si>
  <si>
    <r>
      <t>d)</t>
    </r>
    <r>
      <rPr>
        <sz val="10"/>
        <rFont val="Arial"/>
        <family val="2"/>
      </rPr>
      <t>        El funcionario que ordenare y el que diere posesión incumpliendo las condiciones expresadas en el literal   anterior, responderá solidariamente con el nombrado por toda pérdida de bienes que sufra la Entidad, en el período de la fecha de  toma de posesión incorrecta, y el de la a autorización de la toma de posesión legal, por no haber  exigido  la Fianza de Fidelidad  a satisfacción de la expresada Municipalidad.</t>
    </r>
  </si>
  <si>
    <r>
      <t>e)</t>
    </r>
    <r>
      <rPr>
        <sz val="10"/>
        <rFont val="Arial"/>
        <family val="2"/>
      </rPr>
      <t>        Por regla general se entenderá que el acuerdo por el cual se separa a una persona de determinado empleo, da fin a las relaciones jurídicas existentes entre la entidad y el empleado, mas si se trata de cargos que por su índole especial no pueden permanecer vacantes, sin causar perjuicios a la Administración, dichas relaciones subsistirán mientras no se presente a tomar posesión el sustituto designado legalmente, en cuyo caso debe tenerse como en posesión legal de su cargo el empleado saliente.</t>
    </r>
  </si>
  <si>
    <r>
      <t>f)</t>
    </r>
    <r>
      <rPr>
        <sz val="10"/>
        <rFont val="Arial"/>
        <family val="2"/>
      </rPr>
      <t xml:space="preserve">        Las remuneraciones basadas en contratos se podrán pagar por medio de planillas en la misma fecha en que se efectúe el pago de los salarios del personal permanente. </t>
    </r>
  </si>
  <si>
    <r>
      <t>g)</t>
    </r>
    <r>
      <rPr>
        <sz val="10"/>
        <rFont val="Arial"/>
        <family val="2"/>
      </rPr>
      <t>          Los contratos a que se refiere este Artículo no podrán firmarse por períodos que excedan del 31 de diciembre de cada año; pero cuando las necesidades del servicio lo exijan podrán prorrogarse sólo por dos meses mientras se suscribe el nuevo contrato, de ser necesario.</t>
    </r>
  </si>
  <si>
    <r>
      <t>h) </t>
    </r>
    <r>
      <rPr>
        <sz val="10"/>
        <rFont val="Arial"/>
        <family val="2"/>
      </rPr>
      <t>      Las personas contratadas gozarán de las prestaciones laborales  de ley, excepto la  licencia por beca: en este caso, será necesario que los contratados favorecidos con becas, tengan por lo menos seis meses consecutivos  de trabajar para la entidad.</t>
    </r>
  </si>
  <si>
    <r>
      <t>a)</t>
    </r>
    <r>
      <rPr>
        <sz val="10"/>
        <rFont val="Arial"/>
        <family val="2"/>
      </rPr>
      <t>        Que sean de carácter profesional o técnico y no de índole administrativa;</t>
    </r>
  </si>
  <si>
    <r>
      <t>b)</t>
    </r>
    <r>
      <rPr>
        <sz val="10"/>
        <rFont val="Arial"/>
        <family val="2"/>
      </rPr>
      <t>        Que las labores a desempeñar por el contratista sean propias de su profesión o técnica; y</t>
    </r>
  </si>
  <si>
    <r>
      <t>c)</t>
    </r>
    <r>
      <rPr>
        <sz val="10"/>
        <rFont val="Arial"/>
        <family val="2"/>
      </rPr>
      <t>        Que aún cuando sean de carácter profesional o técnico no constituyan una actividad regular y continua dentro de la entidad contratante.</t>
    </r>
  </si>
  <si>
    <t>Art. 3.- Las presentes disposiciones constituyen las normas complementarias para ordenar y enmarcar la ejecución del Presupuesto Municipal; las cuales se aplicarán a todas las operaciones relacionadas con los ingresos y egresos de esta Municipalidad, que estarán bajo la responsabilidad de las unidades  designadas para tal propósito, actuando cada una dentro del área de su competencia.</t>
  </si>
  <si>
    <r>
      <t xml:space="preserve">EL PRESUPUESTO MUNICIPAL, </t>
    </r>
    <r>
      <rPr>
        <sz val="10"/>
        <rFont val="Arial"/>
        <family val="2"/>
      </rPr>
      <t>para el ejercicio</t>
    </r>
    <r>
      <rPr>
        <b/>
        <sz val="10"/>
        <rFont val="Arial"/>
        <family val="2"/>
      </rPr>
      <t xml:space="preserve"> </t>
    </r>
    <r>
      <rPr>
        <sz val="10"/>
        <rFont val="Arial"/>
        <family val="2"/>
      </rPr>
      <t>que inicia el uno de enero y finaliza el treinta y uno de diciembre del año dos mil Veintidós, así:</t>
    </r>
  </si>
  <si>
    <t>Art. 4.- El registro y control de la ejecución del presente Presupuesto se realizará a través del Sistema de Administración Financiera Municipal. (SAFIM) implementado por la Dirección General de Contabilidad Gubernamental del Ministerio de Hacienda, a partir del 1° enero 2022,  atendiendo la normativa y las disposiciones  legales aplicables, para satisfacer las necesidades de información y documentación  de las operaciones y facilitar el  control que ejercerán tanto la auditoria Interna, así  como de la Corte de Cuentas de la República.</t>
  </si>
  <si>
    <t>Art. 8.- Las asignaciones deberán ser utilizadas en la forma  que las haya aprobado  el Concejo Municipal.  Cada asignación deberá estar disponible solo durante el ejercicio fiscal a que corresponda, y se utilizará únicamente para los propósitos y hasta por la cantidad indicada, excepto cuando la asignación haya sido modificada por decretos legalmente aprobados.</t>
  </si>
  <si>
    <t>Art. 10- La cantidad autorizada para una obra, trabajo o servicio es una limitación al gasto; pero no deberá utilizarse necesariamente el total autorizado.  Los sobrantes de autorizaciones de gastos no podrán invertirse en otras obras, trabajos o servicios, sin la  previa autorización respectiva.</t>
  </si>
  <si>
    <t>Art. 14- El gasto ilegal hace responsables a los Miembros del Concejo Municipal que lo aprobaren, por el pago indebido.  El responsable de la Contabilidad, participará de la misma responsabilidad, cuando fuere por insuficiencia de crédito presupuestario o aplicación indebida de la asignación de presupuesto.</t>
  </si>
  <si>
    <t>Art. 16- Para los créditos comprendidos con cargo al presupuesto que al treinta y uno de Diciembre se encuentren pendientes de pago, deberán estar constituidas y aprobadas sus reservas de créditos. La entidad deberá liquidar el presupuesto para determinarla situación financiera del ejercicio finalizado.</t>
  </si>
  <si>
    <t>Art.18- Se prohíbe al tesorero prestar o anticipar cualquier cantidad de los fondos municipales u otros valores, así como darles un destino diferente al servicio municipal, salvo los casos previsto por la ley.</t>
  </si>
  <si>
    <t>La contravención a lo dispuesto en el inciso anterior constituye delito de malversación de caudales públicos y será juzgado el infractor con arreglo al código penal, suspendiéndose por el mismo hecho del ejercicio de su mismo cargo o empleo. La suspensión será ordenada por el consejo municipal.</t>
  </si>
  <si>
    <t xml:space="preserve">Art. 19- Todos los recibos o documentos deberán estar firmados por los recipientes, Las personas que no puedan firmar, deberán dejar  estampada la huella digital, y deberá firmar otra persona  a ruego de este. </t>
  </si>
  <si>
    <t xml:space="preserve">Art.21- Lo corresponde al Consejo Municipal autorizar la devolución de rentas recaudadas indebidamente, depósitos y además fondos ajenos en custodia </t>
  </si>
  <si>
    <t>Art. 22- Cuando se trate de pagos a favor de personas fallecidas, los documentos de egresos deberán ser firmados por el beneficiario en el caso de haberlo designado con anterioridad por el heredero o herederos que comprueben tal calidad.</t>
  </si>
  <si>
    <t>Sin embargo cuando las cantidades que deban pagarse no excedieran de un salario mínimo si no hubiere beneficiario designado o herederos declarados, el alcalde comprobara por otros medios legales de prueba. Y mediante resolución determinará la o las personas beneficiarias, para los efectos de legalización y pago, en el orden que sea necesario.</t>
  </si>
  <si>
    <t>Igual procedimiento se observará cuando la persona deba firmar el documento de pago estuviere incapacitada mentalmente para hacerlo.</t>
  </si>
  <si>
    <t>Art.23- Los funcionarios y empleados municipales gozaran de asuetos, vacaciones y licencias en forma que establece la ley de asuetos, vacaciones y licencia de los empleados públicos; así como también, el día del empleado Municipal, y de los días de asuetos, vacaciones y licencia que en el curso del año acuerde la municipalidad por circunstancias especiales.</t>
  </si>
  <si>
    <t xml:space="preserve">los funcionarios o empleados que por circunstancias de trabajo no puedan gozar de vacación en los periodos mencionados, gozaran de quince días de vacación anual remunerada, por cada año de servicio. Esta vacación no podrá compensarse en dinero y la obligación de la municipalidad de darla corresponde la del trabajador de tomarla. </t>
  </si>
  <si>
    <t xml:space="preserve">Art.24- Se podrá autorizar subsidio para funerales de los empleados  que fallezcan, cuando se encuentren prestando sus servicios a la municipalidad, siendo extensiva esta disposición a los familiares de los mismos empleados hasta el cuarto grado de consanguinidad y segundo de afinidad, cuando ellos sean dependiente de éste. </t>
  </si>
  <si>
    <t>La persona Encargada del Fondo Circulante podrá hacer pagos de gastos señalados en el inciso primero de este Artículo, contra recibos o facturas firmados por los recipientes y autorizados por el ordenador de pagos que designare El Concejo Municipal.</t>
  </si>
  <si>
    <r>
      <t>c)</t>
    </r>
    <r>
      <rPr>
        <sz val="10"/>
        <rFont val="Arial"/>
        <family val="2"/>
      </rPr>
      <t>        El Alcalde o funcionario designado al efecto, no dará posesión de su cargo a funcionarios o empleados que estando  obligados  por tener  la  custodia de  Fondos Públicos , no hayan presentado F</t>
    </r>
    <r>
      <rPr>
        <b/>
        <sz val="10"/>
        <rFont val="Arial"/>
        <family val="2"/>
      </rPr>
      <t>ianza  de Fidelidad</t>
    </r>
    <r>
      <rPr>
        <sz val="10"/>
        <rFont val="Arial"/>
        <family val="2"/>
      </rPr>
      <t xml:space="preserve"> a satisfacción de la Municipalidad.</t>
    </r>
  </si>
  <si>
    <t>Art. 32.- Todo funcionario o empleado encargado de recibir, custodiar o pagar bienes o valores municipales o cuyas atribuciones permitan o exijan su tenencia, será responsable de dolo o culpa, por la pérdida, daño, abuso, empleo o pago ilegal de ellos.  En consecuencia, será obligatoria la formulación de  inventarios parciales.</t>
  </si>
  <si>
    <t>Art. 25- Con el objeto de atender gastos de menor cuantía o de carácter urgente se crea el Fondo Circulante hasta por la cantidad de: QUINIENTOS 00/100 DOLARES ($ 500.00), que servirá para la compra de materiales de oficina, informáticos, libros, útiles de enseñanza, publicaciones, herramientas, repuestos, accesorios, materiales eléctricos, bienes de uso y consumo diversos, servicios de correo, pasajes al interior, viáticos por comisiones interna, mantenimientos y reparaciones de bienes muebles e inmuebles, mantenimientos y reparaciones de vehículos, impresiones, publicaciones y reproducciones, atenciones sociales, etc. Cuyo monto no exceda de  treinta y cinco  dólares  $35.00.</t>
  </si>
  <si>
    <t>Chiltiupán a  Ciudad Puerto La Libertad</t>
  </si>
  <si>
    <t>Chiltiupán  a Santa Tecla - San Salvador</t>
  </si>
  <si>
    <t>Chiltiupán,  otros lugares no especificados</t>
  </si>
  <si>
    <t>Chiltiupán  a Cantón  Taquillo</t>
  </si>
  <si>
    <t>Chiltiupán - Puerto de la Libertad, ( Motorista de camión recolector de desechos solidos)</t>
  </si>
  <si>
    <t>Art. 34.-En el ejercicio 2022 Los miembros del Concejo Municipal,  que asistan a las reuniones mensuales a las que previamente sean convocados, tendrán derecho al cobro de una Dieta por cada reunión    así:      Regidor   Propietario  $360.00 Dólares    y   Regidor  Suplente     $ 280.00  dólares.  Y  serán remuneradas  solo  dos ( 2) sesiones  por mes,  de  Enero a Mayo, en el mes de  Junio, abran cuatro reuniones remuneradas. de Julio a Noviembre abran dos reuniones remuneradas y en  Diciembre cuatro reuniones remuneradas.</t>
  </si>
  <si>
    <t>Art. 36 .- El presente decreto entrará en vigencia a partir del día  uno  de    Enero del año dos mil veintidós.</t>
  </si>
  <si>
    <t>(En Dólares de los Estados Unidos de América)</t>
  </si>
  <si>
    <t>Expedición de documentos de identifica.</t>
  </si>
  <si>
    <t>Denominación</t>
  </si>
  <si>
    <t>Carlos Arnoldo Badío Ariza</t>
  </si>
  <si>
    <t>Adela Guadalupe Liévano Aguilar</t>
  </si>
  <si>
    <t>Eduardo Alexander Álvarez Alvarenga</t>
  </si>
  <si>
    <t>Natividad de Jesús Solorzano Palma</t>
  </si>
  <si>
    <t xml:space="preserve">Israel García Valladares </t>
  </si>
  <si>
    <t xml:space="preserve">Jesús Neftalí Avalos Aguilar </t>
  </si>
  <si>
    <t xml:space="preserve">María Solís Morales </t>
  </si>
  <si>
    <t>Cargos por remuneración de trabajos eventuales.</t>
  </si>
  <si>
    <t>Mantenimiento de Limpieza y chapeo  a los cementerios de Municipal de Chiltiupán y cementerio de Siberia, el cementerio de Julupe, pagándole $12.00 dólares cada día</t>
  </si>
  <si>
    <t xml:space="preserve">Mantenimiento y chapeo en dos veces al año, de la Finca la Veranera, y la Finca el Rosario pagándoles $12.00, dólares cada día </t>
  </si>
  <si>
    <t>(1) Área de Gestión</t>
  </si>
  <si>
    <t>(3) Línea de Trabajo</t>
  </si>
  <si>
    <r>
      <t xml:space="preserve">FUENTE O SUBFUENTE DE FINANCIAMIENTO:    </t>
    </r>
    <r>
      <rPr>
        <b/>
        <i/>
        <sz val="14"/>
        <color theme="0"/>
        <rFont val="Trebuchet MS"/>
        <family val="2"/>
      </rPr>
      <t xml:space="preserve"> RECURSOS PROPIOS</t>
    </r>
  </si>
  <si>
    <t xml:space="preserve"> PRESUPUESTO MUNICIPAL DE EGRESOS  AÑO   2022</t>
  </si>
  <si>
    <t>Multas por Registro Civil</t>
  </si>
  <si>
    <t>Este  es el monto que se espera  recaudar en el año 2021</t>
  </si>
  <si>
    <t>FODES - FF1</t>
  </si>
  <si>
    <t>0101 Dirección Superior</t>
  </si>
  <si>
    <t>0201  servicios Institucionales</t>
  </si>
  <si>
    <t>(5) Subcuenta de Financiamiento</t>
  </si>
  <si>
    <t xml:space="preserve">Materiales no Metálicos </t>
  </si>
  <si>
    <t xml:space="preserve">Minerales Metálicos </t>
  </si>
  <si>
    <t>Supervisión de Infraestructura</t>
  </si>
  <si>
    <t xml:space="preserve">Minerales no Metálicos y productos Derivados </t>
  </si>
  <si>
    <t>Minerales Metálicos y productos Derivados</t>
  </si>
  <si>
    <t>Productos Agropecuarios Forestales</t>
  </si>
  <si>
    <t xml:space="preserve">Materiales Eléctricos </t>
  </si>
  <si>
    <t>Servicios de Energía Eléctrica</t>
  </si>
  <si>
    <t>Monto. y  Reparaciones Vehículos</t>
  </si>
  <si>
    <t>Llantas y Neumáticos</t>
  </si>
  <si>
    <t>4- Recolectores de basura, $12.00 al día x cinco  días a la semana.</t>
  </si>
  <si>
    <t>Equipos Informáticos.</t>
  </si>
  <si>
    <t xml:space="preserve">Herramienta, y accesorios </t>
  </si>
  <si>
    <t>Energía Eléctrica</t>
  </si>
  <si>
    <t>Mantenimiento y Reparación de Bienes Inmuebles</t>
  </si>
  <si>
    <t>Impresiones y publicaciones y Reproducciones</t>
  </si>
  <si>
    <t>Viáticos por comisión interna</t>
  </si>
  <si>
    <t>Impresiones publicaciones y Reproducciones</t>
  </si>
  <si>
    <t>Supervisión de Infraestructuras.</t>
  </si>
  <si>
    <t xml:space="preserve">Productos Químicos </t>
  </si>
  <si>
    <t xml:space="preserve">Materiales Metálicos </t>
  </si>
  <si>
    <t>INDICADOR: PORCENTAJE DE CASOS DE VIOLENCIA RESUELTOS PARA LAS MUJERES DEL MUNICIPIO</t>
  </si>
  <si>
    <t>PROGRAMA: FOMENTO AL DEPORTE</t>
  </si>
  <si>
    <t>INDICADOR: CANTIDAD DE HOGARES BENEFICIADOS CON EL SERVICIO</t>
  </si>
  <si>
    <t>PROGRAMA: PLAN ANUAL UNIDAD DE LA MUJER</t>
  </si>
  <si>
    <t>TOTAL DE PROYECTOS</t>
  </si>
  <si>
    <t xml:space="preserve">0401  inversión  </t>
  </si>
  <si>
    <t>A Gestión</t>
  </si>
  <si>
    <r>
      <t xml:space="preserve">DISPONIBLIDAD AL 31/12/21 según </t>
    </r>
    <r>
      <rPr>
        <sz val="12"/>
        <color theme="0"/>
        <rFont val="Cambria"/>
        <family val="1"/>
        <scheme val="major"/>
      </rPr>
      <t>E</t>
    </r>
    <r>
      <rPr>
        <b/>
        <sz val="12"/>
        <color theme="0"/>
        <rFont val="Cambria"/>
        <family val="1"/>
        <scheme val="major"/>
      </rPr>
      <t xml:space="preserve">stados de </t>
    </r>
    <r>
      <rPr>
        <sz val="12"/>
        <color theme="0"/>
        <rFont val="Cambria"/>
        <family val="1"/>
        <scheme val="major"/>
      </rPr>
      <t>C</t>
    </r>
    <r>
      <rPr>
        <b/>
        <sz val="12"/>
        <color theme="0"/>
        <rFont val="Cambria"/>
        <family val="1"/>
        <scheme val="major"/>
      </rPr>
      <t>ta..</t>
    </r>
  </si>
  <si>
    <t>1-Los servicios de vigilancia del cementerio Municipal se contratara a una persona pagándole $12.00. dólares cada día durante todo el año.</t>
  </si>
  <si>
    <t xml:space="preserve">PAULA PALMA DE DE LEON </t>
  </si>
  <si>
    <t>RAFAEL EDGAR IRAHETA NAVIDAD</t>
  </si>
  <si>
    <t>SÍNDICA MUNICIPAL</t>
  </si>
  <si>
    <t>SEGUNDO REGIDOR</t>
  </si>
  <si>
    <t xml:space="preserve">CONCEPTO </t>
  </si>
  <si>
    <t>FECHA</t>
  </si>
  <si>
    <t>NOMBRE DE PROYECTO</t>
  </si>
  <si>
    <t>GASTOS DE ALCALDIA FEBRERO</t>
  </si>
  <si>
    <t>MONTO</t>
  </si>
  <si>
    <t xml:space="preserve">   </t>
  </si>
  <si>
    <t xml:space="preserve"> CUARTO REGIDOR</t>
  </si>
  <si>
    <t xml:space="preserve">ISRAEL GARCIA VALLADARES </t>
  </si>
  <si>
    <t>Chiltiupán  a Cantones, Julupe, el Zonte, Regadillo</t>
  </si>
  <si>
    <t>LIMPIEZA DE   CALLES</t>
  </si>
  <si>
    <t>SEGUNDO REGIDOR SUPLENTE</t>
  </si>
  <si>
    <t>DADO EN LA ALCALDIA MUNICIPAL DE CHILTIUPÁN, DEPARTAMENTO DE LA LIBERTAD, EL DIA DIECISEIS DE DICIEMBRE DE DOS MIL VEINTIUNO</t>
  </si>
  <si>
    <t>Unidad de la Mujer</t>
  </si>
  <si>
    <t xml:space="preserve">Promoción Social </t>
  </si>
  <si>
    <t>Pagar Bono en Junio de  FODES 120 Libre Disponibilidad</t>
  </si>
  <si>
    <t xml:space="preserve">Pagar aguinaldo con Fondos Propios </t>
  </si>
  <si>
    <t>(2) Unidd Presupuestaria</t>
  </si>
  <si>
    <t xml:space="preserve">Bienes y uso Consumo Diversos </t>
  </si>
  <si>
    <t>Transporte y Fletes</t>
  </si>
  <si>
    <t>Supervición de Infraestructura</t>
  </si>
  <si>
    <t>Paula Palma de De León</t>
  </si>
  <si>
    <t>Rafael Edgar Iraheta Navidad</t>
  </si>
  <si>
    <t>LINEA DE TRABAJO: 0101 SERVICIOS EXTERNOS</t>
  </si>
  <si>
    <t>4- Para el pago del suministro de agua, se asignará a una persona para el Cantón Taquillo y otro en La Camaronera y para el Cantón las Flores y otro en caserío Corinto pagándole a $12.00. dólares cada día.</t>
  </si>
  <si>
    <t>CHAPEO DE CEMENTERIOS Y DE LAS FINCAS</t>
  </si>
  <si>
    <t>Remuneración por trabajos eventuales</t>
  </si>
  <si>
    <t>SISTEMA REMUNERACIÓN</t>
  </si>
  <si>
    <t>EN EL MES DE JUNIO DOS REUNIONES EXTRAORDINARIAS</t>
  </si>
  <si>
    <t>EN EL MES DE DICIEMBRE DOS REUNIONES  EXTRAORDINARIAS</t>
  </si>
  <si>
    <t>PROYECTO: INTRODUCCIÓN DE AGUA POTABLE EN DIFERENTES CANTONES DEL MUNICIPIO</t>
  </si>
  <si>
    <t>Art. 13- Para los efectos de la ejecución y control de este presupuesto, se entenderán por gastos fijos, aquellos que se pagan por duodécima parte, correspondiendo una parte a cada mes, tales como los sueldos de empleados permanentes, dietas, aportaciones patronales a Instituciones de seguridad públicas y privadas, alquileres de inmuebles, servicios de energía eléctrica, agua potable, comunicaciones y otras contribuciones fijas, Etc.</t>
  </si>
  <si>
    <t>VIÁTICOS</t>
  </si>
  <si>
    <t>TRANSPORTE</t>
  </si>
  <si>
    <t>PROYECTO: ALUMBRADO PÚBLICO</t>
  </si>
  <si>
    <t xml:space="preserve">PROYECTO: ALUMBRADO PÚBLICO </t>
  </si>
  <si>
    <t xml:space="preserve">Compra de Materiales Eléctricos </t>
  </si>
  <si>
    <t>PROGRAMA: ACTUALIZACIÓN CATASTRAL</t>
  </si>
  <si>
    <t xml:space="preserve">SECTOR: INVERSIÓN SOCIAL </t>
  </si>
  <si>
    <t>FECHA DE INICIO/FINALIZACIÓN : 01/01/2022 - 31/12/2022</t>
  </si>
  <si>
    <t>INDICADOR: AUMENTO DE lA RECAUDACIÓN POR MES.</t>
  </si>
  <si>
    <t xml:space="preserve">NATURALEZA: PROYECTO DE INVERSIÓN SOCIAL </t>
  </si>
  <si>
    <t xml:space="preserve">PROYECTO: UNIDAD DE LA MUJER </t>
  </si>
  <si>
    <t>PRESUPUESTO MUNICIPAL DE INVERSIÓN POR ESTRUCTURA PRESUPUESTARIA</t>
  </si>
  <si>
    <t>PROGRAMA: FOMENTO A LA EDUCACIÓN</t>
  </si>
  <si>
    <t>Contribuciones Patronales de Instituciones de Seguridad Pública.</t>
  </si>
  <si>
    <t>INDICADOR: CANTIDAD DE NIÑOS Y JÓVENES QUE HACEN USO DE LOS RECURSOS BRINDADOS POR LA CASA DE ENCUENTRO JUVENIL</t>
  </si>
  <si>
    <t>INDICADOR: PORCENTAJE DE LA POBLACIÓN QUE HACE USO DEL PARQUE.</t>
  </si>
  <si>
    <t>Mantenimiento a la cancha de fútbol el bambú</t>
  </si>
  <si>
    <t>Concentración de la proyección de Recursos Humanos para el Año 2022</t>
  </si>
  <si>
    <t>ALCALDIA MUNCIPAL DE CHILTIUPÁN</t>
  </si>
  <si>
    <t xml:space="preserve"> 0202       Servicios externos</t>
  </si>
  <si>
    <t xml:space="preserve"> 0201  Servicios Institucionales</t>
  </si>
  <si>
    <t xml:space="preserve">  0101  Dirección y Administración Municipal</t>
  </si>
  <si>
    <t>Nota: La diferencia  entre la Proyección y la Concentración de recursos humanos, se da por el redondeo a la decena superior para efectos de presupuesto.</t>
  </si>
  <si>
    <t xml:space="preserve">NATURALEZA: PROYECTO DE INVERSIÓN ECONÓMICA  </t>
  </si>
  <si>
    <t>INDICADOR: AUMENTO DE HOGARES BENEFICIADOS CON EL VITAL LÍQUIDO</t>
  </si>
  <si>
    <t>PROYECTO: MEJORA EN EL SERVICIO DE AGUA POTABLE EN DIFERENTES CANTONES DEL MUNICIPIO</t>
  </si>
  <si>
    <t>SECTOR: ECONÓMICO</t>
  </si>
  <si>
    <t>Distribución del gasto presupuestado en personal, por líneas de trabajo, y por fuente de recursos</t>
  </si>
  <si>
    <t>Sumatoria de  de Y entre 5 años</t>
  </si>
  <si>
    <t>Sumatoria de XY entre 10, 10 es un factor ya definido para esta fórmula</t>
  </si>
  <si>
    <t>Será el incremento a cada  objeto específico de los ingresos del año 2022</t>
  </si>
  <si>
    <t>Y= Ingresos  del año 2021,proyectado</t>
  </si>
  <si>
    <t>Esto es  el  producto de  a  y  b</t>
  </si>
  <si>
    <t>Fórmula =  a+bx</t>
  </si>
  <si>
    <t xml:space="preserve">Nota: para efectos de  preparación del  presupuesto, se  utilizó el Ingreso del año 2021                                  </t>
  </si>
  <si>
    <t>Chiltiupan7358-Luxenmb/-Inclusión Financiera y prod-2019/Pes/Eep</t>
  </si>
  <si>
    <t>PRESUPUESTO DEL 1 DE ENERO AL 31 DE DICIEMBRE DE 2021</t>
  </si>
  <si>
    <t>A  Instit. De Seg.Pública</t>
  </si>
  <si>
    <t>0101   'Tranf. Sector Público. INSAFORP</t>
  </si>
  <si>
    <t xml:space="preserve"> Pagar  10  Meses con Gastos de Asministración</t>
  </si>
  <si>
    <t>Policía Municipal</t>
  </si>
  <si>
    <t xml:space="preserve"> Pagar  10  Meses con  </t>
  </si>
  <si>
    <t>SUPERVISION DE INFRAESTRUCTURA</t>
  </si>
  <si>
    <t xml:space="preserve">NATURALEZA: PROYECTO DE INVERSIÓN ECÓNOMICA  </t>
  </si>
  <si>
    <t>PROYECTO: MANTENIMIENTO DE CEMENTERIO GENERAL DE CHILTIUPÁN.</t>
  </si>
  <si>
    <t>INDICADOR: PORCENTAJE DE HABITANTES CON VIDA SANA.</t>
  </si>
  <si>
    <t>INDICADOR: CANTIDAD DE VISITANTES ATRAÍDOS POR EL CAMBIO DEL MUNICIPIO.</t>
  </si>
  <si>
    <t>PROGRAMA: MANTENIMIENTO A LA  CANCHA DE FÚTBOL DE JULUPE, SANTA MARTA Y TAQUILLO</t>
  </si>
  <si>
    <t>INDICADOR: CANTIDAD DE ESTUDIANTES TITULADOS DEL MUNICIPIO.</t>
  </si>
  <si>
    <t>INDICADOR: DISMINUCIÓN DE DESBORDAMIENTO EN LA ZONA URBANA</t>
  </si>
  <si>
    <t>PROYECTO: TALLERES DE PREVENCIÓN DE LA VIOLENCIA PARA JÓVENES DEL MUNICIPIO DE CHILTIUPÁN.</t>
  </si>
  <si>
    <t>INDICADOR: CANTIDAD DE POBLACIÓN SATISFECHA POR EL PROYECTO.</t>
  </si>
  <si>
    <t>Miner. Metálicos y Prod. Der.</t>
  </si>
  <si>
    <t>INDICADOR: PORCENTAJE DE TERRITORIO ILUMINADO Y GENTE SATISFECHA.</t>
  </si>
  <si>
    <t>PROYECTO: FOMENTO A LA SEGURIDAD Y PREVENCIÓN DE LA VIOLENCIA EN LAS INSTALACIONES MUNICIPALES, INVERSIONES DE PROYECTOS Y PARTICIPACIÓN CIUDADANA CON EL APOYO DE LA PNC.</t>
  </si>
  <si>
    <t>INDICADOR: SATISFACCIÓN DE LOS VISITANTES A LA MUNICIPALIDAD POR LA SEGURIDAD BRINDADA.</t>
  </si>
  <si>
    <t>INDICADOR: PORCENTAJE DE POBLACIÓN SATISFECHA CON LAS FIESTAS</t>
  </si>
  <si>
    <t>PROYECTO: MANTENIMIENTO A LA  CANCHA DE FÚTBOL DE JULUPE, SANTA MARTA Y TAQUILLO</t>
  </si>
  <si>
    <t>Miner. No Metálicos y Produ. Der.</t>
  </si>
  <si>
    <t>INDICADOR: PORCENTAJE DE JÓVENES SATISFECHOS POR EL PROYECTO</t>
  </si>
  <si>
    <t>PROYECTO: UNIDAD DE  MEDIO AMBIENTE, AGRICULTURA Y PROTECCIÓN CIVIL</t>
  </si>
  <si>
    <t>PROGRAMA: UNIDAD  DE MEDIO AMBIENTE, AGRICULTURA Y PROTECCIÓN CIVIL</t>
  </si>
  <si>
    <t>PROYECTO: MANTENIMIENTO DE CEMENTERIO GENERAL DE CHILTIUPÁN</t>
  </si>
  <si>
    <t>PROYECTO: INTRODUCCIÓN DE ENERGIA ELÉCTRICA CASERIO SAN LUIS EL BERRAL CANTÓN SIBERIA SEGUNDA ETAPA</t>
  </si>
  <si>
    <t>PROYECTO: REPARACIÓN DE CAMINOS Y ORNAMENTO DEL MUNICIPIO</t>
  </si>
  <si>
    <t>Maquinaria y Equipo para la Producción.</t>
  </si>
  <si>
    <t>PROGRAMA: REPARACIÓN DE CAMINOS Y ORNAMENTO DEL MUNICIPIO</t>
  </si>
  <si>
    <t>INDICADOR: CANTIDAD DE ESPACIOS DE RECREACIÓN PARA LA POBLACIÓN</t>
  </si>
  <si>
    <t>PROYECTO: CONSTRUCCION DE MUROS DE RETENCIÓN EN LA ZONA URBANA</t>
  </si>
  <si>
    <t>PROYECTO: CONSTRUCCIÓN DE MUROS DE RETENCIÓN EN LA ZONA URBANA</t>
  </si>
  <si>
    <t>RECOLECCIÓN Y DISPOSICION FINAL DE DESECHOS SOLIDOS</t>
  </si>
  <si>
    <t>CASA DE ENCUENTRO JUVENIL DE CHILTIUPÁN</t>
  </si>
  <si>
    <t>MANTENIMIENTO DE CEMENTERIO GENERAL DE CHILTIUPÁN</t>
  </si>
  <si>
    <t>REPARACIÓN DE CAMINOS VECINALES 2021</t>
  </si>
  <si>
    <t>PROYECTO: CREACIÓN DE PARQUE RECREATIVO</t>
  </si>
  <si>
    <t>PROYECTO: RECOLECCION Y DISPOSICIÓN FINAL DE DESECHOS SÓLIDOS</t>
  </si>
  <si>
    <t>PROGRAMA: RECOLECCIÓN Y DISPOSICIÓN FINAL DE DESECHOS SÓLIDOS</t>
  </si>
  <si>
    <t>PROYECTO: ACTUALIZACIÓN CATASTRAL</t>
  </si>
  <si>
    <t>META: MEJORAR EL ALUMBRADO EN LOS PUNTOS ESTRATEGICOS PARA CONTRARRESTAR LA DELINCUENCIA</t>
  </si>
  <si>
    <t>PROYECTO: TALLERES DE PREVENCIÓN A LA VIOLENCIA PARA JÓVENES DEL MUNICIPIO DE CHILTIUPÁN.</t>
  </si>
  <si>
    <t>INDICADOR: CANTIDAD DE PERSONAS SATISFECHAS CON TALLERES IMPARTIDOS.</t>
  </si>
  <si>
    <t>PROYECTO: INTRODUCCIÓN DE ENERGIA ELÉCTRICA EN DIFERENTES ZONAS DEL MUNICIPIO (CONVENIO DE CONVERSIÓN CON DEL SUR)</t>
  </si>
  <si>
    <t>INDICADOR: CANTIDAD DE CAMINOS DIGNOS PARA LA POBLACIÓN.</t>
  </si>
  <si>
    <t xml:space="preserve">Herramienta Repuestos y Accesorios </t>
  </si>
  <si>
    <t>PROYECTO: CASA DE ENCUENTRO JUVENIL DE CHILTIUPÁN</t>
  </si>
  <si>
    <t>Materiales metálicos</t>
  </si>
  <si>
    <t>Introducción de agua potable en Cantón El Zonte, LOTE 7 camino al Regadillo.</t>
  </si>
  <si>
    <t>Miner. No Metálicos y Productos Derivados.</t>
  </si>
  <si>
    <t>Miner. Metálicos y Productos Derivados.</t>
  </si>
  <si>
    <r>
      <rPr>
        <b/>
        <sz val="10"/>
        <rFont val="Arial"/>
        <family val="2"/>
      </rPr>
      <t>META</t>
    </r>
    <r>
      <rPr>
        <sz val="10"/>
        <rFont val="Arial"/>
        <family val="2"/>
      </rPr>
      <t>: GARANTIZAR BIENESTAR EN LA SALUD DE LOS HABITANTES DEL MUNICIPIO CON EL VITAL LÍQUIDO</t>
    </r>
  </si>
  <si>
    <r>
      <rPr>
        <b/>
        <sz val="10"/>
        <rFont val="Arial"/>
        <family val="2"/>
      </rPr>
      <t>META</t>
    </r>
    <r>
      <rPr>
        <sz val="10"/>
        <rFont val="Arial"/>
        <family val="2"/>
      </rPr>
      <t>:  CONSTRUIR UN PARQUE RECREATIVO QUE PERMITA EL DESARROLLO FÍSICO DE LOS NIÑOS Y ADULTOS.</t>
    </r>
  </si>
  <si>
    <r>
      <rPr>
        <b/>
        <sz val="10"/>
        <rFont val="Arial"/>
        <family val="2"/>
      </rPr>
      <t>META</t>
    </r>
    <r>
      <rPr>
        <sz val="10"/>
        <rFont val="Arial"/>
        <family val="2"/>
      </rPr>
      <t xml:space="preserve">: MEJORAR LOS CEMENTERIOS MUNICIPALES PARA QUE DÉ OTRA PERSPECTIVA A NUESTRO MUNICIPIO. </t>
    </r>
  </si>
  <si>
    <r>
      <rPr>
        <b/>
        <sz val="10"/>
        <rFont val="Arial"/>
        <family val="2"/>
      </rPr>
      <t>META</t>
    </r>
    <r>
      <rPr>
        <sz val="10"/>
        <rFont val="Arial"/>
        <family val="2"/>
      </rPr>
      <t>: ENSEÑAR A LOS JÓVENES CON PROGRAMAS ESPECIALIZADOS, TÉCNICAS DE CREATIVIDAD Y EDUCACIÓN PARA DESARROLLAR NUEVAS HABILIDADES.</t>
    </r>
  </si>
  <si>
    <r>
      <rPr>
        <b/>
        <sz val="10"/>
        <rFont val="Arial"/>
        <family val="2"/>
      </rPr>
      <t>META</t>
    </r>
    <r>
      <rPr>
        <sz val="10"/>
        <rFont val="Arial"/>
        <family val="2"/>
      </rPr>
      <t xml:space="preserve">: VELAR POR LA SEGURIDAD DE LA POBLACIÓN DE CHILTIUPÁN CON EL APOYO DE LA FUERZA ARMADA, PNC Y CAM. </t>
    </r>
  </si>
  <si>
    <r>
      <rPr>
        <b/>
        <sz val="10"/>
        <rFont val="Arial"/>
        <family val="2"/>
      </rPr>
      <t>META</t>
    </r>
    <r>
      <rPr>
        <sz val="10"/>
        <rFont val="Arial"/>
        <family val="2"/>
      </rPr>
      <t>: AYUDAR A ESTUDIANTES QUE TENGAN DESEOS DE SUPERACIÓN ACADÉMICA.</t>
    </r>
  </si>
  <si>
    <r>
      <rPr>
        <b/>
        <sz val="9"/>
        <rFont val="Arial"/>
        <family val="2"/>
      </rPr>
      <t>META</t>
    </r>
    <r>
      <rPr>
        <sz val="9"/>
        <rFont val="Arial"/>
        <family val="2"/>
      </rPr>
      <t>:</t>
    </r>
    <r>
      <rPr>
        <sz val="10"/>
        <rFont val="Arial"/>
        <family val="2"/>
      </rPr>
      <t xml:space="preserve"> MANTENER LIMPIO EL MUNICIPIO DE TAL MANERA QUE LOS VISITANTES SE LLEVEN BUENA IMPRESIÓN.</t>
    </r>
  </si>
  <si>
    <r>
      <rPr>
        <b/>
        <sz val="10"/>
        <rFont val="Arial"/>
        <family val="2"/>
      </rPr>
      <t>META</t>
    </r>
    <r>
      <rPr>
        <sz val="10"/>
        <rFont val="Arial"/>
        <family val="2"/>
      </rPr>
      <t>: REALIZAR UNA FIESTA QUE LOS HABITANTES DISFRUTEN AL MÁXIMO</t>
    </r>
  </si>
  <si>
    <r>
      <rPr>
        <b/>
        <sz val="10"/>
        <rFont val="Arial"/>
        <family val="2"/>
      </rPr>
      <t>META</t>
    </r>
    <r>
      <rPr>
        <sz val="10"/>
        <rFont val="Arial"/>
        <family val="2"/>
      </rPr>
      <t>: GARANTIZAR LA TRANSVERSALIZACIÓN DEL PRINCIPIO CONSTITUCIONAL DE IGUALDAD, EN LA PLANIFICACIÓN EJECUCIÓN Y EVALUACIÓN DEL PLAN ESTRATÉGICO MUNICIPAL ASI COMO PROGRAMAS Y PROYECTOS REALIZADOS.</t>
    </r>
  </si>
  <si>
    <r>
      <rPr>
        <b/>
        <sz val="10"/>
        <rFont val="Arial"/>
        <family val="2"/>
      </rPr>
      <t>META</t>
    </r>
    <r>
      <rPr>
        <sz val="10"/>
        <rFont val="Arial"/>
        <family val="2"/>
      </rPr>
      <t>: GENERAR INGRESOS A LA ALCALDIA DE ACUERDO A LA ORDENANZA RREALIZADA CON ESTE PROYECTO.</t>
    </r>
  </si>
  <si>
    <r>
      <rPr>
        <b/>
        <sz val="10"/>
        <rFont val="Arial"/>
        <family val="2"/>
      </rPr>
      <t>META</t>
    </r>
    <r>
      <rPr>
        <sz val="10"/>
        <rFont val="Arial"/>
        <family val="2"/>
      </rPr>
      <t xml:space="preserve">: MANTENER LA CANCHA SIEMPRE EN BUEN ESTADO Y LIMPIA PARA LOS DIFERENTES TORNEOS O ENCUENTROS DE DIFERENTES COMUNIDADES. </t>
    </r>
  </si>
  <si>
    <r>
      <rPr>
        <b/>
        <sz val="10"/>
        <rFont val="Arial"/>
        <family val="2"/>
      </rPr>
      <t>META</t>
    </r>
    <r>
      <rPr>
        <sz val="10"/>
        <rFont val="Arial"/>
        <family val="2"/>
      </rPr>
      <t>: DARLE MANTENIMIENTO A ESTAS CANCHAS QUE SON TAN SOLICITADAS POR LA POBLACIÓN.</t>
    </r>
  </si>
  <si>
    <r>
      <rPr>
        <b/>
        <sz val="10"/>
        <rFont val="Arial"/>
        <family val="2"/>
      </rPr>
      <t>META</t>
    </r>
    <r>
      <rPr>
        <sz val="10"/>
        <rFont val="Arial"/>
        <family val="2"/>
      </rPr>
      <t>: GARANTIZAR UN DESARROLLO SANO PARA LOS JÓVENES DEL MUNICIPIO, BRINDANDOLES IMPLEMENTOS DE DISTRACCIÓN.</t>
    </r>
  </si>
  <si>
    <r>
      <rPr>
        <b/>
        <sz val="10"/>
        <rFont val="Arial"/>
        <family val="2"/>
      </rPr>
      <t>META</t>
    </r>
    <r>
      <rPr>
        <sz val="10"/>
        <rFont val="Arial"/>
        <family val="2"/>
      </rPr>
      <t>: DESARROLLAR AL MUNICIPIO DE TAL MANERA QUE CHILTIUPÁN SEA RECONOCIDO EN LOS DIFERENTES DEPARTAMENTOS.</t>
    </r>
  </si>
  <si>
    <r>
      <rPr>
        <b/>
        <sz val="10"/>
        <rFont val="Arial"/>
        <family val="2"/>
      </rPr>
      <t>META</t>
    </r>
    <r>
      <rPr>
        <sz val="10"/>
        <rFont val="Arial"/>
        <family val="2"/>
      </rPr>
      <t xml:space="preserve">: VELAR POR EL CUIDADO DEL MEDIO AMBIENTE EN EL MUNICIPIO Y ATENDER AL LLAMADO URGENTE DE LOS HABITANTES EN SITUACIONES CLIMÁTICAS Y DESASTRES NATURALES.                       </t>
    </r>
  </si>
  <si>
    <r>
      <rPr>
        <b/>
        <sz val="10"/>
        <rFont val="Arial"/>
        <family val="2"/>
      </rPr>
      <t>META</t>
    </r>
    <r>
      <rPr>
        <sz val="10"/>
        <rFont val="Arial"/>
        <family val="2"/>
      </rPr>
      <t>: OFRECER SEGURIDAD EN EL CEMENTERIO MUNICIPAL Y A LA VEZ BRINDAR TRABAJO A PERSONAS DE LA TERCERA EDAD QUE NO SON CONTRATADOS POR OTRAS ENTIDADES.</t>
    </r>
  </si>
  <si>
    <r>
      <rPr>
        <b/>
        <sz val="10"/>
        <rFont val="Arial"/>
        <family val="2"/>
      </rPr>
      <t>META</t>
    </r>
    <r>
      <rPr>
        <sz val="10"/>
        <rFont val="Arial"/>
        <family val="2"/>
      </rPr>
      <t>: BRINDAR A LA POBLACIÓN DIFERENTES TALLERES QUE SIRVEN PARA DISTRACCIÓN Y MEJORAN LA SALUD.</t>
    </r>
  </si>
  <si>
    <r>
      <rPr>
        <b/>
        <sz val="10"/>
        <rFont val="Arial"/>
        <family val="2"/>
      </rPr>
      <t>META</t>
    </r>
    <r>
      <rPr>
        <sz val="10"/>
        <rFont val="Arial"/>
        <family val="2"/>
      </rPr>
      <t xml:space="preserve">: GARANTIZAR A LA POBLACIÓN ESTABILIDAD CON EL SERVICIO DE ENERGIA ELÉCTRICA EN LOS CASERÍOS Y CANTONES PARA EL DESARROLLO DEL MUNICIPIO </t>
    </r>
  </si>
  <si>
    <r>
      <rPr>
        <b/>
        <sz val="10"/>
        <rFont val="Arial"/>
        <family val="2"/>
      </rPr>
      <t>META</t>
    </r>
    <r>
      <rPr>
        <sz val="10"/>
        <rFont val="Arial"/>
        <family val="2"/>
      </rPr>
      <t>: MANTENER EN BUEN ESTADO LOS CAMINOS VECINALES DEL MUNICIPIO PARA QUE LOS HABITANTES PUEDAN SACAR SUS CULTIVOS SIN NINGÚN INCONVENIENTE.</t>
    </r>
  </si>
  <si>
    <r>
      <rPr>
        <b/>
        <sz val="10"/>
        <rFont val="Arial"/>
        <family val="2"/>
      </rPr>
      <t>META</t>
    </r>
    <r>
      <rPr>
        <sz val="10"/>
        <rFont val="Arial"/>
        <family val="2"/>
      </rPr>
      <t>: GARANTIZAR ESPACIOS PARA CONSTRUCCIÓN DE CUBOS QUE PERMITAN EL DESARROLLO PRINCIPALMENTE DE LOS NIÑOS DEL MUNICIPIO.</t>
    </r>
  </si>
  <si>
    <r>
      <rPr>
        <b/>
        <sz val="10"/>
        <rFont val="Arial"/>
        <family val="2"/>
      </rPr>
      <t>META</t>
    </r>
    <r>
      <rPr>
        <sz val="10"/>
        <rFont val="Arial"/>
        <family val="2"/>
      </rPr>
      <t>: MINIMIZAR POSIBLES DAÑOS DE DESBORDAMIENTOS EN EPOCA LLUVIOSA</t>
    </r>
  </si>
  <si>
    <t>FECHA DE INICIO/FINALIZACIÓN: 01/01/2022 - 31/12/2022</t>
  </si>
  <si>
    <t>NOTA: LAS CIFRAS PRESUPUESTARIAS Y MONTOS PUEDEN VARIAR AL ELABORAR LA CARPETA TÉCNICA.</t>
  </si>
  <si>
    <t>PROYECTO: INTRODUCCIÓN DE AGUA POTABLE CANTÓN EL ZONTE, LOTE 7 CAMINO AL REGADILLO</t>
  </si>
  <si>
    <r>
      <rPr>
        <b/>
        <sz val="10"/>
        <rFont val="Arial"/>
        <family val="2"/>
      </rPr>
      <t>META</t>
    </r>
    <r>
      <rPr>
        <sz val="10"/>
        <rFont val="Arial"/>
        <family val="2"/>
      </rPr>
      <t>: GARANTIZAR BIENESTAR EN LA SALUD DE LOS HABITANTE CANTON EL ZONTE</t>
    </r>
  </si>
  <si>
    <t>PROYECTO: INTRODUCCIÓN DE AGUA POTABLE, CANTÓN EL ZONTE, LOTE 7 CAMINO AL REGADILLO</t>
  </si>
  <si>
    <t>Infraestructura Social</t>
  </si>
  <si>
    <t>5 paginas</t>
  </si>
  <si>
    <t>6 pagina</t>
  </si>
  <si>
    <t xml:space="preserve">7 paginas </t>
  </si>
  <si>
    <t>9 paginas</t>
  </si>
  <si>
    <t>12 paginas</t>
  </si>
  <si>
    <t>14 paginas</t>
  </si>
  <si>
    <t>Comite Local de Derecho</t>
  </si>
  <si>
    <t>METODO  DE REGRESIÓN LINEAL</t>
  </si>
  <si>
    <t>PARA  LA  PROYECCIÓN  DE INGRESOS DEL   AÑO    2022</t>
  </si>
  <si>
    <t>( INGRESO DE FONDOS PROPIOS, EN  LOS  ÚLTIMOS  5 AÑOS  )</t>
  </si>
  <si>
    <t>ALCALDIA MUNCIPAL DE CHILTIUPÁN, DEPARTAMENTO DE  LA LIBERTAD</t>
  </si>
  <si>
    <t xml:space="preserve">EN DÓLARES DE LOS ESTADOS UNIDOS DE AMÉRICA </t>
  </si>
  <si>
    <t>Seguridad Social Pública</t>
  </si>
  <si>
    <t>ISSS</t>
  </si>
  <si>
    <t>0401 inversión</t>
  </si>
  <si>
    <t>Dietas a Regidores y Síndico</t>
  </si>
  <si>
    <t>TOTAL INVERSION  FONDO GENERAL   120</t>
  </si>
  <si>
    <t>6- 01-  01-  1-             2% FODES 120 LIBRE DISPONIBILIDAD</t>
  </si>
  <si>
    <t>FORMULACIÓN DEL PRESUPUESTO MUNICIPAL DE EGRESOS</t>
  </si>
  <si>
    <t xml:space="preserve"> TOTAL</t>
  </si>
  <si>
    <t>FUENTE O SUBFUENTE DE FINANCIAMIENTO: GASTOS DE ADMINISTRACION120- LIBRE DISPONIBILIDAD.</t>
  </si>
  <si>
    <t>MAQUINARIA Y EQUIPO PARA LA PRODUCCIÓN</t>
  </si>
  <si>
    <t>ALUMBRADO PÚBLICO</t>
  </si>
  <si>
    <t>TRANSPORTES, FLETES Y ALMACENIMIENTO</t>
  </si>
  <si>
    <t>ENERGIA ELÉCTRICA</t>
  </si>
  <si>
    <t>HERRAMIENTAS, REPUESTOS Y ACSESORIAS</t>
  </si>
  <si>
    <t>MATERIALES INFORMÁTICOS</t>
  </si>
  <si>
    <t xml:space="preserve">MINERALES METÁLICOS </t>
  </si>
  <si>
    <t>PRODUCTOS QUÍMICOS</t>
  </si>
  <si>
    <r>
      <t xml:space="preserve">FUENTE  DE FINANCIAMIENTO:   </t>
    </r>
    <r>
      <rPr>
        <b/>
        <i/>
        <sz val="12"/>
        <color rgb="FFFF0000"/>
        <rFont val="Trebuchet MS"/>
        <family val="2"/>
      </rPr>
      <t xml:space="preserve"> </t>
    </r>
    <r>
      <rPr>
        <b/>
        <i/>
        <sz val="12"/>
        <color theme="0"/>
        <rFont val="Trebuchet MS"/>
        <family val="2"/>
      </rPr>
      <t xml:space="preserve">2% </t>
    </r>
    <r>
      <rPr>
        <b/>
        <sz val="12"/>
        <color theme="0"/>
        <rFont val="Trebuchet MS"/>
        <family val="2"/>
      </rPr>
      <t>F O N D O  G E N E R A L    1 2 0</t>
    </r>
  </si>
  <si>
    <t>MEJORAMIENTO DE PARQUE MUNICIPAL</t>
  </si>
  <si>
    <t>Cuentas por cobrar de años anteriores</t>
  </si>
  <si>
    <t>Cta. Cte. Nº ---------------, Tesorería Municipal de Chiltiupán,  Fondo Municipal. ( B.H.)</t>
  </si>
  <si>
    <t>Cta. Cte. Nº--------------   25%  FODES, Tesorería Municipal de Chiltiupán</t>
  </si>
  <si>
    <t>Cta., Nº ----------------------, Gastos de Administración ( en  Bco. Hipotecario)</t>
  </si>
  <si>
    <t>Cta., Nº ------------, 120-FODES LIBRE DISPONIBILIDAD ( en  Bco. Hipotecario)</t>
  </si>
  <si>
    <t>Cta. Ahorros Nº ------------------Tes. Mpal. 75 %  FODES   (B.H)</t>
  </si>
  <si>
    <t>Cta. Nº ------------------- Tes. MppaL. De Chiltiupán 75% FODES  (B.H)</t>
  </si>
  <si>
    <t>Cta. N° -------------------Tesoreria Municipal de Chiltiupán 2% Fodes</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</si>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</sst>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 #,##0.00_);_(&quot;$&quot;\ * \(#,##0.00\);_(&quot;$&quot;\ * &quot;-&quot;??_);_(@_)"/>
    <numFmt numFmtId="167" formatCode="_-[$€-2]* #,##0.00_-;\-[$€-2]* #,##0.00_-;_-[$€-2]* &quot;-&quot;??_-"/>
    <numFmt numFmtId="168" formatCode="_([$$-440A]* #,##0.00_);_([$$-440A]* \(#,##0.00\);_([$$-440A]* &quot;-&quot;??_);_(@_)"/>
    <numFmt numFmtId="169" formatCode="_-[$$-409]* #,##0.00_ ;_-[$$-409]* \-#,##0.00\ ;_-[$$-409]* &quot;-&quot;??_ ;_-@_ "/>
    <numFmt numFmtId="170" formatCode="_([$$-409]* #,##0.00_);_([$$-409]* \(#,##0.00\);_([$$-409]* &quot;-&quot;??_);_(@_)"/>
    <numFmt numFmtId="171" formatCode="_(&quot;$&quot;* #,##0.000000_);_(&quot;$&quot;* \(#,##0.000000\);_(&quot;$&quot;* &quot;-&quot;??????_);_(@_)"/>
    <numFmt numFmtId="172" formatCode="0.000000%"/>
    <numFmt numFmtId="173" formatCode="_-[$$-440A]* #,##0.00_-;\-[$$-440A]* #,##0.00_-;_-[$$-440A]* &quot;-&quot;??_-;_-@_-"/>
    <numFmt numFmtId="174" formatCode="_-[$$-440A]* #,##0.00_ ;_-[$$-440A]* \-#,##0.00\ ;_-[$$-440A]* &quot;-&quot;??_ ;_-@_ "/>
    <numFmt numFmtId="175" formatCode="_(&quot;$&quot;\ * #,##0.0_);_(&quot;$&quot;\ * \(#,##0.0\);_(&quot;$&quot;\ * &quot;-&quot;??_);_(@_)"/>
  </numFmts>
  <fonts count="20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rebuchet MS"/>
      <family val="2"/>
    </font>
    <font>
      <b/>
      <sz val="10"/>
      <name val="Trebuchet MS"/>
      <family val="2"/>
    </font>
    <font>
      <b/>
      <sz val="12"/>
      <name val="Trebuchet MS"/>
      <family val="2"/>
    </font>
    <font>
      <b/>
      <sz val="10"/>
      <color indexed="12"/>
      <name val="Trebuchet MS"/>
      <family val="2"/>
    </font>
    <font>
      <sz val="10"/>
      <color indexed="10"/>
      <name val="Trebuchet MS"/>
      <family val="2"/>
    </font>
    <font>
      <sz val="10"/>
      <color indexed="57"/>
      <name val="Trebuchet MS"/>
      <family val="2"/>
    </font>
    <font>
      <sz val="8"/>
      <name val="Arial"/>
      <family val="2"/>
    </font>
    <font>
      <sz val="12"/>
      <name val="Trebuchet MS"/>
      <family val="2"/>
    </font>
    <font>
      <sz val="9"/>
      <name val="Trebuchet MS"/>
      <family val="2"/>
    </font>
    <font>
      <i/>
      <sz val="12"/>
      <name val="Arial"/>
      <family val="2"/>
    </font>
    <font>
      <sz val="12"/>
      <name val="Arial"/>
      <family val="2"/>
    </font>
    <font>
      <sz val="10"/>
      <name val="Arial"/>
      <family val="2"/>
    </font>
    <font>
      <b/>
      <sz val="12"/>
      <name val="Arial"/>
      <family val="2"/>
    </font>
    <font>
      <sz val="14"/>
      <name val="Trebuchet MS"/>
      <family val="2"/>
    </font>
    <font>
      <sz val="14"/>
      <name val="Arial"/>
      <family val="2"/>
    </font>
    <font>
      <b/>
      <sz val="14"/>
      <name val="Trebuchet MS"/>
      <family val="2"/>
    </font>
    <font>
      <b/>
      <sz val="12"/>
      <name val="Arial"/>
      <family val="2"/>
    </font>
    <font>
      <b/>
      <sz val="10"/>
      <name val="Arial"/>
      <family val="2"/>
    </font>
    <font>
      <sz val="8"/>
      <name val="Trebuchet MS"/>
      <family val="2"/>
    </font>
    <font>
      <b/>
      <sz val="8"/>
      <name val="Trebuchet MS"/>
      <family val="2"/>
    </font>
    <font>
      <sz val="8"/>
      <name val="Arial"/>
      <family val="2"/>
    </font>
    <font>
      <b/>
      <sz val="8"/>
      <name val="Arial"/>
      <family val="2"/>
    </font>
    <font>
      <b/>
      <sz val="11"/>
      <name val="Arial"/>
      <family val="2"/>
    </font>
    <font>
      <sz val="9"/>
      <name val="Arial"/>
      <family val="2"/>
    </font>
    <font>
      <sz val="11"/>
      <name val="Arial"/>
      <family val="2"/>
    </font>
    <font>
      <sz val="11"/>
      <name val="Trebuchet MS"/>
      <family val="2"/>
    </font>
    <font>
      <sz val="12"/>
      <name val="Arial"/>
      <family val="2"/>
    </font>
    <font>
      <b/>
      <sz val="7"/>
      <name val="Trebuchet MS"/>
      <family val="2"/>
    </font>
    <font>
      <sz val="7"/>
      <name val="Arial"/>
      <family val="2"/>
    </font>
    <font>
      <sz val="10"/>
      <name val="Arial"/>
      <family val="2"/>
    </font>
    <font>
      <b/>
      <sz val="9"/>
      <name val="Trebuchet MS"/>
      <family val="2"/>
    </font>
    <font>
      <b/>
      <sz val="10"/>
      <color indexed="10"/>
      <name val="Arial"/>
      <family val="2"/>
    </font>
    <font>
      <b/>
      <sz val="10"/>
      <color indexed="12"/>
      <name val="Arial"/>
      <family val="2"/>
    </font>
    <font>
      <sz val="10"/>
      <color indexed="8"/>
      <name val="Arial"/>
      <family val="2"/>
    </font>
    <font>
      <sz val="11"/>
      <color indexed="8"/>
      <name val="Arial"/>
      <family val="2"/>
    </font>
    <font>
      <b/>
      <sz val="11"/>
      <color indexed="12"/>
      <name val="Arial"/>
      <family val="2"/>
    </font>
    <font>
      <b/>
      <sz val="11"/>
      <name val="Trebuchet MS"/>
      <family val="2"/>
    </font>
    <font>
      <b/>
      <sz val="11"/>
      <color indexed="10"/>
      <name val="Arial"/>
      <family val="2"/>
    </font>
    <font>
      <sz val="11"/>
      <name val="Arial"/>
      <family val="2"/>
    </font>
    <font>
      <b/>
      <sz val="9"/>
      <name val="Arial"/>
      <family val="2"/>
    </font>
    <font>
      <b/>
      <sz val="8"/>
      <color indexed="81"/>
      <name val="Tahoma"/>
      <family val="2"/>
    </font>
    <font>
      <sz val="8"/>
      <color indexed="81"/>
      <name val="Tahoma"/>
      <family val="2"/>
    </font>
    <font>
      <sz val="10"/>
      <color rgb="FFFF0000"/>
      <name val="Arial"/>
      <family val="2"/>
    </font>
    <font>
      <sz val="9"/>
      <color rgb="FF0000FF"/>
      <name val="Arial"/>
      <family val="2"/>
    </font>
    <font>
      <sz val="9.5"/>
      <name val="Trebuchet MS"/>
      <family val="2"/>
    </font>
    <font>
      <sz val="8"/>
      <name val="Calibri"/>
      <family val="2"/>
      <scheme val="minor"/>
    </font>
    <font>
      <sz val="9"/>
      <color rgb="FFFF3300"/>
      <name val="Arial"/>
      <family val="2"/>
    </font>
    <font>
      <sz val="14"/>
      <name val="Arial"/>
      <family val="2"/>
    </font>
    <font>
      <sz val="9"/>
      <name val="Calibri"/>
      <family val="2"/>
      <scheme val="minor"/>
    </font>
    <font>
      <b/>
      <sz val="9"/>
      <name val="Calibri"/>
      <family val="2"/>
      <scheme val="minor"/>
    </font>
    <font>
      <sz val="10"/>
      <name val="Calibri"/>
      <family val="2"/>
      <scheme val="minor"/>
    </font>
    <font>
      <sz val="14"/>
      <name val="Calibri"/>
      <family val="2"/>
      <scheme val="minor"/>
    </font>
    <font>
      <b/>
      <sz val="14"/>
      <name val="Calibri"/>
      <family val="2"/>
      <scheme val="minor"/>
    </font>
    <font>
      <sz val="7.5"/>
      <name val="Arial"/>
      <family val="2"/>
    </font>
    <font>
      <sz val="7.5"/>
      <name val="Calibri"/>
      <family val="2"/>
      <scheme val="minor"/>
    </font>
    <font>
      <sz val="9"/>
      <name val="Arimo"/>
      <family val="2"/>
    </font>
    <font>
      <b/>
      <sz val="10"/>
      <name val="Calibri"/>
      <family val="2"/>
      <scheme val="minor"/>
    </font>
    <font>
      <sz val="10"/>
      <color indexed="12"/>
      <name val="Calibri"/>
      <family val="2"/>
      <scheme val="minor"/>
    </font>
    <font>
      <b/>
      <sz val="9"/>
      <color indexed="12"/>
      <name val="Trebuchet MS"/>
      <family val="2"/>
    </font>
    <font>
      <sz val="9"/>
      <name val="Courier New"/>
      <family val="3"/>
    </font>
    <font>
      <sz val="8"/>
      <name val="Arial Unicode MS"/>
      <family val="2"/>
    </font>
    <font>
      <sz val="9"/>
      <color rgb="FF6600FF"/>
      <name val="Calibri"/>
      <family val="2"/>
      <scheme val="minor"/>
    </font>
    <font>
      <sz val="9"/>
      <color rgb="FF00B050"/>
      <name val="Calibri"/>
      <family val="2"/>
      <scheme val="minor"/>
    </font>
    <font>
      <sz val="9"/>
      <color rgb="FFFF00FF"/>
      <name val="Calibri"/>
      <family val="2"/>
      <scheme val="minor"/>
    </font>
    <font>
      <sz val="9"/>
      <name val="Calibri"/>
      <family val="2"/>
    </font>
    <font>
      <sz val="7.5"/>
      <name val="Algerian"/>
      <family val="5"/>
    </font>
    <font>
      <b/>
      <sz val="8"/>
      <name val="Arial Unicode MS"/>
      <family val="2"/>
    </font>
    <font>
      <sz val="6"/>
      <name val="Calibri"/>
      <family val="2"/>
      <scheme val="minor"/>
    </font>
    <font>
      <sz val="9"/>
      <color indexed="81"/>
      <name val="Tahoma"/>
      <family val="2"/>
    </font>
    <font>
      <b/>
      <sz val="9"/>
      <color indexed="81"/>
      <name val="Tahoma"/>
      <family val="2"/>
    </font>
    <font>
      <b/>
      <sz val="11"/>
      <name val="Calibri"/>
      <family val="2"/>
      <scheme val="minor"/>
    </font>
    <font>
      <sz val="10"/>
      <color theme="1"/>
      <name val="Calibri"/>
      <family val="2"/>
      <scheme val="minor"/>
    </font>
    <font>
      <sz val="10"/>
      <color rgb="FF000000"/>
      <name val="Arial"/>
      <family val="2"/>
    </font>
    <font>
      <b/>
      <u/>
      <sz val="10"/>
      <name val="Arial"/>
      <family val="2"/>
    </font>
    <font>
      <b/>
      <sz val="12"/>
      <color theme="3" tint="0.39997558519241921"/>
      <name val="Arial"/>
      <family val="2"/>
    </font>
    <font>
      <sz val="11"/>
      <name val="Cambria"/>
      <family val="1"/>
      <scheme val="major"/>
    </font>
    <font>
      <b/>
      <sz val="16"/>
      <name val="Cambria"/>
      <family val="1"/>
      <scheme val="major"/>
    </font>
    <font>
      <b/>
      <sz val="11"/>
      <name val="Cambria"/>
      <family val="1"/>
      <scheme val="major"/>
    </font>
    <font>
      <b/>
      <sz val="9"/>
      <name val="Cambria"/>
      <family val="1"/>
      <scheme val="major"/>
    </font>
    <font>
      <b/>
      <sz val="8"/>
      <name val="Cambria"/>
      <family val="1"/>
      <scheme val="major"/>
    </font>
    <font>
      <b/>
      <sz val="10"/>
      <name val="Cambria"/>
      <family val="1"/>
      <scheme val="major"/>
    </font>
    <font>
      <sz val="9"/>
      <name val="Cambria"/>
      <family val="1"/>
      <scheme val="major"/>
    </font>
    <font>
      <sz val="7.5"/>
      <name val="Cambria"/>
      <family val="1"/>
      <scheme val="major"/>
    </font>
    <font>
      <sz val="7"/>
      <name val="Cambria"/>
      <family val="1"/>
      <scheme val="major"/>
    </font>
    <font>
      <sz val="8"/>
      <name val="Cambria"/>
      <family val="1"/>
      <scheme val="major"/>
    </font>
    <font>
      <sz val="6"/>
      <name val="Cambria"/>
      <family val="1"/>
      <scheme val="major"/>
    </font>
    <font>
      <sz val="10"/>
      <name val="Cambria"/>
      <family val="1"/>
      <scheme val="major"/>
    </font>
    <font>
      <sz val="11"/>
      <color theme="1"/>
      <name val="Arial"/>
      <family val="2"/>
    </font>
    <font>
      <u/>
      <sz val="11"/>
      <name val="Arial"/>
      <family val="2"/>
    </font>
    <font>
      <sz val="11"/>
      <color rgb="FFFF0000"/>
      <name val="Arial"/>
      <family val="2"/>
    </font>
    <font>
      <sz val="10"/>
      <name val="Arial"/>
      <family val="2"/>
    </font>
    <font>
      <b/>
      <sz val="9"/>
      <color rgb="FFFF0000"/>
      <name val="Cambria"/>
      <family val="1"/>
      <scheme val="major"/>
    </font>
    <font>
      <b/>
      <sz val="16"/>
      <name val="Calibri"/>
      <family val="2"/>
      <scheme val="minor"/>
    </font>
    <font>
      <sz val="10"/>
      <name val="Arial Unicode MS"/>
      <family val="2"/>
    </font>
    <font>
      <sz val="9"/>
      <color theme="1"/>
      <name val="Calibri"/>
      <family val="2"/>
      <scheme val="minor"/>
    </font>
    <font>
      <sz val="12"/>
      <color rgb="FFFF0000"/>
      <name val="Calibri"/>
      <family val="2"/>
      <scheme val="minor"/>
    </font>
    <font>
      <sz val="12"/>
      <name val="Calibri"/>
      <family val="2"/>
      <scheme val="minor"/>
    </font>
    <font>
      <b/>
      <i/>
      <sz val="12"/>
      <name val="Trebuchet MS"/>
      <family val="2"/>
    </font>
    <font>
      <b/>
      <i/>
      <sz val="11"/>
      <name val="Arial"/>
      <family val="2"/>
    </font>
    <font>
      <b/>
      <i/>
      <sz val="11"/>
      <name val="Cambria"/>
      <family val="1"/>
      <scheme val="major"/>
    </font>
    <font>
      <b/>
      <i/>
      <sz val="12"/>
      <name val="Arial"/>
      <family val="2"/>
    </font>
    <font>
      <sz val="8"/>
      <color indexed="8"/>
      <name val="Arial"/>
      <family val="2"/>
    </font>
    <font>
      <b/>
      <sz val="8"/>
      <color indexed="12"/>
      <name val="Arial"/>
      <family val="2"/>
    </font>
    <font>
      <b/>
      <sz val="8"/>
      <color indexed="10"/>
      <name val="Arial"/>
      <family val="2"/>
    </font>
    <font>
      <b/>
      <i/>
      <sz val="10"/>
      <name val="Calibri"/>
      <family val="2"/>
      <scheme val="minor"/>
    </font>
    <font>
      <b/>
      <i/>
      <sz val="20"/>
      <name val="Calibri"/>
      <family val="2"/>
      <scheme val="minor"/>
    </font>
    <font>
      <b/>
      <i/>
      <sz val="8"/>
      <name val="Arial"/>
      <family val="2"/>
    </font>
    <font>
      <sz val="11"/>
      <color rgb="FFFF0000"/>
      <name val="Cambria"/>
      <family val="1"/>
      <scheme val="major"/>
    </font>
    <font>
      <b/>
      <i/>
      <sz val="11"/>
      <name val="Calibri"/>
      <family val="2"/>
      <scheme val="minor"/>
    </font>
    <font>
      <b/>
      <i/>
      <sz val="12"/>
      <name val="Calibri"/>
      <family val="2"/>
      <scheme val="minor"/>
    </font>
    <font>
      <sz val="11"/>
      <name val="Calibri"/>
      <family val="2"/>
      <scheme val="minor"/>
    </font>
    <font>
      <sz val="11"/>
      <name val="Calibri"/>
      <family val="2"/>
    </font>
    <font>
      <sz val="11"/>
      <name val="Arimo"/>
      <family val="2"/>
    </font>
    <font>
      <b/>
      <i/>
      <sz val="12"/>
      <color rgb="FFFF0000"/>
      <name val="Trebuchet MS"/>
      <family val="2"/>
    </font>
    <font>
      <b/>
      <i/>
      <sz val="10"/>
      <name val="Arial"/>
      <family val="2"/>
    </font>
    <font>
      <b/>
      <i/>
      <sz val="20"/>
      <color rgb="FF9900CC"/>
      <name val="Calibri"/>
      <family val="2"/>
      <scheme val="minor"/>
    </font>
    <font>
      <b/>
      <i/>
      <sz val="20"/>
      <color theme="5" tint="-0.249977111117893"/>
      <name val="Calibri"/>
      <family val="2"/>
      <scheme val="minor"/>
    </font>
    <font>
      <b/>
      <sz val="12"/>
      <name val="Calibri"/>
      <family val="2"/>
      <scheme val="minor"/>
    </font>
    <font>
      <b/>
      <u/>
      <sz val="18"/>
      <color theme="8" tint="-0.249977111117893"/>
      <name val="Cambria"/>
      <family val="1"/>
      <scheme val="major"/>
    </font>
    <font>
      <b/>
      <i/>
      <sz val="18"/>
      <color theme="1"/>
      <name val="Cambria"/>
      <family val="1"/>
      <scheme val="major"/>
    </font>
    <font>
      <b/>
      <i/>
      <sz val="9"/>
      <color indexed="81"/>
      <name val="Tahoma"/>
      <family val="2"/>
    </font>
    <font>
      <sz val="11"/>
      <color theme="1" tint="0.499984740745262"/>
      <name val="Cambria"/>
      <family val="1"/>
      <scheme val="major"/>
    </font>
    <font>
      <b/>
      <sz val="11"/>
      <color theme="1" tint="0.499984740745262"/>
      <name val="Cambria"/>
      <family val="1"/>
      <scheme val="major"/>
    </font>
    <font>
      <sz val="10"/>
      <color theme="1"/>
      <name val="Cambria"/>
      <family val="1"/>
      <scheme val="major"/>
    </font>
    <font>
      <sz val="8"/>
      <name val="Arial"/>
      <family val="2"/>
    </font>
    <font>
      <b/>
      <sz val="16"/>
      <color theme="1"/>
      <name val="Arial"/>
      <family val="2"/>
    </font>
    <font>
      <b/>
      <u/>
      <sz val="16"/>
      <name val="Arial"/>
      <family val="2"/>
    </font>
    <font>
      <u/>
      <sz val="16"/>
      <name val="Arial"/>
      <family val="2"/>
    </font>
    <font>
      <i/>
      <sz val="10"/>
      <name val="Arial"/>
      <family val="2"/>
    </font>
    <font>
      <b/>
      <sz val="14"/>
      <color theme="0"/>
      <name val="Tw Cen MT Condensed Extra Bold"/>
      <family val="2"/>
    </font>
    <font>
      <b/>
      <sz val="11"/>
      <color theme="0"/>
      <name val="Cambria"/>
      <family val="1"/>
      <scheme val="major"/>
    </font>
    <font>
      <b/>
      <sz val="9"/>
      <color theme="0"/>
      <name val="Cambria"/>
      <family val="1"/>
      <scheme val="major"/>
    </font>
    <font>
      <b/>
      <sz val="10"/>
      <color theme="0"/>
      <name val="Cambria"/>
      <family val="1"/>
      <scheme val="major"/>
    </font>
    <font>
      <sz val="18"/>
      <name val="Arial"/>
      <family val="2"/>
    </font>
    <font>
      <b/>
      <sz val="18"/>
      <color theme="0"/>
      <name val="Arial"/>
      <family val="2"/>
    </font>
    <font>
      <b/>
      <sz val="9"/>
      <color theme="0"/>
      <name val="Arial"/>
      <family val="2"/>
    </font>
    <font>
      <b/>
      <sz val="10"/>
      <color theme="0"/>
      <name val="Arial"/>
      <family val="2"/>
    </font>
    <font>
      <sz val="10"/>
      <color theme="0"/>
      <name val="Arial"/>
      <family val="2"/>
    </font>
    <font>
      <b/>
      <sz val="11"/>
      <color theme="0"/>
      <name val="Arial"/>
      <family val="2"/>
    </font>
    <font>
      <b/>
      <sz val="14"/>
      <color theme="0"/>
      <name val="Arial"/>
      <family val="2"/>
    </font>
    <font>
      <b/>
      <sz val="16"/>
      <color theme="0"/>
      <name val="Arial"/>
      <family val="2"/>
    </font>
    <font>
      <b/>
      <sz val="14"/>
      <name val="Cambria"/>
      <family val="1"/>
      <scheme val="major"/>
    </font>
    <font>
      <b/>
      <sz val="11"/>
      <color theme="0"/>
      <name val="Trebuchet MS"/>
      <family val="2"/>
    </font>
    <font>
      <b/>
      <i/>
      <sz val="12"/>
      <color theme="0"/>
      <name val="Trebuchet MS"/>
      <family val="2"/>
    </font>
    <font>
      <b/>
      <sz val="8"/>
      <color theme="0"/>
      <name val="Trebuchet MS"/>
      <family val="2"/>
    </font>
    <font>
      <b/>
      <sz val="14"/>
      <color theme="0"/>
      <name val="Calibri"/>
      <family val="2"/>
      <scheme val="minor"/>
    </font>
    <font>
      <b/>
      <sz val="12"/>
      <color indexed="8"/>
      <name val="Arial"/>
      <family val="2"/>
    </font>
    <font>
      <b/>
      <sz val="11"/>
      <color theme="0"/>
      <name val="Calibri"/>
      <family val="2"/>
      <scheme val="minor"/>
    </font>
    <font>
      <sz val="10"/>
      <color theme="0"/>
      <name val="Trebuchet MS"/>
      <family val="2"/>
    </font>
    <font>
      <b/>
      <sz val="10"/>
      <color theme="0"/>
      <name val="Trebuchet MS"/>
      <family val="2"/>
    </font>
    <font>
      <b/>
      <sz val="12"/>
      <color theme="0"/>
      <name val="Trebuchet MS"/>
      <family val="2"/>
    </font>
    <font>
      <b/>
      <sz val="16"/>
      <name val="Trebuchet MS"/>
      <family val="2"/>
    </font>
    <font>
      <b/>
      <sz val="12"/>
      <color theme="0"/>
      <name val="Arial"/>
      <family val="2"/>
    </font>
    <font>
      <b/>
      <sz val="16"/>
      <name val="Arial"/>
      <family val="2"/>
    </font>
    <font>
      <b/>
      <sz val="10"/>
      <color indexed="8"/>
      <name val="Arial"/>
      <family val="2"/>
    </font>
    <font>
      <u/>
      <sz val="10"/>
      <name val="Arial"/>
      <family val="2"/>
    </font>
    <font>
      <sz val="9"/>
      <color theme="0"/>
      <name val="Trebuchet MS"/>
      <family val="2"/>
    </font>
    <font>
      <b/>
      <sz val="20"/>
      <name val="Calibri"/>
      <family val="2"/>
      <scheme val="minor"/>
    </font>
    <font>
      <b/>
      <sz val="7"/>
      <color theme="0"/>
      <name val="Arial"/>
      <family val="2"/>
    </font>
    <font>
      <b/>
      <sz val="8"/>
      <color theme="0"/>
      <name val="Arial"/>
      <family val="2"/>
    </font>
    <font>
      <sz val="14"/>
      <color theme="0"/>
      <name val="Trebuchet MS"/>
      <family val="2"/>
    </font>
    <font>
      <b/>
      <i/>
      <sz val="14"/>
      <color theme="0"/>
      <name val="Trebuchet MS"/>
      <family val="2"/>
    </font>
    <font>
      <sz val="7"/>
      <color theme="0"/>
      <name val="Trebuchet MS"/>
      <family val="2"/>
    </font>
    <font>
      <b/>
      <sz val="7"/>
      <color theme="0"/>
      <name val="Trebuchet MS"/>
      <family val="2"/>
    </font>
    <font>
      <b/>
      <sz val="10"/>
      <color theme="0"/>
      <name val="Calibri"/>
      <family val="2"/>
      <scheme val="minor"/>
    </font>
    <font>
      <sz val="10"/>
      <color theme="0"/>
      <name val="Calibri"/>
      <family val="2"/>
      <scheme val="minor"/>
    </font>
    <font>
      <b/>
      <i/>
      <sz val="12"/>
      <color theme="0"/>
      <name val="Calibri"/>
      <family val="2"/>
      <scheme val="minor"/>
    </font>
    <font>
      <b/>
      <i/>
      <sz val="11"/>
      <color theme="0"/>
      <name val="Calibri"/>
      <family val="2"/>
      <scheme val="minor"/>
    </font>
    <font>
      <b/>
      <sz val="12"/>
      <color indexed="12"/>
      <name val="Arial"/>
      <family val="2"/>
    </font>
    <font>
      <b/>
      <sz val="12"/>
      <color indexed="10"/>
      <name val="Arial"/>
      <family val="2"/>
    </font>
    <font>
      <b/>
      <sz val="12"/>
      <color indexed="57"/>
      <name val="Arial"/>
      <family val="2"/>
    </font>
    <font>
      <b/>
      <sz val="12"/>
      <name val="Cambria"/>
      <family val="1"/>
      <scheme val="major"/>
    </font>
    <font>
      <b/>
      <sz val="12"/>
      <color theme="0"/>
      <name val="Calibri"/>
      <family val="2"/>
      <scheme val="minor"/>
    </font>
    <font>
      <sz val="12"/>
      <color theme="0"/>
      <name val="Calibri"/>
      <family val="2"/>
      <scheme val="minor"/>
    </font>
    <font>
      <i/>
      <sz val="12"/>
      <name val="Calibri"/>
      <family val="2"/>
      <scheme val="minor"/>
    </font>
    <font>
      <sz val="12"/>
      <color indexed="12"/>
      <name val="Calibri"/>
      <family val="2"/>
      <scheme val="minor"/>
    </font>
    <font>
      <sz val="12"/>
      <color indexed="57"/>
      <name val="Calibri"/>
      <family val="2"/>
      <scheme val="minor"/>
    </font>
    <font>
      <i/>
      <sz val="10"/>
      <name val="Calibri"/>
      <family val="2"/>
      <scheme val="minor"/>
    </font>
    <font>
      <b/>
      <sz val="7.5"/>
      <color theme="0"/>
      <name val="Arial"/>
      <family val="2"/>
    </font>
    <font>
      <b/>
      <i/>
      <sz val="9"/>
      <name val="Arial"/>
      <family val="2"/>
    </font>
    <font>
      <b/>
      <sz val="14"/>
      <color theme="0"/>
      <name val="Cambria"/>
      <family val="1"/>
      <scheme val="major"/>
    </font>
    <font>
      <sz val="9"/>
      <color theme="0"/>
      <name val="Arial"/>
      <family val="2"/>
    </font>
    <font>
      <b/>
      <sz val="18"/>
      <name val="Arial"/>
      <family val="2"/>
    </font>
    <font>
      <b/>
      <i/>
      <sz val="9"/>
      <color theme="0"/>
      <name val="Arial"/>
      <family val="2"/>
    </font>
    <font>
      <sz val="8"/>
      <name val="Verdana"/>
      <family val="2"/>
    </font>
    <font>
      <sz val="10"/>
      <color rgb="FFFF0000"/>
      <name val="Cambria"/>
      <family val="1"/>
      <scheme val="major"/>
    </font>
    <font>
      <b/>
      <sz val="12"/>
      <color theme="0"/>
      <name val="Cambria"/>
      <family val="1"/>
      <scheme val="major"/>
    </font>
    <font>
      <sz val="12"/>
      <color theme="0"/>
      <name val="Cambria"/>
      <family val="1"/>
      <scheme val="major"/>
    </font>
    <font>
      <b/>
      <sz val="14"/>
      <name val="Arial"/>
      <family val="2"/>
    </font>
    <font>
      <b/>
      <sz val="14"/>
      <color indexed="10"/>
      <name val="Arial"/>
      <family val="2"/>
    </font>
    <font>
      <b/>
      <sz val="14"/>
      <color indexed="57"/>
      <name val="Arial"/>
      <family val="2"/>
    </font>
    <font>
      <b/>
      <sz val="14"/>
      <color indexed="12"/>
      <name val="Arial"/>
      <family val="2"/>
    </font>
    <font>
      <b/>
      <sz val="16"/>
      <color theme="0"/>
      <name val="Trebuchet MS"/>
      <family val="2"/>
    </font>
    <font>
      <b/>
      <sz val="20"/>
      <name val="Arial"/>
      <family val="2"/>
    </font>
    <font>
      <sz val="10"/>
      <color indexed="10"/>
      <name val="Arial"/>
      <family val="2"/>
    </font>
    <font>
      <sz val="10"/>
      <color indexed="57"/>
      <name val="Arial"/>
      <family val="2"/>
    </font>
    <font>
      <b/>
      <u/>
      <sz val="16"/>
      <color theme="0"/>
      <name val="Arial"/>
      <family val="2"/>
    </font>
    <font>
      <b/>
      <u/>
      <sz val="11"/>
      <name val="Arial"/>
      <family val="2"/>
    </font>
    <font>
      <b/>
      <u/>
      <sz val="14"/>
      <color theme="0"/>
      <name val="Arial"/>
      <family val="2"/>
    </font>
    <font>
      <u/>
      <sz val="9"/>
      <name val="Arial"/>
      <family val="2"/>
    </font>
    <font>
      <b/>
      <sz val="10"/>
      <color theme="0"/>
      <name val="Arial Unicode MS"/>
      <family val="2"/>
    </font>
    <font>
      <b/>
      <sz val="8"/>
      <color theme="0"/>
      <name val="Arial Unicode MS"/>
      <family val="2"/>
    </font>
    <font>
      <b/>
      <sz val="14"/>
      <color theme="0"/>
      <name val="Arial Unicode MS"/>
      <family val="2"/>
    </font>
  </fonts>
  <fills count="20">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rgb="FF00FFFF"/>
        <bgColor indexed="64"/>
      </patternFill>
    </fill>
    <fill>
      <patternFill patternType="solid">
        <fgColor rgb="FFFF0000"/>
        <bgColor indexed="64"/>
      </patternFill>
    </fill>
    <fill>
      <patternFill patternType="solid">
        <fgColor rgb="FFFF99CC"/>
        <bgColor indexed="64"/>
      </patternFill>
    </fill>
    <fill>
      <patternFill patternType="solid">
        <fgColor rgb="FFFFCCFF"/>
        <bgColor indexed="64"/>
      </patternFill>
    </fill>
    <fill>
      <patternFill patternType="solid">
        <fgColor rgb="FFCCFF99"/>
        <bgColor indexed="64"/>
      </patternFill>
    </fill>
    <fill>
      <patternFill patternType="solid">
        <fgColor theme="4" tint="0.79998168889431442"/>
        <bgColor indexed="65"/>
      </patternFill>
    </fill>
    <fill>
      <patternFill patternType="solid">
        <fgColor rgb="FF33CCC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2060"/>
        <bgColor indexed="64"/>
      </patternFill>
    </fill>
  </fills>
  <borders count="189">
    <border>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style="double">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16"/>
      </left>
      <right style="medium">
        <color indexed="16"/>
      </right>
      <top style="thin">
        <color indexed="64"/>
      </top>
      <bottom style="thin">
        <color indexed="64"/>
      </bottom>
      <diagonal/>
    </border>
    <border>
      <left style="medium">
        <color indexed="16"/>
      </left>
      <right style="medium">
        <color indexed="16"/>
      </right>
      <top style="thin">
        <color indexed="64"/>
      </top>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theme="9" tint="-0.249977111117893"/>
      </right>
      <top/>
      <bottom/>
      <diagonal/>
    </border>
    <border>
      <left/>
      <right/>
      <top/>
      <bottom style="thin">
        <color rgb="FF6600FF"/>
      </bottom>
      <diagonal/>
    </border>
    <border>
      <left/>
      <right style="thin">
        <color rgb="FF6600FF"/>
      </right>
      <top style="thin">
        <color rgb="FF6600FF"/>
      </top>
      <bottom style="thin">
        <color rgb="FF6600FF"/>
      </bottom>
      <diagonal/>
    </border>
    <border>
      <left/>
      <right/>
      <top style="thin">
        <color rgb="FF6600FF"/>
      </top>
      <bottom style="thin">
        <color rgb="FF6600FF"/>
      </bottom>
      <diagonal/>
    </border>
    <border>
      <left/>
      <right style="thin">
        <color rgb="FF6600FF"/>
      </right>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medium">
        <color rgb="FF6600FF"/>
      </right>
      <top style="thin">
        <color rgb="FF6600FF"/>
      </top>
      <bottom style="thin">
        <color rgb="FF6600FF"/>
      </bottom>
      <diagonal/>
    </border>
    <border>
      <left style="medium">
        <color rgb="FF6600FF"/>
      </left>
      <right style="medium">
        <color rgb="FF6600FF"/>
      </right>
      <top/>
      <bottom style="thin">
        <color rgb="FF6600FF"/>
      </bottom>
      <diagonal/>
    </border>
    <border>
      <left/>
      <right style="medium">
        <color rgb="FF6600FF"/>
      </right>
      <top style="thin">
        <color rgb="FF6600FF"/>
      </top>
      <bottom style="thin">
        <color rgb="FF6600FF"/>
      </bottom>
      <diagonal/>
    </border>
    <border>
      <left/>
      <right style="medium">
        <color rgb="FF6600FF"/>
      </right>
      <top/>
      <bottom style="thin">
        <color rgb="FF6600FF"/>
      </bottom>
      <diagonal/>
    </border>
    <border>
      <left style="medium">
        <color rgb="FF6600FF"/>
      </left>
      <right style="medium">
        <color rgb="FF6600FF"/>
      </right>
      <top style="thin">
        <color rgb="FF6600FF"/>
      </top>
      <bottom style="medium">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right style="medium">
        <color rgb="FF6600FF"/>
      </right>
      <top style="thin">
        <color rgb="FF6600FF"/>
      </top>
      <bottom style="medium">
        <color rgb="FF6600FF"/>
      </bottom>
      <diagonal/>
    </border>
    <border>
      <left/>
      <right style="thin">
        <color theme="9" tint="-0.249977111117893"/>
      </right>
      <top style="thin">
        <color rgb="FF6600FF"/>
      </top>
      <bottom style="medium">
        <color rgb="FF6600FF"/>
      </bottom>
      <diagonal/>
    </border>
    <border>
      <left style="thin">
        <color theme="9" tint="-0.249977111117893"/>
      </left>
      <right style="medium">
        <color rgb="FF6600FF"/>
      </right>
      <top style="thin">
        <color rgb="FF6600FF"/>
      </top>
      <bottom style="medium">
        <color rgb="FF6600FF"/>
      </bottom>
      <diagonal/>
    </border>
    <border>
      <left style="medium">
        <color rgb="FF6600FF"/>
      </left>
      <right/>
      <top style="thin">
        <color rgb="FF6600FF"/>
      </top>
      <bottom style="medium">
        <color rgb="FF6600FF"/>
      </bottom>
      <diagonal/>
    </border>
    <border>
      <left/>
      <right/>
      <top style="thin">
        <color rgb="FF6600FF"/>
      </top>
      <bottom style="medium">
        <color rgb="FF6600FF"/>
      </bottom>
      <diagonal/>
    </border>
    <border>
      <left/>
      <right style="medium">
        <color rgb="FF6600FF"/>
      </right>
      <top/>
      <bottom/>
      <diagonal/>
    </border>
    <border>
      <left/>
      <right style="thin">
        <color rgb="FF6600FF"/>
      </right>
      <top style="thin">
        <color rgb="FF6600FF"/>
      </top>
      <bottom style="medium">
        <color rgb="FF6600FF"/>
      </bottom>
      <diagonal/>
    </border>
    <border>
      <left style="medium">
        <color rgb="FF6600FF"/>
      </left>
      <right style="thin">
        <color rgb="FF6600FF"/>
      </right>
      <top/>
      <bottom style="medium">
        <color rgb="FF6600FF"/>
      </bottom>
      <diagonal/>
    </border>
    <border>
      <left style="medium">
        <color rgb="FF6600FF"/>
      </left>
      <right style="thin">
        <color rgb="FF6600FF"/>
      </right>
      <top/>
      <bottom style="thin">
        <color rgb="FF6600FF"/>
      </bottom>
      <diagonal/>
    </border>
    <border>
      <left style="medium">
        <color rgb="FF6600FF"/>
      </left>
      <right/>
      <top style="thin">
        <color rgb="FF6600FF"/>
      </top>
      <bottom style="thin">
        <color rgb="FF6600FF"/>
      </bottom>
      <diagonal/>
    </border>
    <border>
      <left/>
      <right style="thin">
        <color rgb="FF6600FF"/>
      </right>
      <top/>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16"/>
      </right>
      <top style="medium">
        <color rgb="FFFF0000"/>
      </top>
      <bottom style="medium">
        <color rgb="FFFF0000"/>
      </bottom>
      <diagonal/>
    </border>
    <border>
      <left style="thin">
        <color indexed="64"/>
      </left>
      <right style="medium">
        <color rgb="FFFF0000"/>
      </right>
      <top style="medium">
        <color rgb="FFFF0000"/>
      </top>
      <bottom/>
      <diagonal/>
    </border>
    <border>
      <left/>
      <right style="medium">
        <color rgb="FFFF0000"/>
      </right>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medium">
        <color rgb="FFFF0000"/>
      </left>
      <right style="medium">
        <color rgb="FFFF0000"/>
      </right>
      <top style="medium">
        <color rgb="FFFF0000"/>
      </top>
      <bottom style="medium">
        <color rgb="FFFF0000"/>
      </bottom>
      <diagonal/>
    </border>
    <border>
      <left style="thick">
        <color theme="9" tint="-0.499984740745262"/>
      </left>
      <right style="thick">
        <color theme="9" tint="-0.499984740745262"/>
      </right>
      <top/>
      <bottom style="thick">
        <color theme="9" tint="-0.499984740745262"/>
      </bottom>
      <diagonal/>
    </border>
    <border>
      <left style="medium">
        <color rgb="FFFF0000"/>
      </left>
      <right style="medium">
        <color indexed="16"/>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indexed="16"/>
      </left>
      <right style="medium">
        <color rgb="FFFF0000"/>
      </right>
      <top style="medium">
        <color rgb="FFFF0000"/>
      </top>
      <bottom style="medium">
        <color rgb="FFFF0000"/>
      </bottom>
      <diagonal/>
    </border>
    <border>
      <left style="medium">
        <color indexed="16"/>
      </left>
      <right style="medium">
        <color rgb="FFFF0000"/>
      </right>
      <top style="thin">
        <color indexed="64"/>
      </top>
      <bottom style="thin">
        <color indexed="64"/>
      </bottom>
      <diagonal/>
    </border>
    <border>
      <left style="medium">
        <color indexed="16"/>
      </left>
      <right style="medium">
        <color rgb="FFFF0000"/>
      </right>
      <top style="thin">
        <color indexed="64"/>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right style="medium">
        <color rgb="FFFF0000"/>
      </right>
      <top style="thin">
        <color indexed="64"/>
      </top>
      <bottom style="thin">
        <color indexed="64"/>
      </bottom>
      <diagonal/>
    </border>
    <border>
      <left style="thin">
        <color indexed="64"/>
      </left>
      <right style="medium">
        <color rgb="FFFF0000"/>
      </right>
      <top/>
      <bottom/>
      <diagonal/>
    </border>
    <border>
      <left style="medium">
        <color rgb="FFFF0000"/>
      </left>
      <right style="thin">
        <color indexed="64"/>
      </right>
      <top style="medium">
        <color rgb="FFFF0000"/>
      </top>
      <bottom style="medium">
        <color rgb="FFFF0000"/>
      </bottom>
      <diagonal/>
    </border>
    <border>
      <left style="medium">
        <color indexed="16"/>
      </left>
      <right style="medium">
        <color rgb="FFFF0000"/>
      </right>
      <top style="medium">
        <color rgb="FFFF0000"/>
      </top>
      <bottom/>
      <diagonal/>
    </border>
    <border>
      <left style="medium">
        <color indexed="16"/>
      </left>
      <right style="medium">
        <color indexed="16"/>
      </right>
      <top style="medium">
        <color rgb="FFFF0000"/>
      </top>
      <bottom style="thin">
        <color indexed="64"/>
      </bottom>
      <diagonal/>
    </border>
    <border>
      <left style="medium">
        <color rgb="FFFF0000"/>
      </left>
      <right style="medium">
        <color rgb="FFFF0000"/>
      </right>
      <top style="medium">
        <color rgb="FFFF0000"/>
      </top>
      <bottom/>
      <diagonal/>
    </border>
    <border>
      <left style="medium">
        <color indexed="16"/>
      </left>
      <right/>
      <top style="medium">
        <color rgb="FFFF0000"/>
      </top>
      <bottom/>
      <diagonal/>
    </border>
    <border>
      <left style="medium">
        <color rgb="FFFF0000"/>
      </left>
      <right style="thin">
        <color indexed="64"/>
      </right>
      <top style="medium">
        <color rgb="FFFF0000"/>
      </top>
      <bottom style="medium">
        <color theme="1"/>
      </bottom>
      <diagonal/>
    </border>
    <border>
      <left style="thin">
        <color indexed="64"/>
      </left>
      <right style="medium">
        <color rgb="FFFF0000"/>
      </right>
      <top style="medium">
        <color rgb="FFFF0000"/>
      </top>
      <bottom style="medium">
        <color theme="1"/>
      </bottom>
      <diagonal/>
    </border>
    <border>
      <left style="thin">
        <color indexed="64"/>
      </left>
      <right style="thin">
        <color indexed="64"/>
      </right>
      <top style="medium">
        <color rgb="FFFF0000"/>
      </top>
      <bottom style="medium">
        <color theme="1"/>
      </bottom>
      <diagonal/>
    </border>
    <border>
      <left style="medium">
        <color rgb="FFFF0000"/>
      </left>
      <right style="thin">
        <color indexed="64"/>
      </right>
      <top style="medium">
        <color theme="1"/>
      </top>
      <bottom style="thin">
        <color indexed="64"/>
      </bottom>
      <diagonal/>
    </border>
    <border>
      <left style="medium">
        <color rgb="FFFF0000"/>
      </left>
      <right style="medium">
        <color rgb="FFFF0000"/>
      </right>
      <top style="medium">
        <color theme="1"/>
      </top>
      <bottom style="thin">
        <color indexed="64"/>
      </bottom>
      <diagonal/>
    </border>
    <border>
      <left style="medium">
        <color rgb="FFFF0000"/>
      </left>
      <right/>
      <top style="medium">
        <color rgb="FFFF0000"/>
      </top>
      <bottom/>
      <diagonal/>
    </border>
    <border>
      <left/>
      <right style="medium">
        <color rgb="FFFF0000"/>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rgb="FFFF0000"/>
      </left>
      <right style="thin">
        <color theme="1"/>
      </right>
      <top style="thin">
        <color theme="1"/>
      </top>
      <bottom style="thin">
        <color theme="1"/>
      </bottom>
      <diagonal/>
    </border>
    <border>
      <left style="medium">
        <color rgb="FFFF0000"/>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medium">
        <color rgb="FFFF0000"/>
      </right>
      <top style="medium">
        <color theme="1"/>
      </top>
      <bottom style="thin">
        <color theme="1"/>
      </bottom>
      <diagonal/>
    </border>
    <border>
      <left style="medium">
        <color rgb="FFFF0000"/>
      </left>
      <right style="thin">
        <color theme="1"/>
      </right>
      <top style="medium">
        <color theme="1"/>
      </top>
      <bottom style="thin">
        <color theme="1"/>
      </bottom>
      <diagonal/>
    </border>
    <border>
      <left style="medium">
        <color indexed="16"/>
      </left>
      <right style="thin">
        <color theme="1"/>
      </right>
      <top style="medium">
        <color theme="1"/>
      </top>
      <bottom style="thin">
        <color indexed="64"/>
      </bottom>
      <diagonal/>
    </border>
    <border>
      <left style="medium">
        <color rgb="FFFF0000"/>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rgb="FFFF0000"/>
      </top>
      <bottom style="thin">
        <color indexed="64"/>
      </bottom>
      <diagonal/>
    </border>
    <border>
      <left/>
      <right/>
      <top style="medium">
        <color rgb="FFFF0000"/>
      </top>
      <bottom/>
      <diagonal/>
    </border>
    <border>
      <left style="thin">
        <color indexed="64"/>
      </left>
      <right/>
      <top style="thin">
        <color indexed="64"/>
      </top>
      <bottom style="medium">
        <color rgb="FFFF0000"/>
      </bottom>
      <diagonal/>
    </border>
    <border>
      <left/>
      <right style="thin">
        <color indexed="64"/>
      </right>
      <top style="medium">
        <color theme="1"/>
      </top>
      <bottom style="thin">
        <color indexed="64"/>
      </bottom>
      <diagonal/>
    </border>
    <border>
      <left/>
      <right style="thin">
        <color indexed="64"/>
      </right>
      <top/>
      <bottom style="medium">
        <color rgb="FFFF0000"/>
      </bottom>
      <diagonal/>
    </border>
    <border>
      <left/>
      <right/>
      <top style="medium">
        <color rgb="FF6600FF"/>
      </top>
      <bottom/>
      <diagonal/>
    </border>
    <border>
      <left style="thin">
        <color rgb="FF6600FF"/>
      </left>
      <right/>
      <top style="thin">
        <color rgb="FF6600FF"/>
      </top>
      <bottom style="medium">
        <color rgb="FF6600FF"/>
      </bottom>
      <diagonal/>
    </border>
    <border>
      <left style="thin">
        <color rgb="FF6600FF"/>
      </left>
      <right/>
      <top style="thin">
        <color rgb="FF6600FF"/>
      </top>
      <bottom style="thin">
        <color rgb="FF6600FF"/>
      </bottom>
      <diagonal/>
    </border>
    <border>
      <left style="thin">
        <color rgb="FF6600FF"/>
      </left>
      <right/>
      <top style="medium">
        <color rgb="FFFF0000"/>
      </top>
      <bottom style="thin">
        <color rgb="FF6600FF"/>
      </bottom>
      <diagonal/>
    </border>
    <border>
      <left/>
      <right style="medium">
        <color rgb="FF6600FF"/>
      </right>
      <top style="medium">
        <color rgb="FFFF0000"/>
      </top>
      <bottom style="thin">
        <color rgb="FF6600FF"/>
      </bottom>
      <diagonal/>
    </border>
    <border>
      <left style="medium">
        <color rgb="FF6600FF"/>
      </left>
      <right/>
      <top style="medium">
        <color rgb="FFFF0000"/>
      </top>
      <bottom style="thin">
        <color rgb="FF6600FF"/>
      </bottom>
      <diagonal/>
    </border>
    <border>
      <left/>
      <right/>
      <top style="medium">
        <color rgb="FFFF0000"/>
      </top>
      <bottom style="thin">
        <color rgb="FF6600FF"/>
      </bottom>
      <diagonal/>
    </border>
    <border>
      <left/>
      <right style="thin">
        <color rgb="FF6600FF"/>
      </right>
      <top style="medium">
        <color rgb="FFFF0000"/>
      </top>
      <bottom style="thin">
        <color rgb="FF6600FF"/>
      </bottom>
      <diagonal/>
    </border>
    <border>
      <left style="medium">
        <color rgb="FFFF0000"/>
      </left>
      <right style="medium">
        <color rgb="FFFF0000"/>
      </right>
      <top/>
      <bottom style="medium">
        <color theme="1"/>
      </bottom>
      <diagonal/>
    </border>
    <border>
      <left/>
      <right style="medium">
        <color rgb="FFFF0000"/>
      </right>
      <top style="medium">
        <color rgb="FFFF0000"/>
      </top>
      <bottom/>
      <diagonal/>
    </border>
    <border>
      <left/>
      <right/>
      <top/>
      <bottom style="medium">
        <color rgb="FFFF0000"/>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right style="hair">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double">
        <color indexed="64"/>
      </top>
      <bottom style="double">
        <color indexed="64"/>
      </bottom>
      <diagonal/>
    </border>
    <border>
      <left style="thin">
        <color theme="0"/>
      </left>
      <right style="thin">
        <color theme="0"/>
      </right>
      <top/>
      <bottom/>
      <diagonal/>
    </border>
    <border>
      <left/>
      <right style="thin">
        <color theme="0"/>
      </right>
      <top style="thin">
        <color theme="0"/>
      </top>
      <bottom/>
      <diagonal/>
    </border>
    <border>
      <left/>
      <right style="thick">
        <color theme="3" tint="0.39997558519241921"/>
      </right>
      <top/>
      <bottom style="thin">
        <color indexed="64"/>
      </bottom>
      <diagonal/>
    </border>
  </borders>
  <cellStyleXfs count="7">
    <xf numFmtId="0" fontId="0" fillId="0" borderId="0"/>
    <xf numFmtId="167"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16" fillId="0" borderId="0"/>
    <xf numFmtId="9" fontId="95" fillId="0" borderId="0" applyFont="0" applyFill="0" applyBorder="0" applyAlignment="0" applyProtection="0"/>
    <xf numFmtId="0" fontId="1" fillId="13" borderId="0" applyNumberFormat="0" applyBorder="0" applyAlignment="0" applyProtection="0"/>
  </cellStyleXfs>
  <cellXfs count="1917">
    <xf numFmtId="0" fontId="0" fillId="0" borderId="0" xfId="0"/>
    <xf numFmtId="0" fontId="0" fillId="2" borderId="0" xfId="0" applyFill="1"/>
    <xf numFmtId="49" fontId="15" fillId="2" borderId="12" xfId="0" applyNumberFormat="1" applyFont="1" applyFill="1" applyBorder="1" applyAlignment="1">
      <alignment horizontal="center"/>
    </xf>
    <xf numFmtId="0" fontId="15" fillId="0" borderId="3" xfId="0" applyFont="1" applyBorder="1" applyAlignment="1">
      <alignment horizontal="center" vertical="center" wrapText="1"/>
    </xf>
    <xf numFmtId="49" fontId="14" fillId="2" borderId="17" xfId="0" applyNumberFormat="1" applyFont="1" applyFill="1" applyBorder="1" applyAlignment="1">
      <alignment horizontal="center"/>
    </xf>
    <xf numFmtId="49" fontId="14" fillId="2" borderId="18" xfId="0" applyNumberFormat="1" applyFont="1" applyFill="1" applyBorder="1" applyAlignment="1">
      <alignment horizontal="center"/>
    </xf>
    <xf numFmtId="49" fontId="14" fillId="2" borderId="19" xfId="0" applyNumberFormat="1" applyFont="1" applyFill="1" applyBorder="1" applyAlignment="1">
      <alignment horizontal="center"/>
    </xf>
    <xf numFmtId="0" fontId="5" fillId="0" borderId="0" xfId="0" applyFont="1"/>
    <xf numFmtId="0" fontId="15" fillId="2" borderId="22" xfId="0" applyFont="1" applyFill="1" applyBorder="1" applyAlignment="1">
      <alignment horizontal="left"/>
    </xf>
    <xf numFmtId="49" fontId="15" fillId="2" borderId="30" xfId="0" applyNumberFormat="1" applyFont="1" applyFill="1" applyBorder="1" applyAlignment="1">
      <alignment horizontal="center"/>
    </xf>
    <xf numFmtId="164" fontId="15" fillId="2" borderId="6" xfId="3" applyNumberFormat="1" applyFont="1" applyFill="1" applyBorder="1" applyAlignment="1">
      <alignment horizontal="right"/>
    </xf>
    <xf numFmtId="164" fontId="15" fillId="2" borderId="3" xfId="3" applyNumberFormat="1" applyFont="1" applyFill="1" applyBorder="1" applyAlignment="1">
      <alignment horizontal="right"/>
    </xf>
    <xf numFmtId="49" fontId="14" fillId="2" borderId="32" xfId="0" applyNumberFormat="1" applyFont="1" applyFill="1" applyBorder="1" applyAlignment="1">
      <alignment horizontal="center"/>
    </xf>
    <xf numFmtId="0" fontId="15" fillId="2" borderId="34" xfId="0" quotePrefix="1" applyFont="1" applyFill="1" applyBorder="1" applyAlignment="1">
      <alignment horizontal="left"/>
    </xf>
    <xf numFmtId="0" fontId="0" fillId="0" borderId="0" xfId="0" applyAlignment="1">
      <alignment horizontal="center"/>
    </xf>
    <xf numFmtId="49" fontId="0" fillId="0" borderId="0" xfId="0" applyNumberFormat="1"/>
    <xf numFmtId="0" fontId="19" fillId="0" borderId="0" xfId="0" applyFont="1"/>
    <xf numFmtId="0" fontId="11" fillId="0" borderId="0" xfId="0" applyFont="1"/>
    <xf numFmtId="4" fontId="25" fillId="0" borderId="12" xfId="1" applyNumberFormat="1" applyFont="1" applyFill="1" applyBorder="1"/>
    <xf numFmtId="164" fontId="29" fillId="0" borderId="12" xfId="3" applyNumberFormat="1" applyFont="1" applyFill="1" applyBorder="1" applyAlignment="1">
      <alignment horizontal="right"/>
    </xf>
    <xf numFmtId="49" fontId="15" fillId="2" borderId="46" xfId="0" applyNumberFormat="1" applyFont="1" applyFill="1" applyBorder="1" applyAlignment="1">
      <alignment horizontal="center"/>
    </xf>
    <xf numFmtId="0" fontId="34" fillId="0" borderId="0" xfId="0" applyFont="1"/>
    <xf numFmtId="0" fontId="22" fillId="0" borderId="0" xfId="0" applyFont="1"/>
    <xf numFmtId="0" fontId="23" fillId="0" borderId="0" xfId="0" applyFont="1"/>
    <xf numFmtId="169" fontId="23" fillId="0" borderId="0" xfId="0" applyNumberFormat="1" applyFont="1"/>
    <xf numFmtId="0" fontId="5" fillId="0" borderId="0" xfId="0" applyFont="1" applyAlignment="1">
      <alignment horizontal="center"/>
    </xf>
    <xf numFmtId="0" fontId="5" fillId="0" borderId="40" xfId="0" applyFont="1" applyBorder="1" applyAlignment="1">
      <alignment horizontal="center"/>
    </xf>
    <xf numFmtId="164" fontId="5" fillId="0" borderId="0" xfId="0" applyNumberFormat="1" applyFont="1"/>
    <xf numFmtId="0" fontId="5" fillId="0" borderId="0" xfId="0" quotePrefix="1" applyFont="1" applyAlignment="1">
      <alignment horizontal="center"/>
    </xf>
    <xf numFmtId="164" fontId="5" fillId="0" borderId="0" xfId="0" applyNumberFormat="1" applyFont="1" applyAlignment="1">
      <alignment horizontal="center"/>
    </xf>
    <xf numFmtId="49" fontId="5" fillId="0" borderId="0" xfId="0" applyNumberFormat="1" applyFont="1" applyAlignment="1">
      <alignment horizontal="left"/>
    </xf>
    <xf numFmtId="164" fontId="6" fillId="0" borderId="0" xfId="0" applyNumberFormat="1" applyFont="1" applyAlignment="1">
      <alignment horizontal="center"/>
    </xf>
    <xf numFmtId="0" fontId="6" fillId="0" borderId="0" xfId="0" quotePrefix="1" applyFont="1" applyAlignment="1">
      <alignment horizontal="center"/>
    </xf>
    <xf numFmtId="164" fontId="6" fillId="0" borderId="40" xfId="0" applyNumberFormat="1" applyFont="1" applyBorder="1" applyAlignment="1">
      <alignment horizontal="center"/>
    </xf>
    <xf numFmtId="164" fontId="5" fillId="0" borderId="40" xfId="0" applyNumberFormat="1" applyFont="1" applyBorder="1"/>
    <xf numFmtId="171" fontId="5" fillId="0" borderId="0" xfId="0" applyNumberFormat="1" applyFont="1" applyAlignment="1">
      <alignment horizontal="center"/>
    </xf>
    <xf numFmtId="0" fontId="6" fillId="0" borderId="0" xfId="0" quotePrefix="1" applyFont="1" applyAlignment="1">
      <alignment horizontal="center" vertical="center"/>
    </xf>
    <xf numFmtId="172" fontId="6" fillId="0" borderId="0" xfId="0" quotePrefix="1" applyNumberFormat="1" applyFont="1" applyAlignment="1">
      <alignment horizontal="center" vertical="center"/>
    </xf>
    <xf numFmtId="0" fontId="33" fillId="0" borderId="0" xfId="0" applyFont="1"/>
    <xf numFmtId="0" fontId="5" fillId="0" borderId="1" xfId="0" applyFont="1" applyBorder="1"/>
    <xf numFmtId="0" fontId="16" fillId="0" borderId="0" xfId="0" applyFont="1"/>
    <xf numFmtId="0" fontId="23" fillId="0" borderId="0" xfId="0" applyFont="1" applyAlignment="1">
      <alignment horizontal="center"/>
    </xf>
    <xf numFmtId="0" fontId="23" fillId="2" borderId="0" xfId="0" applyFont="1" applyFill="1"/>
    <xf numFmtId="49" fontId="0" fillId="0" borderId="0" xfId="0" applyNumberFormat="1" applyAlignment="1">
      <alignment horizontal="center"/>
    </xf>
    <xf numFmtId="0" fontId="37" fillId="0" borderId="0" xfId="0" applyFont="1" applyAlignment="1">
      <alignment horizontal="left"/>
    </xf>
    <xf numFmtId="168" fontId="40" fillId="0" borderId="0" xfId="1" applyNumberFormat="1" applyFont="1" applyFill="1" applyBorder="1"/>
    <xf numFmtId="164" fontId="28" fillId="0" borderId="12" xfId="3" applyNumberFormat="1" applyFont="1" applyFill="1" applyBorder="1" applyAlignment="1">
      <alignment horizontal="right"/>
    </xf>
    <xf numFmtId="164" fontId="27" fillId="0" borderId="0" xfId="3" applyNumberFormat="1" applyFont="1" applyFill="1" applyBorder="1" applyAlignment="1">
      <alignment horizontal="right"/>
    </xf>
    <xf numFmtId="168" fontId="0" fillId="0" borderId="0" xfId="0" applyNumberFormat="1"/>
    <xf numFmtId="168" fontId="5" fillId="0" borderId="0" xfId="0" applyNumberFormat="1" applyFont="1"/>
    <xf numFmtId="0" fontId="30" fillId="2" borderId="0" xfId="0" applyFont="1" applyFill="1" applyAlignment="1">
      <alignment horizontal="left"/>
    </xf>
    <xf numFmtId="0" fontId="28" fillId="0" borderId="0" xfId="0" applyFont="1"/>
    <xf numFmtId="0" fontId="48" fillId="0" borderId="0" xfId="0" applyFont="1"/>
    <xf numFmtId="4" fontId="22" fillId="0" borderId="0" xfId="0" applyNumberFormat="1" applyFont="1" applyAlignment="1">
      <alignment horizontal="right" vertical="center"/>
    </xf>
    <xf numFmtId="0" fontId="50" fillId="0" borderId="0" xfId="0" applyFont="1"/>
    <xf numFmtId="0" fontId="29" fillId="0" borderId="0" xfId="0" applyFont="1"/>
    <xf numFmtId="0" fontId="51" fillId="0" borderId="0" xfId="0" applyFont="1"/>
    <xf numFmtId="0" fontId="53" fillId="0" borderId="0" xfId="0" applyFont="1"/>
    <xf numFmtId="0" fontId="55" fillId="0" borderId="0" xfId="0" applyFont="1"/>
    <xf numFmtId="0" fontId="56" fillId="0" borderId="0" xfId="0" applyFont="1"/>
    <xf numFmtId="49" fontId="16" fillId="0" borderId="12" xfId="1" applyNumberFormat="1" applyFont="1" applyFill="1" applyBorder="1" applyAlignment="1">
      <alignment horizontal="center"/>
    </xf>
    <xf numFmtId="49" fontId="16" fillId="0" borderId="12" xfId="1" quotePrefix="1" applyNumberFormat="1" applyFont="1" applyFill="1" applyBorder="1" applyAlignment="1">
      <alignment horizontal="center"/>
    </xf>
    <xf numFmtId="0" fontId="16" fillId="0" borderId="0" xfId="0" applyFont="1" applyAlignment="1">
      <alignment horizontal="center"/>
    </xf>
    <xf numFmtId="49" fontId="16" fillId="0" borderId="0" xfId="1" applyNumberFormat="1" applyFont="1" applyFill="1" applyBorder="1" applyAlignment="1">
      <alignment horizontal="center"/>
    </xf>
    <xf numFmtId="165" fontId="52" fillId="0" borderId="0" xfId="2" applyFont="1" applyFill="1" applyAlignment="1"/>
    <xf numFmtId="165" fontId="18" fillId="0" borderId="0" xfId="2" applyFont="1" applyFill="1" applyAlignment="1" applyProtection="1">
      <protection locked="0"/>
    </xf>
    <xf numFmtId="165" fontId="31" fillId="0" borderId="0" xfId="2" applyFont="1" applyFill="1" applyAlignment="1"/>
    <xf numFmtId="0" fontId="58" fillId="0" borderId="0" xfId="0" applyFont="1"/>
    <xf numFmtId="0" fontId="5" fillId="0" borderId="0" xfId="0" applyFont="1" applyAlignment="1">
      <alignment horizontal="left"/>
    </xf>
    <xf numFmtId="0" fontId="12" fillId="0" borderId="0" xfId="0" applyFont="1" applyAlignment="1">
      <alignment horizontal="center"/>
    </xf>
    <xf numFmtId="0" fontId="59" fillId="0" borderId="0" xfId="0" applyFont="1"/>
    <xf numFmtId="49" fontId="15" fillId="0" borderId="12" xfId="0" applyNumberFormat="1" applyFont="1" applyBorder="1" applyAlignment="1">
      <alignment horizontal="center"/>
    </xf>
    <xf numFmtId="49" fontId="15" fillId="0" borderId="12" xfId="0" quotePrefix="1" applyNumberFormat="1" applyFont="1" applyBorder="1" applyAlignment="1">
      <alignment horizontal="center"/>
    </xf>
    <xf numFmtId="0" fontId="0" fillId="0" borderId="12" xfId="0" applyBorder="1" applyAlignment="1">
      <alignment horizontal="center"/>
    </xf>
    <xf numFmtId="0" fontId="15" fillId="0" borderId="12" xfId="0" applyFont="1" applyBorder="1" applyAlignment="1">
      <alignment horizontal="center"/>
    </xf>
    <xf numFmtId="0" fontId="16" fillId="0" borderId="12" xfId="0" applyFont="1" applyBorder="1" applyAlignment="1">
      <alignment horizontal="center"/>
    </xf>
    <xf numFmtId="0" fontId="25" fillId="0" borderId="12" xfId="0" applyFont="1" applyBorder="1"/>
    <xf numFmtId="0" fontId="16" fillId="0" borderId="12" xfId="0" applyFont="1" applyBorder="1"/>
    <xf numFmtId="0" fontId="16" fillId="0" borderId="44" xfId="0" applyFont="1" applyBorder="1"/>
    <xf numFmtId="164" fontId="29" fillId="0" borderId="0" xfId="3" applyNumberFormat="1" applyFont="1" applyFill="1" applyBorder="1" applyAlignment="1">
      <alignment horizontal="right"/>
    </xf>
    <xf numFmtId="0" fontId="11" fillId="0" borderId="0" xfId="0" quotePrefix="1" applyFont="1" applyAlignment="1">
      <alignment horizontal="left"/>
    </xf>
    <xf numFmtId="164" fontId="29" fillId="0" borderId="0" xfId="0" applyNumberFormat="1" applyFont="1"/>
    <xf numFmtId="164" fontId="0" fillId="0" borderId="0" xfId="0" applyNumberFormat="1"/>
    <xf numFmtId="0" fontId="22" fillId="0" borderId="12" xfId="0" applyFont="1" applyBorder="1" applyAlignment="1">
      <alignment horizontal="center"/>
    </xf>
    <xf numFmtId="0" fontId="15" fillId="0" borderId="54" xfId="0" applyFont="1" applyBorder="1" applyAlignment="1">
      <alignment horizontal="center"/>
    </xf>
    <xf numFmtId="0" fontId="38" fillId="0" borderId="12" xfId="0" applyFont="1" applyBorder="1" applyAlignment="1">
      <alignment horizontal="left"/>
    </xf>
    <xf numFmtId="49" fontId="15" fillId="0" borderId="0" xfId="0" quotePrefix="1" applyNumberFormat="1" applyFont="1" applyAlignment="1">
      <alignment horizontal="center"/>
    </xf>
    <xf numFmtId="49" fontId="15" fillId="0" borderId="0" xfId="0" applyNumberFormat="1" applyFont="1" applyAlignment="1">
      <alignment horizontal="center"/>
    </xf>
    <xf numFmtId="0" fontId="38" fillId="0" borderId="0" xfId="0" applyFont="1" applyAlignment="1">
      <alignment horizontal="left"/>
    </xf>
    <xf numFmtId="168" fontId="39" fillId="0" borderId="0" xfId="1" applyNumberFormat="1" applyFont="1" applyFill="1" applyBorder="1"/>
    <xf numFmtId="0" fontId="36" fillId="0" borderId="0" xfId="0" applyFont="1" applyAlignment="1">
      <alignment horizontal="left"/>
    </xf>
    <xf numFmtId="168" fontId="42" fillId="0" borderId="0" xfId="1" applyNumberFormat="1" applyFont="1" applyFill="1" applyBorder="1"/>
    <xf numFmtId="168" fontId="43" fillId="0" borderId="0" xfId="1" applyNumberFormat="1" applyFont="1" applyFill="1" applyBorder="1"/>
    <xf numFmtId="168" fontId="29" fillId="0" borderId="0" xfId="1" applyNumberFormat="1" applyFont="1" applyFill="1" applyBorder="1"/>
    <xf numFmtId="168" fontId="29" fillId="0" borderId="0" xfId="0" applyNumberFormat="1" applyFont="1"/>
    <xf numFmtId="168" fontId="43" fillId="0" borderId="0" xfId="0" quotePrefix="1" applyNumberFormat="1" applyFont="1" applyAlignment="1">
      <alignment horizontal="left"/>
    </xf>
    <xf numFmtId="168" fontId="43" fillId="0" borderId="0" xfId="0" applyNumberFormat="1" applyFont="1"/>
    <xf numFmtId="0" fontId="16" fillId="0" borderId="2" xfId="0" applyFont="1" applyBorder="1" applyAlignment="1">
      <alignment horizontal="center"/>
    </xf>
    <xf numFmtId="0" fontId="15" fillId="0" borderId="0" xfId="0" applyFont="1" applyAlignment="1">
      <alignment horizontal="center"/>
    </xf>
    <xf numFmtId="0" fontId="9" fillId="0" borderId="0" xfId="0" applyFont="1" applyAlignment="1">
      <alignment horizontal="center"/>
    </xf>
    <xf numFmtId="0" fontId="7" fillId="0" borderId="0" xfId="0" applyFont="1" applyAlignment="1">
      <alignment horizontal="right"/>
    </xf>
    <xf numFmtId="49" fontId="9" fillId="0" borderId="0" xfId="0" applyNumberFormat="1" applyFont="1" applyAlignment="1">
      <alignment horizontal="center"/>
    </xf>
    <xf numFmtId="49" fontId="10" fillId="0" borderId="0" xfId="0" applyNumberFormat="1" applyFont="1" applyAlignment="1">
      <alignment horizontal="center"/>
    </xf>
    <xf numFmtId="49" fontId="5" fillId="0" borderId="0" xfId="0" applyNumberFormat="1" applyFont="1" applyAlignment="1">
      <alignment horizontal="center"/>
    </xf>
    <xf numFmtId="0" fontId="8" fillId="0" borderId="0" xfId="0" applyFont="1"/>
    <xf numFmtId="0" fontId="7" fillId="0" borderId="0" xfId="0" applyFont="1" applyAlignment="1">
      <alignment horizontal="left"/>
    </xf>
    <xf numFmtId="0" fontId="21" fillId="0" borderId="0" xfId="0" applyFont="1" applyAlignment="1">
      <alignment horizontal="center"/>
    </xf>
    <xf numFmtId="49" fontId="6" fillId="0" borderId="0" xfId="0" applyNumberFormat="1" applyFont="1" applyAlignment="1">
      <alignment horizontal="left"/>
    </xf>
    <xf numFmtId="0" fontId="6" fillId="0" borderId="0" xfId="0" applyFont="1" applyAlignment="1">
      <alignment horizontal="left"/>
    </xf>
    <xf numFmtId="0" fontId="58" fillId="0" borderId="0" xfId="0" applyFont="1" applyAlignment="1">
      <alignment horizontal="center"/>
    </xf>
    <xf numFmtId="166" fontId="0" fillId="0" borderId="0" xfId="3" applyFont="1" applyFill="1"/>
    <xf numFmtId="4" fontId="5" fillId="0" borderId="0" xfId="0" applyNumberFormat="1" applyFont="1"/>
    <xf numFmtId="164" fontId="16" fillId="2" borderId="0" xfId="3" applyNumberFormat="1" applyFont="1" applyFill="1" applyBorder="1" applyAlignment="1">
      <alignment horizontal="right"/>
    </xf>
    <xf numFmtId="168" fontId="53" fillId="0" borderId="30" xfId="3" applyNumberFormat="1" applyFont="1" applyFill="1" applyBorder="1" applyAlignment="1">
      <alignment horizontal="right"/>
    </xf>
    <xf numFmtId="168" fontId="53" fillId="0" borderId="55" xfId="3" applyNumberFormat="1" applyFont="1" applyFill="1" applyBorder="1" applyAlignment="1">
      <alignment horizontal="right"/>
    </xf>
    <xf numFmtId="168" fontId="53" fillId="0" borderId="56" xfId="3" applyNumberFormat="1" applyFont="1" applyFill="1" applyBorder="1" applyAlignment="1">
      <alignment horizontal="right"/>
    </xf>
    <xf numFmtId="168" fontId="53" fillId="0" borderId="12" xfId="3" applyNumberFormat="1" applyFont="1" applyFill="1" applyBorder="1" applyAlignment="1">
      <alignment horizontal="right"/>
    </xf>
    <xf numFmtId="168" fontId="53" fillId="0" borderId="54" xfId="3" applyNumberFormat="1" applyFont="1" applyFill="1" applyBorder="1" applyAlignment="1">
      <alignment horizontal="right"/>
    </xf>
    <xf numFmtId="168" fontId="53" fillId="0" borderId="12" xfId="0" applyNumberFormat="1" applyFont="1" applyBorder="1"/>
    <xf numFmtId="168" fontId="53" fillId="0" borderId="56" xfId="0" applyNumberFormat="1" applyFont="1" applyBorder="1"/>
    <xf numFmtId="168" fontId="53" fillId="0" borderId="54" xfId="0" applyNumberFormat="1" applyFont="1" applyBorder="1"/>
    <xf numFmtId="168" fontId="60" fillId="0" borderId="56" xfId="0" applyNumberFormat="1" applyFont="1" applyBorder="1"/>
    <xf numFmtId="168" fontId="60" fillId="0" borderId="12" xfId="0" applyNumberFormat="1" applyFont="1" applyBorder="1"/>
    <xf numFmtId="168" fontId="60" fillId="0" borderId="54" xfId="0" applyNumberFormat="1" applyFont="1" applyBorder="1"/>
    <xf numFmtId="168" fontId="60" fillId="0" borderId="44" xfId="0" applyNumberFormat="1" applyFont="1" applyBorder="1"/>
    <xf numFmtId="168" fontId="60" fillId="0" borderId="18" xfId="0" applyNumberFormat="1" applyFont="1" applyBorder="1"/>
    <xf numFmtId="168" fontId="60" fillId="0" borderId="69" xfId="0" applyNumberFormat="1" applyFont="1" applyBorder="1"/>
    <xf numFmtId="0" fontId="49" fillId="0" borderId="0" xfId="0" applyFont="1" applyAlignment="1">
      <alignment wrapText="1"/>
    </xf>
    <xf numFmtId="164" fontId="61" fillId="0" borderId="0" xfId="0" applyNumberFormat="1" applyFont="1" applyAlignment="1">
      <alignment horizontal="right"/>
    </xf>
    <xf numFmtId="164" fontId="61" fillId="0" borderId="53" xfId="0" applyNumberFormat="1" applyFont="1" applyBorder="1" applyAlignment="1">
      <alignment horizontal="right"/>
    </xf>
    <xf numFmtId="164" fontId="61" fillId="0" borderId="0" xfId="0" applyNumberFormat="1" applyFont="1"/>
    <xf numFmtId="170" fontId="61" fillId="0" borderId="10" xfId="0" applyNumberFormat="1" applyFont="1" applyBorder="1"/>
    <xf numFmtId="49" fontId="55" fillId="0" borderId="0" xfId="0" applyNumberFormat="1" applyFont="1" applyAlignment="1">
      <alignment horizontal="center"/>
    </xf>
    <xf numFmtId="165" fontId="55" fillId="0" borderId="0" xfId="2" applyFont="1" applyFill="1" applyBorder="1" applyAlignment="1">
      <alignment horizontal="center"/>
    </xf>
    <xf numFmtId="4" fontId="55" fillId="0" borderId="0" xfId="0" applyNumberFormat="1" applyFont="1"/>
    <xf numFmtId="166" fontId="13" fillId="2" borderId="0" xfId="3" applyFont="1" applyFill="1"/>
    <xf numFmtId="166" fontId="13" fillId="0" borderId="0" xfId="3" applyFont="1" applyFill="1"/>
    <xf numFmtId="166" fontId="63" fillId="2" borderId="0" xfId="3" applyFont="1" applyFill="1"/>
    <xf numFmtId="166" fontId="13" fillId="0" borderId="0" xfId="3" applyFont="1" applyFill="1" applyAlignment="1">
      <alignment horizontal="left"/>
    </xf>
    <xf numFmtId="168" fontId="64" fillId="0" borderId="12" xfId="3" applyNumberFormat="1" applyFont="1" applyFill="1" applyBorder="1" applyAlignment="1">
      <alignment horizontal="right"/>
    </xf>
    <xf numFmtId="0" fontId="66" fillId="0" borderId="0" xfId="0" applyFont="1"/>
    <xf numFmtId="0" fontId="67" fillId="0" borderId="0" xfId="0" applyFont="1"/>
    <xf numFmtId="0" fontId="68" fillId="0" borderId="0" xfId="0" applyFont="1"/>
    <xf numFmtId="168" fontId="53" fillId="0" borderId="60" xfId="3" applyNumberFormat="1" applyFont="1" applyFill="1" applyBorder="1" applyAlignment="1">
      <alignment horizontal="right"/>
    </xf>
    <xf numFmtId="0" fontId="70" fillId="0" borderId="0" xfId="0" applyFont="1"/>
    <xf numFmtId="0" fontId="53" fillId="2" borderId="0" xfId="0" applyFont="1" applyFill="1"/>
    <xf numFmtId="49" fontId="53" fillId="0" borderId="73" xfId="1" applyNumberFormat="1" applyFont="1" applyFill="1" applyBorder="1" applyAlignment="1">
      <alignment horizontal="left" vertical="center"/>
    </xf>
    <xf numFmtId="0" fontId="60" fillId="0" borderId="0" xfId="0" applyFont="1"/>
    <xf numFmtId="0" fontId="60" fillId="0" borderId="73" xfId="0" applyFont="1" applyBorder="1" applyAlignment="1">
      <alignment horizontal="left" vertical="center"/>
    </xf>
    <xf numFmtId="0" fontId="60" fillId="0" borderId="74" xfId="0" applyFont="1" applyBorder="1" applyAlignment="1">
      <alignment horizontal="left" vertical="center"/>
    </xf>
    <xf numFmtId="0" fontId="65" fillId="0" borderId="0" xfId="0" applyFont="1" applyAlignment="1">
      <alignment wrapText="1"/>
    </xf>
    <xf numFmtId="168" fontId="50" fillId="0" borderId="12" xfId="0" applyNumberFormat="1" applyFont="1" applyBorder="1"/>
    <xf numFmtId="0" fontId="53" fillId="3" borderId="0" xfId="0" applyFont="1" applyFill="1"/>
    <xf numFmtId="0" fontId="53" fillId="0" borderId="73" xfId="0" applyFont="1" applyBorder="1" applyAlignment="1">
      <alignment horizontal="left" vertical="center"/>
    </xf>
    <xf numFmtId="49" fontId="16" fillId="0" borderId="12" xfId="1" applyNumberFormat="1" applyFont="1" applyFill="1" applyBorder="1" applyAlignment="1">
      <alignment horizontal="left"/>
    </xf>
    <xf numFmtId="0" fontId="53" fillId="0" borderId="90" xfId="0" applyFont="1" applyBorder="1" applyAlignment="1">
      <alignment horizontal="right"/>
    </xf>
    <xf numFmtId="168" fontId="53" fillId="0" borderId="93" xfId="0" applyNumberFormat="1" applyFont="1" applyBorder="1"/>
    <xf numFmtId="0" fontId="50" fillId="0" borderId="91" xfId="0" applyFont="1" applyBorder="1"/>
    <xf numFmtId="168" fontId="53" fillId="0" borderId="95" xfId="0" applyNumberFormat="1" applyFont="1" applyBorder="1"/>
    <xf numFmtId="0" fontId="53" fillId="0" borderId="95" xfId="0" applyFont="1" applyBorder="1" applyAlignment="1">
      <alignment horizontal="left"/>
    </xf>
    <xf numFmtId="0" fontId="53" fillId="0" borderId="96" xfId="0" applyFont="1" applyBorder="1"/>
    <xf numFmtId="168" fontId="53" fillId="0" borderId="92" xfId="0" applyNumberFormat="1" applyFont="1" applyBorder="1"/>
    <xf numFmtId="0" fontId="50" fillId="0" borderId="98" xfId="0" applyFont="1" applyBorder="1"/>
    <xf numFmtId="164" fontId="53" fillId="0" borderId="99" xfId="0" applyNumberFormat="1" applyFont="1" applyBorder="1"/>
    <xf numFmtId="0" fontId="53" fillId="0" borderId="100" xfId="0" applyFont="1" applyBorder="1"/>
    <xf numFmtId="168" fontId="53" fillId="0" borderId="97" xfId="0" applyNumberFormat="1" applyFont="1" applyBorder="1"/>
    <xf numFmtId="0" fontId="53" fillId="0" borderId="101" xfId="0" applyFont="1" applyBorder="1"/>
    <xf numFmtId="0" fontId="53" fillId="0" borderId="102" xfId="0" applyFont="1" applyBorder="1"/>
    <xf numFmtId="0" fontId="53" fillId="0" borderId="105" xfId="0" applyFont="1" applyBorder="1"/>
    <xf numFmtId="0" fontId="65" fillId="0" borderId="105" xfId="0" applyFont="1" applyBorder="1" applyAlignment="1">
      <alignment wrapText="1"/>
    </xf>
    <xf numFmtId="0" fontId="50" fillId="0" borderId="110" xfId="0" applyFont="1" applyBorder="1"/>
    <xf numFmtId="166" fontId="53" fillId="0" borderId="94" xfId="3" applyFont="1" applyFill="1" applyBorder="1"/>
    <xf numFmtId="0" fontId="72" fillId="0" borderId="88" xfId="0" applyFont="1" applyBorder="1"/>
    <xf numFmtId="168" fontId="53" fillId="0" borderId="96" xfId="0" applyNumberFormat="1" applyFont="1" applyBorder="1"/>
    <xf numFmtId="0" fontId="50" fillId="0" borderId="108" xfId="0" applyFont="1" applyBorder="1"/>
    <xf numFmtId="0" fontId="50" fillId="0" borderId="107" xfId="0" applyFont="1" applyBorder="1"/>
    <xf numFmtId="0" fontId="50" fillId="0" borderId="89" xfId="0" applyFont="1" applyBorder="1"/>
    <xf numFmtId="0" fontId="58" fillId="0" borderId="108" xfId="0" applyFont="1" applyBorder="1"/>
    <xf numFmtId="0" fontId="0" fillId="0" borderId="0" xfId="0" applyAlignment="1">
      <alignment wrapText="1"/>
    </xf>
    <xf numFmtId="166" fontId="5" fillId="2" borderId="0" xfId="3" applyFont="1" applyFill="1"/>
    <xf numFmtId="166" fontId="53" fillId="0" borderId="12" xfId="3" applyFont="1" applyFill="1" applyBorder="1"/>
    <xf numFmtId="49" fontId="16" fillId="0" borderId="12" xfId="0" applyNumberFormat="1" applyFont="1" applyBorder="1" applyAlignment="1">
      <alignment horizontal="left"/>
    </xf>
    <xf numFmtId="170" fontId="16" fillId="0" borderId="12" xfId="0" applyNumberFormat="1" applyFont="1" applyBorder="1"/>
    <xf numFmtId="170" fontId="22" fillId="0" borderId="12" xfId="0" applyNumberFormat="1" applyFont="1" applyBorder="1"/>
    <xf numFmtId="0" fontId="77" fillId="0" borderId="1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6" xfId="0" applyFont="1" applyBorder="1"/>
    <xf numFmtId="166" fontId="16" fillId="0" borderId="12" xfId="3" applyFont="1" applyFill="1" applyBorder="1"/>
    <xf numFmtId="173" fontId="22" fillId="0" borderId="56" xfId="0" applyNumberFormat="1" applyFont="1" applyBorder="1"/>
    <xf numFmtId="0" fontId="16" fillId="0" borderId="18" xfId="0" applyFont="1" applyBorder="1"/>
    <xf numFmtId="3" fontId="22" fillId="0" borderId="12" xfId="0" applyNumberFormat="1" applyFont="1" applyBorder="1" applyAlignment="1">
      <alignment horizontal="center"/>
    </xf>
    <xf numFmtId="3" fontId="22" fillId="0" borderId="12" xfId="0" applyNumberFormat="1" applyFont="1" applyBorder="1"/>
    <xf numFmtId="0" fontId="16" fillId="0" borderId="52" xfId="0" applyFont="1" applyBorder="1"/>
    <xf numFmtId="0" fontId="16" fillId="0" borderId="53" xfId="0" applyFont="1" applyBorder="1"/>
    <xf numFmtId="0" fontId="79" fillId="0" borderId="69" xfId="0" applyFont="1" applyBorder="1"/>
    <xf numFmtId="0" fontId="16" fillId="0" borderId="33" xfId="0" applyFont="1" applyBorder="1"/>
    <xf numFmtId="0" fontId="16" fillId="0" borderId="69" xfId="0" applyFont="1" applyBorder="1"/>
    <xf numFmtId="0" fontId="79" fillId="0" borderId="52" xfId="0" applyFont="1" applyBorder="1"/>
    <xf numFmtId="0" fontId="16" fillId="0" borderId="40" xfId="0" applyFont="1" applyBorder="1"/>
    <xf numFmtId="0" fontId="16" fillId="0" borderId="55" xfId="0" applyFont="1" applyBorder="1"/>
    <xf numFmtId="0" fontId="16" fillId="0" borderId="60" xfId="0" applyFont="1" applyBorder="1"/>
    <xf numFmtId="0" fontId="87" fillId="0" borderId="0" xfId="0" applyFont="1" applyAlignment="1">
      <alignment wrapText="1"/>
    </xf>
    <xf numFmtId="166" fontId="89" fillId="0" borderId="0" xfId="3" applyFont="1" applyFill="1"/>
    <xf numFmtId="0" fontId="89" fillId="0" borderId="0" xfId="0" applyFont="1"/>
    <xf numFmtId="0" fontId="90" fillId="0" borderId="0" xfId="0" applyFont="1"/>
    <xf numFmtId="0" fontId="87" fillId="0" borderId="0" xfId="0" applyFont="1"/>
    <xf numFmtId="49" fontId="87" fillId="0" borderId="0" xfId="0" applyNumberFormat="1" applyFont="1" applyAlignment="1">
      <alignment wrapText="1"/>
    </xf>
    <xf numFmtId="0" fontId="15" fillId="2" borderId="37" xfId="0" quotePrefix="1" applyFont="1" applyFill="1" applyBorder="1" applyAlignment="1">
      <alignment horizontal="left"/>
    </xf>
    <xf numFmtId="49" fontId="29" fillId="0" borderId="12" xfId="4" applyNumberFormat="1" applyFont="1" applyBorder="1" applyAlignment="1">
      <alignment horizontal="left" vertical="center"/>
    </xf>
    <xf numFmtId="4" fontId="29" fillId="0" borderId="12" xfId="1" applyNumberFormat="1" applyFont="1" applyFill="1" applyBorder="1" applyAlignment="1">
      <alignment horizontal="left" vertical="center" wrapText="1"/>
    </xf>
    <xf numFmtId="49" fontId="29" fillId="0" borderId="12" xfId="4" applyNumberFormat="1" applyFont="1" applyBorder="1" applyAlignment="1">
      <alignment horizontal="justify" vertical="center" wrapText="1"/>
    </xf>
    <xf numFmtId="166" fontId="29" fillId="0" borderId="12" xfId="3" applyFont="1" applyFill="1" applyBorder="1" applyAlignment="1">
      <alignment vertical="center"/>
    </xf>
    <xf numFmtId="0" fontId="29" fillId="0" borderId="12" xfId="0" applyFont="1" applyBorder="1" applyAlignment="1">
      <alignment horizontal="left" vertical="center" wrapText="1"/>
    </xf>
    <xf numFmtId="49" fontId="29" fillId="0" borderId="30" xfId="4" applyNumberFormat="1" applyFont="1" applyBorder="1" applyAlignment="1">
      <alignment horizontal="justify" vertical="center" wrapText="1"/>
    </xf>
    <xf numFmtId="0" fontId="93" fillId="0" borderId="0" xfId="0" applyFont="1" applyAlignment="1">
      <alignment horizontal="left" vertical="center"/>
    </xf>
    <xf numFmtId="0" fontId="29" fillId="0" borderId="0" xfId="0" applyFont="1" applyAlignment="1">
      <alignment vertical="center"/>
    </xf>
    <xf numFmtId="0" fontId="93" fillId="0" borderId="0" xfId="0" applyFont="1" applyAlignment="1">
      <alignment horizontal="center" vertical="center"/>
    </xf>
    <xf numFmtId="44" fontId="27" fillId="0" borderId="0" xfId="0" applyNumberFormat="1" applyFont="1" applyAlignment="1">
      <alignment horizontal="left" vertical="center"/>
    </xf>
    <xf numFmtId="166" fontId="27" fillId="0" borderId="0" xfId="0" applyNumberFormat="1" applyFont="1" applyAlignment="1">
      <alignment vertical="center"/>
    </xf>
    <xf numFmtId="166" fontId="27" fillId="0" borderId="0" xfId="0" applyNumberFormat="1" applyFont="1" applyAlignment="1">
      <alignment horizontal="center" vertical="center"/>
    </xf>
    <xf numFmtId="173" fontId="27" fillId="0" borderId="0" xfId="0" applyNumberFormat="1" applyFont="1" applyAlignment="1">
      <alignment horizontal="left" vertical="center"/>
    </xf>
    <xf numFmtId="166" fontId="0" fillId="0" borderId="0" xfId="3" applyFont="1"/>
    <xf numFmtId="166" fontId="0" fillId="0" borderId="12" xfId="3" applyFont="1" applyBorder="1"/>
    <xf numFmtId="164" fontId="15" fillId="0" borderId="3" xfId="3" applyNumberFormat="1" applyFont="1" applyFill="1" applyBorder="1" applyAlignment="1">
      <alignment horizontal="right"/>
    </xf>
    <xf numFmtId="0" fontId="4" fillId="0" borderId="0" xfId="0" applyFont="1"/>
    <xf numFmtId="0" fontId="29" fillId="0" borderId="12" xfId="0" applyFont="1" applyBorder="1" applyAlignment="1">
      <alignment vertical="center"/>
    </xf>
    <xf numFmtId="0" fontId="27" fillId="0" borderId="33" xfId="0" applyFont="1" applyBorder="1" applyAlignment="1">
      <alignment horizontal="left" vertical="center"/>
    </xf>
    <xf numFmtId="0" fontId="27" fillId="0" borderId="33" xfId="0" applyFont="1" applyBorder="1" applyAlignment="1">
      <alignment horizontal="center" vertical="center"/>
    </xf>
    <xf numFmtId="0" fontId="27" fillId="0" borderId="0" xfId="0" applyFont="1" applyAlignment="1">
      <alignment horizontal="center" vertical="center"/>
    </xf>
    <xf numFmtId="166" fontId="14" fillId="2" borderId="17" xfId="3" applyFont="1" applyFill="1" applyBorder="1"/>
    <xf numFmtId="49" fontId="4" fillId="0" borderId="12" xfId="1" applyNumberFormat="1" applyFont="1" applyFill="1" applyBorder="1" applyAlignment="1">
      <alignment horizontal="left"/>
    </xf>
    <xf numFmtId="166" fontId="29" fillId="0" borderId="0" xfId="3" applyFont="1" applyFill="1"/>
    <xf numFmtId="0" fontId="47" fillId="0" borderId="0" xfId="0" applyFont="1"/>
    <xf numFmtId="0" fontId="94" fillId="0" borderId="0" xfId="0" applyFont="1"/>
    <xf numFmtId="49" fontId="47" fillId="0" borderId="0" xfId="3" applyNumberFormat="1" applyFont="1"/>
    <xf numFmtId="49" fontId="47" fillId="0" borderId="0" xfId="3" applyNumberFormat="1" applyFont="1" applyFill="1"/>
    <xf numFmtId="49" fontId="94" fillId="0" borderId="0" xfId="3" applyNumberFormat="1" applyFont="1" applyFill="1"/>
    <xf numFmtId="166" fontId="11" fillId="0" borderId="0" xfId="3" applyFont="1"/>
    <xf numFmtId="166" fontId="47" fillId="0" borderId="0" xfId="3" applyFont="1"/>
    <xf numFmtId="9" fontId="4" fillId="0" borderId="0" xfId="0" applyNumberFormat="1" applyFont="1"/>
    <xf numFmtId="166" fontId="4" fillId="0" borderId="0" xfId="3" applyFont="1" applyFill="1" applyBorder="1"/>
    <xf numFmtId="10" fontId="4" fillId="0" borderId="0" xfId="5" applyNumberFormat="1" applyFont="1" applyFill="1" applyBorder="1"/>
    <xf numFmtId="166" fontId="0" fillId="0" borderId="0" xfId="3" applyFont="1" applyAlignment="1"/>
    <xf numFmtId="170" fontId="61" fillId="0" borderId="0" xfId="0" applyNumberFormat="1" applyFont="1"/>
    <xf numFmtId="0" fontId="28" fillId="0" borderId="0" xfId="0" applyFont="1" applyAlignment="1">
      <alignment vertical="center"/>
    </xf>
    <xf numFmtId="4" fontId="29" fillId="0" borderId="32" xfId="1" applyNumberFormat="1" applyFont="1" applyFill="1" applyBorder="1" applyAlignment="1">
      <alignment horizontal="left" vertical="center" wrapText="1"/>
    </xf>
    <xf numFmtId="4" fontId="29" fillId="0" borderId="54" xfId="1" applyNumberFormat="1" applyFont="1" applyFill="1" applyBorder="1" applyAlignment="1">
      <alignment horizontal="left" vertical="center" wrapText="1"/>
    </xf>
    <xf numFmtId="166" fontId="76" fillId="0" borderId="0" xfId="3" applyFont="1" applyFill="1"/>
    <xf numFmtId="174" fontId="29" fillId="0" borderId="12" xfId="0" applyNumberFormat="1" applyFont="1" applyBorder="1" applyAlignment="1">
      <alignment vertical="center"/>
    </xf>
    <xf numFmtId="166" fontId="29" fillId="0" borderId="51" xfId="3" applyFont="1" applyFill="1" applyBorder="1" applyAlignment="1">
      <alignment horizontal="center" vertical="center" wrapText="1"/>
    </xf>
    <xf numFmtId="166" fontId="29" fillId="0" borderId="18" xfId="3" applyFont="1" applyFill="1" applyBorder="1" applyAlignment="1">
      <alignment vertical="center"/>
    </xf>
    <xf numFmtId="49" fontId="29" fillId="0" borderId="54" xfId="4" applyNumberFormat="1" applyFont="1" applyBorder="1" applyAlignment="1">
      <alignment horizontal="left" vertical="center"/>
    </xf>
    <xf numFmtId="49" fontId="4" fillId="0" borderId="12" xfId="1" quotePrefix="1" applyNumberFormat="1" applyFont="1" applyFill="1" applyBorder="1" applyAlignment="1">
      <alignment horizontal="center"/>
    </xf>
    <xf numFmtId="49" fontId="4" fillId="0" borderId="12" xfId="1" applyNumberFormat="1" applyFont="1" applyFill="1" applyBorder="1" applyAlignment="1">
      <alignment horizontal="center"/>
    </xf>
    <xf numFmtId="164" fontId="28" fillId="0" borderId="0" xfId="3" applyNumberFormat="1" applyFont="1" applyFill="1" applyBorder="1" applyAlignment="1">
      <alignment horizontal="right"/>
    </xf>
    <xf numFmtId="166" fontId="4" fillId="0" borderId="0" xfId="3" applyFont="1"/>
    <xf numFmtId="0" fontId="11" fillId="0" borderId="12" xfId="0" applyFont="1" applyBorder="1"/>
    <xf numFmtId="166" fontId="76" fillId="0" borderId="115" xfId="3" applyFont="1" applyFill="1" applyBorder="1"/>
    <xf numFmtId="168" fontId="53" fillId="0" borderId="116" xfId="3" applyNumberFormat="1" applyFont="1" applyFill="1" applyBorder="1" applyAlignment="1">
      <alignment horizontal="right"/>
    </xf>
    <xf numFmtId="168" fontId="53" fillId="0" borderId="116" xfId="0" applyNumberFormat="1" applyFont="1" applyBorder="1"/>
    <xf numFmtId="168" fontId="60" fillId="0" borderId="116" xfId="0" applyNumberFormat="1" applyFont="1" applyBorder="1"/>
    <xf numFmtId="168" fontId="60" fillId="0" borderId="117" xfId="0" applyNumberFormat="1" applyFont="1" applyBorder="1"/>
    <xf numFmtId="0" fontId="53" fillId="0" borderId="120" xfId="0" applyFont="1" applyBorder="1" applyAlignment="1">
      <alignment horizontal="left" vertical="center"/>
    </xf>
    <xf numFmtId="0" fontId="71" fillId="0" borderId="125" xfId="0" applyFont="1" applyBorder="1" applyAlignment="1">
      <alignment vertical="center" wrapText="1"/>
    </xf>
    <xf numFmtId="4" fontId="65" fillId="0" borderId="126" xfId="1" applyNumberFormat="1" applyFont="1" applyFill="1" applyBorder="1" applyAlignment="1">
      <alignment horizontal="left" vertical="center" wrapText="1"/>
    </xf>
    <xf numFmtId="0" fontId="65" fillId="0" borderId="126" xfId="0" applyFont="1" applyBorder="1" applyAlignment="1">
      <alignment horizontal="left" vertical="center" wrapText="1"/>
    </xf>
    <xf numFmtId="0" fontId="65" fillId="0" borderId="126" xfId="0" quotePrefix="1" applyFont="1" applyBorder="1" applyAlignment="1">
      <alignment horizontal="left" vertical="center" wrapText="1"/>
    </xf>
    <xf numFmtId="4" fontId="65" fillId="0" borderId="126" xfId="1" quotePrefix="1" applyNumberFormat="1" applyFont="1" applyFill="1" applyBorder="1" applyAlignment="1">
      <alignment horizontal="left" vertical="center" wrapText="1"/>
    </xf>
    <xf numFmtId="0" fontId="65" fillId="0" borderId="127" xfId="0" applyFont="1" applyBorder="1" applyAlignment="1">
      <alignment horizontal="left" vertical="center" wrapText="1"/>
    </xf>
    <xf numFmtId="168" fontId="53" fillId="0" borderId="129" xfId="3" applyNumberFormat="1" applyFont="1" applyFill="1" applyBorder="1" applyAlignment="1">
      <alignment horizontal="right"/>
    </xf>
    <xf numFmtId="168" fontId="60" fillId="0" borderId="130" xfId="0" applyNumberFormat="1" applyFont="1" applyBorder="1"/>
    <xf numFmtId="168" fontId="53" fillId="0" borderId="131" xfId="3" applyNumberFormat="1" applyFont="1" applyFill="1" applyBorder="1" applyAlignment="1">
      <alignment horizontal="right"/>
    </xf>
    <xf numFmtId="168" fontId="53" fillId="0" borderId="131" xfId="0" applyNumberFormat="1" applyFont="1" applyBorder="1"/>
    <xf numFmtId="39" fontId="53" fillId="0" borderId="131" xfId="0" applyNumberFormat="1" applyFont="1" applyBorder="1"/>
    <xf numFmtId="168" fontId="60" fillId="0" borderId="131" xfId="0" applyNumberFormat="1" applyFont="1" applyBorder="1"/>
    <xf numFmtId="168" fontId="60" fillId="0" borderId="132" xfId="0" applyNumberFormat="1" applyFont="1" applyBorder="1"/>
    <xf numFmtId="168" fontId="28" fillId="0" borderId="129" xfId="3" applyNumberFormat="1" applyFont="1" applyFill="1" applyBorder="1" applyAlignment="1">
      <alignment horizontal="right"/>
    </xf>
    <xf numFmtId="168" fontId="28" fillId="0" borderId="116" xfId="1" applyNumberFormat="1" applyFont="1" applyFill="1" applyBorder="1"/>
    <xf numFmtId="49" fontId="53" fillId="0" borderId="137" xfId="1" applyNumberFormat="1" applyFont="1" applyFill="1" applyBorder="1" applyAlignment="1">
      <alignment horizontal="left" vertical="center"/>
    </xf>
    <xf numFmtId="168" fontId="53" fillId="0" borderId="143" xfId="3" applyNumberFormat="1" applyFont="1" applyFill="1" applyBorder="1" applyAlignment="1">
      <alignment horizontal="right"/>
    </xf>
    <xf numFmtId="168" fontId="53" fillId="0" borderId="144" xfId="3" applyNumberFormat="1" applyFont="1" applyFill="1" applyBorder="1" applyAlignment="1">
      <alignment horizontal="right"/>
    </xf>
    <xf numFmtId="168" fontId="53" fillId="0" borderId="146" xfId="3" applyNumberFormat="1" applyFont="1" applyFill="1" applyBorder="1" applyAlignment="1">
      <alignment horizontal="right"/>
    </xf>
    <xf numFmtId="166" fontId="76" fillId="0" borderId="147" xfId="3" applyFont="1" applyFill="1" applyBorder="1"/>
    <xf numFmtId="168" fontId="69" fillId="0" borderId="60" xfId="3" applyNumberFormat="1" applyFont="1" applyFill="1" applyBorder="1" applyAlignment="1">
      <alignment horizontal="right"/>
    </xf>
    <xf numFmtId="166" fontId="76" fillId="0" borderId="148" xfId="3" applyFont="1" applyFill="1" applyBorder="1"/>
    <xf numFmtId="166" fontId="76" fillId="0" borderId="149" xfId="3" applyFont="1" applyFill="1" applyBorder="1"/>
    <xf numFmtId="168" fontId="53" fillId="0" borderId="150" xfId="3" applyNumberFormat="1" applyFont="1" applyFill="1" applyBorder="1" applyAlignment="1">
      <alignment horizontal="right"/>
    </xf>
    <xf numFmtId="166" fontId="76" fillId="0" borderId="151" xfId="3" applyFont="1" applyFill="1" applyBorder="1"/>
    <xf numFmtId="166" fontId="76" fillId="0" borderId="152" xfId="3" applyFont="1" applyFill="1" applyBorder="1"/>
    <xf numFmtId="166" fontId="76" fillId="0" borderId="153" xfId="3" applyFont="1" applyFill="1" applyBorder="1"/>
    <xf numFmtId="4" fontId="65" fillId="0" borderId="154" xfId="1" applyNumberFormat="1" applyFont="1" applyFill="1" applyBorder="1" applyAlignment="1">
      <alignment horizontal="left" vertical="center" wrapText="1"/>
    </xf>
    <xf numFmtId="166" fontId="99" fillId="0" borderId="151" xfId="3" applyFont="1" applyFill="1" applyBorder="1"/>
    <xf numFmtId="166" fontId="76" fillId="0" borderId="12" xfId="3" applyFont="1" applyFill="1" applyBorder="1"/>
    <xf numFmtId="166" fontId="76" fillId="0" borderId="150" xfId="3" applyFont="1" applyFill="1" applyBorder="1"/>
    <xf numFmtId="166" fontId="76" fillId="0" borderId="133" xfId="3" applyFont="1" applyFill="1" applyBorder="1"/>
    <xf numFmtId="166" fontId="76" fillId="0" borderId="56" xfId="3" applyFont="1" applyFill="1" applyBorder="1"/>
    <xf numFmtId="166" fontId="76" fillId="0" borderId="60" xfId="3" applyFont="1" applyFill="1" applyBorder="1"/>
    <xf numFmtId="166" fontId="76" fillId="0" borderId="155" xfId="3" applyFont="1" applyFill="1" applyBorder="1"/>
    <xf numFmtId="166" fontId="76" fillId="0" borderId="30" xfId="3" applyFont="1" applyFill="1" applyBorder="1"/>
    <xf numFmtId="0" fontId="16" fillId="0" borderId="32" xfId="0" applyFont="1" applyBorder="1"/>
    <xf numFmtId="166" fontId="3" fillId="0" borderId="0" xfId="3" applyFont="1"/>
    <xf numFmtId="0" fontId="30" fillId="0" borderId="0" xfId="0" applyFont="1"/>
    <xf numFmtId="0" fontId="29" fillId="0" borderId="0" xfId="0" applyFont="1" applyAlignment="1">
      <alignment wrapText="1"/>
    </xf>
    <xf numFmtId="4" fontId="106" fillId="0" borderId="12" xfId="1" applyNumberFormat="1" applyFont="1" applyFill="1" applyBorder="1" applyAlignment="1">
      <alignment horizontal="left"/>
    </xf>
    <xf numFmtId="4" fontId="11" fillId="0" borderId="12" xfId="1" applyNumberFormat="1" applyFont="1" applyFill="1" applyBorder="1"/>
    <xf numFmtId="4" fontId="107" fillId="0" borderId="0" xfId="1" applyNumberFormat="1" applyFont="1" applyFill="1" applyBorder="1"/>
    <xf numFmtId="4" fontId="106" fillId="0" borderId="0" xfId="1" applyNumberFormat="1" applyFont="1" applyFill="1" applyBorder="1"/>
    <xf numFmtId="4" fontId="108" fillId="0" borderId="0" xfId="1" applyNumberFormat="1" applyFont="1" applyFill="1" applyBorder="1"/>
    <xf numFmtId="4" fontId="11" fillId="0" borderId="0" xfId="1" applyNumberFormat="1" applyFont="1" applyFill="1" applyBorder="1"/>
    <xf numFmtId="0" fontId="11" fillId="0" borderId="54" xfId="0" applyFont="1" applyBorder="1"/>
    <xf numFmtId="0" fontId="11" fillId="0" borderId="54" xfId="0" quotePrefix="1" applyFont="1" applyBorder="1" applyAlignment="1">
      <alignment horizontal="left"/>
    </xf>
    <xf numFmtId="4" fontId="11" fillId="0" borderId="54" xfId="1" applyNumberFormat="1" applyFont="1" applyFill="1" applyBorder="1"/>
    <xf numFmtId="4" fontId="11" fillId="0" borderId="24" xfId="1" applyNumberFormat="1" applyFont="1" applyFill="1" applyBorder="1"/>
    <xf numFmtId="0" fontId="26" fillId="0" borderId="0" xfId="0" applyFont="1"/>
    <xf numFmtId="0" fontId="26" fillId="0" borderId="0" xfId="0" applyFont="1" applyAlignment="1">
      <alignment horizontal="center"/>
    </xf>
    <xf numFmtId="0" fontId="16" fillId="0" borderId="0" xfId="0" applyFont="1" applyAlignment="1">
      <alignment horizontal="left"/>
    </xf>
    <xf numFmtId="166" fontId="28" fillId="0" borderId="134" xfId="3" applyFont="1" applyFill="1" applyBorder="1"/>
    <xf numFmtId="169" fontId="22" fillId="0" borderId="56" xfId="0" applyNumberFormat="1" applyFont="1" applyBorder="1"/>
    <xf numFmtId="0" fontId="17" fillId="0" borderId="12" xfId="0" applyFont="1" applyBorder="1"/>
    <xf numFmtId="49" fontId="9" fillId="0" borderId="52" xfId="0" applyNumberFormat="1" applyFont="1" applyBorder="1" applyAlignment="1">
      <alignment horizontal="center"/>
    </xf>
    <xf numFmtId="0" fontId="0" fillId="0" borderId="53" xfId="0" applyBorder="1"/>
    <xf numFmtId="0" fontId="55" fillId="0" borderId="20" xfId="0" quotePrefix="1" applyFont="1" applyBorder="1" applyAlignment="1">
      <alignment horizontal="left"/>
    </xf>
    <xf numFmtId="0" fontId="61" fillId="0" borderId="20" xfId="0" applyFont="1" applyBorder="1"/>
    <xf numFmtId="170" fontId="55" fillId="0" borderId="8" xfId="0" applyNumberFormat="1" applyFont="1" applyBorder="1"/>
    <xf numFmtId="170" fontId="55" fillId="0" borderId="27" xfId="0" applyNumberFormat="1" applyFont="1" applyBorder="1"/>
    <xf numFmtId="0" fontId="4" fillId="0" borderId="1" xfId="0" applyFont="1" applyBorder="1"/>
    <xf numFmtId="44" fontId="0" fillId="0" borderId="0" xfId="0" applyNumberFormat="1"/>
    <xf numFmtId="0" fontId="4" fillId="0" borderId="0" xfId="0" applyFont="1" applyAlignment="1">
      <alignment vertical="center" wrapText="1"/>
    </xf>
    <xf numFmtId="0" fontId="16" fillId="0" borderId="0" xfId="0" applyFont="1" applyAlignment="1">
      <alignment vertical="center" wrapText="1"/>
    </xf>
    <xf numFmtId="0" fontId="0" fillId="0" borderId="0" xfId="0" quotePrefix="1"/>
    <xf numFmtId="0" fontId="80" fillId="0" borderId="0" xfId="0" applyFont="1"/>
    <xf numFmtId="0" fontId="80" fillId="0" borderId="2" xfId="0" applyFont="1" applyBorder="1"/>
    <xf numFmtId="169" fontId="80" fillId="0" borderId="25" xfId="0" quotePrefix="1" applyNumberFormat="1" applyFont="1" applyBorder="1" applyAlignment="1">
      <alignment horizontal="left"/>
    </xf>
    <xf numFmtId="169" fontId="80" fillId="0" borderId="25" xfId="0" applyNumberFormat="1" applyFont="1" applyBorder="1"/>
    <xf numFmtId="0" fontId="80" fillId="0" borderId="2" xfId="0" quotePrefix="1" applyFont="1" applyBorder="1" applyAlignment="1">
      <alignment horizontal="left" wrapText="1"/>
    </xf>
    <xf numFmtId="166" fontId="80" fillId="0" borderId="25" xfId="3" applyFont="1" applyFill="1" applyBorder="1"/>
    <xf numFmtId="169" fontId="80" fillId="0" borderId="77" xfId="0" applyNumberFormat="1" applyFont="1" applyBorder="1"/>
    <xf numFmtId="169" fontId="80" fillId="0" borderId="75" xfId="0" applyNumberFormat="1" applyFont="1" applyBorder="1"/>
    <xf numFmtId="0" fontId="80" fillId="0" borderId="48" xfId="0" applyFont="1" applyBorder="1" applyAlignment="1">
      <alignment horizontal="left"/>
    </xf>
    <xf numFmtId="0" fontId="80" fillId="0" borderId="48" xfId="0" quotePrefix="1" applyFont="1" applyBorder="1" applyAlignment="1">
      <alignment wrapText="1"/>
    </xf>
    <xf numFmtId="0" fontId="80" fillId="0" borderId="48" xfId="0" applyFont="1" applyBorder="1" applyAlignment="1">
      <alignment wrapText="1"/>
    </xf>
    <xf numFmtId="169" fontId="80" fillId="0" borderId="0" xfId="0" applyNumberFormat="1" applyFont="1"/>
    <xf numFmtId="169" fontId="80" fillId="0" borderId="12" xfId="0" applyNumberFormat="1" applyFont="1" applyBorder="1"/>
    <xf numFmtId="169" fontId="82" fillId="0" borderId="0" xfId="0" applyNumberFormat="1" applyFont="1"/>
    <xf numFmtId="0" fontId="80" fillId="0" borderId="41" xfId="0" quotePrefix="1" applyFont="1" applyBorder="1" applyAlignment="1">
      <alignment horizontal="left"/>
    </xf>
    <xf numFmtId="0" fontId="80" fillId="0" borderId="2" xfId="0" quotePrefix="1" applyFont="1" applyBorder="1" applyAlignment="1">
      <alignment horizontal="left"/>
    </xf>
    <xf numFmtId="0" fontId="80" fillId="0" borderId="2" xfId="0" applyFont="1" applyBorder="1" applyAlignment="1">
      <alignment wrapText="1"/>
    </xf>
    <xf numFmtId="0" fontId="80" fillId="0" borderId="0" xfId="0" applyFont="1" applyAlignment="1">
      <alignment horizontal="left" wrapText="1"/>
    </xf>
    <xf numFmtId="0" fontId="80" fillId="0" borderId="2" xfId="0" applyFont="1" applyBorder="1" applyAlignment="1">
      <alignment horizontal="left"/>
    </xf>
    <xf numFmtId="0" fontId="80" fillId="0" borderId="4" xfId="0" applyFont="1" applyBorder="1" applyAlignment="1">
      <alignment horizontal="center"/>
    </xf>
    <xf numFmtId="0" fontId="13" fillId="6" borderId="0" xfId="0" applyFont="1" applyFill="1" applyAlignment="1">
      <alignment horizontal="center" vertical="center" wrapText="1"/>
    </xf>
    <xf numFmtId="0" fontId="0" fillId="6" borderId="0" xfId="0" applyFill="1" applyAlignment="1">
      <alignment vertical="center" wrapText="1"/>
    </xf>
    <xf numFmtId="49" fontId="91" fillId="4" borderId="12" xfId="0" applyNumberFormat="1" applyFont="1" applyFill="1" applyBorder="1" applyAlignment="1">
      <alignment horizontal="center" vertical="top" wrapText="1"/>
    </xf>
    <xf numFmtId="49" fontId="30" fillId="4" borderId="29" xfId="1" applyNumberFormat="1" applyFont="1" applyFill="1" applyBorder="1" applyAlignment="1">
      <alignment horizontal="left"/>
    </xf>
    <xf numFmtId="164" fontId="41" fillId="4" borderId="16" xfId="1" applyNumberFormat="1" applyFont="1" applyFill="1" applyBorder="1"/>
    <xf numFmtId="49" fontId="30" fillId="4" borderId="11" xfId="1" applyNumberFormat="1" applyFont="1" applyFill="1" applyBorder="1" applyAlignment="1">
      <alignment horizontal="left"/>
    </xf>
    <xf numFmtId="4" fontId="30" fillId="4" borderId="12" xfId="1" applyNumberFormat="1" applyFont="1" applyFill="1" applyBorder="1"/>
    <xf numFmtId="164" fontId="30" fillId="4" borderId="12" xfId="1" applyNumberFormat="1" applyFont="1" applyFill="1" applyBorder="1"/>
    <xf numFmtId="164" fontId="30" fillId="4" borderId="54" xfId="1" applyNumberFormat="1" applyFont="1" applyFill="1" applyBorder="1"/>
    <xf numFmtId="164" fontId="30" fillId="4" borderId="12" xfId="1" quotePrefix="1" applyNumberFormat="1" applyFont="1" applyFill="1" applyBorder="1"/>
    <xf numFmtId="164" fontId="30" fillId="4" borderId="12" xfId="0" applyNumberFormat="1" applyFont="1" applyFill="1" applyBorder="1"/>
    <xf numFmtId="164" fontId="30" fillId="4" borderId="54" xfId="0" applyNumberFormat="1" applyFont="1" applyFill="1" applyBorder="1" applyAlignment="1">
      <alignment horizontal="right"/>
    </xf>
    <xf numFmtId="49" fontId="30" fillId="4" borderId="17" xfId="1" applyNumberFormat="1" applyFont="1" applyFill="1" applyBorder="1" applyAlignment="1">
      <alignment horizontal="left"/>
    </xf>
    <xf numFmtId="4" fontId="30" fillId="4" borderId="18" xfId="1" applyNumberFormat="1" applyFont="1" applyFill="1" applyBorder="1"/>
    <xf numFmtId="164" fontId="30" fillId="4" borderId="12" xfId="0" applyNumberFormat="1" applyFont="1" applyFill="1" applyBorder="1" applyAlignment="1">
      <alignment horizontal="right"/>
    </xf>
    <xf numFmtId="49" fontId="30" fillId="4" borderId="12" xfId="1" applyNumberFormat="1" applyFont="1" applyFill="1" applyBorder="1" applyAlignment="1">
      <alignment horizontal="left"/>
    </xf>
    <xf numFmtId="4" fontId="30" fillId="4" borderId="12" xfId="1" applyNumberFormat="1" applyFont="1" applyFill="1" applyBorder="1" applyAlignment="1">
      <alignment horizontal="left" wrapText="1"/>
    </xf>
    <xf numFmtId="164" fontId="30" fillId="4" borderId="52" xfId="0" applyNumberFormat="1" applyFont="1" applyFill="1" applyBorder="1"/>
    <xf numFmtId="164" fontId="30" fillId="4" borderId="52" xfId="0" applyNumberFormat="1" applyFont="1" applyFill="1" applyBorder="1" applyAlignment="1">
      <alignment horizontal="right"/>
    </xf>
    <xf numFmtId="164" fontId="30" fillId="4" borderId="12" xfId="1" applyNumberFormat="1" applyFont="1" applyFill="1" applyBorder="1" applyAlignment="1">
      <alignment horizontal="right"/>
    </xf>
    <xf numFmtId="164" fontId="30" fillId="4" borderId="54" xfId="1" applyNumberFormat="1" applyFont="1" applyFill="1" applyBorder="1" applyAlignment="1">
      <alignment horizontal="right"/>
    </xf>
    <xf numFmtId="164" fontId="30" fillId="4" borderId="32" xfId="1" applyNumberFormat="1" applyFont="1" applyFill="1" applyBorder="1" applyAlignment="1">
      <alignment horizontal="right"/>
    </xf>
    <xf numFmtId="4" fontId="30" fillId="4" borderId="54" xfId="1" applyNumberFormat="1" applyFont="1" applyFill="1" applyBorder="1"/>
    <xf numFmtId="164" fontId="30" fillId="4" borderId="51" xfId="1" applyNumberFormat="1" applyFont="1" applyFill="1" applyBorder="1" applyAlignment="1">
      <alignment horizontal="right"/>
    </xf>
    <xf numFmtId="164" fontId="30" fillId="4" borderId="0" xfId="1" applyNumberFormat="1" applyFont="1" applyFill="1" applyBorder="1" applyAlignment="1">
      <alignment horizontal="right"/>
    </xf>
    <xf numFmtId="164" fontId="30" fillId="4" borderId="59" xfId="1" applyNumberFormat="1" applyFont="1" applyFill="1" applyBorder="1" applyAlignment="1">
      <alignment horizontal="right"/>
    </xf>
    <xf numFmtId="4" fontId="30" fillId="4" borderId="33" xfId="1" applyNumberFormat="1" applyFont="1" applyFill="1" applyBorder="1"/>
    <xf numFmtId="4" fontId="30" fillId="4" borderId="12" xfId="1" applyNumberFormat="1" applyFont="1" applyFill="1" applyBorder="1" applyAlignment="1">
      <alignment wrapText="1"/>
    </xf>
    <xf numFmtId="49" fontId="29" fillId="0" borderId="54" xfId="4" applyNumberFormat="1" applyFont="1" applyBorder="1" applyAlignment="1">
      <alignment horizontal="justify" vertical="center" wrapText="1"/>
    </xf>
    <xf numFmtId="49" fontId="29" fillId="0" borderId="32" xfId="4" applyNumberFormat="1" applyFont="1" applyBorder="1" applyAlignment="1">
      <alignment horizontal="justify" vertical="center" wrapText="1"/>
    </xf>
    <xf numFmtId="164" fontId="15" fillId="0" borderId="12" xfId="3" applyNumberFormat="1" applyFont="1" applyFill="1" applyBorder="1" applyAlignment="1">
      <alignment horizontal="right"/>
    </xf>
    <xf numFmtId="164" fontId="28" fillId="4" borderId="12" xfId="3" applyNumberFormat="1" applyFont="1" applyFill="1" applyBorder="1" applyAlignment="1">
      <alignment horizontal="right"/>
    </xf>
    <xf numFmtId="168" fontId="38" fillId="4" borderId="12" xfId="1" applyNumberFormat="1" applyFont="1" applyFill="1" applyBorder="1"/>
    <xf numFmtId="168" fontId="60" fillId="0" borderId="159" xfId="0" applyNumberFormat="1" applyFont="1" applyBorder="1"/>
    <xf numFmtId="168" fontId="53" fillId="0" borderId="160" xfId="3" applyNumberFormat="1" applyFont="1" applyFill="1" applyBorder="1" applyAlignment="1">
      <alignment horizontal="right"/>
    </xf>
    <xf numFmtId="168" fontId="91" fillId="4" borderId="12" xfId="0" applyNumberFormat="1" applyFont="1" applyFill="1" applyBorder="1" applyAlignment="1">
      <alignment horizontal="center"/>
    </xf>
    <xf numFmtId="168" fontId="53" fillId="0" borderId="0" xfId="0" applyNumberFormat="1" applyFont="1"/>
    <xf numFmtId="49" fontId="16" fillId="4" borderId="12" xfId="1" applyNumberFormat="1" applyFont="1" applyFill="1" applyBorder="1" applyAlignment="1">
      <alignment horizontal="left"/>
    </xf>
    <xf numFmtId="168" fontId="115" fillId="0" borderId="12" xfId="3" applyNumberFormat="1" applyFont="1" applyFill="1" applyBorder="1" applyAlignment="1">
      <alignment horizontal="right"/>
    </xf>
    <xf numFmtId="168" fontId="115" fillId="0" borderId="12" xfId="0" applyNumberFormat="1" applyFont="1" applyBorder="1"/>
    <xf numFmtId="166" fontId="2" fillId="0" borderId="12" xfId="3" applyFont="1" applyFill="1" applyBorder="1"/>
    <xf numFmtId="0" fontId="115" fillId="0" borderId="0" xfId="0" applyFont="1"/>
    <xf numFmtId="168" fontId="117" fillId="0" borderId="12" xfId="0" applyNumberFormat="1" applyFont="1" applyBorder="1"/>
    <xf numFmtId="49" fontId="86" fillId="0" borderId="48" xfId="0" applyNumberFormat="1" applyFont="1" applyBorder="1" applyAlignment="1">
      <alignment horizontal="left"/>
    </xf>
    <xf numFmtId="0" fontId="53" fillId="8" borderId="139" xfId="0" applyFont="1" applyFill="1" applyBorder="1" applyAlignment="1">
      <alignment textRotation="90" wrapText="1"/>
    </xf>
    <xf numFmtId="0" fontId="65" fillId="8" borderId="138" xfId="0" applyFont="1" applyFill="1" applyBorder="1" applyAlignment="1">
      <alignment vertical="center" textRotation="90" wrapText="1"/>
    </xf>
    <xf numFmtId="0" fontId="65" fillId="8" borderId="136" xfId="0" applyFont="1" applyFill="1" applyBorder="1" applyAlignment="1">
      <alignment textRotation="90" wrapText="1"/>
    </xf>
    <xf numFmtId="0" fontId="98" fillId="8" borderId="115" xfId="0" applyFont="1" applyFill="1" applyBorder="1" applyAlignment="1">
      <alignment horizontal="center" vertical="center" wrapText="1"/>
    </xf>
    <xf numFmtId="0" fontId="98" fillId="8" borderId="140" xfId="0" applyFont="1" applyFill="1" applyBorder="1" applyAlignment="1">
      <alignment horizontal="center" vertical="center" wrapText="1"/>
    </xf>
    <xf numFmtId="0" fontId="98" fillId="8" borderId="142" xfId="0" applyFont="1" applyFill="1" applyBorder="1" applyAlignment="1">
      <alignment horizontal="center" vertical="center" wrapText="1"/>
    </xf>
    <xf numFmtId="0" fontId="98" fillId="8" borderId="114" xfId="0" quotePrefix="1" applyFont="1" applyFill="1" applyBorder="1" applyAlignment="1">
      <alignment horizontal="center" vertical="center" wrapText="1"/>
    </xf>
    <xf numFmtId="0" fontId="98" fillId="8" borderId="142" xfId="0" quotePrefix="1" applyFont="1" applyFill="1" applyBorder="1" applyAlignment="1">
      <alignment horizontal="center" vertical="center" wrapText="1"/>
    </xf>
    <xf numFmtId="0" fontId="98" fillId="8" borderId="53" xfId="0" applyFont="1" applyFill="1" applyBorder="1" applyAlignment="1">
      <alignment horizontal="center" vertical="center" wrapText="1"/>
    </xf>
    <xf numFmtId="0" fontId="65" fillId="8" borderId="51" xfId="0" applyFont="1" applyFill="1" applyBorder="1" applyAlignment="1">
      <alignment horizontal="center" vertical="center" wrapText="1"/>
    </xf>
    <xf numFmtId="0" fontId="65" fillId="8" borderId="60" xfId="0" applyFont="1" applyFill="1" applyBorder="1" applyAlignment="1">
      <alignment horizontal="center" vertical="center" wrapText="1"/>
    </xf>
    <xf numFmtId="0" fontId="98" fillId="8" borderId="141" xfId="0" quotePrefix="1" applyFont="1" applyFill="1" applyBorder="1" applyAlignment="1">
      <alignment horizontal="center" vertical="center" wrapText="1"/>
    </xf>
    <xf numFmtId="0" fontId="65" fillId="8" borderId="60" xfId="0" quotePrefix="1" applyFont="1" applyFill="1" applyBorder="1" applyAlignment="1">
      <alignment horizontal="center" vertical="center" wrapText="1"/>
    </xf>
    <xf numFmtId="0" fontId="65" fillId="8" borderId="157" xfId="0" quotePrefix="1" applyFont="1" applyFill="1" applyBorder="1" applyAlignment="1">
      <alignment horizontal="center" vertical="center" wrapText="1"/>
    </xf>
    <xf numFmtId="0" fontId="65" fillId="8" borderId="12" xfId="0" quotePrefix="1" applyFont="1" applyFill="1" applyBorder="1" applyAlignment="1">
      <alignment horizontal="center" vertical="center" wrapText="1"/>
    </xf>
    <xf numFmtId="0" fontId="98" fillId="8" borderId="53" xfId="0" quotePrefix="1" applyFont="1" applyFill="1" applyBorder="1" applyAlignment="1">
      <alignment horizontal="center" vertical="center" wrapText="1"/>
    </xf>
    <xf numFmtId="0" fontId="65" fillId="8" borderId="30" xfId="0" quotePrefix="1" applyFont="1" applyFill="1" applyBorder="1" applyAlignment="1">
      <alignment horizontal="center" vertical="center" wrapText="1"/>
    </xf>
    <xf numFmtId="0" fontId="65" fillId="8" borderId="55" xfId="0" quotePrefix="1" applyFont="1" applyFill="1" applyBorder="1" applyAlignment="1">
      <alignment horizontal="center" vertical="center" wrapText="1"/>
    </xf>
    <xf numFmtId="0" fontId="98" fillId="8" borderId="145" xfId="0" quotePrefix="1" applyFont="1" applyFill="1" applyBorder="1" applyAlignment="1">
      <alignment horizontal="center" vertical="center" wrapText="1"/>
    </xf>
    <xf numFmtId="168" fontId="53" fillId="10" borderId="123" xfId="0" applyNumberFormat="1" applyFont="1" applyFill="1" applyBorder="1"/>
    <xf numFmtId="168" fontId="53" fillId="10" borderId="121" xfId="0" applyNumberFormat="1" applyFont="1" applyFill="1" applyBorder="1"/>
    <xf numFmtId="168" fontId="53" fillId="10" borderId="122" xfId="0" applyNumberFormat="1" applyFont="1" applyFill="1" applyBorder="1"/>
    <xf numFmtId="168" fontId="53" fillId="10" borderId="113" xfId="0" applyNumberFormat="1" applyFont="1" applyFill="1" applyBorder="1"/>
    <xf numFmtId="168" fontId="53" fillId="10" borderId="161" xfId="0" applyNumberFormat="1" applyFont="1" applyFill="1" applyBorder="1"/>
    <xf numFmtId="168" fontId="53" fillId="10" borderId="135" xfId="0" applyNumberFormat="1" applyFont="1" applyFill="1" applyBorder="1"/>
    <xf numFmtId="168" fontId="53" fillId="10" borderId="124" xfId="0" applyNumberFormat="1" applyFont="1" applyFill="1" applyBorder="1"/>
    <xf numFmtId="168" fontId="53" fillId="10" borderId="118" xfId="0" applyNumberFormat="1" applyFont="1" applyFill="1" applyBorder="1"/>
    <xf numFmtId="168" fontId="53" fillId="10" borderId="128" xfId="3" applyNumberFormat="1" applyFont="1" applyFill="1" applyBorder="1" applyAlignment="1">
      <alignment horizontal="right"/>
    </xf>
    <xf numFmtId="0" fontId="50" fillId="8" borderId="106" xfId="0" applyFont="1" applyFill="1" applyBorder="1"/>
    <xf numFmtId="168" fontId="53" fillId="8" borderId="119" xfId="0" applyNumberFormat="1" applyFont="1" applyFill="1" applyBorder="1"/>
    <xf numFmtId="0" fontId="14" fillId="6" borderId="20" xfId="0" applyFont="1" applyFill="1" applyBorder="1" applyAlignment="1">
      <alignment horizontal="center"/>
    </xf>
    <xf numFmtId="0" fontId="11" fillId="0" borderId="40" xfId="0" applyFont="1" applyBorder="1"/>
    <xf numFmtId="173" fontId="0" fillId="0" borderId="0" xfId="0" applyNumberFormat="1"/>
    <xf numFmtId="0" fontId="0" fillId="0" borderId="2" xfId="0" applyBorder="1"/>
    <xf numFmtId="49" fontId="22" fillId="0" borderId="2" xfId="0" applyNumberFormat="1" applyFont="1" applyBorder="1" applyAlignment="1">
      <alignment horizontal="center"/>
    </xf>
    <xf numFmtId="166" fontId="22" fillId="0" borderId="2" xfId="3" applyFont="1" applyFill="1" applyBorder="1"/>
    <xf numFmtId="166" fontId="0" fillId="0" borderId="2" xfId="3" applyFont="1" applyFill="1" applyBorder="1"/>
    <xf numFmtId="166" fontId="22" fillId="0" borderId="2" xfId="3" quotePrefix="1" applyFont="1" applyFill="1" applyBorder="1" applyAlignment="1">
      <alignment horizontal="right"/>
    </xf>
    <xf numFmtId="49" fontId="0" fillId="0" borderId="2" xfId="0" applyNumberFormat="1" applyBorder="1" applyAlignment="1">
      <alignment horizontal="center"/>
    </xf>
    <xf numFmtId="43" fontId="0" fillId="0" borderId="2" xfId="2" applyNumberFormat="1" applyFont="1" applyFill="1" applyBorder="1"/>
    <xf numFmtId="0" fontId="22" fillId="0" borderId="2" xfId="0" applyFont="1" applyBorder="1" applyAlignment="1">
      <alignment horizontal="center"/>
    </xf>
    <xf numFmtId="49" fontId="0" fillId="0" borderId="2" xfId="0" applyNumberFormat="1" applyBorder="1"/>
    <xf numFmtId="0" fontId="5" fillId="0" borderId="12" xfId="0" applyFont="1" applyBorder="1" applyAlignment="1">
      <alignment horizontal="center"/>
    </xf>
    <xf numFmtId="164" fontId="5" fillId="0" borderId="12" xfId="0" applyNumberFormat="1" applyFont="1" applyBorder="1"/>
    <xf numFmtId="49" fontId="22" fillId="12" borderId="12" xfId="0" applyNumberFormat="1" applyFont="1" applyFill="1" applyBorder="1"/>
    <xf numFmtId="0" fontId="32" fillId="11" borderId="12" xfId="0" applyFont="1" applyFill="1" applyBorder="1" applyAlignment="1">
      <alignment horizontal="center" vertical="center" textRotation="90" wrapText="1"/>
    </xf>
    <xf numFmtId="0" fontId="32" fillId="11" borderId="12" xfId="0" quotePrefix="1" applyFont="1" applyFill="1" applyBorder="1" applyAlignment="1">
      <alignment horizontal="center" vertical="center" textRotation="90" wrapText="1"/>
    </xf>
    <xf numFmtId="49" fontId="32" fillId="11" borderId="12" xfId="0" quotePrefix="1" applyNumberFormat="1" applyFont="1" applyFill="1" applyBorder="1" applyAlignment="1">
      <alignment horizontal="center" vertical="center" textRotation="90" wrapText="1"/>
    </xf>
    <xf numFmtId="164" fontId="44" fillId="12" borderId="45" xfId="3" applyNumberFormat="1" applyFont="1" applyFill="1" applyBorder="1" applyAlignment="1">
      <alignment horizontal="right"/>
    </xf>
    <xf numFmtId="0" fontId="11" fillId="11" borderId="0" xfId="0" applyFont="1" applyFill="1"/>
    <xf numFmtId="0" fontId="80" fillId="0" borderId="0" xfId="0" applyFont="1" applyAlignment="1">
      <alignment horizontal="center" vertical="top" wrapText="1"/>
    </xf>
    <xf numFmtId="169" fontId="82" fillId="0" borderId="12" xfId="0" applyNumberFormat="1" applyFont="1" applyBorder="1"/>
    <xf numFmtId="0" fontId="80" fillId="0" borderId="0" xfId="0" applyFont="1" applyAlignment="1">
      <alignment vertical="top" wrapText="1"/>
    </xf>
    <xf numFmtId="0" fontId="0" fillId="0" borderId="56" xfId="0" applyBorder="1"/>
    <xf numFmtId="0" fontId="16" fillId="0" borderId="12" xfId="0" applyFont="1" applyBorder="1" applyAlignment="1">
      <alignment horizontal="left"/>
    </xf>
    <xf numFmtId="49" fontId="4" fillId="0" borderId="12" xfId="4" applyNumberFormat="1" applyFont="1" applyBorder="1" applyAlignment="1">
      <alignment horizontal="justify" vertical="center" wrapText="1"/>
    </xf>
    <xf numFmtId="0" fontId="126" fillId="0" borderId="55" xfId="0" applyFont="1" applyBorder="1" applyAlignment="1">
      <alignment vertical="center" wrapText="1"/>
    </xf>
    <xf numFmtId="169" fontId="13" fillId="0" borderId="0" xfId="0" applyNumberFormat="1" applyFont="1"/>
    <xf numFmtId="0" fontId="86" fillId="0" borderId="47" xfId="0" applyFont="1" applyBorder="1" applyAlignment="1">
      <alignment horizontal="left" vertical="center"/>
    </xf>
    <xf numFmtId="0" fontId="80" fillId="0" borderId="173" xfId="0" quotePrefix="1" applyFont="1" applyBorder="1" applyAlignment="1">
      <alignment wrapText="1"/>
    </xf>
    <xf numFmtId="0" fontId="80" fillId="0" borderId="173" xfId="0" applyFont="1" applyBorder="1" applyAlignment="1">
      <alignment wrapText="1"/>
    </xf>
    <xf numFmtId="0" fontId="104" fillId="0" borderId="173" xfId="0" applyFont="1" applyBorder="1" applyAlignment="1">
      <alignment wrapText="1"/>
    </xf>
    <xf numFmtId="0" fontId="80" fillId="0" borderId="175" xfId="0" applyFont="1" applyBorder="1"/>
    <xf numFmtId="0" fontId="82" fillId="0" borderId="173" xfId="0" applyFont="1" applyBorder="1" applyAlignment="1">
      <alignment wrapText="1"/>
    </xf>
    <xf numFmtId="0" fontId="80" fillId="0" borderId="53" xfId="0" applyFont="1" applyBorder="1"/>
    <xf numFmtId="0" fontId="80" fillId="0" borderId="12" xfId="0" applyFont="1" applyBorder="1"/>
    <xf numFmtId="169" fontId="112" fillId="0" borderId="12" xfId="0" applyNumberFormat="1" applyFont="1" applyBorder="1"/>
    <xf numFmtId="0" fontId="127" fillId="6" borderId="12" xfId="0" applyFont="1" applyFill="1" applyBorder="1" applyAlignment="1">
      <alignment vertical="center" wrapText="1"/>
    </xf>
    <xf numFmtId="0" fontId="80" fillId="6" borderId="0" xfId="0" applyFont="1" applyFill="1"/>
    <xf numFmtId="0" fontId="4" fillId="0" borderId="12" xfId="0" applyFont="1" applyBorder="1" applyAlignment="1">
      <alignment horizontal="left" vertical="center" wrapText="1"/>
    </xf>
    <xf numFmtId="0" fontId="0" fillId="4" borderId="0" xfId="0" applyFill="1"/>
    <xf numFmtId="0" fontId="91" fillId="4" borderId="55" xfId="0" applyFont="1" applyFill="1" applyBorder="1" applyAlignment="1">
      <alignment vertical="center"/>
    </xf>
    <xf numFmtId="168" fontId="91" fillId="4" borderId="12" xfId="0" applyNumberFormat="1" applyFont="1" applyFill="1" applyBorder="1"/>
    <xf numFmtId="0" fontId="91" fillId="0" borderId="12" xfId="0" applyFont="1" applyBorder="1" applyAlignment="1">
      <alignment vertical="center" wrapText="1"/>
    </xf>
    <xf numFmtId="0" fontId="91" fillId="0" borderId="55" xfId="0" applyFont="1" applyBorder="1" applyAlignment="1">
      <alignment horizontal="left" vertical="center"/>
    </xf>
    <xf numFmtId="0" fontId="91" fillId="0" borderId="55" xfId="0" applyFont="1" applyBorder="1" applyAlignment="1">
      <alignment horizontal="left" vertical="center" wrapText="1"/>
    </xf>
    <xf numFmtId="0" fontId="91" fillId="0" borderId="12" xfId="0" applyFont="1" applyBorder="1" applyAlignment="1">
      <alignment horizontal="left" vertical="center" wrapText="1"/>
    </xf>
    <xf numFmtId="0" fontId="91" fillId="4" borderId="55" xfId="0" applyFont="1" applyFill="1" applyBorder="1" applyAlignment="1">
      <alignment horizontal="left"/>
    </xf>
    <xf numFmtId="49" fontId="4" fillId="0" borderId="12" xfId="4" applyNumberFormat="1" applyFont="1" applyBorder="1" applyAlignment="1">
      <alignment horizontal="left" vertical="center"/>
    </xf>
    <xf numFmtId="4" fontId="4" fillId="0" borderId="12" xfId="1" applyNumberFormat="1" applyFont="1" applyFill="1" applyBorder="1" applyAlignment="1">
      <alignment horizontal="left" vertical="center" wrapText="1"/>
    </xf>
    <xf numFmtId="0" fontId="82" fillId="0" borderId="0" xfId="0" applyFont="1" applyAlignment="1">
      <alignment horizontal="center"/>
    </xf>
    <xf numFmtId="0" fontId="32" fillId="0" borderId="12" xfId="0" applyFont="1" applyBorder="1" applyAlignment="1">
      <alignment horizontal="center" vertical="center" textRotation="90" wrapText="1"/>
    </xf>
    <xf numFmtId="0" fontId="32" fillId="0" borderId="12" xfId="0" quotePrefix="1" applyFont="1" applyBorder="1" applyAlignment="1">
      <alignment horizontal="center" vertical="center" textRotation="90" wrapText="1"/>
    </xf>
    <xf numFmtId="0" fontId="12" fillId="0" borderId="30" xfId="0" applyFont="1" applyBorder="1" applyAlignment="1">
      <alignment horizontal="center"/>
    </xf>
    <xf numFmtId="49" fontId="12" fillId="0" borderId="30" xfId="0" applyNumberFormat="1" applyFont="1" applyBorder="1" applyAlignment="1">
      <alignment horizontal="center"/>
    </xf>
    <xf numFmtId="49" fontId="12" fillId="0" borderId="50" xfId="0" applyNumberFormat="1" applyFont="1" applyBorder="1" applyAlignment="1">
      <alignment horizontal="center"/>
    </xf>
    <xf numFmtId="0" fontId="5" fillId="0" borderId="37" xfId="0" quotePrefix="1" applyFont="1" applyBorder="1" applyAlignment="1">
      <alignment horizontal="left"/>
    </xf>
    <xf numFmtId="166" fontId="12" fillId="0" borderId="6" xfId="3" applyFont="1" applyFill="1" applyBorder="1" applyAlignment="1">
      <alignment horizontal="center"/>
    </xf>
    <xf numFmtId="0" fontId="12" fillId="0" borderId="12" xfId="0" applyFont="1" applyBorder="1" applyAlignment="1">
      <alignment horizontal="center"/>
    </xf>
    <xf numFmtId="49" fontId="12" fillId="0" borderId="12" xfId="0" applyNumberFormat="1" applyFont="1" applyBorder="1" applyAlignment="1">
      <alignment horizontal="center"/>
    </xf>
    <xf numFmtId="49" fontId="12" fillId="0" borderId="13" xfId="0" quotePrefix="1" applyNumberFormat="1" applyFont="1" applyBorder="1" applyAlignment="1">
      <alignment horizontal="center"/>
    </xf>
    <xf numFmtId="0" fontId="5" fillId="0" borderId="34" xfId="0" quotePrefix="1" applyFont="1" applyBorder="1" applyAlignment="1">
      <alignment horizontal="left"/>
    </xf>
    <xf numFmtId="166" fontId="12" fillId="0" borderId="14" xfId="3" applyFont="1" applyFill="1" applyBorder="1" applyAlignment="1">
      <alignment horizontal="center"/>
    </xf>
    <xf numFmtId="0" fontId="5" fillId="0" borderId="22" xfId="0" quotePrefix="1" applyFont="1" applyBorder="1" applyAlignment="1">
      <alignment horizontal="left"/>
    </xf>
    <xf numFmtId="166" fontId="12" fillId="0" borderId="3" xfId="3" applyFont="1" applyFill="1" applyBorder="1" applyAlignment="1">
      <alignment horizontal="center"/>
    </xf>
    <xf numFmtId="166" fontId="12" fillId="0" borderId="85" xfId="3" applyFont="1" applyFill="1" applyBorder="1" applyAlignment="1">
      <alignment horizontal="center" vertical="center" wrapText="1"/>
    </xf>
    <xf numFmtId="166" fontId="63" fillId="0" borderId="0" xfId="3" applyFont="1" applyFill="1"/>
    <xf numFmtId="166" fontId="5" fillId="0" borderId="0" xfId="3" applyFont="1" applyFill="1"/>
    <xf numFmtId="49" fontId="41" fillId="0" borderId="0" xfId="0" applyNumberFormat="1" applyFont="1" applyAlignment="1">
      <alignment horizontal="left"/>
    </xf>
    <xf numFmtId="0" fontId="23" fillId="0" borderId="0" xfId="0" applyFont="1" applyAlignment="1">
      <alignment horizontal="left"/>
    </xf>
    <xf numFmtId="166" fontId="6" fillId="0" borderId="0" xfId="3" applyFont="1" applyFill="1" applyAlignment="1">
      <alignment horizontal="left"/>
    </xf>
    <xf numFmtId="0" fontId="30" fillId="0" borderId="0" xfId="0" applyFont="1" applyAlignment="1">
      <alignment horizontal="left"/>
    </xf>
    <xf numFmtId="0" fontId="128" fillId="4" borderId="55" xfId="0" applyFont="1" applyFill="1" applyBorder="1" applyAlignment="1">
      <alignment vertical="center" wrapText="1"/>
    </xf>
    <xf numFmtId="0" fontId="78" fillId="5" borderId="0" xfId="0" applyFont="1" applyFill="1"/>
    <xf numFmtId="0" fontId="16" fillId="5" borderId="0" xfId="0" applyFont="1" applyFill="1"/>
    <xf numFmtId="0" fontId="80" fillId="15" borderId="2" xfId="0" applyFont="1" applyFill="1" applyBorder="1" applyAlignment="1">
      <alignment horizontal="center"/>
    </xf>
    <xf numFmtId="166" fontId="80" fillId="15" borderId="75" xfId="3" applyFont="1" applyFill="1" applyBorder="1"/>
    <xf numFmtId="0" fontId="91" fillId="0" borderId="40" xfId="0" applyFont="1" applyBorder="1" applyAlignment="1">
      <alignment horizontal="center" vertical="center" wrapText="1"/>
    </xf>
    <xf numFmtId="0" fontId="91" fillId="0" borderId="12" xfId="0" applyFont="1" applyBorder="1" applyAlignment="1">
      <alignment horizontal="center" vertical="center" wrapText="1"/>
    </xf>
    <xf numFmtId="44" fontId="29" fillId="0" borderId="0" xfId="0" applyNumberFormat="1" applyFont="1"/>
    <xf numFmtId="164" fontId="27" fillId="6" borderId="12" xfId="3" applyNumberFormat="1" applyFont="1" applyFill="1" applyBorder="1" applyAlignment="1">
      <alignment horizontal="right"/>
    </xf>
    <xf numFmtId="168" fontId="82" fillId="6" borderId="32" xfId="0" applyNumberFormat="1" applyFont="1" applyFill="1" applyBorder="1" applyAlignment="1">
      <alignment horizontal="center"/>
    </xf>
    <xf numFmtId="168" fontId="82" fillId="6" borderId="18" xfId="0" applyNumberFormat="1" applyFont="1" applyFill="1" applyBorder="1"/>
    <xf numFmtId="0" fontId="87" fillId="6" borderId="12" xfId="0" quotePrefix="1" applyFont="1" applyFill="1" applyBorder="1" applyAlignment="1">
      <alignment vertical="center" wrapText="1"/>
    </xf>
    <xf numFmtId="49" fontId="87" fillId="6" borderId="12" xfId="0" quotePrefix="1" applyNumberFormat="1" applyFont="1" applyFill="1" applyBorder="1" applyAlignment="1">
      <alignment horizontal="left" vertical="center" wrapText="1"/>
    </xf>
    <xf numFmtId="168" fontId="84" fillId="6" borderId="12" xfId="0" applyNumberFormat="1" applyFont="1" applyFill="1" applyBorder="1"/>
    <xf numFmtId="166" fontId="105" fillId="6" borderId="5" xfId="3" applyFont="1" applyFill="1" applyBorder="1"/>
    <xf numFmtId="49" fontId="133" fillId="6" borderId="15" xfId="0" applyNumberFormat="1" applyFont="1" applyFill="1" applyBorder="1"/>
    <xf numFmtId="166" fontId="103" fillId="6" borderId="15" xfId="3" applyFont="1" applyFill="1" applyBorder="1"/>
    <xf numFmtId="0" fontId="0" fillId="16" borderId="0" xfId="0" applyFill="1"/>
    <xf numFmtId="0" fontId="29" fillId="0" borderId="12" xfId="0" applyFont="1" applyBorder="1" applyAlignment="1">
      <alignment horizontal="center" vertical="center"/>
    </xf>
    <xf numFmtId="1" fontId="29" fillId="0" borderId="30" xfId="4" applyNumberFormat="1" applyFont="1" applyBorder="1" applyAlignment="1">
      <alignment horizontal="center" vertical="center"/>
    </xf>
    <xf numFmtId="1" fontId="29" fillId="0" borderId="12" xfId="4" applyNumberFormat="1" applyFont="1" applyBorder="1" applyAlignment="1">
      <alignment horizontal="center" vertical="center"/>
    </xf>
    <xf numFmtId="166" fontId="29" fillId="0" borderId="12" xfId="3" applyFont="1" applyFill="1" applyBorder="1" applyAlignment="1">
      <alignment horizontal="center" vertical="center"/>
    </xf>
    <xf numFmtId="0" fontId="15" fillId="0" borderId="10" xfId="0" applyFont="1" applyBorder="1" applyAlignment="1">
      <alignment horizontal="center" vertical="center" wrapText="1"/>
    </xf>
    <xf numFmtId="49" fontId="137" fillId="19" borderId="12" xfId="0" applyNumberFormat="1" applyFont="1" applyFill="1" applyBorder="1" applyAlignment="1">
      <alignment horizontal="center" vertical="top" wrapText="1"/>
    </xf>
    <xf numFmtId="49" fontId="18" fillId="2" borderId="0" xfId="0" applyNumberFormat="1" applyFont="1" applyFill="1" applyAlignment="1">
      <alignment horizontal="left" vertical="center"/>
    </xf>
    <xf numFmtId="0" fontId="91" fillId="0" borderId="30" xfId="0" applyFont="1" applyBorder="1" applyAlignment="1">
      <alignment horizontal="center" vertical="center" wrapText="1"/>
    </xf>
    <xf numFmtId="1" fontId="29" fillId="0" borderId="32" xfId="4" applyNumberFormat="1" applyFont="1" applyBorder="1" applyAlignment="1">
      <alignment horizontal="center" vertical="center"/>
    </xf>
    <xf numFmtId="4" fontId="4" fillId="0" borderId="56" xfId="1" applyNumberFormat="1" applyFont="1" applyFill="1" applyBorder="1" applyAlignment="1">
      <alignment horizontal="left" vertical="center" wrapText="1"/>
    </xf>
    <xf numFmtId="49" fontId="4" fillId="0" borderId="56" xfId="4" applyNumberFormat="1" applyFont="1" applyBorder="1" applyAlignment="1">
      <alignment horizontal="justify" vertical="center" wrapText="1"/>
    </xf>
    <xf numFmtId="0" fontId="0" fillId="6" borderId="0" xfId="0" applyFill="1" applyAlignment="1">
      <alignment horizontal="center" vertical="center" wrapText="1"/>
    </xf>
    <xf numFmtId="0" fontId="123" fillId="4" borderId="32" xfId="0" applyFont="1" applyFill="1" applyBorder="1" applyAlignment="1">
      <alignment vertical="center"/>
    </xf>
    <xf numFmtId="0" fontId="123" fillId="4" borderId="56" xfId="0" applyFont="1" applyFill="1" applyBorder="1" applyAlignment="1">
      <alignment vertical="center"/>
    </xf>
    <xf numFmtId="0" fontId="124" fillId="4" borderId="0" xfId="6" applyFont="1" applyFill="1" applyAlignment="1"/>
    <xf numFmtId="0" fontId="87" fillId="4" borderId="0" xfId="0" applyFont="1" applyFill="1" applyAlignment="1">
      <alignment wrapText="1"/>
    </xf>
    <xf numFmtId="49" fontId="87" fillId="4" borderId="0" xfId="0" applyNumberFormat="1" applyFont="1" applyFill="1" applyAlignment="1">
      <alignment wrapText="1"/>
    </xf>
    <xf numFmtId="166" fontId="91" fillId="4" borderId="0" xfId="3" applyFont="1" applyFill="1"/>
    <xf numFmtId="0" fontId="89" fillId="4" borderId="0" xfId="0" applyFont="1" applyFill="1"/>
    <xf numFmtId="0" fontId="84" fillId="4" borderId="0" xfId="0" applyFont="1" applyFill="1" applyAlignment="1">
      <alignment horizontal="center"/>
    </xf>
    <xf numFmtId="0" fontId="87" fillId="4" borderId="0" xfId="0" applyFont="1" applyFill="1"/>
    <xf numFmtId="166" fontId="96" fillId="4" borderId="0" xfId="3" applyFont="1" applyFill="1"/>
    <xf numFmtId="0" fontId="90" fillId="4" borderId="0" xfId="0" applyFont="1" applyFill="1"/>
    <xf numFmtId="166" fontId="89" fillId="4" borderId="0" xfId="3" applyFont="1" applyFill="1"/>
    <xf numFmtId="49" fontId="15" fillId="4" borderId="46" xfId="0" applyNumberFormat="1" applyFont="1" applyFill="1" applyBorder="1" applyAlignment="1">
      <alignment horizontal="center"/>
    </xf>
    <xf numFmtId="49" fontId="15" fillId="4" borderId="30" xfId="0" applyNumberFormat="1" applyFont="1" applyFill="1" applyBorder="1" applyAlignment="1">
      <alignment horizontal="center"/>
    </xf>
    <xf numFmtId="49" fontId="29" fillId="4" borderId="30" xfId="4" applyNumberFormat="1" applyFont="1" applyFill="1" applyBorder="1" applyAlignment="1">
      <alignment horizontal="justify" vertical="center" wrapText="1"/>
    </xf>
    <xf numFmtId="174" fontId="29" fillId="4" borderId="12" xfId="0" applyNumberFormat="1" applyFont="1" applyFill="1" applyBorder="1" applyAlignment="1">
      <alignment vertical="center"/>
    </xf>
    <xf numFmtId="49" fontId="29" fillId="4" borderId="12" xfId="4" applyNumberFormat="1" applyFont="1" applyFill="1" applyBorder="1" applyAlignment="1">
      <alignment horizontal="justify" vertical="center" wrapText="1"/>
    </xf>
    <xf numFmtId="0" fontId="29" fillId="4" borderId="12" xfId="0" applyFont="1" applyFill="1" applyBorder="1" applyAlignment="1">
      <alignment horizontal="left" vertical="center" wrapText="1"/>
    </xf>
    <xf numFmtId="174" fontId="29" fillId="4" borderId="18" xfId="0" applyNumberFormat="1" applyFont="1" applyFill="1" applyBorder="1" applyAlignment="1">
      <alignment vertical="center"/>
    </xf>
    <xf numFmtId="0" fontId="138" fillId="0" borderId="0" xfId="0" applyFont="1"/>
    <xf numFmtId="0" fontId="80" fillId="0" borderId="174" xfId="0" applyFont="1" applyBorder="1" applyAlignment="1">
      <alignment vertical="center" wrapText="1"/>
    </xf>
    <xf numFmtId="0" fontId="138" fillId="0" borderId="181" xfId="0" applyFont="1" applyBorder="1"/>
    <xf numFmtId="0" fontId="141" fillId="19" borderId="177" xfId="0" quotePrefix="1" applyFont="1" applyFill="1" applyBorder="1" applyAlignment="1">
      <alignment horizontal="left" vertical="center"/>
    </xf>
    <xf numFmtId="0" fontId="141" fillId="19" borderId="176" xfId="0" applyFont="1" applyFill="1" applyBorder="1" applyAlignment="1">
      <alignment horizontal="center" vertical="center" wrapText="1"/>
    </xf>
    <xf numFmtId="0" fontId="141" fillId="19" borderId="176" xfId="0" applyFont="1" applyFill="1" applyBorder="1" applyAlignment="1">
      <alignment horizontal="center" vertical="center"/>
    </xf>
    <xf numFmtId="0" fontId="142" fillId="19" borderId="0" xfId="0" applyFont="1" applyFill="1"/>
    <xf numFmtId="0" fontId="145" fillId="19" borderId="177" xfId="0" applyFont="1" applyFill="1" applyBorder="1" applyAlignment="1">
      <alignment horizontal="center" vertical="center"/>
    </xf>
    <xf numFmtId="0" fontId="80" fillId="6" borderId="4" xfId="0" applyFont="1" applyFill="1" applyBorder="1" applyAlignment="1">
      <alignment horizontal="center"/>
    </xf>
    <xf numFmtId="169" fontId="80" fillId="6" borderId="75" xfId="0" applyNumberFormat="1" applyFont="1" applyFill="1" applyBorder="1"/>
    <xf numFmtId="0" fontId="80" fillId="6" borderId="2" xfId="0" quotePrefix="1" applyFont="1" applyFill="1" applyBorder="1" applyAlignment="1">
      <alignment horizontal="center"/>
    </xf>
    <xf numFmtId="0" fontId="104" fillId="6" borderId="2" xfId="0" quotePrefix="1" applyFont="1" applyFill="1" applyBorder="1" applyAlignment="1">
      <alignment horizontal="center"/>
    </xf>
    <xf numFmtId="169" fontId="80" fillId="6" borderId="25" xfId="0" applyNumberFormat="1" applyFont="1" applyFill="1" applyBorder="1"/>
    <xf numFmtId="0" fontId="80" fillId="6" borderId="2" xfId="0" applyFont="1" applyFill="1" applyBorder="1" applyAlignment="1">
      <alignment horizontal="center"/>
    </xf>
    <xf numFmtId="0" fontId="82" fillId="6" borderId="4" xfId="0" applyFont="1" applyFill="1" applyBorder="1" applyAlignment="1">
      <alignment horizontal="center" vertical="center"/>
    </xf>
    <xf numFmtId="168" fontId="146" fillId="6" borderId="58" xfId="0" applyNumberFormat="1" applyFont="1" applyFill="1" applyBorder="1"/>
    <xf numFmtId="169" fontId="80" fillId="6" borderId="12" xfId="0" applyNumberFormat="1" applyFont="1" applyFill="1" applyBorder="1"/>
    <xf numFmtId="0" fontId="104" fillId="0" borderId="0" xfId="0" quotePrefix="1" applyFont="1"/>
    <xf numFmtId="49" fontId="149" fillId="19" borderId="183" xfId="0" applyNumberFormat="1" applyFont="1" applyFill="1" applyBorder="1" applyAlignment="1">
      <alignment horizontal="center" textRotation="90"/>
    </xf>
    <xf numFmtId="49" fontId="149" fillId="19" borderId="183" xfId="0" quotePrefix="1" applyNumberFormat="1" applyFont="1" applyFill="1" applyBorder="1" applyAlignment="1">
      <alignment horizontal="center" textRotation="90"/>
    </xf>
    <xf numFmtId="49" fontId="149" fillId="19" borderId="183" xfId="0" quotePrefix="1" applyNumberFormat="1" applyFont="1" applyFill="1" applyBorder="1" applyAlignment="1">
      <alignment horizontal="center" textRotation="90" wrapText="1"/>
    </xf>
    <xf numFmtId="0" fontId="149" fillId="19" borderId="183" xfId="0" applyFont="1" applyFill="1" applyBorder="1" applyAlignment="1">
      <alignment horizontal="left" textRotation="90"/>
    </xf>
    <xf numFmtId="0" fontId="15" fillId="4" borderId="12" xfId="0" applyFont="1" applyFill="1" applyBorder="1" applyAlignment="1">
      <alignment horizontal="center"/>
    </xf>
    <xf numFmtId="49" fontId="15" fillId="4" borderId="12" xfId="0" applyNumberFormat="1" applyFont="1" applyFill="1" applyBorder="1" applyAlignment="1">
      <alignment horizontal="center"/>
    </xf>
    <xf numFmtId="0" fontId="16" fillId="4" borderId="12" xfId="0" applyFont="1" applyFill="1" applyBorder="1" applyAlignment="1">
      <alignment horizontal="left"/>
    </xf>
    <xf numFmtId="0" fontId="11" fillId="4" borderId="12" xfId="0" applyFont="1" applyFill="1" applyBorder="1"/>
    <xf numFmtId="49" fontId="47" fillId="4" borderId="0" xfId="3" applyNumberFormat="1" applyFont="1" applyFill="1"/>
    <xf numFmtId="166" fontId="0" fillId="4" borderId="0" xfId="3" applyFont="1" applyFill="1"/>
    <xf numFmtId="166" fontId="27" fillId="6" borderId="15" xfId="3" applyFont="1" applyFill="1" applyBorder="1"/>
    <xf numFmtId="0" fontId="29" fillId="0" borderId="3" xfId="0" applyFont="1" applyBorder="1" applyAlignment="1">
      <alignment horizontal="center" vertical="center" wrapText="1"/>
    </xf>
    <xf numFmtId="168" fontId="53" fillId="0" borderId="87" xfId="0" applyNumberFormat="1" applyFont="1" applyBorder="1" applyAlignment="1">
      <alignment horizontal="center"/>
    </xf>
    <xf numFmtId="49" fontId="53" fillId="0" borderId="12" xfId="1" applyNumberFormat="1" applyFont="1" applyFill="1" applyBorder="1" applyAlignment="1">
      <alignment horizontal="left" vertical="center"/>
    </xf>
    <xf numFmtId="4" fontId="65" fillId="0" borderId="12" xfId="1" applyNumberFormat="1" applyFont="1" applyFill="1" applyBorder="1" applyAlignment="1">
      <alignment horizontal="left" vertical="center" wrapText="1"/>
    </xf>
    <xf numFmtId="168" fontId="116" fillId="0" borderId="12" xfId="3" applyNumberFormat="1" applyFont="1" applyFill="1" applyBorder="1" applyAlignment="1">
      <alignment horizontal="right"/>
    </xf>
    <xf numFmtId="0" fontId="53" fillId="0" borderId="12" xfId="0" applyFont="1" applyBorder="1" applyAlignment="1">
      <alignment horizontal="left" vertical="center"/>
    </xf>
    <xf numFmtId="0" fontId="65" fillId="0" borderId="12" xfId="0" applyFont="1" applyBorder="1" applyAlignment="1">
      <alignment horizontal="left" vertical="center" wrapText="1"/>
    </xf>
    <xf numFmtId="0" fontId="115" fillId="0" borderId="12" xfId="0" applyFont="1" applyBorder="1"/>
    <xf numFmtId="0" fontId="65" fillId="0" borderId="12" xfId="0" quotePrefix="1" applyFont="1" applyBorder="1" applyAlignment="1">
      <alignment horizontal="left" vertical="center" wrapText="1"/>
    </xf>
    <xf numFmtId="4" fontId="65" fillId="0" borderId="12" xfId="1" quotePrefix="1" applyNumberFormat="1" applyFont="1" applyFill="1" applyBorder="1" applyAlignment="1">
      <alignment horizontal="left" vertical="center" wrapText="1"/>
    </xf>
    <xf numFmtId="0" fontId="60" fillId="0" borderId="12" xfId="0" applyFont="1" applyBorder="1" applyAlignment="1">
      <alignment horizontal="left" vertical="center"/>
    </xf>
    <xf numFmtId="168" fontId="151" fillId="6" borderId="12" xfId="1" applyNumberFormat="1" applyFont="1" applyFill="1" applyBorder="1" applyAlignment="1">
      <alignment horizontal="left"/>
    </xf>
    <xf numFmtId="168" fontId="4" fillId="0" borderId="0" xfId="0" applyNumberFormat="1" applyFont="1"/>
    <xf numFmtId="164" fontId="105" fillId="6" borderId="45" xfId="3" applyNumberFormat="1" applyFont="1" applyFill="1" applyBorder="1" applyAlignment="1">
      <alignment horizontal="right" vertical="center"/>
    </xf>
    <xf numFmtId="170" fontId="61" fillId="0" borderId="0" xfId="0" applyNumberFormat="1" applyFont="1" applyAlignment="1">
      <alignment horizontal="center"/>
    </xf>
    <xf numFmtId="164" fontId="103" fillId="0" borderId="185" xfId="3" applyNumberFormat="1" applyFont="1" applyFill="1" applyBorder="1" applyAlignment="1">
      <alignment horizontal="right"/>
    </xf>
    <xf numFmtId="44" fontId="4" fillId="0" borderId="0" xfId="0" applyNumberFormat="1" applyFont="1"/>
    <xf numFmtId="0" fontId="4" fillId="0" borderId="0" xfId="0" applyFont="1" applyAlignment="1">
      <alignment wrapText="1"/>
    </xf>
    <xf numFmtId="0" fontId="4" fillId="9" borderId="0" xfId="0" applyFont="1" applyFill="1"/>
    <xf numFmtId="0" fontId="4" fillId="0" borderId="0" xfId="0" applyFont="1" applyAlignment="1">
      <alignment horizontal="justify" vertical="distributed"/>
    </xf>
    <xf numFmtId="0" fontId="142" fillId="19" borderId="176" xfId="0" applyFont="1" applyFill="1" applyBorder="1" applyAlignment="1">
      <alignment horizontal="center" vertical="distributed"/>
    </xf>
    <xf numFmtId="0" fontId="4" fillId="0" borderId="30" xfId="0" applyFont="1" applyBorder="1" applyAlignment="1">
      <alignment horizontal="center" vertical="distributed"/>
    </xf>
    <xf numFmtId="0" fontId="4" fillId="0" borderId="12" xfId="0" applyFont="1" applyBorder="1" applyAlignment="1">
      <alignment horizontal="center" vertical="distributed"/>
    </xf>
    <xf numFmtId="0" fontId="4" fillId="0" borderId="40" xfId="0" applyFont="1" applyBorder="1" applyAlignment="1">
      <alignment horizontal="justify" vertical="distributed"/>
    </xf>
    <xf numFmtId="0" fontId="159" fillId="0" borderId="0" xfId="0" applyFont="1" applyAlignment="1">
      <alignment horizontal="justify" vertical="distributed" wrapText="1"/>
    </xf>
    <xf numFmtId="0" fontId="4" fillId="0" borderId="0" xfId="0" applyFont="1" applyAlignment="1">
      <alignment horizontal="justify" vertical="distributed" wrapText="1"/>
    </xf>
    <xf numFmtId="0" fontId="38" fillId="0" borderId="0" xfId="0" applyFont="1" applyAlignment="1">
      <alignment horizontal="justify" vertical="distributed" wrapText="1"/>
    </xf>
    <xf numFmtId="0" fontId="4" fillId="0" borderId="1" xfId="0" quotePrefix="1" applyFont="1" applyBorder="1" applyAlignment="1">
      <alignment horizontal="left"/>
    </xf>
    <xf numFmtId="0" fontId="4" fillId="0" borderId="0" xfId="0" quotePrefix="1" applyFont="1" applyAlignment="1">
      <alignment horizontal="left"/>
    </xf>
    <xf numFmtId="0" fontId="22" fillId="0" borderId="1" xfId="0" applyFont="1" applyBorder="1"/>
    <xf numFmtId="0" fontId="22" fillId="0" borderId="1" xfId="0" applyFont="1" applyBorder="1" applyAlignment="1">
      <alignment horizontal="left"/>
    </xf>
    <xf numFmtId="0" fontId="22" fillId="0" borderId="1" xfId="0" quotePrefix="1" applyFont="1" applyBorder="1"/>
    <xf numFmtId="0" fontId="22" fillId="0" borderId="0" xfId="0" quotePrefix="1" applyFont="1"/>
    <xf numFmtId="0" fontId="22" fillId="0" borderId="1" xfId="0" quotePrefix="1" applyFont="1" applyBorder="1" applyAlignment="1">
      <alignment horizontal="left"/>
    </xf>
    <xf numFmtId="49" fontId="141" fillId="19" borderId="176" xfId="0" applyNumberFormat="1" applyFont="1" applyFill="1" applyBorder="1" applyAlignment="1">
      <alignment horizontal="center"/>
    </xf>
    <xf numFmtId="0" fontId="143" fillId="19" borderId="176" xfId="0" applyFont="1" applyFill="1" applyBorder="1" applyAlignment="1">
      <alignment horizontal="center"/>
    </xf>
    <xf numFmtId="0" fontId="141" fillId="19" borderId="176" xfId="0" applyFont="1" applyFill="1" applyBorder="1" applyAlignment="1">
      <alignment horizontal="center"/>
    </xf>
    <xf numFmtId="4" fontId="22" fillId="6" borderId="12" xfId="0" applyNumberFormat="1" applyFont="1" applyFill="1" applyBorder="1" applyAlignment="1">
      <alignment horizontal="right" vertical="center"/>
    </xf>
    <xf numFmtId="168" fontId="115" fillId="6" borderId="12" xfId="0" applyNumberFormat="1" applyFont="1" applyFill="1" applyBorder="1"/>
    <xf numFmtId="0" fontId="16" fillId="0" borderId="30" xfId="0" applyFont="1" applyBorder="1" applyAlignment="1">
      <alignment horizontal="center"/>
    </xf>
    <xf numFmtId="0" fontId="4" fillId="0" borderId="30" xfId="0" applyFont="1" applyBorder="1" applyAlignment="1">
      <alignment horizontal="justify" vertical="center" wrapText="1"/>
    </xf>
    <xf numFmtId="0" fontId="16" fillId="0" borderId="60" xfId="0" applyFont="1" applyBorder="1" applyAlignment="1">
      <alignment horizontal="justify" vertical="center" wrapText="1"/>
    </xf>
    <xf numFmtId="170" fontId="16" fillId="0" borderId="30" xfId="0" applyNumberFormat="1" applyFont="1" applyBorder="1"/>
    <xf numFmtId="170" fontId="22" fillId="0" borderId="30" xfId="0" applyNumberFormat="1" applyFont="1" applyBorder="1"/>
    <xf numFmtId="0" fontId="163" fillId="19" borderId="176" xfId="0" applyFont="1" applyFill="1" applyBorder="1" applyAlignment="1">
      <alignment horizontal="center" vertical="center" wrapText="1"/>
    </xf>
    <xf numFmtId="0" fontId="22" fillId="6" borderId="32" xfId="0" applyFont="1" applyFill="1" applyBorder="1"/>
    <xf numFmtId="0" fontId="22" fillId="6" borderId="56" xfId="0" applyFont="1" applyFill="1" applyBorder="1" applyAlignment="1">
      <alignment horizontal="left"/>
    </xf>
    <xf numFmtId="49" fontId="22" fillId="6" borderId="12" xfId="0" applyNumberFormat="1" applyFont="1" applyFill="1" applyBorder="1" applyAlignment="1">
      <alignment horizontal="left"/>
    </xf>
    <xf numFmtId="170" fontId="22" fillId="6" borderId="12" xfId="2" applyNumberFormat="1" applyFont="1" applyFill="1" applyBorder="1" applyAlignment="1">
      <alignment horizontal="center"/>
    </xf>
    <xf numFmtId="0" fontId="22" fillId="6" borderId="54" xfId="0" applyFont="1" applyFill="1" applyBorder="1"/>
    <xf numFmtId="0" fontId="16" fillId="0" borderId="30" xfId="0" applyFont="1" applyBorder="1"/>
    <xf numFmtId="166" fontId="16" fillId="0" borderId="30" xfId="3" applyFont="1" applyFill="1" applyBorder="1"/>
    <xf numFmtId="166" fontId="16" fillId="0" borderId="30" xfId="3" applyFont="1" applyFill="1" applyBorder="1" applyAlignment="1"/>
    <xf numFmtId="173" fontId="22" fillId="0" borderId="60" xfId="0" applyNumberFormat="1" applyFont="1" applyBorder="1"/>
    <xf numFmtId="0" fontId="141" fillId="19" borderId="176" xfId="0" applyFont="1" applyFill="1" applyBorder="1" applyAlignment="1">
      <alignment vertical="center" wrapText="1"/>
    </xf>
    <xf numFmtId="0" fontId="16" fillId="6" borderId="12" xfId="0" applyFont="1" applyFill="1" applyBorder="1"/>
    <xf numFmtId="166" fontId="22" fillId="6" borderId="12" xfId="0" applyNumberFormat="1" applyFont="1" applyFill="1" applyBorder="1"/>
    <xf numFmtId="49" fontId="16" fillId="0" borderId="30" xfId="1" applyNumberFormat="1" applyFont="1" applyFill="1" applyBorder="1" applyAlignment="1">
      <alignment horizontal="center"/>
    </xf>
    <xf numFmtId="4" fontId="25" fillId="0" borderId="30" xfId="1" applyNumberFormat="1" applyFont="1" applyFill="1" applyBorder="1"/>
    <xf numFmtId="164" fontId="29" fillId="0" borderId="30" xfId="3" applyNumberFormat="1" applyFont="1" applyFill="1" applyBorder="1" applyAlignment="1">
      <alignment horizontal="right"/>
    </xf>
    <xf numFmtId="0" fontId="168" fillId="19" borderId="176" xfId="0" applyFont="1" applyFill="1" applyBorder="1" applyAlignment="1">
      <alignment horizontal="left" vertical="center" textRotation="90" wrapText="1" readingOrder="1"/>
    </xf>
    <xf numFmtId="0" fontId="168" fillId="19" borderId="176" xfId="0" quotePrefix="1" applyFont="1" applyFill="1" applyBorder="1" applyAlignment="1">
      <alignment horizontal="left" vertical="center" textRotation="90" wrapText="1" readingOrder="1"/>
    </xf>
    <xf numFmtId="49" fontId="168" fillId="19" borderId="176" xfId="0" quotePrefix="1" applyNumberFormat="1" applyFont="1" applyFill="1" applyBorder="1" applyAlignment="1">
      <alignment horizontal="left" vertical="center" textRotation="90" wrapText="1" readingOrder="1"/>
    </xf>
    <xf numFmtId="0" fontId="5" fillId="0" borderId="30" xfId="0" applyFont="1" applyBorder="1" applyAlignment="1">
      <alignment horizontal="center"/>
    </xf>
    <xf numFmtId="164" fontId="5" fillId="0" borderId="30" xfId="0" applyNumberFormat="1" applyFont="1" applyBorder="1"/>
    <xf numFmtId="0" fontId="155" fillId="19" borderId="176" xfId="0" applyFont="1" applyFill="1" applyBorder="1" applyAlignment="1">
      <alignment horizontal="center" vertical="center" wrapText="1"/>
    </xf>
    <xf numFmtId="0" fontId="155" fillId="19" borderId="176" xfId="0" quotePrefix="1" applyFont="1" applyFill="1" applyBorder="1" applyAlignment="1">
      <alignment horizontal="center" vertical="center" wrapText="1"/>
    </xf>
    <xf numFmtId="0" fontId="6" fillId="6" borderId="45" xfId="0" applyFont="1" applyFill="1" applyBorder="1" applyAlignment="1">
      <alignment horizontal="center"/>
    </xf>
    <xf numFmtId="164" fontId="6" fillId="6" borderId="45" xfId="0" applyNumberFormat="1" applyFont="1" applyFill="1" applyBorder="1"/>
    <xf numFmtId="49" fontId="30" fillId="4" borderId="46" xfId="1" applyNumberFormat="1" applyFont="1" applyFill="1" applyBorder="1" applyAlignment="1">
      <alignment horizontal="left"/>
    </xf>
    <xf numFmtId="4" fontId="30" fillId="4" borderId="30" xfId="1" applyNumberFormat="1" applyFont="1" applyFill="1" applyBorder="1"/>
    <xf numFmtId="164" fontId="30" fillId="4" borderId="30" xfId="1" applyNumberFormat="1" applyFont="1" applyFill="1" applyBorder="1"/>
    <xf numFmtId="164" fontId="41" fillId="4" borderId="50" xfId="1" applyNumberFormat="1" applyFont="1" applyFill="1" applyBorder="1"/>
    <xf numFmtId="164" fontId="41" fillId="6" borderId="9" xfId="0" applyNumberFormat="1" applyFont="1" applyFill="1" applyBorder="1"/>
    <xf numFmtId="164" fontId="41" fillId="6" borderId="10" xfId="1" applyNumberFormat="1" applyFont="1" applyFill="1" applyBorder="1"/>
    <xf numFmtId="164" fontId="41" fillId="6" borderId="8" xfId="0" applyNumberFormat="1" applyFont="1" applyFill="1" applyBorder="1"/>
    <xf numFmtId="164" fontId="41" fillId="6" borderId="16" xfId="1" applyNumberFormat="1" applyFont="1" applyFill="1" applyBorder="1"/>
    <xf numFmtId="0" fontId="0" fillId="0" borderId="0" xfId="0" applyAlignment="1">
      <alignment vertical="center"/>
    </xf>
    <xf numFmtId="49" fontId="29" fillId="2" borderId="46" xfId="0" applyNumberFormat="1" applyFont="1" applyFill="1" applyBorder="1" applyAlignment="1">
      <alignment horizontal="center" vertical="center"/>
    </xf>
    <xf numFmtId="49" fontId="29" fillId="2" borderId="30" xfId="0" applyNumberFormat="1" applyFont="1" applyFill="1" applyBorder="1" applyAlignment="1">
      <alignment horizontal="center" vertical="center"/>
    </xf>
    <xf numFmtId="49" fontId="15" fillId="0" borderId="14" xfId="0" applyNumberFormat="1" applyFont="1" applyBorder="1" applyAlignment="1">
      <alignment horizontal="center" vertical="center"/>
    </xf>
    <xf numFmtId="164" fontId="15" fillId="0" borderId="12" xfId="3" applyNumberFormat="1" applyFont="1" applyFill="1" applyBorder="1" applyAlignment="1">
      <alignment horizontal="right" vertical="center"/>
    </xf>
    <xf numFmtId="0" fontId="0" fillId="4" borderId="0" xfId="0" applyFill="1" applyAlignment="1">
      <alignment vertical="center"/>
    </xf>
    <xf numFmtId="49" fontId="4" fillId="2" borderId="46"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0" fontId="173" fillId="2" borderId="0" xfId="0" applyFont="1" applyFill="1"/>
    <xf numFmtId="49" fontId="17" fillId="2" borderId="0" xfId="0" applyNumberFormat="1" applyFont="1" applyFill="1"/>
    <xf numFmtId="0" fontId="174" fillId="2" borderId="0" xfId="0" applyFont="1" applyFill="1" applyAlignment="1">
      <alignment horizontal="center"/>
    </xf>
    <xf numFmtId="0" fontId="175" fillId="2" borderId="0" xfId="0" applyFont="1" applyFill="1" applyAlignment="1">
      <alignment horizontal="center"/>
    </xf>
    <xf numFmtId="0" fontId="17" fillId="2" borderId="0" xfId="0" applyFont="1" applyFill="1"/>
    <xf numFmtId="164" fontId="92" fillId="0" borderId="12" xfId="3" applyNumberFormat="1" applyFont="1" applyFill="1" applyBorder="1" applyAlignment="1">
      <alignment horizontal="center" vertical="center"/>
    </xf>
    <xf numFmtId="1" fontId="29" fillId="4" borderId="30" xfId="4" applyNumberFormat="1" applyFont="1" applyFill="1" applyBorder="1" applyAlignment="1">
      <alignment horizontal="center" vertical="center"/>
    </xf>
    <xf numFmtId="1" fontId="29" fillId="4" borderId="12" xfId="4" applyNumberFormat="1" applyFont="1" applyFill="1" applyBorder="1" applyAlignment="1">
      <alignment horizontal="center" vertical="center"/>
    </xf>
    <xf numFmtId="0" fontId="29" fillId="4" borderId="12" xfId="0"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40"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29" fillId="2" borderId="14" xfId="0" applyNumberFormat="1" applyFont="1" applyFill="1" applyBorder="1" applyAlignment="1">
      <alignment horizontal="center" vertical="center"/>
    </xf>
    <xf numFmtId="49" fontId="29" fillId="2" borderId="6" xfId="0" applyNumberFormat="1" applyFont="1" applyFill="1" applyBorder="1" applyAlignment="1">
      <alignment horizontal="center" vertical="center"/>
    </xf>
    <xf numFmtId="49" fontId="14" fillId="2" borderId="31" xfId="0" applyNumberFormat="1" applyFont="1" applyFill="1" applyBorder="1" applyAlignment="1">
      <alignment horizontal="center" vertical="center"/>
    </xf>
    <xf numFmtId="0" fontId="5" fillId="0" borderId="0" xfId="0" applyFont="1" applyAlignment="1">
      <alignment horizontal="center" vertical="center"/>
    </xf>
    <xf numFmtId="0" fontId="17" fillId="2" borderId="0" xfId="0" applyFont="1" applyFill="1" applyAlignment="1">
      <alignment horizontal="center" vertical="center"/>
    </xf>
    <xf numFmtId="49" fontId="29" fillId="4" borderId="46" xfId="0" applyNumberFormat="1" applyFont="1" applyFill="1" applyBorder="1" applyAlignment="1">
      <alignment horizontal="center"/>
    </xf>
    <xf numFmtId="49" fontId="29" fillId="4" borderId="30" xfId="0" applyNumberFormat="1" applyFont="1" applyFill="1" applyBorder="1" applyAlignment="1">
      <alignment horizontal="center"/>
    </xf>
    <xf numFmtId="1" fontId="4" fillId="0" borderId="30" xfId="4" applyNumberFormat="1" applyFont="1" applyBorder="1" applyAlignment="1">
      <alignment horizontal="center" vertical="center"/>
    </xf>
    <xf numFmtId="49" fontId="4" fillId="0" borderId="30" xfId="4" applyNumberFormat="1" applyFont="1" applyBorder="1" applyAlignment="1">
      <alignment horizontal="justify" vertical="center" wrapText="1"/>
    </xf>
    <xf numFmtId="166" fontId="4" fillId="0" borderId="12" xfId="3" applyFont="1" applyFill="1" applyBorder="1" applyAlignment="1">
      <alignment vertical="center"/>
    </xf>
    <xf numFmtId="49" fontId="4" fillId="2" borderId="12" xfId="0" applyNumberFormat="1" applyFont="1" applyFill="1" applyBorder="1" applyAlignment="1">
      <alignment horizontal="center" vertical="center"/>
    </xf>
    <xf numFmtId="0" fontId="4" fillId="0" borderId="12" xfId="0" applyFont="1" applyBorder="1" applyAlignment="1">
      <alignment horizontal="center" vertical="center" wrapText="1"/>
    </xf>
    <xf numFmtId="1" fontId="4" fillId="0" borderId="12" xfId="4" applyNumberFormat="1" applyFont="1" applyBorder="1" applyAlignment="1">
      <alignment horizontal="center" vertical="center"/>
    </xf>
    <xf numFmtId="1" fontId="4" fillId="0" borderId="18" xfId="4" applyNumberFormat="1" applyFont="1" applyBorder="1" applyAlignment="1">
      <alignment horizontal="center" vertical="center"/>
    </xf>
    <xf numFmtId="49" fontId="4" fillId="0" borderId="18" xfId="4" applyNumberFormat="1" applyFont="1" applyBorder="1" applyAlignment="1">
      <alignment horizontal="justify" vertical="center" wrapText="1"/>
    </xf>
    <xf numFmtId="164" fontId="30" fillId="4" borderId="30" xfId="1" applyNumberFormat="1" applyFont="1" applyFill="1" applyBorder="1" applyAlignment="1">
      <alignment horizontal="right"/>
    </xf>
    <xf numFmtId="164" fontId="30" fillId="4" borderId="55" xfId="1" applyNumberFormat="1" applyFont="1" applyFill="1" applyBorder="1" applyAlignment="1">
      <alignment horizontal="right"/>
    </xf>
    <xf numFmtId="4" fontId="55" fillId="0" borderId="30" xfId="0" applyNumberFormat="1" applyFont="1" applyBorder="1"/>
    <xf numFmtId="169" fontId="55" fillId="0" borderId="12" xfId="0" applyNumberFormat="1" applyFont="1" applyBorder="1"/>
    <xf numFmtId="0" fontId="115" fillId="6" borderId="12" xfId="0" applyFont="1" applyFill="1" applyBorder="1"/>
    <xf numFmtId="49" fontId="101" fillId="0" borderId="0" xfId="0" applyNumberFormat="1" applyFont="1" applyAlignment="1">
      <alignment horizontal="center"/>
    </xf>
    <xf numFmtId="0" fontId="101" fillId="0" borderId="0" xfId="0" applyFont="1"/>
    <xf numFmtId="0" fontId="179" fillId="0" borderId="0" xfId="0" applyFont="1"/>
    <xf numFmtId="49" fontId="179" fillId="0" borderId="0" xfId="0" applyNumberFormat="1" applyFont="1" applyAlignment="1">
      <alignment horizontal="center"/>
    </xf>
    <xf numFmtId="170" fontId="114" fillId="0" borderId="0" xfId="0" applyNumberFormat="1" applyFont="1" applyAlignment="1">
      <alignment horizontal="center"/>
    </xf>
    <xf numFmtId="4" fontId="101" fillId="0" borderId="0" xfId="0" applyNumberFormat="1" applyFont="1"/>
    <xf numFmtId="165" fontId="101" fillId="0" borderId="0" xfId="2" applyFont="1" applyFill="1" applyBorder="1" applyAlignment="1">
      <alignment horizontal="center"/>
    </xf>
    <xf numFmtId="4" fontId="181" fillId="0" borderId="0" xfId="0" applyNumberFormat="1" applyFont="1"/>
    <xf numFmtId="0" fontId="177" fillId="19" borderId="176" xfId="0" quotePrefix="1" applyFont="1" applyFill="1" applyBorder="1" applyAlignment="1">
      <alignment horizontal="center" wrapText="1"/>
    </xf>
    <xf numFmtId="0" fontId="177" fillId="19" borderId="176" xfId="0" quotePrefix="1" applyFont="1" applyFill="1" applyBorder="1" applyAlignment="1">
      <alignment horizontal="left" wrapText="1"/>
    </xf>
    <xf numFmtId="4" fontId="177" fillId="19" borderId="176" xfId="0" applyNumberFormat="1" applyFont="1" applyFill="1" applyBorder="1" applyAlignment="1">
      <alignment horizontal="center"/>
    </xf>
    <xf numFmtId="49" fontId="101" fillId="0" borderId="147" xfId="0" applyNumberFormat="1" applyFont="1" applyBorder="1" applyAlignment="1">
      <alignment horizontal="center"/>
    </xf>
    <xf numFmtId="49" fontId="101" fillId="0" borderId="147" xfId="0" applyNumberFormat="1" applyFont="1" applyBorder="1" applyAlignment="1">
      <alignment horizontal="left"/>
    </xf>
    <xf numFmtId="0" fontId="177" fillId="19" borderId="183" xfId="0" applyFont="1" applyFill="1" applyBorder="1" applyAlignment="1">
      <alignment horizontal="center" vertical="center" wrapText="1"/>
    </xf>
    <xf numFmtId="170" fontId="101" fillId="0" borderId="147" xfId="0" applyNumberFormat="1" applyFont="1" applyBorder="1"/>
    <xf numFmtId="170" fontId="122" fillId="0" borderId="147" xfId="0" applyNumberFormat="1" applyFont="1" applyBorder="1"/>
    <xf numFmtId="0" fontId="28" fillId="0" borderId="147" xfId="0" applyFont="1" applyBorder="1"/>
    <xf numFmtId="0" fontId="101" fillId="0" borderId="147" xfId="0" applyFont="1" applyBorder="1"/>
    <xf numFmtId="0" fontId="53" fillId="0" borderId="147" xfId="0" applyFont="1" applyBorder="1"/>
    <xf numFmtId="170" fontId="122" fillId="0" borderId="147" xfId="2" applyNumberFormat="1" applyFont="1" applyFill="1" applyBorder="1" applyAlignment="1">
      <alignment horizontal="center"/>
    </xf>
    <xf numFmtId="0" fontId="122" fillId="0" borderId="147" xfId="0" applyFont="1" applyBorder="1"/>
    <xf numFmtId="49" fontId="122" fillId="0" borderId="147" xfId="0" applyNumberFormat="1" applyFont="1" applyBorder="1" applyAlignment="1">
      <alignment horizontal="left"/>
    </xf>
    <xf numFmtId="0" fontId="122" fillId="0" borderId="147" xfId="0" applyFont="1" applyBorder="1" applyAlignment="1">
      <alignment wrapText="1"/>
    </xf>
    <xf numFmtId="49" fontId="114" fillId="5" borderId="147" xfId="0" applyNumberFormat="1" applyFont="1" applyFill="1" applyBorder="1" applyAlignment="1">
      <alignment horizontal="left"/>
    </xf>
    <xf numFmtId="165" fontId="114" fillId="5" borderId="147" xfId="2" applyFont="1" applyFill="1" applyBorder="1" applyAlignment="1">
      <alignment horizontal="center"/>
    </xf>
    <xf numFmtId="165" fontId="114" fillId="5" borderId="147" xfId="2" applyFont="1" applyFill="1" applyBorder="1" applyAlignment="1">
      <alignment horizontal="left"/>
    </xf>
    <xf numFmtId="170" fontId="114" fillId="5" borderId="147" xfId="2" applyNumberFormat="1" applyFont="1" applyFill="1" applyBorder="1" applyAlignment="1">
      <alignment horizontal="center"/>
    </xf>
    <xf numFmtId="170" fontId="101" fillId="0" borderId="147" xfId="0" applyNumberFormat="1" applyFont="1" applyBorder="1" applyAlignment="1">
      <alignment horizontal="center"/>
    </xf>
    <xf numFmtId="0" fontId="101" fillId="6" borderId="147" xfId="0" applyFont="1" applyFill="1" applyBorder="1"/>
    <xf numFmtId="49" fontId="101" fillId="6" borderId="147" xfId="0" applyNumberFormat="1" applyFont="1" applyFill="1" applyBorder="1" applyAlignment="1">
      <alignment horizontal="center"/>
    </xf>
    <xf numFmtId="49" fontId="101" fillId="6" borderId="147" xfId="0" applyNumberFormat="1" applyFont="1" applyFill="1" applyBorder="1" applyAlignment="1">
      <alignment horizontal="left"/>
    </xf>
    <xf numFmtId="170" fontId="101" fillId="6" borderId="147" xfId="0" applyNumberFormat="1" applyFont="1" applyFill="1" applyBorder="1" applyAlignment="1">
      <alignment horizontal="center"/>
    </xf>
    <xf numFmtId="0" fontId="53" fillId="6" borderId="147" xfId="0" applyFont="1" applyFill="1" applyBorder="1"/>
    <xf numFmtId="0" fontId="28" fillId="6" borderId="147" xfId="0" applyFont="1" applyFill="1" applyBorder="1"/>
    <xf numFmtId="0" fontId="177" fillId="19" borderId="183" xfId="0" applyFont="1" applyFill="1" applyBorder="1" applyAlignment="1">
      <alignment horizontal="center" vertical="center"/>
    </xf>
    <xf numFmtId="0" fontId="53" fillId="0" borderId="0" xfId="0" applyFont="1" applyAlignment="1">
      <alignment vertical="center"/>
    </xf>
    <xf numFmtId="0" fontId="29" fillId="0" borderId="147" xfId="0" applyFont="1" applyBorder="1"/>
    <xf numFmtId="0" fontId="115" fillId="0" borderId="147" xfId="0" applyFont="1" applyBorder="1"/>
    <xf numFmtId="0" fontId="55" fillId="0" borderId="147" xfId="0" quotePrefix="1" applyFont="1" applyBorder="1" applyAlignment="1">
      <alignment horizontal="left"/>
    </xf>
    <xf numFmtId="49" fontId="55" fillId="0" borderId="147" xfId="0" applyNumberFormat="1" applyFont="1" applyBorder="1" applyAlignment="1">
      <alignment horizontal="center"/>
    </xf>
    <xf numFmtId="49" fontId="55" fillId="0" borderId="147" xfId="0" applyNumberFormat="1" applyFont="1" applyBorder="1" applyAlignment="1">
      <alignment horizontal="left"/>
    </xf>
    <xf numFmtId="170" fontId="55" fillId="0" borderId="147" xfId="2" applyNumberFormat="1" applyFont="1" applyFill="1" applyBorder="1" applyAlignment="1">
      <alignment horizontal="center"/>
    </xf>
    <xf numFmtId="170" fontId="55" fillId="0" borderId="147" xfId="0" applyNumberFormat="1" applyFont="1" applyBorder="1"/>
    <xf numFmtId="170" fontId="61" fillId="0" borderId="147" xfId="0" applyNumberFormat="1" applyFont="1" applyBorder="1"/>
    <xf numFmtId="173" fontId="55" fillId="0" borderId="147" xfId="0" applyNumberFormat="1" applyFont="1" applyBorder="1"/>
    <xf numFmtId="0" fontId="4" fillId="0" borderId="147" xfId="0" applyFont="1" applyBorder="1"/>
    <xf numFmtId="0" fontId="55" fillId="0" borderId="147" xfId="0" applyFont="1" applyBorder="1"/>
    <xf numFmtId="49" fontId="55" fillId="0" borderId="147" xfId="0" quotePrefix="1" applyNumberFormat="1" applyFont="1" applyBorder="1" applyAlignment="1">
      <alignment horizontal="center"/>
    </xf>
    <xf numFmtId="166" fontId="55" fillId="0" borderId="147" xfId="3" applyFont="1" applyBorder="1"/>
    <xf numFmtId="0" fontId="55" fillId="0" borderId="147" xfId="0" quotePrefix="1" applyFont="1" applyBorder="1" applyAlignment="1">
      <alignment horizontal="left" wrapText="1"/>
    </xf>
    <xf numFmtId="0" fontId="55" fillId="17" borderId="147" xfId="0" applyFont="1" applyFill="1" applyBorder="1"/>
    <xf numFmtId="0" fontId="109" fillId="17" borderId="147" xfId="0" applyFont="1" applyFill="1" applyBorder="1"/>
    <xf numFmtId="49" fontId="109" fillId="17" borderId="147" xfId="0" applyNumberFormat="1" applyFont="1" applyFill="1" applyBorder="1" applyAlignment="1">
      <alignment horizontal="center"/>
    </xf>
    <xf numFmtId="165" fontId="109" fillId="17" borderId="147" xfId="2" applyFont="1" applyFill="1" applyBorder="1" applyAlignment="1">
      <alignment horizontal="center"/>
    </xf>
    <xf numFmtId="165" fontId="109" fillId="17" borderId="147" xfId="2" applyFont="1" applyFill="1" applyBorder="1" applyAlignment="1">
      <alignment horizontal="left"/>
    </xf>
    <xf numFmtId="170" fontId="109" fillId="17" borderId="147" xfId="2" applyNumberFormat="1" applyFont="1" applyFill="1" applyBorder="1" applyAlignment="1">
      <alignment horizontal="center"/>
    </xf>
    <xf numFmtId="0" fontId="4" fillId="17" borderId="147" xfId="0" applyFont="1" applyFill="1" applyBorder="1"/>
    <xf numFmtId="0" fontId="55" fillId="0" borderId="147" xfId="0" applyFont="1" applyBorder="1" applyAlignment="1">
      <alignment wrapText="1"/>
    </xf>
    <xf numFmtId="170" fontId="182" fillId="0" borderId="147" xfId="2" applyNumberFormat="1" applyFont="1" applyFill="1" applyBorder="1" applyAlignment="1">
      <alignment horizontal="center"/>
    </xf>
    <xf numFmtId="0" fontId="55" fillId="0" borderId="147" xfId="0" applyFont="1" applyBorder="1" applyAlignment="1">
      <alignment vertical="center"/>
    </xf>
    <xf numFmtId="0" fontId="55" fillId="0" borderId="147" xfId="0" applyFont="1" applyBorder="1" applyAlignment="1">
      <alignment vertical="center" wrapText="1"/>
    </xf>
    <xf numFmtId="49" fontId="55" fillId="0" borderId="147" xfId="0" applyNumberFormat="1" applyFont="1" applyBorder="1" applyAlignment="1">
      <alignment horizontal="center" vertical="center"/>
    </xf>
    <xf numFmtId="49" fontId="55" fillId="0" borderId="147" xfId="0" applyNumberFormat="1" applyFont="1" applyBorder="1" applyAlignment="1">
      <alignment horizontal="left" vertical="center"/>
    </xf>
    <xf numFmtId="170" fontId="182" fillId="0" borderId="147" xfId="2" applyNumberFormat="1" applyFont="1" applyFill="1" applyBorder="1" applyAlignment="1">
      <alignment horizontal="center" vertical="center"/>
    </xf>
    <xf numFmtId="170" fontId="55" fillId="0" borderId="147" xfId="0" applyNumberFormat="1" applyFont="1" applyBorder="1" applyAlignment="1">
      <alignment vertical="center"/>
    </xf>
    <xf numFmtId="170" fontId="61" fillId="0" borderId="147" xfId="0" applyNumberFormat="1" applyFont="1" applyBorder="1" applyAlignment="1">
      <alignment vertical="center"/>
    </xf>
    <xf numFmtId="0" fontId="4" fillId="0" borderId="147" xfId="0" applyFont="1" applyBorder="1" applyAlignment="1">
      <alignment vertical="center"/>
    </xf>
    <xf numFmtId="0" fontId="55" fillId="0" borderId="147" xfId="0" applyFont="1" applyBorder="1" applyAlignment="1">
      <alignment horizontal="left" wrapText="1"/>
    </xf>
    <xf numFmtId="49" fontId="109" fillId="17" borderId="147" xfId="0" applyNumberFormat="1" applyFont="1" applyFill="1" applyBorder="1" applyAlignment="1">
      <alignment horizontal="left"/>
    </xf>
    <xf numFmtId="49" fontId="55" fillId="0" borderId="147" xfId="0" applyNumberFormat="1" applyFont="1" applyBorder="1" applyAlignment="1">
      <alignment horizontal="left" wrapText="1"/>
    </xf>
    <xf numFmtId="170" fontId="75" fillId="0" borderId="147" xfId="2" applyNumberFormat="1" applyFont="1" applyFill="1" applyBorder="1" applyAlignment="1">
      <alignment horizontal="center"/>
    </xf>
    <xf numFmtId="0" fontId="115" fillId="3" borderId="147" xfId="0" applyFont="1" applyFill="1" applyBorder="1"/>
    <xf numFmtId="49" fontId="113" fillId="3" borderId="147" xfId="0" applyNumberFormat="1" applyFont="1" applyFill="1" applyBorder="1" applyAlignment="1">
      <alignment horizontal="left"/>
    </xf>
    <xf numFmtId="165" fontId="113" fillId="3" borderId="147" xfId="2" applyFont="1" applyFill="1" applyBorder="1" applyAlignment="1">
      <alignment horizontal="center"/>
    </xf>
    <xf numFmtId="165" fontId="113" fillId="3" borderId="147" xfId="2" applyFont="1" applyFill="1" applyBorder="1" applyAlignment="1">
      <alignment horizontal="left"/>
    </xf>
    <xf numFmtId="170" fontId="113" fillId="3" borderId="147" xfId="2" applyNumberFormat="1" applyFont="1" applyFill="1" applyBorder="1" applyAlignment="1">
      <alignment horizontal="center"/>
    </xf>
    <xf numFmtId="0" fontId="29" fillId="3" borderId="147" xfId="0" applyFont="1" applyFill="1" applyBorder="1"/>
    <xf numFmtId="0" fontId="75" fillId="0" borderId="147" xfId="0" applyFont="1" applyBorder="1"/>
    <xf numFmtId="49" fontId="75" fillId="0" borderId="147" xfId="0" applyNumberFormat="1" applyFont="1" applyBorder="1" applyAlignment="1">
      <alignment horizontal="left"/>
    </xf>
    <xf numFmtId="170" fontId="55" fillId="0" borderId="147" xfId="0" applyNumberFormat="1" applyFont="1" applyBorder="1" applyAlignment="1">
      <alignment horizontal="center"/>
    </xf>
    <xf numFmtId="165" fontId="61" fillId="0" borderId="147" xfId="2" applyFont="1" applyFill="1" applyBorder="1" applyAlignment="1">
      <alignment horizontal="left"/>
    </xf>
    <xf numFmtId="170" fontId="61" fillId="0" borderId="147" xfId="2" applyNumberFormat="1" applyFont="1" applyFill="1" applyBorder="1" applyAlignment="1">
      <alignment horizontal="center"/>
    </xf>
    <xf numFmtId="0" fontId="55" fillId="0" borderId="147" xfId="0" applyFont="1" applyBorder="1" applyAlignment="1">
      <alignment horizontal="center" vertical="center"/>
    </xf>
    <xf numFmtId="0" fontId="55" fillId="17" borderId="147" xfId="0" applyFont="1" applyFill="1" applyBorder="1" applyAlignment="1">
      <alignment horizontal="center" vertical="center"/>
    </xf>
    <xf numFmtId="0" fontId="75" fillId="0" borderId="147" xfId="0" applyFont="1" applyBorder="1" applyAlignment="1">
      <alignment horizontal="center" vertical="center"/>
    </xf>
    <xf numFmtId="0" fontId="122" fillId="0" borderId="147" xfId="0" applyFont="1" applyBorder="1" applyAlignment="1">
      <alignment horizontal="center" vertical="center"/>
    </xf>
    <xf numFmtId="0" fontId="101" fillId="0" borderId="147" xfId="0" applyFont="1" applyBorder="1" applyAlignment="1">
      <alignment horizontal="center" vertical="center"/>
    </xf>
    <xf numFmtId="0" fontId="101" fillId="6" borderId="147" xfId="0" applyFont="1" applyFill="1" applyBorder="1" applyAlignment="1">
      <alignment horizontal="center" vertical="center"/>
    </xf>
    <xf numFmtId="0" fontId="101" fillId="0" borderId="0" xfId="0" applyFont="1" applyAlignment="1">
      <alignment horizontal="center" vertical="center"/>
    </xf>
    <xf numFmtId="0" fontId="28" fillId="0" borderId="0" xfId="0" applyFont="1" applyAlignment="1">
      <alignment horizontal="center" vertical="center"/>
    </xf>
    <xf numFmtId="0" fontId="62" fillId="17" borderId="147" xfId="0" applyFont="1" applyFill="1" applyBorder="1" applyAlignment="1">
      <alignment horizontal="center" vertical="center"/>
    </xf>
    <xf numFmtId="0" fontId="115" fillId="3" borderId="147" xfId="0" applyFont="1" applyFill="1" applyBorder="1" applyAlignment="1">
      <alignment horizontal="center" vertical="center"/>
    </xf>
    <xf numFmtId="0" fontId="180" fillId="0" borderId="0" xfId="0" applyFont="1" applyAlignment="1">
      <alignment horizontal="center" vertical="center"/>
    </xf>
    <xf numFmtId="0" fontId="0" fillId="0" borderId="0" xfId="0" applyAlignment="1">
      <alignment horizontal="center" vertical="center"/>
    </xf>
    <xf numFmtId="0" fontId="55" fillId="6" borderId="147" xfId="0" applyFont="1" applyFill="1" applyBorder="1" applyAlignment="1">
      <alignment horizontal="center" vertical="center"/>
    </xf>
    <xf numFmtId="0" fontId="55" fillId="6" borderId="147" xfId="0" applyFont="1" applyFill="1" applyBorder="1"/>
    <xf numFmtId="49" fontId="55" fillId="6" borderId="147" xfId="0" applyNumberFormat="1" applyFont="1" applyFill="1" applyBorder="1" applyAlignment="1">
      <alignment horizontal="center"/>
    </xf>
    <xf numFmtId="49" fontId="55" fillId="6" borderId="147" xfId="0" applyNumberFormat="1" applyFont="1" applyFill="1" applyBorder="1" applyAlignment="1">
      <alignment horizontal="left"/>
    </xf>
    <xf numFmtId="170" fontId="55" fillId="6" borderId="147" xfId="0" applyNumberFormat="1" applyFont="1" applyFill="1" applyBorder="1" applyAlignment="1">
      <alignment horizontal="center"/>
    </xf>
    <xf numFmtId="0" fontId="4" fillId="6" borderId="147" xfId="0" applyFont="1" applyFill="1" applyBorder="1"/>
    <xf numFmtId="0" fontId="109" fillId="6" borderId="147" xfId="0" applyFont="1" applyFill="1" applyBorder="1" applyAlignment="1">
      <alignment horizontal="left"/>
    </xf>
    <xf numFmtId="170" fontId="109" fillId="6" borderId="147" xfId="0" applyNumberFormat="1" applyFont="1" applyFill="1" applyBorder="1" applyAlignment="1">
      <alignment horizontal="center"/>
    </xf>
    <xf numFmtId="0" fontId="55" fillId="3" borderId="147" xfId="0" applyFont="1" applyFill="1" applyBorder="1" applyAlignment="1">
      <alignment horizontal="center" vertical="center"/>
    </xf>
    <xf numFmtId="0" fontId="109" fillId="3" borderId="147" xfId="0" applyFont="1" applyFill="1" applyBorder="1" applyAlignment="1">
      <alignment horizontal="center"/>
    </xf>
    <xf numFmtId="0" fontId="55" fillId="3" borderId="147" xfId="0" applyFont="1" applyFill="1" applyBorder="1"/>
    <xf numFmtId="49" fontId="55" fillId="3" borderId="147" xfId="0" applyNumberFormat="1" applyFont="1" applyFill="1" applyBorder="1" applyAlignment="1">
      <alignment horizontal="center"/>
    </xf>
    <xf numFmtId="49" fontId="55" fillId="3" borderId="147" xfId="0" applyNumberFormat="1" applyFont="1" applyFill="1" applyBorder="1" applyAlignment="1">
      <alignment horizontal="left"/>
    </xf>
    <xf numFmtId="170" fontId="55" fillId="3" borderId="147" xfId="0" applyNumberFormat="1" applyFont="1" applyFill="1" applyBorder="1" applyAlignment="1">
      <alignment horizontal="center"/>
    </xf>
    <xf numFmtId="0" fontId="4" fillId="3" borderId="147" xfId="0" applyFont="1" applyFill="1" applyBorder="1"/>
    <xf numFmtId="0" fontId="55" fillId="6" borderId="147" xfId="0" applyFont="1" applyFill="1" applyBorder="1" applyAlignment="1">
      <alignment horizontal="left"/>
    </xf>
    <xf numFmtId="4" fontId="55" fillId="6" borderId="147" xfId="0" applyNumberFormat="1" applyFont="1" applyFill="1" applyBorder="1" applyAlignment="1">
      <alignment horizontal="left"/>
    </xf>
    <xf numFmtId="170" fontId="55" fillId="6" borderId="147" xfId="0" applyNumberFormat="1" applyFont="1" applyFill="1" applyBorder="1"/>
    <xf numFmtId="0" fontId="62" fillId="6" borderId="147" xfId="0" applyFont="1" applyFill="1" applyBorder="1" applyAlignment="1">
      <alignment horizontal="center" vertical="center"/>
    </xf>
    <xf numFmtId="0" fontId="182" fillId="6" borderId="147" xfId="0" applyFont="1" applyFill="1" applyBorder="1"/>
    <xf numFmtId="49" fontId="182" fillId="6" borderId="147" xfId="0" applyNumberFormat="1" applyFont="1" applyFill="1" applyBorder="1" applyAlignment="1">
      <alignment horizontal="center"/>
    </xf>
    <xf numFmtId="170" fontId="61" fillId="6" borderId="147" xfId="0" applyNumberFormat="1" applyFont="1" applyFill="1" applyBorder="1" applyAlignment="1">
      <alignment horizontal="center"/>
    </xf>
    <xf numFmtId="0" fontId="115" fillId="0" borderId="0" xfId="0" applyFont="1" applyAlignment="1">
      <alignment horizontal="center" vertical="center"/>
    </xf>
    <xf numFmtId="4" fontId="115" fillId="0" borderId="0" xfId="0" applyNumberFormat="1" applyFont="1"/>
    <xf numFmtId="0" fontId="152" fillId="19" borderId="176" xfId="0" applyFont="1" applyFill="1" applyBorder="1" applyAlignment="1">
      <alignment vertical="center"/>
    </xf>
    <xf numFmtId="0" fontId="55" fillId="0" borderId="0" xfId="0" applyFont="1" applyAlignment="1">
      <alignment horizontal="center" vertical="center"/>
    </xf>
    <xf numFmtId="0" fontId="61" fillId="0" borderId="0" xfId="0" applyFont="1"/>
    <xf numFmtId="0" fontId="61" fillId="0" borderId="0" xfId="0" quotePrefix="1" applyFont="1" applyAlignment="1">
      <alignment horizontal="center"/>
    </xf>
    <xf numFmtId="0" fontId="61"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166" fontId="61" fillId="0" borderId="0" xfId="0" applyNumberFormat="1" applyFont="1" applyAlignment="1">
      <alignment horizontal="center"/>
    </xf>
    <xf numFmtId="4" fontId="61" fillId="0" borderId="0" xfId="0" applyNumberFormat="1" applyFont="1"/>
    <xf numFmtId="0" fontId="169" fillId="19" borderId="176" xfId="0" applyFont="1" applyFill="1" applyBorder="1" applyAlignment="1">
      <alignment vertical="center"/>
    </xf>
    <xf numFmtId="0" fontId="170" fillId="19" borderId="176" xfId="0" quotePrefix="1" applyFont="1" applyFill="1" applyBorder="1" applyAlignment="1">
      <alignment horizontal="center" vertical="center" wrapText="1"/>
    </xf>
    <xf numFmtId="165" fontId="5" fillId="0" borderId="0" xfId="2" applyFont="1" applyFill="1" applyBorder="1" applyAlignment="1">
      <alignment horizontal="center"/>
    </xf>
    <xf numFmtId="0" fontId="4" fillId="0" borderId="0" xfId="0" applyFont="1" applyAlignment="1">
      <alignment horizontal="center" vertical="center"/>
    </xf>
    <xf numFmtId="170" fontId="55" fillId="0" borderId="1" xfId="0" applyNumberFormat="1" applyFont="1" applyBorder="1"/>
    <xf numFmtId="170" fontId="55" fillId="0" borderId="42" xfId="0" applyNumberFormat="1" applyFont="1" applyBorder="1"/>
    <xf numFmtId="170" fontId="169" fillId="19" borderId="176" xfId="0" applyNumberFormat="1" applyFont="1" applyFill="1" applyBorder="1" applyAlignment="1">
      <alignment horizontal="left" wrapText="1"/>
    </xf>
    <xf numFmtId="170" fontId="55" fillId="0" borderId="59" xfId="0" applyNumberFormat="1" applyFont="1" applyBorder="1"/>
    <xf numFmtId="0" fontId="4" fillId="0" borderId="58" xfId="0" applyFont="1" applyBorder="1"/>
    <xf numFmtId="0" fontId="4" fillId="0" borderId="28" xfId="0" applyFont="1" applyBorder="1"/>
    <xf numFmtId="170" fontId="55" fillId="0" borderId="51" xfId="0" applyNumberFormat="1" applyFont="1" applyBorder="1"/>
    <xf numFmtId="4" fontId="61" fillId="0" borderId="40" xfId="0" applyNumberFormat="1" applyFont="1" applyBorder="1"/>
    <xf numFmtId="4" fontId="55" fillId="0" borderId="60" xfId="0" applyNumberFormat="1" applyFont="1" applyBorder="1"/>
    <xf numFmtId="4" fontId="55" fillId="0" borderId="51" xfId="0" applyNumberFormat="1" applyFont="1" applyBorder="1"/>
    <xf numFmtId="170" fontId="55" fillId="0" borderId="18" xfId="0" applyNumberFormat="1" applyFont="1" applyBorder="1"/>
    <xf numFmtId="0" fontId="55" fillId="0" borderId="156" xfId="0" quotePrefix="1" applyFont="1" applyBorder="1" applyAlignment="1">
      <alignment horizontal="left"/>
    </xf>
    <xf numFmtId="0" fontId="61" fillId="0" borderId="86" xfId="0" applyFont="1" applyBorder="1"/>
    <xf numFmtId="170" fontId="61" fillId="0" borderId="63" xfId="0" applyNumberFormat="1" applyFont="1" applyBorder="1"/>
    <xf numFmtId="0" fontId="61" fillId="0" borderId="0" xfId="0" applyFont="1" applyAlignment="1">
      <alignment horizontal="center" vertical="center"/>
    </xf>
    <xf numFmtId="0" fontId="55" fillId="0" borderId="57" xfId="0" quotePrefix="1" applyFont="1" applyBorder="1" applyAlignment="1">
      <alignment horizontal="left"/>
    </xf>
    <xf numFmtId="0" fontId="55" fillId="0" borderId="1" xfId="0" quotePrefix="1" applyFont="1" applyBorder="1" applyAlignment="1">
      <alignment horizontal="left"/>
    </xf>
    <xf numFmtId="0" fontId="61" fillId="0" borderId="1" xfId="0" applyFont="1" applyBorder="1"/>
    <xf numFmtId="0" fontId="61" fillId="0" borderId="112" xfId="0" applyFont="1" applyBorder="1"/>
    <xf numFmtId="170" fontId="61" fillId="0" borderId="51" xfId="0" applyNumberFormat="1" applyFont="1" applyBorder="1"/>
    <xf numFmtId="170" fontId="61" fillId="0" borderId="61" xfId="0" applyNumberFormat="1" applyFont="1" applyBorder="1"/>
    <xf numFmtId="170" fontId="61" fillId="6" borderId="18" xfId="0" applyNumberFormat="1" applyFont="1" applyFill="1" applyBorder="1"/>
    <xf numFmtId="170" fontId="61" fillId="6" borderId="51" xfId="0" applyNumberFormat="1" applyFont="1" applyFill="1" applyBorder="1"/>
    <xf numFmtId="0" fontId="55" fillId="0" borderId="40" xfId="0" quotePrefix="1" applyFont="1" applyBorder="1" applyAlignment="1">
      <alignment horizontal="left"/>
    </xf>
    <xf numFmtId="0" fontId="61" fillId="0" borderId="40" xfId="0" applyFont="1" applyBorder="1"/>
    <xf numFmtId="170" fontId="61" fillId="0" borderId="30" xfId="0" applyNumberFormat="1" applyFont="1" applyBorder="1"/>
    <xf numFmtId="0" fontId="61" fillId="0" borderId="65" xfId="0" applyFont="1" applyBorder="1"/>
    <xf numFmtId="0" fontId="61" fillId="6" borderId="0" xfId="0" applyFont="1" applyFill="1"/>
    <xf numFmtId="170" fontId="61" fillId="6" borderId="45" xfId="0" applyNumberFormat="1" applyFont="1" applyFill="1" applyBorder="1"/>
    <xf numFmtId="0" fontId="61" fillId="0" borderId="52" xfId="0" applyFont="1" applyBorder="1"/>
    <xf numFmtId="0" fontId="55" fillId="0" borderId="40" xfId="0" applyFont="1" applyBorder="1"/>
    <xf numFmtId="0" fontId="55" fillId="0" borderId="60" xfId="0" applyFont="1" applyBorder="1"/>
    <xf numFmtId="0" fontId="61" fillId="0" borderId="51" xfId="0" applyFont="1" applyBorder="1"/>
    <xf numFmtId="0" fontId="169" fillId="19" borderId="176" xfId="0" applyFont="1" applyFill="1" applyBorder="1" applyAlignment="1">
      <alignment vertical="center" wrapText="1"/>
    </xf>
    <xf numFmtId="170" fontId="169" fillId="19" borderId="176" xfId="0" applyNumberFormat="1" applyFont="1" applyFill="1" applyBorder="1" applyAlignment="1">
      <alignment horizontal="center" vertical="center" wrapText="1"/>
    </xf>
    <xf numFmtId="4" fontId="55" fillId="0" borderId="20" xfId="0" applyNumberFormat="1" applyFont="1" applyBorder="1"/>
    <xf numFmtId="4" fontId="61" fillId="0" borderId="86" xfId="0" applyNumberFormat="1" applyFont="1" applyBorder="1"/>
    <xf numFmtId="170" fontId="61" fillId="0" borderId="18" xfId="0" applyNumberFormat="1" applyFont="1" applyBorder="1"/>
    <xf numFmtId="0" fontId="55" fillId="0" borderId="9" xfId="0" quotePrefix="1" applyFont="1" applyBorder="1" applyAlignment="1">
      <alignment horizontal="left"/>
    </xf>
    <xf numFmtId="0" fontId="55" fillId="0" borderId="27" xfId="0" quotePrefix="1" applyFont="1" applyBorder="1" applyAlignment="1">
      <alignment horizontal="left"/>
    </xf>
    <xf numFmtId="165" fontId="61" fillId="0" borderId="27" xfId="2" applyFont="1" applyFill="1" applyBorder="1" applyAlignment="1">
      <alignment horizontal="center"/>
    </xf>
    <xf numFmtId="165" fontId="61" fillId="0" borderId="83" xfId="2" applyFont="1" applyFill="1" applyBorder="1" applyAlignment="1">
      <alignment horizontal="center"/>
    </xf>
    <xf numFmtId="170" fontId="61" fillId="0" borderId="62" xfId="0" applyNumberFormat="1" applyFont="1" applyBorder="1"/>
    <xf numFmtId="4" fontId="55" fillId="0" borderId="27" xfId="0" applyNumberFormat="1" applyFont="1" applyBorder="1"/>
    <xf numFmtId="4" fontId="55" fillId="0" borderId="83" xfId="0" applyNumberFormat="1" applyFont="1" applyBorder="1"/>
    <xf numFmtId="4" fontId="61" fillId="0" borderId="83" xfId="0" applyNumberFormat="1" applyFont="1" applyBorder="1"/>
    <xf numFmtId="170" fontId="55" fillId="0" borderId="30" xfId="0" applyNumberFormat="1" applyFont="1" applyBorder="1"/>
    <xf numFmtId="4" fontId="61" fillId="6" borderId="66" xfId="0" applyNumberFormat="1" applyFont="1" applyFill="1" applyBorder="1"/>
    <xf numFmtId="4" fontId="61" fillId="6" borderId="67" xfId="0" applyNumberFormat="1" applyFont="1" applyFill="1" applyBorder="1"/>
    <xf numFmtId="4" fontId="61" fillId="6" borderId="68" xfId="0" applyNumberFormat="1" applyFont="1" applyFill="1" applyBorder="1"/>
    <xf numFmtId="164" fontId="61" fillId="6" borderId="64" xfId="0" applyNumberFormat="1" applyFont="1" applyFill="1" applyBorder="1"/>
    <xf numFmtId="4" fontId="61" fillId="0" borderId="52" xfId="0" applyNumberFormat="1" applyFont="1" applyBorder="1"/>
    <xf numFmtId="4" fontId="61" fillId="0" borderId="53" xfId="0" applyNumberFormat="1" applyFont="1" applyBorder="1"/>
    <xf numFmtId="0" fontId="172" fillId="19" borderId="176" xfId="0" applyFont="1" applyFill="1" applyBorder="1" applyAlignment="1">
      <alignment horizontal="center" vertical="center"/>
    </xf>
    <xf numFmtId="0" fontId="172" fillId="19" borderId="176" xfId="0" applyFont="1" applyFill="1" applyBorder="1" applyAlignment="1">
      <alignment horizontal="center" vertical="center" wrapText="1"/>
    </xf>
    <xf numFmtId="0" fontId="152" fillId="19" borderId="176" xfId="0" quotePrefix="1" applyFont="1" applyFill="1" applyBorder="1" applyAlignment="1">
      <alignment vertical="center" wrapText="1"/>
    </xf>
    <xf numFmtId="166" fontId="55" fillId="0" borderId="30" xfId="3" applyFont="1" applyFill="1" applyBorder="1"/>
    <xf numFmtId="166" fontId="55" fillId="0" borderId="30" xfId="3" applyFont="1" applyFill="1" applyBorder="1" applyAlignment="1"/>
    <xf numFmtId="166" fontId="55" fillId="0" borderId="12" xfId="3" applyFont="1" applyFill="1" applyBorder="1"/>
    <xf numFmtId="166" fontId="55" fillId="0" borderId="12" xfId="3" applyFont="1" applyFill="1" applyBorder="1" applyAlignment="1"/>
    <xf numFmtId="170" fontId="55" fillId="0" borderId="54" xfId="0" applyNumberFormat="1" applyFont="1" applyBorder="1" applyAlignment="1">
      <alignment horizontal="center"/>
    </xf>
    <xf numFmtId="170" fontId="55" fillId="0" borderId="56" xfId="0" applyNumberFormat="1" applyFont="1" applyBorder="1" applyAlignment="1">
      <alignment horizontal="center"/>
    </xf>
    <xf numFmtId="166" fontId="55" fillId="0" borderId="54" xfId="3" applyFont="1" applyFill="1" applyBorder="1" applyAlignment="1">
      <alignment horizontal="center"/>
    </xf>
    <xf numFmtId="166" fontId="55" fillId="0" borderId="56" xfId="3" applyFont="1" applyFill="1" applyBorder="1" applyAlignment="1">
      <alignment horizontal="center"/>
    </xf>
    <xf numFmtId="0" fontId="109" fillId="6" borderId="12" xfId="0" applyFont="1" applyFill="1" applyBorder="1" applyAlignment="1">
      <alignment horizontal="center" vertical="center"/>
    </xf>
    <xf numFmtId="166" fontId="109" fillId="6" borderId="12" xfId="0" applyNumberFormat="1" applyFont="1" applyFill="1" applyBorder="1"/>
    <xf numFmtId="166" fontId="109" fillId="6" borderId="12" xfId="3" applyFont="1" applyFill="1" applyBorder="1" applyAlignment="1"/>
    <xf numFmtId="0" fontId="44" fillId="0" borderId="12" xfId="0" applyFont="1" applyBorder="1" applyAlignment="1">
      <alignment horizontal="center"/>
    </xf>
    <xf numFmtId="0" fontId="6" fillId="0" borderId="0" xfId="0" quotePrefix="1" applyFont="1" applyAlignment="1">
      <alignment wrapText="1"/>
    </xf>
    <xf numFmtId="0" fontId="13" fillId="0" borderId="0" xfId="0" applyFont="1"/>
    <xf numFmtId="0" fontId="35" fillId="0" borderId="0" xfId="0" quotePrefix="1" applyFont="1" applyAlignment="1">
      <alignment wrapText="1"/>
    </xf>
    <xf numFmtId="0" fontId="183" fillId="19" borderId="183" xfId="0" applyFont="1" applyFill="1" applyBorder="1" applyAlignment="1">
      <alignment horizontal="center" vertical="center"/>
    </xf>
    <xf numFmtId="0" fontId="141" fillId="19" borderId="183" xfId="0" applyFont="1" applyFill="1" applyBorder="1" applyAlignment="1">
      <alignment horizontal="center" vertical="center"/>
    </xf>
    <xf numFmtId="0" fontId="141" fillId="19" borderId="183" xfId="0" applyFont="1" applyFill="1" applyBorder="1" applyAlignment="1">
      <alignment horizontal="centerContinuous" vertical="center"/>
    </xf>
    <xf numFmtId="0" fontId="141" fillId="19" borderId="183" xfId="0" applyFont="1" applyFill="1" applyBorder="1" applyAlignment="1">
      <alignment horizontal="center" vertical="center" wrapText="1"/>
    </xf>
    <xf numFmtId="0" fontId="141" fillId="19" borderId="183" xfId="0" quotePrefix="1" applyFont="1" applyFill="1" applyBorder="1" applyAlignment="1">
      <alignment horizontal="center" vertical="justify" wrapText="1"/>
    </xf>
    <xf numFmtId="0" fontId="44" fillId="0" borderId="12" xfId="0" applyFont="1" applyBorder="1"/>
    <xf numFmtId="164" fontId="44" fillId="0" borderId="12" xfId="0" applyNumberFormat="1" applyFont="1" applyBorder="1"/>
    <xf numFmtId="168" fontId="44" fillId="0" borderId="12" xfId="0" applyNumberFormat="1" applyFont="1" applyBorder="1"/>
    <xf numFmtId="0" fontId="44" fillId="0" borderId="12" xfId="0" applyFont="1" applyBorder="1" applyAlignment="1">
      <alignment horizontal="left"/>
    </xf>
    <xf numFmtId="0" fontId="28" fillId="0" borderId="12" xfId="0" applyFont="1" applyBorder="1" applyAlignment="1">
      <alignment horizontal="center"/>
    </xf>
    <xf numFmtId="0" fontId="28" fillId="0" borderId="12" xfId="0" applyFont="1" applyBorder="1"/>
    <xf numFmtId="168" fontId="28" fillId="0" borderId="12" xfId="0" applyNumberFormat="1" applyFont="1" applyBorder="1"/>
    <xf numFmtId="164" fontId="28" fillId="0" borderId="12" xfId="0" applyNumberFormat="1" applyFont="1" applyBorder="1"/>
    <xf numFmtId="0" fontId="28" fillId="0" borderId="12" xfId="0" applyFont="1" applyBorder="1" applyAlignment="1">
      <alignment horizontal="left"/>
    </xf>
    <xf numFmtId="0" fontId="28" fillId="0" borderId="12" xfId="0" quotePrefix="1" applyFont="1" applyBorder="1" applyAlignment="1">
      <alignment horizontal="left"/>
    </xf>
    <xf numFmtId="0" fontId="11" fillId="0" borderId="12" xfId="0" applyFont="1" applyBorder="1" applyAlignment="1">
      <alignment horizontal="center"/>
    </xf>
    <xf numFmtId="0" fontId="44" fillId="6" borderId="12" xfId="0" applyFont="1" applyFill="1" applyBorder="1" applyAlignment="1">
      <alignment horizontal="center"/>
    </xf>
    <xf numFmtId="0" fontId="44" fillId="6" borderId="12" xfId="0" applyFont="1" applyFill="1" applyBorder="1"/>
    <xf numFmtId="164" fontId="44" fillId="6" borderId="12" xfId="0" applyNumberFormat="1" applyFont="1" applyFill="1" applyBorder="1"/>
    <xf numFmtId="164" fontId="184" fillId="6" borderId="12" xfId="0" applyNumberFormat="1" applyFont="1" applyFill="1" applyBorder="1"/>
    <xf numFmtId="0" fontId="26" fillId="0" borderId="12" xfId="0" applyFont="1" applyBorder="1" applyAlignment="1">
      <alignment horizontal="center"/>
    </xf>
    <xf numFmtId="168" fontId="44" fillId="6" borderId="12" xfId="0" applyNumberFormat="1" applyFont="1" applyFill="1" applyBorder="1"/>
    <xf numFmtId="0" fontId="28" fillId="6" borderId="12" xfId="0" applyFont="1" applyFill="1" applyBorder="1" applyAlignment="1">
      <alignment horizontal="center"/>
    </xf>
    <xf numFmtId="169" fontId="144" fillId="19" borderId="186" xfId="0" applyNumberFormat="1" applyFont="1" applyFill="1" applyBorder="1" applyAlignment="1">
      <alignment horizontal="center" vertical="center"/>
    </xf>
    <xf numFmtId="0" fontId="143" fillId="19" borderId="186" xfId="0" applyFont="1" applyFill="1" applyBorder="1" applyAlignment="1">
      <alignment horizontal="center" vertical="center"/>
    </xf>
    <xf numFmtId="0" fontId="141" fillId="19" borderId="181" xfId="0" applyFont="1" applyFill="1" applyBorder="1" applyAlignment="1">
      <alignment horizontal="center" vertical="center"/>
    </xf>
    <xf numFmtId="0" fontId="140" fillId="19" borderId="183" xfId="0" applyFont="1" applyFill="1" applyBorder="1" applyAlignment="1">
      <alignment horizontal="center" vertical="center" wrapText="1"/>
    </xf>
    <xf numFmtId="0" fontId="141" fillId="19" borderId="0" xfId="0" applyFont="1" applyFill="1" applyAlignment="1">
      <alignment horizontal="center" vertical="center"/>
    </xf>
    <xf numFmtId="166" fontId="141" fillId="19" borderId="187" xfId="3" applyFont="1" applyFill="1" applyBorder="1" applyAlignment="1">
      <alignment horizontal="center" vertical="center" wrapText="1"/>
    </xf>
    <xf numFmtId="0" fontId="141" fillId="19" borderId="183" xfId="0" quotePrefix="1" applyFont="1" applyFill="1" applyBorder="1" applyAlignment="1">
      <alignment horizontal="center" vertical="center" wrapText="1"/>
    </xf>
    <xf numFmtId="169" fontId="80" fillId="0" borderId="12" xfId="0" quotePrefix="1" applyNumberFormat="1" applyFont="1" applyBorder="1" applyAlignment="1">
      <alignment horizontal="left" vertical="center"/>
    </xf>
    <xf numFmtId="169" fontId="80" fillId="0" borderId="12" xfId="0" applyNumberFormat="1" applyFont="1" applyBorder="1" applyAlignment="1">
      <alignment vertical="center"/>
    </xf>
    <xf numFmtId="164" fontId="80" fillId="0" borderId="12" xfId="0" applyNumberFormat="1" applyFont="1" applyBorder="1" applyAlignment="1">
      <alignment vertical="center"/>
    </xf>
    <xf numFmtId="0" fontId="80" fillId="0" borderId="12" xfId="0" applyFont="1" applyBorder="1" applyAlignment="1">
      <alignment vertical="center"/>
    </xf>
    <xf numFmtId="169" fontId="104" fillId="6" borderId="31" xfId="0" applyNumberFormat="1" applyFont="1" applyFill="1" applyBorder="1"/>
    <xf numFmtId="169" fontId="82" fillId="6" borderId="12" xfId="0" applyNumberFormat="1" applyFont="1" applyFill="1" applyBorder="1"/>
    <xf numFmtId="49" fontId="149" fillId="19" borderId="183" xfId="0" applyNumberFormat="1" applyFont="1" applyFill="1" applyBorder="1" applyAlignment="1">
      <alignment horizontal="center" textRotation="90" wrapText="1"/>
    </xf>
    <xf numFmtId="49" fontId="22" fillId="6" borderId="12" xfId="0" applyNumberFormat="1" applyFont="1" applyFill="1" applyBorder="1"/>
    <xf numFmtId="164" fontId="16" fillId="0" borderId="0" xfId="3" applyNumberFormat="1" applyFont="1" applyFill="1" applyBorder="1" applyAlignment="1">
      <alignment horizontal="right"/>
    </xf>
    <xf numFmtId="164" fontId="22" fillId="6" borderId="12" xfId="3" applyNumberFormat="1" applyFont="1" applyFill="1" applyBorder="1" applyAlignment="1">
      <alignment horizontal="right"/>
    </xf>
    <xf numFmtId="164" fontId="119" fillId="6" borderId="12" xfId="3" applyNumberFormat="1" applyFont="1" applyFill="1" applyBorder="1" applyAlignment="1">
      <alignment horizontal="right"/>
    </xf>
    <xf numFmtId="0" fontId="167" fillId="19" borderId="183" xfId="0" applyFont="1" applyFill="1" applyBorder="1" applyAlignment="1">
      <alignment horizontal="left" textRotation="90" wrapText="1"/>
    </xf>
    <xf numFmtId="0" fontId="167" fillId="19" borderId="183" xfId="0" quotePrefix="1" applyFont="1" applyFill="1" applyBorder="1" applyAlignment="1">
      <alignment horizontal="center" textRotation="90" wrapText="1"/>
    </xf>
    <xf numFmtId="0" fontId="167" fillId="19" borderId="183" xfId="0" applyFont="1" applyFill="1" applyBorder="1" applyAlignment="1">
      <alignment horizontal="center" textRotation="90" wrapText="1"/>
    </xf>
    <xf numFmtId="4" fontId="28" fillId="0" borderId="12" xfId="1" applyNumberFormat="1" applyFont="1" applyFill="1" applyBorder="1"/>
    <xf numFmtId="164" fontId="16" fillId="2" borderId="12" xfId="3" applyNumberFormat="1" applyFont="1" applyFill="1" applyBorder="1" applyAlignment="1">
      <alignment horizontal="right"/>
    </xf>
    <xf numFmtId="164" fontId="16" fillId="0" borderId="12" xfId="3" applyNumberFormat="1" applyFont="1" applyFill="1" applyBorder="1" applyAlignment="1">
      <alignment horizontal="right"/>
    </xf>
    <xf numFmtId="164" fontId="4" fillId="0" borderId="12" xfId="3" applyNumberFormat="1" applyFont="1" applyFill="1" applyBorder="1" applyAlignment="1">
      <alignment horizontal="right"/>
    </xf>
    <xf numFmtId="0" fontId="22" fillId="6" borderId="12" xfId="0" applyFont="1" applyFill="1" applyBorder="1"/>
    <xf numFmtId="0" fontId="22" fillId="12" borderId="12" xfId="0" applyFont="1" applyFill="1" applyBorder="1"/>
    <xf numFmtId="0" fontId="44" fillId="12" borderId="12" xfId="0" applyFont="1" applyFill="1" applyBorder="1"/>
    <xf numFmtId="164" fontId="22" fillId="12" borderId="12" xfId="3" applyNumberFormat="1" applyFont="1" applyFill="1" applyBorder="1" applyAlignment="1">
      <alignment horizontal="right"/>
    </xf>
    <xf numFmtId="0" fontId="22" fillId="12" borderId="12" xfId="0" applyFont="1" applyFill="1" applyBorder="1" applyAlignment="1">
      <alignment horizontal="center"/>
    </xf>
    <xf numFmtId="168" fontId="115" fillId="6" borderId="188" xfId="3" applyNumberFormat="1" applyFont="1" applyFill="1" applyBorder="1" applyAlignment="1">
      <alignment horizontal="right"/>
    </xf>
    <xf numFmtId="168" fontId="115" fillId="4" borderId="12" xfId="3" applyNumberFormat="1" applyFont="1" applyFill="1" applyBorder="1" applyAlignment="1">
      <alignment horizontal="right"/>
    </xf>
    <xf numFmtId="168" fontId="115" fillId="6" borderId="12" xfId="3" applyNumberFormat="1" applyFont="1" applyFill="1" applyBorder="1" applyAlignment="1">
      <alignment horizontal="right"/>
    </xf>
    <xf numFmtId="0" fontId="29" fillId="0" borderId="12" xfId="0" applyFont="1" applyBorder="1"/>
    <xf numFmtId="168" fontId="115" fillId="6" borderId="12" xfId="0" applyNumberFormat="1" applyFont="1" applyFill="1" applyBorder="1" applyAlignment="1">
      <alignment horizontal="center"/>
    </xf>
    <xf numFmtId="0" fontId="4" fillId="2" borderId="12" xfId="0" applyFont="1" applyFill="1" applyBorder="1" applyAlignment="1">
      <alignment horizontal="left" vertical="center"/>
    </xf>
    <xf numFmtId="0" fontId="4" fillId="0" borderId="0" xfId="0" applyFont="1" applyAlignment="1">
      <alignment horizontal="left" vertical="center"/>
    </xf>
    <xf numFmtId="166" fontId="4" fillId="2" borderId="12" xfId="0" applyNumberFormat="1" applyFont="1" applyFill="1" applyBorder="1" applyAlignment="1">
      <alignment horizontal="left" vertical="center"/>
    </xf>
    <xf numFmtId="166" fontId="22" fillId="2" borderId="12" xfId="3" applyFont="1" applyFill="1" applyBorder="1" applyAlignment="1">
      <alignment horizontal="left" vertical="center"/>
    </xf>
    <xf numFmtId="166" fontId="44" fillId="2" borderId="12" xfId="3" applyFont="1" applyFill="1" applyBorder="1" applyAlignment="1">
      <alignment horizontal="left" vertical="center"/>
    </xf>
    <xf numFmtId="166" fontId="44" fillId="6" borderId="12" xfId="3" applyFont="1" applyFill="1" applyBorder="1" applyAlignment="1">
      <alignment horizontal="right" vertical="center" wrapText="1"/>
    </xf>
    <xf numFmtId="166" fontId="186" fillId="19" borderId="176" xfId="3" applyFont="1" applyFill="1" applyBorder="1" applyAlignment="1">
      <alignment horizontal="center" vertical="center" wrapText="1"/>
    </xf>
    <xf numFmtId="166" fontId="186" fillId="19" borderId="183" xfId="3" applyFont="1" applyFill="1" applyBorder="1" applyAlignment="1">
      <alignment horizontal="center" vertical="center" wrapText="1"/>
    </xf>
    <xf numFmtId="165" fontId="186" fillId="19" borderId="176" xfId="2" applyFont="1" applyFill="1" applyBorder="1" applyAlignment="1">
      <alignment vertical="center" textRotation="45"/>
    </xf>
    <xf numFmtId="165" fontId="188" fillId="19" borderId="176" xfId="2" applyFont="1" applyFill="1" applyBorder="1" applyAlignment="1">
      <alignment vertical="center"/>
    </xf>
    <xf numFmtId="166" fontId="186" fillId="19" borderId="176" xfId="3" applyFont="1" applyFill="1" applyBorder="1" applyAlignment="1">
      <alignment textRotation="90"/>
    </xf>
    <xf numFmtId="166" fontId="186" fillId="19" borderId="183" xfId="3" applyFont="1" applyFill="1" applyBorder="1" applyAlignment="1">
      <alignment horizontal="center" textRotation="45"/>
    </xf>
    <xf numFmtId="0" fontId="28" fillId="0" borderId="12" xfId="2" applyNumberFormat="1" applyFont="1" applyBorder="1" applyAlignment="1">
      <alignment horizontal="left" vertical="center"/>
    </xf>
    <xf numFmtId="165" fontId="28" fillId="0" borderId="12" xfId="2" applyFont="1" applyBorder="1" applyAlignment="1">
      <alignment horizontal="left" vertical="center"/>
    </xf>
    <xf numFmtId="166" fontId="28" fillId="2" borderId="12" xfId="3" applyFont="1" applyFill="1" applyBorder="1" applyAlignment="1">
      <alignment horizontal="left" vertical="center"/>
    </xf>
    <xf numFmtId="166" fontId="28" fillId="0" borderId="12" xfId="3" applyFont="1" applyFill="1" applyBorder="1" applyAlignment="1">
      <alignment horizontal="left" vertical="center"/>
    </xf>
    <xf numFmtId="0" fontId="28" fillId="0" borderId="12" xfId="2" applyNumberFormat="1" applyFont="1" applyFill="1" applyBorder="1" applyAlignment="1">
      <alignment horizontal="left" vertical="center"/>
    </xf>
    <xf numFmtId="165" fontId="28" fillId="0" borderId="12" xfId="2" applyFont="1" applyFill="1" applyBorder="1" applyAlignment="1">
      <alignment horizontal="left" vertical="center"/>
    </xf>
    <xf numFmtId="165" fontId="28" fillId="0" borderId="12" xfId="2" quotePrefix="1" applyFont="1" applyBorder="1" applyAlignment="1">
      <alignment horizontal="left" vertical="center"/>
    </xf>
    <xf numFmtId="0" fontId="28" fillId="0" borderId="12" xfId="0" applyFont="1" applyBorder="1" applyAlignment="1">
      <alignment horizontal="left" vertical="center"/>
    </xf>
    <xf numFmtId="166" fontId="28" fillId="0" borderId="12" xfId="3" applyFont="1" applyBorder="1" applyAlignment="1">
      <alignment horizontal="left" vertical="center"/>
    </xf>
    <xf numFmtId="165" fontId="28" fillId="0" borderId="12" xfId="2" applyFont="1" applyBorder="1" applyAlignment="1">
      <alignment horizontal="left" vertical="center" wrapText="1"/>
    </xf>
    <xf numFmtId="165" fontId="28" fillId="0" borderId="12" xfId="2" quotePrefix="1" applyFont="1" applyBorder="1" applyAlignment="1">
      <alignment horizontal="left" vertical="center" wrapText="1"/>
    </xf>
    <xf numFmtId="166" fontId="27" fillId="4" borderId="0" xfId="0" applyNumberFormat="1" applyFont="1" applyFill="1" applyAlignment="1">
      <alignment vertical="center"/>
    </xf>
    <xf numFmtId="0" fontId="189" fillId="0" borderId="147" xfId="0" applyFont="1" applyBorder="1" applyAlignment="1" applyProtection="1">
      <alignment wrapText="1"/>
      <protection hidden="1"/>
    </xf>
    <xf numFmtId="49" fontId="86" fillId="0" borderId="48" xfId="0" applyNumberFormat="1" applyFont="1" applyBorder="1" applyAlignment="1">
      <alignment horizontal="left" vertical="center"/>
    </xf>
    <xf numFmtId="0" fontId="91" fillId="0" borderId="0" xfId="0" applyFont="1" applyAlignment="1">
      <alignment vertical="center"/>
    </xf>
    <xf numFmtId="0" fontId="91" fillId="0" borderId="173" xfId="0" applyFont="1" applyBorder="1" applyAlignment="1">
      <alignment vertical="center" wrapText="1"/>
    </xf>
    <xf numFmtId="0" fontId="91" fillId="0" borderId="174" xfId="0" applyFont="1" applyBorder="1" applyAlignment="1">
      <alignment vertical="center" wrapText="1"/>
    </xf>
    <xf numFmtId="0" fontId="91" fillId="4" borderId="173" xfId="0" applyFont="1" applyFill="1" applyBorder="1" applyAlignment="1">
      <alignment vertical="center" wrapText="1"/>
    </xf>
    <xf numFmtId="0" fontId="80" fillId="0" borderId="48" xfId="0" applyFont="1" applyBorder="1" applyAlignment="1">
      <alignment horizontal="left" vertical="center"/>
    </xf>
    <xf numFmtId="0" fontId="80" fillId="0" borderId="173" xfId="0" applyFont="1" applyBorder="1" applyAlignment="1">
      <alignment vertical="center" wrapText="1"/>
    </xf>
    <xf numFmtId="169" fontId="112" fillId="0" borderId="12" xfId="0" applyNumberFormat="1" applyFont="1" applyBorder="1" applyAlignment="1">
      <alignment vertical="center"/>
    </xf>
    <xf numFmtId="0" fontId="80" fillId="0" borderId="0" xfId="0" applyFont="1" applyAlignment="1">
      <alignment vertical="center"/>
    </xf>
    <xf numFmtId="169" fontId="141" fillId="19" borderId="186" xfId="0" applyNumberFormat="1" applyFont="1" applyFill="1" applyBorder="1" applyAlignment="1">
      <alignment horizontal="center" vertical="center" wrapText="1"/>
    </xf>
    <xf numFmtId="0" fontId="91" fillId="0" borderId="12" xfId="2" applyNumberFormat="1" applyFont="1" applyFill="1" applyBorder="1" applyAlignment="1">
      <alignment horizontal="center" vertical="center"/>
    </xf>
    <xf numFmtId="0" fontId="91" fillId="0" borderId="12" xfId="2" quotePrefix="1" applyNumberFormat="1" applyFont="1" applyFill="1" applyBorder="1" applyAlignment="1">
      <alignment horizontal="center"/>
    </xf>
    <xf numFmtId="0" fontId="91" fillId="0" borderId="12" xfId="2" quotePrefix="1" applyNumberFormat="1" applyFont="1" applyFill="1" applyBorder="1" applyAlignment="1">
      <alignment horizontal="center" vertical="center"/>
    </xf>
    <xf numFmtId="0" fontId="91" fillId="0" borderId="12" xfId="2" applyNumberFormat="1" applyFont="1" applyFill="1" applyBorder="1" applyAlignment="1">
      <alignment horizontal="center"/>
    </xf>
    <xf numFmtId="0" fontId="91" fillId="0" borderId="0" xfId="2" applyNumberFormat="1" applyFont="1" applyFill="1" applyBorder="1" applyAlignment="1">
      <alignment horizontal="center"/>
    </xf>
    <xf numFmtId="0" fontId="91" fillId="0" borderId="24" xfId="2" applyNumberFormat="1" applyFont="1" applyFill="1" applyBorder="1" applyAlignment="1">
      <alignment horizontal="center"/>
    </xf>
    <xf numFmtId="0" fontId="190" fillId="0" borderId="0" xfId="2" applyNumberFormat="1" applyFont="1" applyFill="1" applyBorder="1" applyAlignment="1">
      <alignment horizontal="center"/>
    </xf>
    <xf numFmtId="0" fontId="5" fillId="0" borderId="0" xfId="2" applyNumberFormat="1" applyFont="1" applyFill="1" applyBorder="1" applyAlignment="1">
      <alignment horizontal="center"/>
    </xf>
    <xf numFmtId="166" fontId="82" fillId="0" borderId="12" xfId="3" applyFont="1" applyFill="1" applyBorder="1" applyAlignment="1">
      <alignment vertical="center" wrapText="1"/>
    </xf>
    <xf numFmtId="0" fontId="86" fillId="0" borderId="48" xfId="0" applyFont="1" applyBorder="1" applyAlignment="1">
      <alignment horizontal="left" vertical="center"/>
    </xf>
    <xf numFmtId="0" fontId="135" fillId="19" borderId="173" xfId="0" applyFont="1" applyFill="1" applyBorder="1" applyAlignment="1">
      <alignment vertical="center" wrapText="1"/>
    </xf>
    <xf numFmtId="0" fontId="80" fillId="0" borderId="173" xfId="0" quotePrefix="1" applyFont="1" applyBorder="1" applyAlignment="1">
      <alignment vertical="center" wrapText="1"/>
    </xf>
    <xf numFmtId="0" fontId="104" fillId="0" borderId="173" xfId="0" applyFont="1" applyBorder="1" applyAlignment="1">
      <alignment vertical="center" wrapText="1"/>
    </xf>
    <xf numFmtId="0" fontId="82" fillId="0" borderId="173" xfId="0" applyFont="1" applyBorder="1" applyAlignment="1">
      <alignment vertical="center" wrapText="1"/>
    </xf>
    <xf numFmtId="169" fontId="80" fillId="4" borderId="12" xfId="0" applyNumberFormat="1" applyFont="1" applyFill="1" applyBorder="1" applyAlignment="1">
      <alignment vertical="center"/>
    </xf>
    <xf numFmtId="0" fontId="80" fillId="6" borderId="43" xfId="0" applyFont="1" applyFill="1" applyBorder="1" applyAlignment="1">
      <alignment vertical="center"/>
    </xf>
    <xf numFmtId="0" fontId="80" fillId="6" borderId="26" xfId="0" applyFont="1" applyFill="1" applyBorder="1" applyAlignment="1">
      <alignment horizontal="center" vertical="center"/>
    </xf>
    <xf numFmtId="169" fontId="80" fillId="6" borderId="12" xfId="0" applyNumberFormat="1" applyFont="1" applyFill="1" applyBorder="1" applyAlignment="1">
      <alignment vertical="center"/>
    </xf>
    <xf numFmtId="169" fontId="91" fillId="6" borderId="12" xfId="0" applyNumberFormat="1" applyFont="1" applyFill="1" applyBorder="1" applyAlignment="1">
      <alignment vertical="center"/>
    </xf>
    <xf numFmtId="0" fontId="80" fillId="6" borderId="0" xfId="0" applyFont="1" applyFill="1" applyAlignment="1">
      <alignment vertical="center"/>
    </xf>
    <xf numFmtId="49" fontId="16" fillId="0" borderId="30" xfId="0" applyNumberFormat="1" applyFont="1" applyBorder="1" applyAlignment="1">
      <alignment horizontal="center"/>
    </xf>
    <xf numFmtId="49" fontId="16" fillId="0" borderId="12" xfId="0" applyNumberFormat="1" applyFont="1" applyBorder="1" applyAlignment="1">
      <alignment horizontal="center"/>
    </xf>
    <xf numFmtId="0" fontId="22" fillId="0" borderId="0" xfId="0" quotePrefix="1" applyFont="1" applyAlignment="1">
      <alignment horizontal="center"/>
    </xf>
    <xf numFmtId="0" fontId="22" fillId="0" borderId="0" xfId="0" applyFont="1" applyAlignment="1">
      <alignment horizontal="center" vertical="center"/>
    </xf>
    <xf numFmtId="0" fontId="22" fillId="0" borderId="0" xfId="0" quotePrefix="1" applyFont="1" applyAlignment="1">
      <alignment horizontal="center" vertical="center"/>
    </xf>
    <xf numFmtId="0" fontId="143" fillId="19" borderId="176" xfId="0" applyFont="1" applyFill="1" applyBorder="1" applyAlignment="1">
      <alignment horizontal="center" vertical="center"/>
    </xf>
    <xf numFmtId="0" fontId="0" fillId="0" borderId="12" xfId="0" applyBorder="1"/>
    <xf numFmtId="0" fontId="0" fillId="0" borderId="30" xfId="0" applyBorder="1"/>
    <xf numFmtId="0" fontId="177" fillId="19" borderId="176" xfId="0" applyFont="1" applyFill="1" applyBorder="1" applyAlignment="1">
      <alignment horizontal="center" vertical="center"/>
    </xf>
    <xf numFmtId="0" fontId="130" fillId="0" borderId="0" xfId="6" applyFont="1" applyFill="1" applyBorder="1" applyAlignment="1">
      <alignment horizontal="center"/>
    </xf>
    <xf numFmtId="0" fontId="61" fillId="17" borderId="147" xfId="0" applyFont="1" applyFill="1" applyBorder="1" applyAlignment="1">
      <alignment vertical="center"/>
    </xf>
    <xf numFmtId="0" fontId="4" fillId="0" borderId="12" xfId="0" applyFont="1" applyBorder="1" applyAlignment="1">
      <alignment horizontal="justify" vertical="center" wrapText="1"/>
    </xf>
    <xf numFmtId="0" fontId="4" fillId="5" borderId="0" xfId="0" applyFont="1" applyFill="1"/>
    <xf numFmtId="49" fontId="15" fillId="2" borderId="14" xfId="0" applyNumberFormat="1" applyFont="1" applyFill="1" applyBorder="1" applyAlignment="1">
      <alignment horizontal="center"/>
    </xf>
    <xf numFmtId="49" fontId="15" fillId="2" borderId="6" xfId="0" applyNumberFormat="1" applyFont="1" applyFill="1" applyBorder="1" applyAlignment="1">
      <alignment horizontal="center"/>
    </xf>
    <xf numFmtId="166" fontId="17" fillId="6" borderId="15" xfId="3" applyFont="1" applyFill="1" applyBorder="1"/>
    <xf numFmtId="49" fontId="193" fillId="2" borderId="0" xfId="0" applyNumberFormat="1" applyFont="1" applyFill="1"/>
    <xf numFmtId="0" fontId="194" fillId="2" borderId="0" xfId="0" applyFont="1" applyFill="1" applyAlignment="1">
      <alignment horizontal="center"/>
    </xf>
    <xf numFmtId="0" fontId="195" fillId="2" borderId="0" xfId="0" applyFont="1" applyFill="1" applyAlignment="1">
      <alignment horizontal="center"/>
    </xf>
    <xf numFmtId="0" fontId="193" fillId="2" borderId="0" xfId="0" applyFont="1" applyFill="1" applyAlignment="1">
      <alignment horizontal="center" vertical="center"/>
    </xf>
    <xf numFmtId="0" fontId="193" fillId="2" borderId="0" xfId="0" applyFont="1" applyFill="1"/>
    <xf numFmtId="0" fontId="196" fillId="2" borderId="0" xfId="0" applyFont="1" applyFill="1"/>
    <xf numFmtId="49" fontId="15" fillId="4" borderId="46" xfId="0" applyNumberFormat="1" applyFont="1" applyFill="1" applyBorder="1" applyAlignment="1">
      <alignment horizontal="center" vertical="center"/>
    </xf>
    <xf numFmtId="49" fontId="15" fillId="4" borderId="30" xfId="0" applyNumberFormat="1" applyFont="1" applyFill="1" applyBorder="1" applyAlignment="1">
      <alignment horizontal="center" vertical="center"/>
    </xf>
    <xf numFmtId="0" fontId="29" fillId="0" borderId="33" xfId="0" applyFont="1" applyBorder="1" applyAlignment="1">
      <alignment vertical="center" wrapText="1"/>
    </xf>
    <xf numFmtId="0" fontId="29" fillId="0" borderId="12" xfId="0" applyFont="1" applyBorder="1" applyAlignment="1">
      <alignment vertical="center" wrapText="1"/>
    </xf>
    <xf numFmtId="168" fontId="91" fillId="4" borderId="32" xfId="0" applyNumberFormat="1" applyFont="1" applyFill="1" applyBorder="1" applyAlignment="1">
      <alignment horizontal="left" vertical="center"/>
    </xf>
    <xf numFmtId="168" fontId="91" fillId="4" borderId="12" xfId="0" applyNumberFormat="1" applyFont="1" applyFill="1" applyBorder="1" applyAlignment="1">
      <alignment horizontal="left" vertical="center"/>
    </xf>
    <xf numFmtId="166" fontId="17" fillId="6" borderId="5" xfId="3" applyFont="1" applyFill="1" applyBorder="1"/>
    <xf numFmtId="168" fontId="41" fillId="6" borderId="56" xfId="0" applyNumberFormat="1" applyFont="1" applyFill="1" applyBorder="1" applyAlignment="1">
      <alignment vertical="center"/>
    </xf>
    <xf numFmtId="0" fontId="41" fillId="0" borderId="0" xfId="0" applyFont="1"/>
    <xf numFmtId="0" fontId="30" fillId="0" borderId="0" xfId="0" applyFont="1" applyAlignment="1">
      <alignment horizontal="center" vertical="center"/>
    </xf>
    <xf numFmtId="168" fontId="41" fillId="0" borderId="0" xfId="0" applyNumberFormat="1" applyFont="1"/>
    <xf numFmtId="0" fontId="41" fillId="0" borderId="0" xfId="0" quotePrefix="1" applyFont="1" applyAlignment="1">
      <alignment vertical="center"/>
    </xf>
    <xf numFmtId="0" fontId="55" fillId="0" borderId="147" xfId="0" quotePrefix="1" applyFont="1" applyBorder="1" applyAlignment="1">
      <alignment horizontal="left" vertical="center"/>
    </xf>
    <xf numFmtId="49" fontId="55" fillId="0" borderId="147" xfId="0" applyNumberFormat="1" applyFont="1" applyBorder="1" applyAlignment="1">
      <alignment vertical="center"/>
    </xf>
    <xf numFmtId="0" fontId="109" fillId="17" borderId="147" xfId="0" applyFont="1" applyFill="1" applyBorder="1" applyAlignment="1">
      <alignment vertical="center"/>
    </xf>
    <xf numFmtId="0" fontId="55" fillId="0" borderId="147" xfId="0" applyFont="1" applyBorder="1" applyAlignment="1">
      <alignment horizontal="left" vertical="center"/>
    </xf>
    <xf numFmtId="0" fontId="113" fillId="3" borderId="147" xfId="0" applyFont="1" applyFill="1" applyBorder="1" applyAlignment="1">
      <alignment vertical="center"/>
    </xf>
    <xf numFmtId="0" fontId="75" fillId="0" borderId="147" xfId="0" applyFont="1" applyBorder="1" applyAlignment="1">
      <alignment vertical="center"/>
    </xf>
    <xf numFmtId="0" fontId="122" fillId="0" borderId="147" xfId="0" applyFont="1" applyBorder="1" applyAlignment="1">
      <alignment vertical="center"/>
    </xf>
    <xf numFmtId="0" fontId="114" fillId="5" borderId="147" xfId="0" applyFont="1" applyFill="1" applyBorder="1" applyAlignment="1">
      <alignment vertical="center"/>
    </xf>
    <xf numFmtId="0" fontId="101" fillId="0" borderId="147" xfId="0" applyFont="1" applyBorder="1" applyAlignment="1">
      <alignment vertical="center"/>
    </xf>
    <xf numFmtId="0" fontId="109" fillId="6" borderId="147" xfId="0" applyFont="1" applyFill="1" applyBorder="1" applyAlignment="1">
      <alignment horizontal="left" vertical="center"/>
    </xf>
    <xf numFmtId="0" fontId="109" fillId="3" borderId="147" xfId="0" applyFont="1" applyFill="1" applyBorder="1" applyAlignment="1">
      <alignment horizontal="center" vertical="center"/>
    </xf>
    <xf numFmtId="0" fontId="109" fillId="6" borderId="147" xfId="0" applyFont="1" applyFill="1" applyBorder="1" applyAlignment="1">
      <alignment vertical="center"/>
    </xf>
    <xf numFmtId="0" fontId="114" fillId="0" borderId="0" xfId="0" applyFont="1" applyAlignment="1">
      <alignment vertical="center"/>
    </xf>
    <xf numFmtId="0" fontId="55" fillId="0" borderId="30" xfId="0" quotePrefix="1" applyFont="1" applyBorder="1" applyAlignment="1">
      <alignment horizontal="left" vertical="center"/>
    </xf>
    <xf numFmtId="0" fontId="55" fillId="0" borderId="12" xfId="0" quotePrefix="1" applyFont="1" applyBorder="1" applyAlignment="1">
      <alignment horizontal="left" vertical="center"/>
    </xf>
    <xf numFmtId="0" fontId="101" fillId="0" borderId="0" xfId="0" applyFont="1" applyAlignment="1">
      <alignment vertical="center"/>
    </xf>
    <xf numFmtId="0" fontId="55" fillId="0" borderId="59" xfId="0" quotePrefix="1" applyFont="1" applyBorder="1" applyAlignment="1">
      <alignment horizontal="left" vertical="center"/>
    </xf>
    <xf numFmtId="0" fontId="55" fillId="0" borderId="8" xfId="0" quotePrefix="1" applyFont="1" applyBorder="1" applyAlignment="1">
      <alignment horizontal="left" vertical="center"/>
    </xf>
    <xf numFmtId="0" fontId="55" fillId="0" borderId="51" xfId="0" quotePrefix="1" applyFont="1" applyBorder="1" applyAlignment="1">
      <alignment horizontal="left" vertical="center"/>
    </xf>
    <xf numFmtId="0" fontId="61" fillId="6" borderId="18" xfId="0" applyFont="1" applyFill="1" applyBorder="1" applyAlignment="1">
      <alignment horizontal="left" vertical="center"/>
    </xf>
    <xf numFmtId="0" fontId="61" fillId="6" borderId="30" xfId="0" applyFont="1" applyFill="1" applyBorder="1" applyAlignment="1">
      <alignment horizontal="left" vertical="center"/>
    </xf>
    <xf numFmtId="0" fontId="61" fillId="0" borderId="0" xfId="0" applyFont="1" applyAlignment="1">
      <alignment vertical="center"/>
    </xf>
    <xf numFmtId="0" fontId="55" fillId="0" borderId="4" xfId="0" quotePrefix="1" applyFont="1" applyBorder="1" applyAlignment="1">
      <alignment horizontal="left" vertical="center"/>
    </xf>
    <xf numFmtId="0" fontId="55" fillId="0" borderId="41" xfId="0" quotePrefix="1" applyFont="1" applyBorder="1" applyAlignment="1">
      <alignment horizontal="left" vertical="center"/>
    </xf>
    <xf numFmtId="0" fontId="55" fillId="0" borderId="78" xfId="0" quotePrefix="1" applyFont="1" applyBorder="1" applyAlignment="1">
      <alignment horizontal="left" vertical="center"/>
    </xf>
    <xf numFmtId="0" fontId="55" fillId="0" borderId="7" xfId="0" quotePrefix="1" applyFont="1" applyBorder="1" applyAlignment="1">
      <alignment horizontal="left" vertical="center"/>
    </xf>
    <xf numFmtId="0" fontId="55" fillId="0" borderId="0" xfId="0" quotePrefix="1" applyFont="1" applyAlignment="1">
      <alignment horizontal="left" vertical="center"/>
    </xf>
    <xf numFmtId="175" fontId="22" fillId="6" borderId="12" xfId="0" applyNumberFormat="1" applyFont="1" applyFill="1" applyBorder="1"/>
    <xf numFmtId="168" fontId="17" fillId="6" borderId="43" xfId="3" applyNumberFormat="1" applyFont="1" applyFill="1" applyBorder="1"/>
    <xf numFmtId="168" fontId="17" fillId="6" borderId="43" xfId="3" applyNumberFormat="1" applyFont="1" applyFill="1" applyBorder="1" applyAlignment="1">
      <alignment vertical="center"/>
    </xf>
    <xf numFmtId="170" fontId="76" fillId="0" borderId="147" xfId="2" applyNumberFormat="1" applyFont="1" applyFill="1" applyBorder="1" applyAlignment="1">
      <alignment horizontal="center"/>
    </xf>
    <xf numFmtId="0" fontId="0" fillId="6" borderId="0" xfId="0" applyFill="1"/>
    <xf numFmtId="0" fontId="17" fillId="2" borderId="0" xfId="0" applyFont="1" applyFill="1" applyAlignment="1">
      <alignment horizontal="center"/>
    </xf>
    <xf numFmtId="0" fontId="193" fillId="2" borderId="0" xfId="0" applyFont="1" applyFill="1" applyAlignment="1">
      <alignment horizontal="center"/>
    </xf>
    <xf numFmtId="166" fontId="27" fillId="7" borderId="67" xfId="0" applyNumberFormat="1" applyFont="1" applyFill="1" applyBorder="1" applyAlignment="1">
      <alignment horizontal="center" vertical="center"/>
    </xf>
    <xf numFmtId="49" fontId="29" fillId="4" borderId="46" xfId="0" applyNumberFormat="1" applyFont="1" applyFill="1" applyBorder="1" applyAlignment="1">
      <alignment horizontal="center" vertical="center"/>
    </xf>
    <xf numFmtId="49" fontId="29" fillId="4" borderId="30" xfId="0" applyNumberFormat="1" applyFont="1" applyFill="1" applyBorder="1" applyAlignment="1">
      <alignment horizontal="center" vertical="center"/>
    </xf>
    <xf numFmtId="4" fontId="4" fillId="4" borderId="56" xfId="1" applyNumberFormat="1" applyFont="1" applyFill="1" applyBorder="1" applyAlignment="1">
      <alignment horizontal="left" vertical="center" wrapText="1"/>
    </xf>
    <xf numFmtId="164" fontId="15" fillId="2" borderId="3" xfId="3" applyNumberFormat="1" applyFont="1" applyFill="1" applyBorder="1" applyAlignment="1">
      <alignment horizontal="right" vertical="center"/>
    </xf>
    <xf numFmtId="166" fontId="27" fillId="6" borderId="15" xfId="3" applyFont="1" applyFill="1" applyBorder="1" applyAlignment="1">
      <alignment horizontal="center" vertical="center"/>
    </xf>
    <xf numFmtId="166" fontId="27" fillId="4" borderId="12" xfId="3" applyFont="1" applyFill="1" applyBorder="1" applyAlignment="1">
      <alignment horizontal="center" vertical="center"/>
    </xf>
    <xf numFmtId="49" fontId="4" fillId="4" borderId="46" xfId="0" applyNumberFormat="1" applyFont="1" applyFill="1" applyBorder="1" applyAlignment="1">
      <alignment horizontal="center" vertical="center"/>
    </xf>
    <xf numFmtId="49" fontId="4" fillId="4" borderId="30" xfId="0" applyNumberFormat="1" applyFont="1" applyFill="1" applyBorder="1" applyAlignment="1">
      <alignment horizontal="center" vertical="center"/>
    </xf>
    <xf numFmtId="1" fontId="4" fillId="4" borderId="12" xfId="4" applyNumberFormat="1" applyFont="1" applyFill="1" applyBorder="1" applyAlignment="1">
      <alignment horizontal="center" vertical="center"/>
    </xf>
    <xf numFmtId="49" fontId="4" fillId="4" borderId="12" xfId="4" applyNumberFormat="1" applyFont="1" applyFill="1" applyBorder="1" applyAlignment="1">
      <alignment horizontal="justify" vertical="center" wrapText="1"/>
    </xf>
    <xf numFmtId="166" fontId="4" fillId="4" borderId="12" xfId="3" applyFont="1" applyFill="1" applyBorder="1" applyAlignment="1">
      <alignment vertical="center"/>
    </xf>
    <xf numFmtId="0" fontId="4" fillId="16" borderId="0" xfId="0" applyFont="1" applyFill="1"/>
    <xf numFmtId="0" fontId="91" fillId="4" borderId="40" xfId="0" applyFont="1" applyFill="1" applyBorder="1" applyAlignment="1">
      <alignment horizontal="left" vertical="center" wrapText="1"/>
    </xf>
    <xf numFmtId="0" fontId="91" fillId="0" borderId="40" xfId="0" applyFont="1" applyBorder="1" applyAlignment="1">
      <alignment horizontal="left" vertical="center" wrapText="1"/>
    </xf>
    <xf numFmtId="166" fontId="91" fillId="0" borderId="55" xfId="3" applyFont="1" applyFill="1" applyBorder="1" applyAlignment="1">
      <alignment horizontal="left" vertical="center" wrapText="1"/>
    </xf>
    <xf numFmtId="49" fontId="133" fillId="6" borderId="15" xfId="0" applyNumberFormat="1" applyFont="1" applyFill="1" applyBorder="1" applyAlignment="1">
      <alignment vertical="center"/>
    </xf>
    <xf numFmtId="166" fontId="27" fillId="6" borderId="15" xfId="3" applyFont="1" applyFill="1" applyBorder="1" applyAlignment="1">
      <alignment vertical="center"/>
    </xf>
    <xf numFmtId="166" fontId="0" fillId="0" borderId="0" xfId="3" applyFont="1" applyAlignment="1">
      <alignment vertical="center"/>
    </xf>
    <xf numFmtId="0" fontId="15" fillId="2" borderId="34" xfId="0" quotePrefix="1" applyFont="1" applyFill="1" applyBorder="1" applyAlignment="1">
      <alignment horizontal="left" vertical="center"/>
    </xf>
    <xf numFmtId="164" fontId="15" fillId="2" borderId="6" xfId="3" applyNumberFormat="1" applyFont="1" applyFill="1" applyBorder="1" applyAlignment="1">
      <alignment horizontal="right" vertical="center"/>
    </xf>
    <xf numFmtId="0" fontId="15" fillId="2" borderId="37" xfId="0" quotePrefix="1" applyFont="1" applyFill="1" applyBorder="1" applyAlignment="1">
      <alignment horizontal="left" vertical="center"/>
    </xf>
    <xf numFmtId="0" fontId="15" fillId="2" borderId="22" xfId="0" applyFont="1" applyFill="1" applyBorder="1" applyAlignment="1">
      <alignment horizontal="left" vertical="center"/>
    </xf>
    <xf numFmtId="0" fontId="15" fillId="2" borderId="22" xfId="0" applyFont="1" applyFill="1" applyBorder="1" applyAlignment="1">
      <alignment horizontal="left" vertical="center" wrapText="1"/>
    </xf>
    <xf numFmtId="166" fontId="17" fillId="6" borderId="15" xfId="3" applyFont="1" applyFill="1" applyBorder="1" applyAlignment="1">
      <alignment vertical="center"/>
    </xf>
    <xf numFmtId="49" fontId="15" fillId="2" borderId="46" xfId="0" applyNumberFormat="1" applyFont="1" applyFill="1" applyBorder="1" applyAlignment="1">
      <alignment horizontal="center" vertical="center"/>
    </xf>
    <xf numFmtId="49" fontId="15" fillId="2" borderId="30" xfId="0" applyNumberFormat="1" applyFont="1" applyFill="1" applyBorder="1" applyAlignment="1">
      <alignment horizontal="center" vertical="center"/>
    </xf>
    <xf numFmtId="49" fontId="14" fillId="6" borderId="15" xfId="0" applyNumberFormat="1" applyFont="1" applyFill="1" applyBorder="1" applyAlignment="1">
      <alignment vertical="center"/>
    </xf>
    <xf numFmtId="0" fontId="14" fillId="6" borderId="20" xfId="0" applyFont="1" applyFill="1" applyBorder="1" applyAlignment="1">
      <alignment horizontal="center" vertical="center"/>
    </xf>
    <xf numFmtId="166" fontId="17" fillId="6" borderId="5" xfId="3" applyFont="1" applyFill="1" applyBorder="1" applyAlignment="1">
      <alignment vertical="center"/>
    </xf>
    <xf numFmtId="49" fontId="28" fillId="0" borderId="7" xfId="0" applyNumberFormat="1" applyFont="1" applyBorder="1" applyAlignment="1">
      <alignment horizontal="center" vertical="top" wrapText="1"/>
    </xf>
    <xf numFmtId="0" fontId="28" fillId="0" borderId="8" xfId="0" applyFont="1" applyBorder="1" applyAlignment="1">
      <alignment horizontal="center" vertical="top" wrapText="1"/>
    </xf>
    <xf numFmtId="0" fontId="28" fillId="0" borderId="9" xfId="0" applyFont="1" applyBorder="1" applyAlignment="1">
      <alignment horizontal="center" vertical="top" wrapText="1"/>
    </xf>
    <xf numFmtId="0" fontId="28" fillId="0" borderId="10" xfId="0" applyFont="1" applyBorder="1" applyAlignment="1">
      <alignment horizontal="center" vertical="top" wrapText="1"/>
    </xf>
    <xf numFmtId="49" fontId="199" fillId="2" borderId="0" xfId="0" applyNumberFormat="1" applyFont="1" applyFill="1" applyAlignment="1">
      <alignment horizontal="center"/>
    </xf>
    <xf numFmtId="49" fontId="200" fillId="2" borderId="0" xfId="0" applyNumberFormat="1" applyFont="1" applyFill="1" applyAlignment="1">
      <alignment horizontal="center"/>
    </xf>
    <xf numFmtId="49" fontId="4" fillId="2" borderId="0" xfId="0" applyNumberFormat="1" applyFont="1" applyFill="1" applyAlignment="1">
      <alignment horizontal="center"/>
    </xf>
    <xf numFmtId="0" fontId="4" fillId="2" borderId="0" xfId="0" applyFont="1" applyFill="1"/>
    <xf numFmtId="0" fontId="37" fillId="2" borderId="0" xfId="0" applyFont="1" applyFill="1"/>
    <xf numFmtId="49" fontId="4" fillId="2" borderId="0" xfId="0" applyNumberFormat="1" applyFont="1" applyFill="1" applyAlignment="1">
      <alignment horizontal="left" wrapText="1"/>
    </xf>
    <xf numFmtId="0" fontId="4" fillId="0" borderId="0" xfId="0" applyFont="1" applyAlignment="1">
      <alignment horizontal="left" wrapText="1"/>
    </xf>
    <xf numFmtId="0" fontId="4" fillId="0" borderId="0" xfId="0" applyFont="1" applyAlignment="1">
      <alignment horizontal="center" vertical="center" wrapText="1"/>
    </xf>
    <xf numFmtId="49" fontId="4" fillId="2" borderId="0" xfId="0" quotePrefix="1" applyNumberFormat="1" applyFont="1" applyFill="1" applyAlignment="1">
      <alignment horizontal="left" wrapText="1"/>
    </xf>
    <xf numFmtId="0" fontId="4" fillId="16" borderId="0" xfId="0" applyFont="1" applyFill="1" applyAlignment="1">
      <alignment horizontal="center" vertical="center"/>
    </xf>
    <xf numFmtId="49" fontId="4" fillId="2" borderId="0" xfId="0" applyNumberFormat="1" applyFont="1" applyFill="1"/>
    <xf numFmtId="0" fontId="199" fillId="2" borderId="0" xfId="0" applyFont="1" applyFill="1" applyAlignment="1">
      <alignment horizontal="center"/>
    </xf>
    <xf numFmtId="0" fontId="200"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alignment horizontal="center" vertical="center"/>
    </xf>
    <xf numFmtId="166" fontId="15" fillId="0" borderId="12" xfId="3" applyFont="1" applyFill="1" applyBorder="1" applyAlignment="1" applyProtection="1">
      <alignment horizontal="center" vertical="center"/>
      <protection locked="0" hidden="1"/>
    </xf>
    <xf numFmtId="49" fontId="4" fillId="2" borderId="0" xfId="0" applyNumberFormat="1" applyFont="1" applyFill="1" applyAlignment="1">
      <alignment horizontal="center" vertical="center"/>
    </xf>
    <xf numFmtId="49" fontId="4" fillId="0" borderId="0" xfId="0" applyNumberFormat="1" applyFont="1"/>
    <xf numFmtId="0" fontId="199" fillId="0" borderId="0" xfId="0" applyFont="1" applyAlignment="1">
      <alignment horizontal="center"/>
    </xf>
    <xf numFmtId="0" fontId="200" fillId="0" borderId="0" xfId="0" applyFont="1" applyAlignment="1">
      <alignment horizontal="center"/>
    </xf>
    <xf numFmtId="0" fontId="37" fillId="0" borderId="0" xfId="0" applyFont="1"/>
    <xf numFmtId="49" fontId="199" fillId="0" borderId="0" xfId="0" applyNumberFormat="1" applyFont="1" applyAlignment="1">
      <alignment horizontal="center"/>
    </xf>
    <xf numFmtId="49" fontId="200" fillId="0" borderId="0" xfId="0" applyNumberFormat="1" applyFont="1" applyAlignment="1">
      <alignment horizontal="center"/>
    </xf>
    <xf numFmtId="49" fontId="4" fillId="0" borderId="0" xfId="0" applyNumberFormat="1" applyFont="1" applyAlignment="1">
      <alignment horizontal="center"/>
    </xf>
    <xf numFmtId="49" fontId="4" fillId="0" borderId="0" xfId="0" applyNumberFormat="1" applyFont="1" applyAlignment="1">
      <alignment horizontal="center" vertical="center"/>
    </xf>
    <xf numFmtId="49" fontId="4" fillId="4" borderId="0" xfId="0" applyNumberFormat="1" applyFont="1" applyFill="1" applyAlignment="1">
      <alignment horizontal="left" vertical="center" wrapText="1"/>
    </xf>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49" fontId="4" fillId="4" borderId="0" xfId="0" quotePrefix="1" applyNumberFormat="1" applyFont="1" applyFill="1" applyAlignment="1">
      <alignment horizontal="left" vertical="center" wrapText="1"/>
    </xf>
    <xf numFmtId="0" fontId="4" fillId="4" borderId="0" xfId="0" applyFont="1" applyFill="1"/>
    <xf numFmtId="0" fontId="4" fillId="4" borderId="0" xfId="0" applyFont="1" applyFill="1" applyAlignment="1">
      <alignment horizontal="center" vertical="center"/>
    </xf>
    <xf numFmtId="49" fontId="199" fillId="16" borderId="0" xfId="0" applyNumberFormat="1" applyFont="1" applyFill="1" applyAlignment="1">
      <alignment horizontal="center"/>
    </xf>
    <xf numFmtId="0" fontId="199" fillId="16" borderId="0" xfId="0" applyFont="1" applyFill="1" applyAlignment="1">
      <alignment horizontal="center"/>
    </xf>
    <xf numFmtId="0" fontId="200" fillId="16" borderId="0" xfId="0" applyFont="1" applyFill="1" applyAlignment="1">
      <alignment horizontal="center"/>
    </xf>
    <xf numFmtId="0" fontId="4" fillId="16" borderId="0" xfId="0" applyFont="1" applyFill="1" applyAlignment="1">
      <alignment horizontal="center"/>
    </xf>
    <xf numFmtId="0" fontId="37" fillId="16" borderId="0" xfId="0" applyFont="1" applyFill="1"/>
    <xf numFmtId="1" fontId="15" fillId="0" borderId="12" xfId="4" applyNumberFormat="1" applyFont="1" applyBorder="1" applyAlignment="1">
      <alignment horizontal="center" vertical="center"/>
    </xf>
    <xf numFmtId="0" fontId="15" fillId="0" borderId="12" xfId="0" applyFont="1" applyBorder="1" applyAlignment="1">
      <alignment horizontal="center" vertical="center"/>
    </xf>
    <xf numFmtId="0" fontId="93" fillId="17" borderId="0" xfId="0" applyFont="1" applyFill="1" applyAlignment="1">
      <alignment horizontal="center" vertical="center" wrapText="1"/>
    </xf>
    <xf numFmtId="0" fontId="93" fillId="0" borderId="0" xfId="0" applyFont="1" applyAlignment="1">
      <alignment horizontal="center" vertical="center" wrapText="1"/>
    </xf>
    <xf numFmtId="173" fontId="29" fillId="0" borderId="0" xfId="0" applyNumberFormat="1" applyFont="1" applyAlignment="1">
      <alignment horizontal="center" vertical="center"/>
    </xf>
    <xf numFmtId="166" fontId="29" fillId="0" borderId="0" xfId="3" applyFont="1" applyFill="1" applyBorder="1" applyAlignment="1">
      <alignment horizontal="left" vertical="center"/>
    </xf>
    <xf numFmtId="166" fontId="29" fillId="0" borderId="0" xfId="3" applyFont="1" applyFill="1" applyBorder="1" applyAlignment="1">
      <alignment horizontal="center" vertical="center"/>
    </xf>
    <xf numFmtId="173" fontId="27" fillId="7" borderId="70" xfId="0" applyNumberFormat="1" applyFont="1" applyFill="1" applyBorder="1" applyAlignment="1">
      <alignment horizontal="center" vertical="center"/>
    </xf>
    <xf numFmtId="0" fontId="105" fillId="4" borderId="0" xfId="0" applyFont="1" applyFill="1" applyAlignment="1">
      <alignment horizontal="center" vertical="center"/>
    </xf>
    <xf numFmtId="173" fontId="27" fillId="4" borderId="0" xfId="0" applyNumberFormat="1" applyFont="1" applyFill="1" applyAlignment="1">
      <alignment horizontal="center" vertical="center"/>
    </xf>
    <xf numFmtId="0" fontId="160" fillId="17" borderId="0" xfId="0" applyFont="1" applyFill="1" applyAlignment="1">
      <alignment horizontal="center" vertical="center" wrapText="1"/>
    </xf>
    <xf numFmtId="173" fontId="29" fillId="0" borderId="0" xfId="0" applyNumberFormat="1" applyFont="1" applyAlignment="1">
      <alignment vertical="center"/>
    </xf>
    <xf numFmtId="166" fontId="29" fillId="0" borderId="0" xfId="3" applyFont="1" applyFill="1" applyBorder="1" applyAlignment="1">
      <alignment vertical="center"/>
    </xf>
    <xf numFmtId="173" fontId="27" fillId="7" borderId="70" xfId="0" applyNumberFormat="1" applyFont="1" applyFill="1" applyBorder="1" applyAlignment="1">
      <alignment vertical="center"/>
    </xf>
    <xf numFmtId="49" fontId="22" fillId="2" borderId="0" xfId="0" applyNumberFormat="1" applyFont="1" applyFill="1" applyAlignment="1">
      <alignment horizontal="left"/>
    </xf>
    <xf numFmtId="0" fontId="204" fillId="17" borderId="0" xfId="0" applyFont="1" applyFill="1" applyAlignment="1">
      <alignment horizontal="center" vertical="center" wrapText="1"/>
    </xf>
    <xf numFmtId="0" fontId="93" fillId="17" borderId="0" xfId="0" applyFont="1" applyFill="1" applyAlignment="1">
      <alignment horizontal="center" vertical="center"/>
    </xf>
    <xf numFmtId="0" fontId="29" fillId="7" borderId="40" xfId="0" applyFont="1" applyFill="1" applyBorder="1" applyAlignment="1">
      <alignment horizontal="left" vertical="center"/>
    </xf>
    <xf numFmtId="173" fontId="27" fillId="7" borderId="70" xfId="0" applyNumberFormat="1" applyFont="1" applyFill="1" applyBorder="1" applyAlignment="1">
      <alignment horizontal="left" vertical="center"/>
    </xf>
    <xf numFmtId="0" fontId="29" fillId="0" borderId="0" xfId="0" applyFont="1" applyAlignment="1">
      <alignment horizontal="justify" vertical="center" wrapText="1"/>
    </xf>
    <xf numFmtId="0" fontId="29" fillId="0" borderId="0" xfId="0" applyFont="1" applyAlignment="1">
      <alignment horizontal="left" vertical="center"/>
    </xf>
    <xf numFmtId="173" fontId="27" fillId="0" borderId="0" xfId="0" applyNumberFormat="1" applyFont="1" applyAlignment="1">
      <alignment horizontal="center" vertical="center"/>
    </xf>
    <xf numFmtId="0" fontId="22" fillId="2" borderId="0" xfId="0" applyFont="1" applyFill="1" applyAlignment="1">
      <alignment horizontal="left"/>
    </xf>
    <xf numFmtId="49" fontId="199" fillId="4" borderId="0" xfId="0" applyNumberFormat="1" applyFont="1" applyFill="1" applyAlignment="1">
      <alignment horizontal="center"/>
    </xf>
    <xf numFmtId="0" fontId="199" fillId="4" borderId="0" xfId="0" applyFont="1" applyFill="1" applyAlignment="1">
      <alignment horizontal="center"/>
    </xf>
    <xf numFmtId="0" fontId="200" fillId="4" borderId="0" xfId="0" applyFont="1" applyFill="1" applyAlignment="1">
      <alignment horizontal="center"/>
    </xf>
    <xf numFmtId="0" fontId="4" fillId="4" borderId="0" xfId="0" applyFont="1" applyFill="1" applyAlignment="1">
      <alignment horizontal="center"/>
    </xf>
    <xf numFmtId="0" fontId="37" fillId="4" borderId="0" xfId="0" applyFont="1" applyFill="1"/>
    <xf numFmtId="49" fontId="4" fillId="2" borderId="0" xfId="0" applyNumberFormat="1" applyFont="1" applyFill="1" applyAlignment="1">
      <alignment horizontal="center" vertical="center" wrapText="1"/>
    </xf>
    <xf numFmtId="49" fontId="19" fillId="2" borderId="0" xfId="0" applyNumberFormat="1" applyFont="1" applyFill="1" applyAlignment="1">
      <alignment horizontal="left" vertical="center"/>
    </xf>
    <xf numFmtId="49" fontId="19" fillId="2" borderId="0" xfId="0" applyNumberFormat="1" applyFont="1" applyFill="1" applyAlignment="1">
      <alignment horizontal="center" vertical="center"/>
    </xf>
    <xf numFmtId="49" fontId="19" fillId="16" borderId="0" xfId="0" applyNumberFormat="1" applyFont="1" applyFill="1" applyAlignment="1">
      <alignment horizontal="left" vertical="center"/>
    </xf>
    <xf numFmtId="49" fontId="19" fillId="16" borderId="0" xfId="0" applyNumberFormat="1" applyFont="1" applyFill="1" applyAlignment="1">
      <alignment horizontal="center" vertical="center"/>
    </xf>
    <xf numFmtId="49" fontId="19" fillId="4" borderId="0" xfId="0" applyNumberFormat="1" applyFont="1" applyFill="1" applyAlignment="1">
      <alignment horizontal="left" vertical="center" wrapText="1"/>
    </xf>
    <xf numFmtId="49" fontId="19" fillId="4" borderId="0" xfId="0" applyNumberFormat="1" applyFont="1" applyFill="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49" fontId="4" fillId="2" borderId="0" xfId="0" applyNumberFormat="1" applyFont="1" applyFill="1" applyAlignment="1">
      <alignment horizontal="left"/>
    </xf>
    <xf numFmtId="49" fontId="4" fillId="16" borderId="0" xfId="0" applyNumberFormat="1" applyFont="1" applyFill="1" applyAlignment="1">
      <alignment horizontal="left"/>
    </xf>
    <xf numFmtId="49" fontId="4" fillId="16" borderId="0" xfId="0" applyNumberFormat="1" applyFont="1" applyFill="1" applyAlignment="1">
      <alignment horizontal="center" vertical="center"/>
    </xf>
    <xf numFmtId="0" fontId="22" fillId="16" borderId="0" xfId="0" applyFont="1" applyFill="1" applyAlignment="1">
      <alignment horizontal="left"/>
    </xf>
    <xf numFmtId="0" fontId="4" fillId="2" borderId="38" xfId="0" applyFont="1" applyFill="1" applyBorder="1" applyAlignment="1">
      <alignment vertical="center" wrapText="1"/>
    </xf>
    <xf numFmtId="0" fontId="4" fillId="0" borderId="37" xfId="0" applyFont="1" applyBorder="1" applyAlignment="1">
      <alignment vertical="center" wrapText="1"/>
    </xf>
    <xf numFmtId="49" fontId="4" fillId="4" borderId="0" xfId="0" applyNumberFormat="1" applyFont="1" applyFill="1"/>
    <xf numFmtId="49" fontId="19" fillId="16" borderId="0" xfId="0" applyNumberFormat="1" applyFont="1" applyFill="1" applyAlignment="1">
      <alignment horizontal="left" wrapText="1"/>
    </xf>
    <xf numFmtId="49" fontId="19" fillId="16" borderId="0" xfId="0" applyNumberFormat="1" applyFont="1" applyFill="1" applyAlignment="1">
      <alignment horizontal="center" vertical="center" wrapText="1"/>
    </xf>
    <xf numFmtId="49" fontId="200" fillId="4" borderId="0" xfId="0" applyNumberFormat="1" applyFont="1" applyFill="1" applyAlignment="1">
      <alignment horizontal="center"/>
    </xf>
    <xf numFmtId="49" fontId="4" fillId="4" borderId="0" xfId="0" applyNumberFormat="1" applyFont="1" applyFill="1" applyAlignment="1">
      <alignment horizontal="center"/>
    </xf>
    <xf numFmtId="49" fontId="4" fillId="4" borderId="0" xfId="0" applyNumberFormat="1" applyFont="1" applyFill="1" applyAlignment="1">
      <alignment horizontal="center" vertical="center"/>
    </xf>
    <xf numFmtId="49" fontId="19" fillId="4" borderId="0" xfId="0" applyNumberFormat="1" applyFont="1" applyFill="1" applyAlignment="1">
      <alignment horizontal="left" wrapText="1"/>
    </xf>
    <xf numFmtId="49" fontId="19" fillId="16" borderId="0" xfId="0" applyNumberFormat="1" applyFont="1" applyFill="1" applyAlignment="1">
      <alignment horizontal="left" vertical="center" wrapText="1"/>
    </xf>
    <xf numFmtId="49" fontId="11" fillId="4" borderId="7" xfId="0" applyNumberFormat="1"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4" borderId="10" xfId="0" applyFont="1" applyFill="1" applyBorder="1" applyAlignment="1">
      <alignment horizontal="center" vertical="top" wrapText="1"/>
    </xf>
    <xf numFmtId="49" fontId="199" fillId="2" borderId="0" xfId="0" applyNumberFormat="1" applyFont="1" applyFill="1" applyAlignment="1">
      <alignment horizontal="center" vertical="center"/>
    </xf>
    <xf numFmtId="49" fontId="28" fillId="4" borderId="7" xfId="0" applyNumberFormat="1" applyFont="1" applyFill="1" applyBorder="1" applyAlignment="1">
      <alignment horizontal="center" vertical="top" wrapText="1"/>
    </xf>
    <xf numFmtId="0" fontId="28" fillId="4" borderId="8" xfId="0" applyFont="1" applyFill="1" applyBorder="1" applyAlignment="1">
      <alignment horizontal="center" vertical="top" wrapText="1"/>
    </xf>
    <xf numFmtId="0" fontId="28" fillId="4" borderId="9" xfId="0" applyFont="1" applyFill="1" applyBorder="1" applyAlignment="1">
      <alignment horizontal="center" vertical="top" wrapText="1"/>
    </xf>
    <xf numFmtId="0" fontId="28" fillId="4" borderId="10" xfId="0" applyFont="1" applyFill="1" applyBorder="1" applyAlignment="1">
      <alignment horizontal="center" vertical="top" wrapText="1"/>
    </xf>
    <xf numFmtId="49" fontId="19" fillId="2" borderId="0" xfId="0" applyNumberFormat="1" applyFont="1" applyFill="1" applyAlignment="1">
      <alignment horizontal="left" vertical="center" wrapText="1"/>
    </xf>
    <xf numFmtId="164" fontId="29" fillId="0" borderId="6" xfId="3" applyNumberFormat="1" applyFont="1" applyFill="1" applyBorder="1" applyAlignment="1">
      <alignment horizontal="right" vertical="center"/>
    </xf>
    <xf numFmtId="164" fontId="29" fillId="0" borderId="3" xfId="3" applyNumberFormat="1" applyFont="1" applyFill="1" applyBorder="1" applyAlignment="1">
      <alignment horizontal="right" vertical="center"/>
    </xf>
    <xf numFmtId="164" fontId="29" fillId="0" borderId="21" xfId="3" applyNumberFormat="1" applyFont="1" applyFill="1" applyBorder="1" applyAlignment="1">
      <alignment horizontal="right" vertical="center"/>
    </xf>
    <xf numFmtId="164" fontId="29" fillId="4" borderId="3" xfId="3" applyNumberFormat="1" applyFont="1" applyFill="1" applyBorder="1" applyAlignment="1">
      <alignment horizontal="right" vertical="center"/>
    </xf>
    <xf numFmtId="164" fontId="15" fillId="0" borderId="3" xfId="3" applyNumberFormat="1" applyFont="1" applyFill="1" applyBorder="1" applyAlignment="1">
      <alignment horizontal="right" vertical="center"/>
    </xf>
    <xf numFmtId="49" fontId="14" fillId="2" borderId="17" xfId="0" applyNumberFormat="1" applyFont="1" applyFill="1" applyBorder="1" applyAlignment="1">
      <alignment horizontal="center" vertical="center"/>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xf>
    <xf numFmtId="166" fontId="14" fillId="2" borderId="21" xfId="3" applyFont="1" applyFill="1" applyBorder="1" applyAlignment="1">
      <alignment vertical="center"/>
    </xf>
    <xf numFmtId="166" fontId="103" fillId="6" borderId="15" xfId="3" applyFont="1" applyFill="1" applyBorder="1" applyAlignment="1">
      <alignment vertical="center"/>
    </xf>
    <xf numFmtId="164" fontId="15" fillId="0" borderId="6" xfId="3" applyNumberFormat="1" applyFont="1" applyFill="1" applyBorder="1" applyAlignment="1">
      <alignment horizontal="right" vertical="center"/>
    </xf>
    <xf numFmtId="0" fontId="123" fillId="4" borderId="40" xfId="0" applyFont="1" applyFill="1" applyBorder="1" applyAlignment="1">
      <alignment vertical="center"/>
    </xf>
    <xf numFmtId="170" fontId="55" fillId="0" borderId="147" xfId="0" applyNumberFormat="1" applyFont="1" applyBorder="1" applyAlignment="1">
      <alignment horizontal="center" vertical="center"/>
    </xf>
    <xf numFmtId="0" fontId="0" fillId="0" borderId="0" xfId="0" applyAlignment="1">
      <alignment horizontal="left" vertical="center"/>
    </xf>
    <xf numFmtId="49" fontId="91" fillId="4" borderId="12" xfId="0" applyNumberFormat="1" applyFont="1" applyFill="1" applyBorder="1" applyAlignment="1">
      <alignment horizontal="center" vertical="center" wrapText="1"/>
    </xf>
    <xf numFmtId="166" fontId="91" fillId="0" borderId="12" xfId="3" applyFont="1" applyFill="1" applyBorder="1" applyAlignment="1">
      <alignment horizontal="left" vertical="center"/>
    </xf>
    <xf numFmtId="166" fontId="91" fillId="0" borderId="12" xfId="3" applyFont="1" applyFill="1" applyBorder="1" applyAlignment="1">
      <alignment horizontal="center" vertical="center"/>
    </xf>
    <xf numFmtId="168" fontId="91" fillId="4" borderId="12" xfId="0" applyNumberFormat="1" applyFont="1" applyFill="1" applyBorder="1" applyAlignment="1">
      <alignment horizontal="center" vertical="center"/>
    </xf>
    <xf numFmtId="166" fontId="91" fillId="0" borderId="55" xfId="3" applyFont="1" applyFill="1" applyBorder="1" applyAlignment="1">
      <alignment horizontal="center" vertical="center" wrapText="1"/>
    </xf>
    <xf numFmtId="168" fontId="91" fillId="4" borderId="32" xfId="0" applyNumberFormat="1" applyFont="1" applyFill="1" applyBorder="1" applyAlignment="1">
      <alignment vertical="center"/>
    </xf>
    <xf numFmtId="0" fontId="91" fillId="4" borderId="12" xfId="0" applyFont="1" applyFill="1" applyBorder="1" applyAlignment="1">
      <alignment horizontal="center" vertical="center" wrapText="1"/>
    </xf>
    <xf numFmtId="166" fontId="91" fillId="4" borderId="54" xfId="3" applyFont="1" applyFill="1" applyBorder="1" applyAlignment="1">
      <alignment horizontal="center" vertical="center" wrapText="1"/>
    </xf>
    <xf numFmtId="166" fontId="91" fillId="4" borderId="12" xfId="3" applyFont="1" applyFill="1" applyBorder="1" applyAlignment="1">
      <alignment horizontal="center" vertical="center"/>
    </xf>
    <xf numFmtId="166" fontId="91" fillId="0" borderId="12" xfId="3" applyFont="1" applyFill="1" applyBorder="1" applyAlignment="1">
      <alignment horizontal="center" vertical="center" wrapText="1"/>
    </xf>
    <xf numFmtId="166" fontId="91" fillId="0" borderId="54" xfId="3" applyFont="1" applyFill="1" applyBorder="1" applyAlignment="1">
      <alignment horizontal="left" vertical="center"/>
    </xf>
    <xf numFmtId="0" fontId="91" fillId="0" borderId="12" xfId="0" applyFont="1" applyBorder="1" applyAlignment="1">
      <alignment horizontal="left" vertical="center" wrapText="1" shrinkToFit="1"/>
    </xf>
    <xf numFmtId="0" fontId="128" fillId="0" borderId="12" xfId="0" applyFont="1" applyBorder="1" applyAlignment="1">
      <alignment horizontal="left" vertical="center" wrapText="1" shrinkToFit="1"/>
    </xf>
    <xf numFmtId="0" fontId="0" fillId="0" borderId="12" xfId="0" applyBorder="1" applyAlignment="1">
      <alignment horizontal="center" vertical="center"/>
    </xf>
    <xf numFmtId="0" fontId="0" fillId="4" borderId="0" xfId="0" applyFill="1" applyAlignment="1">
      <alignment horizontal="center" vertical="center"/>
    </xf>
    <xf numFmtId="0" fontId="88" fillId="6" borderId="12" xfId="0" quotePrefix="1" applyFont="1" applyFill="1" applyBorder="1" applyAlignment="1">
      <alignment horizontal="center" vertical="center" wrapText="1"/>
    </xf>
    <xf numFmtId="0" fontId="87" fillId="6" borderId="12" xfId="0" applyFont="1" applyFill="1" applyBorder="1" applyAlignment="1">
      <alignment vertical="center"/>
    </xf>
    <xf numFmtId="166" fontId="85" fillId="6" borderId="12" xfId="3" applyFont="1" applyFill="1" applyBorder="1"/>
    <xf numFmtId="166" fontId="89" fillId="6" borderId="12" xfId="3" applyFont="1" applyFill="1" applyBorder="1"/>
    <xf numFmtId="166" fontId="85" fillId="6" borderId="12" xfId="3" applyFont="1" applyFill="1" applyBorder="1" applyAlignment="1">
      <alignment horizontal="center" vertical="center"/>
    </xf>
    <xf numFmtId="0" fontId="0" fillId="6" borderId="0" xfId="0" applyFill="1" applyAlignment="1">
      <alignment horizontal="left" vertical="center"/>
    </xf>
    <xf numFmtId="166" fontId="82" fillId="6" borderId="12" xfId="3" applyFont="1" applyFill="1" applyBorder="1" applyAlignment="1">
      <alignment horizontal="left"/>
    </xf>
    <xf numFmtId="168" fontId="53" fillId="0" borderId="0" xfId="0" applyNumberFormat="1" applyFont="1" applyAlignment="1">
      <alignment horizontal="center"/>
    </xf>
    <xf numFmtId="10" fontId="177" fillId="19" borderId="176" xfId="0" applyNumberFormat="1" applyFont="1" applyFill="1" applyBorder="1" applyAlignment="1">
      <alignment horizontal="center" vertical="center" wrapText="1"/>
    </xf>
    <xf numFmtId="0" fontId="169" fillId="19" borderId="183" xfId="0" quotePrefix="1" applyFont="1" applyFill="1" applyBorder="1" applyAlignment="1">
      <alignment horizontal="center" vertical="center" wrapText="1"/>
    </xf>
    <xf numFmtId="170" fontId="53" fillId="6" borderId="147" xfId="0" applyNumberFormat="1" applyFont="1" applyFill="1" applyBorder="1" applyAlignment="1">
      <alignment horizontal="center"/>
    </xf>
    <xf numFmtId="170" fontId="54" fillId="0" borderId="147" xfId="2" applyNumberFormat="1" applyFont="1" applyFill="1" applyBorder="1" applyAlignment="1">
      <alignment horizontal="center"/>
    </xf>
    <xf numFmtId="170" fontId="109" fillId="3" borderId="147" xfId="2" applyNumberFormat="1" applyFont="1" applyFill="1" applyBorder="1" applyAlignment="1">
      <alignment horizontal="center"/>
    </xf>
    <xf numFmtId="49" fontId="4" fillId="0" borderId="0" xfId="1" applyNumberFormat="1" applyFont="1" applyFill="1" applyBorder="1" applyAlignment="1">
      <alignment horizontal="center"/>
    </xf>
    <xf numFmtId="0" fontId="206" fillId="19" borderId="176" xfId="0" applyFont="1" applyFill="1" applyBorder="1" applyAlignment="1">
      <alignment vertical="center" textRotation="90" wrapText="1"/>
    </xf>
    <xf numFmtId="0" fontId="207" fillId="19" borderId="183" xfId="0" applyFont="1" applyFill="1" applyBorder="1" applyAlignment="1">
      <alignment horizontal="center" vertical="center" wrapText="1"/>
    </xf>
    <xf numFmtId="0" fontId="205" fillId="19" borderId="183" xfId="0" applyFont="1" applyFill="1" applyBorder="1" applyAlignment="1">
      <alignment horizontal="center" vertical="center" wrapText="1"/>
    </xf>
    <xf numFmtId="0" fontId="205" fillId="19" borderId="183" xfId="0" quotePrefix="1" applyFont="1" applyFill="1" applyBorder="1" applyAlignment="1">
      <alignment horizontal="center" vertical="center" wrapText="1"/>
    </xf>
    <xf numFmtId="0" fontId="205" fillId="19" borderId="176" xfId="0" quotePrefix="1" applyFont="1" applyFill="1" applyBorder="1" applyAlignment="1">
      <alignment horizontal="center" vertical="center" wrapText="1"/>
    </xf>
    <xf numFmtId="4" fontId="4" fillId="0" borderId="54" xfId="1" applyNumberFormat="1" applyFont="1" applyFill="1" applyBorder="1" applyAlignment="1">
      <alignment vertical="center"/>
    </xf>
    <xf numFmtId="164" fontId="29" fillId="4" borderId="12" xfId="3" applyNumberFormat="1" applyFont="1" applyFill="1" applyBorder="1" applyAlignment="1">
      <alignment horizontal="right" vertical="center"/>
    </xf>
    <xf numFmtId="164" fontId="27" fillId="6" borderId="45" xfId="3" applyNumberFormat="1" applyFont="1" applyFill="1" applyBorder="1" applyAlignment="1">
      <alignment horizontal="right"/>
    </xf>
    <xf numFmtId="49" fontId="29" fillId="0" borderId="12" xfId="1" applyNumberFormat="1" applyFont="1" applyFill="1" applyBorder="1" applyAlignment="1">
      <alignment horizontal="center" vertical="center"/>
    </xf>
    <xf numFmtId="0" fontId="6" fillId="0" borderId="0" xfId="0" applyFont="1" applyAlignment="1">
      <alignment horizontal="center"/>
    </xf>
    <xf numFmtId="0" fontId="6" fillId="0" borderId="0" xfId="0" quotePrefix="1" applyFont="1" applyAlignment="1">
      <alignment horizontal="center"/>
    </xf>
    <xf numFmtId="0" fontId="7" fillId="0" borderId="0" xfId="0" quotePrefix="1" applyFont="1" applyAlignment="1">
      <alignment horizontal="left" vertical="distributed" wrapText="1"/>
    </xf>
    <xf numFmtId="0" fontId="7" fillId="0" borderId="0" xfId="0" applyFont="1" applyAlignment="1">
      <alignment horizontal="justify" vertical="distributed" wrapText="1"/>
    </xf>
    <xf numFmtId="0" fontId="6" fillId="0" borderId="0" xfId="0" applyFont="1" applyAlignment="1">
      <alignment horizontal="justify" vertical="distributed" wrapText="1"/>
    </xf>
    <xf numFmtId="0" fontId="4" fillId="0" borderId="0" xfId="0" applyFont="1" applyAlignment="1">
      <alignment horizontal="justify" vertical="justify" wrapText="1"/>
    </xf>
    <xf numFmtId="0" fontId="17" fillId="0" borderId="0" xfId="0" applyFont="1" applyAlignment="1">
      <alignment horizontal="left" vertical="distributed" wrapText="1"/>
    </xf>
    <xf numFmtId="0" fontId="27" fillId="0" borderId="0" xfId="0" applyFont="1" applyAlignment="1">
      <alignment horizontal="justify" vertical="center" wrapText="1"/>
    </xf>
    <xf numFmtId="0" fontId="27" fillId="0" borderId="0" xfId="0" applyFont="1" applyAlignment="1">
      <alignment horizontal="left" vertical="distributed" wrapText="1"/>
    </xf>
    <xf numFmtId="0" fontId="22" fillId="0" borderId="0" xfId="0" applyFont="1" applyAlignment="1">
      <alignment horizontal="center"/>
    </xf>
    <xf numFmtId="0" fontId="22" fillId="0" borderId="0" xfId="0" quotePrefix="1" applyFont="1" applyAlignment="1">
      <alignment horizontal="center"/>
    </xf>
    <xf numFmtId="0" fontId="22" fillId="0" borderId="42" xfId="0" applyFont="1" applyBorder="1" applyAlignment="1">
      <alignment horizontal="center"/>
    </xf>
    <xf numFmtId="0" fontId="22" fillId="0" borderId="0" xfId="0" applyFont="1" applyAlignment="1">
      <alignment horizontal="center" wrapText="1"/>
    </xf>
    <xf numFmtId="0" fontId="22" fillId="0" borderId="0" xfId="0" quotePrefix="1" applyFont="1" applyAlignment="1">
      <alignment horizontal="center" wrapText="1"/>
    </xf>
    <xf numFmtId="0" fontId="22" fillId="0" borderId="0" xfId="0" applyFont="1" applyAlignment="1">
      <alignment horizontal="center" vertical="center"/>
    </xf>
    <xf numFmtId="0" fontId="22" fillId="0" borderId="0" xfId="0" quotePrefix="1" applyFont="1" applyAlignment="1">
      <alignment horizontal="center" vertical="center"/>
    </xf>
    <xf numFmtId="0" fontId="4" fillId="0" borderId="0" xfId="0" quotePrefix="1" applyFont="1" applyAlignment="1">
      <alignment horizontal="left" vertical="distributed" wrapText="1"/>
    </xf>
    <xf numFmtId="0" fontId="4" fillId="0" borderId="0" xfId="0" applyFont="1" applyAlignment="1">
      <alignment horizontal="justify" vertical="distributed" wrapText="1"/>
    </xf>
    <xf numFmtId="0" fontId="22" fillId="0" borderId="0" xfId="0" applyFont="1" applyAlignment="1">
      <alignment horizontal="justify" vertical="distributed" wrapText="1"/>
    </xf>
    <xf numFmtId="0" fontId="4" fillId="0" borderId="0" xfId="0" quotePrefix="1" applyFont="1" applyAlignment="1">
      <alignment horizontal="justify" vertical="justify" wrapText="1"/>
    </xf>
    <xf numFmtId="0" fontId="22" fillId="0" borderId="42" xfId="0" applyFont="1" applyBorder="1" applyAlignment="1">
      <alignment horizontal="center" wrapText="1"/>
    </xf>
    <xf numFmtId="0" fontId="22" fillId="0" borderId="42" xfId="0" applyFont="1" applyBorder="1" applyAlignment="1">
      <alignment horizontal="center" vertical="center"/>
    </xf>
    <xf numFmtId="0" fontId="17" fillId="0" borderId="0" xfId="0" quotePrefix="1" applyFont="1" applyAlignment="1">
      <alignment horizontal="left" vertical="distributed" wrapText="1"/>
    </xf>
    <xf numFmtId="0" fontId="17" fillId="0" borderId="0" xfId="0" applyFont="1" applyAlignment="1">
      <alignment horizontal="justify" vertical="distributed" wrapText="1"/>
    </xf>
    <xf numFmtId="0" fontId="27" fillId="0" borderId="54" xfId="0" applyFont="1" applyBorder="1" applyAlignment="1">
      <alignment horizontal="left" vertical="distributed" wrapText="1"/>
    </xf>
    <xf numFmtId="0" fontId="27" fillId="0" borderId="32" xfId="0" applyFont="1" applyBorder="1" applyAlignment="1">
      <alignment horizontal="left" vertical="distributed" wrapText="1"/>
    </xf>
    <xf numFmtId="0" fontId="27" fillId="0" borderId="56" xfId="0" applyFont="1" applyBorder="1" applyAlignment="1">
      <alignment horizontal="left" vertical="distributed" wrapText="1"/>
    </xf>
    <xf numFmtId="164" fontId="27" fillId="0" borderId="12" xfId="0" applyNumberFormat="1" applyFont="1" applyBorder="1" applyAlignment="1">
      <alignment horizontal="left" vertical="distributed"/>
    </xf>
    <xf numFmtId="49" fontId="27" fillId="0" borderId="54" xfId="0" quotePrefix="1" applyNumberFormat="1" applyFont="1" applyBorder="1" applyAlignment="1">
      <alignment horizontal="left" vertical="distributed" wrapText="1"/>
    </xf>
    <xf numFmtId="49" fontId="27" fillId="0" borderId="56" xfId="0" applyNumberFormat="1" applyFont="1" applyBorder="1" applyAlignment="1">
      <alignment horizontal="left" vertical="distributed" wrapText="1"/>
    </xf>
    <xf numFmtId="0" fontId="27" fillId="0" borderId="12" xfId="0" quotePrefix="1" applyFont="1" applyBorder="1" applyAlignment="1">
      <alignment horizontal="left" vertical="distributed" wrapText="1"/>
    </xf>
    <xf numFmtId="0" fontId="27" fillId="0" borderId="12" xfId="0" applyFont="1" applyBorder="1" applyAlignment="1">
      <alignment horizontal="left" vertical="distributed" wrapText="1"/>
    </xf>
    <xf numFmtId="0" fontId="27" fillId="0" borderId="55" xfId="0" applyFont="1" applyBorder="1" applyAlignment="1">
      <alignment horizontal="left" vertical="distributed" wrapText="1"/>
    </xf>
    <xf numFmtId="0" fontId="27" fillId="0" borderId="40" xfId="0" applyFont="1" applyBorder="1" applyAlignment="1">
      <alignment horizontal="left" vertical="distributed" wrapText="1"/>
    </xf>
    <xf numFmtId="0" fontId="27" fillId="0" borderId="60" xfId="0" applyFont="1" applyBorder="1" applyAlignment="1">
      <alignment horizontal="left" vertical="distributed" wrapText="1"/>
    </xf>
    <xf numFmtId="164" fontId="27" fillId="0" borderId="30" xfId="0" applyNumberFormat="1" applyFont="1" applyBorder="1" applyAlignment="1">
      <alignment horizontal="left" vertical="center"/>
    </xf>
    <xf numFmtId="164" fontId="27" fillId="0" borderId="30" xfId="0" applyNumberFormat="1" applyFont="1" applyBorder="1" applyAlignment="1">
      <alignment horizontal="left" vertical="distributed"/>
    </xf>
    <xf numFmtId="0" fontId="4" fillId="0" borderId="0" xfId="0" quotePrefix="1" applyFont="1" applyAlignment="1">
      <alignment horizontal="justify" vertical="distributed" wrapText="1"/>
    </xf>
    <xf numFmtId="0" fontId="157" fillId="19" borderId="176" xfId="0" applyFont="1" applyFill="1" applyBorder="1" applyAlignment="1">
      <alignment horizontal="center" vertical="distributed" wrapText="1"/>
    </xf>
    <xf numFmtId="0" fontId="157" fillId="19" borderId="176" xfId="0" applyFont="1" applyFill="1" applyBorder="1" applyAlignment="1">
      <alignment horizontal="center" vertical="distributed"/>
    </xf>
    <xf numFmtId="0" fontId="157" fillId="19" borderId="176" xfId="0" quotePrefix="1" applyFont="1" applyFill="1" applyBorder="1" applyAlignment="1">
      <alignment horizontal="center" vertical="distributed"/>
    </xf>
    <xf numFmtId="0" fontId="27" fillId="0" borderId="0" xfId="0" applyFont="1" applyAlignment="1">
      <alignment horizontal="justify" vertical="distributed" wrapText="1"/>
    </xf>
    <xf numFmtId="0" fontId="22" fillId="0" borderId="0" xfId="0" quotePrefix="1" applyFont="1" applyAlignment="1">
      <alignment horizontal="justify" vertical="distributed" wrapText="1"/>
    </xf>
    <xf numFmtId="0" fontId="22" fillId="0" borderId="0" xfId="0" applyFont="1" applyAlignment="1">
      <alignment horizontal="justify" vertical="justify" wrapText="1"/>
    </xf>
    <xf numFmtId="0" fontId="22" fillId="0" borderId="0" xfId="0" quotePrefix="1" applyFont="1" applyAlignment="1">
      <alignment horizontal="justify" vertical="justify" wrapText="1"/>
    </xf>
    <xf numFmtId="0" fontId="4" fillId="0" borderId="12" xfId="0" applyFont="1" applyBorder="1" applyAlignment="1">
      <alignment vertical="distributed"/>
    </xf>
    <xf numFmtId="164" fontId="4" fillId="0" borderId="54" xfId="0" applyNumberFormat="1" applyFont="1" applyBorder="1" applyAlignment="1">
      <alignment horizontal="center" vertical="distributed"/>
    </xf>
    <xf numFmtId="164" fontId="4" fillId="0" borderId="56" xfId="0" applyNumberFormat="1" applyFont="1" applyBorder="1" applyAlignment="1">
      <alignment horizontal="center" vertical="distributed"/>
    </xf>
    <xf numFmtId="0" fontId="17" fillId="6" borderId="12" xfId="0" applyFont="1" applyFill="1" applyBorder="1" applyAlignment="1">
      <alignment horizontal="center" vertical="distributed"/>
    </xf>
    <xf numFmtId="164" fontId="17" fillId="6" borderId="12" xfId="0" applyNumberFormat="1" applyFont="1" applyFill="1" applyBorder="1" applyAlignment="1">
      <alignment horizontal="center" vertical="distributed"/>
    </xf>
    <xf numFmtId="0" fontId="4" fillId="0" borderId="0" xfId="0" quotePrefix="1" applyFont="1" applyAlignment="1">
      <alignment horizontal="justify" vertical="distributed"/>
    </xf>
    <xf numFmtId="0" fontId="4" fillId="0" borderId="54" xfId="0" applyFont="1" applyBorder="1" applyAlignment="1">
      <alignment horizontal="left" vertical="distributed"/>
    </xf>
    <xf numFmtId="0" fontId="4" fillId="0" borderId="32" xfId="0" applyFont="1" applyBorder="1" applyAlignment="1">
      <alignment horizontal="left" vertical="distributed"/>
    </xf>
    <xf numFmtId="0" fontId="4" fillId="0" borderId="56" xfId="0" applyFont="1" applyBorder="1" applyAlignment="1">
      <alignment horizontal="left" vertical="distributed"/>
    </xf>
    <xf numFmtId="0" fontId="22" fillId="0" borderId="0" xfId="0" quotePrefix="1" applyFont="1" applyAlignment="1">
      <alignment horizontal="center" vertical="distributed"/>
    </xf>
    <xf numFmtId="0" fontId="22" fillId="0" borderId="0" xfId="0" applyFont="1" applyAlignment="1">
      <alignment horizontal="center" vertical="distributed"/>
    </xf>
    <xf numFmtId="0" fontId="141" fillId="19" borderId="176" xfId="0" quotePrefix="1" applyFont="1" applyFill="1" applyBorder="1" applyAlignment="1">
      <alignment horizontal="center" vertical="distributed"/>
    </xf>
    <xf numFmtId="0" fontId="141" fillId="19" borderId="176" xfId="0" applyFont="1" applyFill="1" applyBorder="1" applyAlignment="1">
      <alignment horizontal="center" vertical="distributed"/>
    </xf>
    <xf numFmtId="0" fontId="143" fillId="19" borderId="178" xfId="0" applyFont="1" applyFill="1" applyBorder="1" applyAlignment="1">
      <alignment horizontal="center" vertical="center"/>
    </xf>
    <xf numFmtId="0" fontId="143" fillId="19" borderId="180" xfId="0" applyFont="1" applyFill="1" applyBorder="1" applyAlignment="1">
      <alignment horizontal="center" vertical="center"/>
    </xf>
    <xf numFmtId="164" fontId="4" fillId="0" borderId="12" xfId="0" applyNumberFormat="1" applyFont="1" applyBorder="1" applyAlignment="1">
      <alignment horizontal="center" vertical="distributed"/>
    </xf>
    <xf numFmtId="0" fontId="4" fillId="0" borderId="12" xfId="0" applyFont="1" applyBorder="1" applyAlignment="1">
      <alignment horizontal="left" vertical="distributed"/>
    </xf>
    <xf numFmtId="164" fontId="4" fillId="0" borderId="12" xfId="0" quotePrefix="1" applyNumberFormat="1" applyFont="1" applyBorder="1" applyAlignment="1">
      <alignment horizontal="center" vertical="distributed"/>
    </xf>
    <xf numFmtId="0" fontId="158" fillId="0" borderId="0" xfId="0" applyFont="1" applyAlignment="1">
      <alignment horizontal="center" vertical="distributed"/>
    </xf>
    <xf numFmtId="0" fontId="143" fillId="19" borderId="178" xfId="0" applyFont="1" applyFill="1" applyBorder="1" applyAlignment="1">
      <alignment vertical="center"/>
    </xf>
    <xf numFmtId="0" fontId="143" fillId="19" borderId="180" xfId="0" applyFont="1" applyFill="1" applyBorder="1" applyAlignment="1">
      <alignment vertical="center"/>
    </xf>
    <xf numFmtId="0" fontId="4" fillId="0" borderId="30" xfId="0" applyFont="1" applyBorder="1" applyAlignment="1">
      <alignment horizontal="left" vertical="distributed"/>
    </xf>
    <xf numFmtId="164" fontId="4" fillId="0" borderId="30" xfId="0" quotePrefix="1" applyNumberFormat="1" applyFont="1" applyBorder="1" applyAlignment="1">
      <alignment horizontal="center" vertical="distributed"/>
    </xf>
    <xf numFmtId="164" fontId="4" fillId="0" borderId="30" xfId="0" applyNumberFormat="1" applyFont="1" applyBorder="1" applyAlignment="1">
      <alignment horizontal="center" vertical="distributed"/>
    </xf>
    <xf numFmtId="0" fontId="22" fillId="0" borderId="0" xfId="0" applyFont="1" applyAlignment="1">
      <alignment horizontal="justify" vertical="distributed"/>
    </xf>
    <xf numFmtId="0" fontId="187" fillId="0" borderId="0" xfId="0" applyFont="1" applyAlignment="1">
      <alignment horizontal="center" vertical="distributed"/>
    </xf>
    <xf numFmtId="0" fontId="4" fillId="0" borderId="0" xfId="0" quotePrefix="1" applyFont="1" applyAlignment="1">
      <alignment horizontal="left" vertical="distributed"/>
    </xf>
    <xf numFmtId="0" fontId="22" fillId="0" borderId="0" xfId="0" applyFont="1" applyAlignment="1">
      <alignment horizontal="left" vertical="distributed"/>
    </xf>
    <xf numFmtId="0" fontId="22" fillId="0" borderId="0" xfId="0" quotePrefix="1" applyFont="1" applyAlignment="1">
      <alignment horizontal="left" vertical="distributed" wrapText="1"/>
    </xf>
    <xf numFmtId="0" fontId="22" fillId="0" borderId="0" xfId="0" applyFont="1" applyAlignment="1">
      <alignment horizontal="left" vertical="distributed" wrapText="1"/>
    </xf>
    <xf numFmtId="0" fontId="4" fillId="0" borderId="0" xfId="0" applyFont="1" applyAlignment="1">
      <alignment horizontal="left" vertical="distributed" wrapText="1"/>
    </xf>
    <xf numFmtId="0" fontId="158" fillId="0" borderId="0" xfId="0" quotePrefix="1" applyFont="1" applyAlignment="1">
      <alignment horizontal="center" vertical="distributed"/>
    </xf>
    <xf numFmtId="49" fontId="4" fillId="0" borderId="0" xfId="0" applyNumberFormat="1" applyFont="1" applyAlignment="1">
      <alignment horizontal="justify" vertical="justify" wrapText="1"/>
    </xf>
    <xf numFmtId="49" fontId="17" fillId="6" borderId="26" xfId="0" applyNumberFormat="1" applyFont="1" applyFill="1" applyBorder="1" applyAlignment="1">
      <alignment horizontal="center" vertical="center"/>
    </xf>
    <xf numFmtId="49" fontId="17" fillId="6" borderId="27" xfId="0" applyNumberFormat="1" applyFont="1" applyFill="1" applyBorder="1" applyAlignment="1">
      <alignment horizontal="center" vertical="center"/>
    </xf>
    <xf numFmtId="49" fontId="17" fillId="6" borderId="28" xfId="0" applyNumberFormat="1" applyFont="1" applyFill="1" applyBorder="1" applyAlignment="1">
      <alignment horizontal="center" vertical="center"/>
    </xf>
    <xf numFmtId="0" fontId="143" fillId="19" borderId="176" xfId="0" applyFont="1" applyFill="1" applyBorder="1" applyAlignment="1">
      <alignment horizontal="center"/>
    </xf>
    <xf numFmtId="49" fontId="0" fillId="0" borderId="24" xfId="0" applyNumberFormat="1" applyBorder="1" applyAlignment="1">
      <alignment horizontal="center"/>
    </xf>
    <xf numFmtId="49" fontId="0" fillId="0" borderId="0" xfId="0" applyNumberFormat="1" applyAlignment="1">
      <alignment horizontal="center"/>
    </xf>
    <xf numFmtId="0" fontId="22" fillId="0" borderId="24" xfId="0" applyFont="1" applyBorder="1" applyAlignment="1">
      <alignment horizontal="left"/>
    </xf>
    <xf numFmtId="0" fontId="22" fillId="0" borderId="25" xfId="0" applyFont="1" applyBorder="1" applyAlignment="1">
      <alignment horizontal="left"/>
    </xf>
    <xf numFmtId="0" fontId="22" fillId="0" borderId="24" xfId="0" applyFont="1" applyBorder="1" applyAlignment="1">
      <alignment horizontal="center"/>
    </xf>
    <xf numFmtId="0" fontId="22" fillId="0" borderId="0" xfId="0" applyFont="1" applyAlignment="1">
      <alignment horizontal="left"/>
    </xf>
    <xf numFmtId="0" fontId="143" fillId="19" borderId="176" xfId="0" applyFont="1" applyFill="1" applyBorder="1" applyAlignment="1">
      <alignment horizontal="center" vertical="center"/>
    </xf>
    <xf numFmtId="49" fontId="17" fillId="6" borderId="26" xfId="0" applyNumberFormat="1" applyFont="1" applyFill="1" applyBorder="1" applyAlignment="1">
      <alignment horizontal="center"/>
    </xf>
    <xf numFmtId="49" fontId="17" fillId="6" borderId="27" xfId="0" applyNumberFormat="1" applyFont="1" applyFill="1" applyBorder="1" applyAlignment="1">
      <alignment horizontal="center"/>
    </xf>
    <xf numFmtId="49" fontId="17" fillId="6" borderId="28" xfId="0" applyNumberFormat="1" applyFont="1" applyFill="1" applyBorder="1" applyAlignment="1">
      <alignment horizontal="center"/>
    </xf>
    <xf numFmtId="165" fontId="156" fillId="0" borderId="0" xfId="2" quotePrefix="1" applyFont="1" applyFill="1" applyAlignment="1">
      <alignment horizontal="center" vertical="center"/>
    </xf>
    <xf numFmtId="165" fontId="156" fillId="0" borderId="0" xfId="2" quotePrefix="1" applyFont="1" applyFill="1" applyAlignment="1">
      <alignment horizontal="center"/>
    </xf>
    <xf numFmtId="165" fontId="156" fillId="0" borderId="0" xfId="2" quotePrefix="1" applyFont="1" applyFill="1" applyAlignment="1" applyProtection="1">
      <alignment horizontal="center"/>
      <protection locked="0"/>
    </xf>
    <xf numFmtId="165" fontId="20" fillId="0" borderId="0" xfId="2" applyFont="1" applyFill="1" applyAlignment="1">
      <alignment horizontal="center"/>
    </xf>
    <xf numFmtId="49" fontId="143" fillId="19" borderId="176" xfId="0" applyNumberFormat="1" applyFont="1" applyFill="1" applyBorder="1" applyAlignment="1">
      <alignment horizontal="center"/>
    </xf>
    <xf numFmtId="4" fontId="44" fillId="6" borderId="12" xfId="2" applyNumberFormat="1" applyFont="1" applyFill="1" applyBorder="1" applyAlignment="1">
      <alignment horizontal="center" vertical="center"/>
    </xf>
    <xf numFmtId="165" fontId="27" fillId="0" borderId="0" xfId="2" quotePrefix="1" applyFont="1" applyFill="1" applyAlignment="1">
      <alignment horizontal="center" vertical="center"/>
    </xf>
    <xf numFmtId="165" fontId="27" fillId="0" borderId="0" xfId="2" applyFont="1" applyFill="1" applyAlignment="1">
      <alignment horizontal="center" vertical="center"/>
    </xf>
    <xf numFmtId="165" fontId="27" fillId="0" borderId="0" xfId="2" quotePrefix="1" applyFont="1" applyFill="1" applyAlignment="1" applyProtection="1">
      <alignment horizontal="center" vertical="center"/>
      <protection locked="0"/>
    </xf>
    <xf numFmtId="165" fontId="27" fillId="0" borderId="0" xfId="2" applyFont="1" applyFill="1" applyAlignment="1" applyProtection="1">
      <alignment horizontal="center" vertical="center"/>
      <protection locked="0"/>
    </xf>
    <xf numFmtId="165" fontId="188" fillId="19" borderId="176" xfId="2" applyFont="1" applyFill="1" applyBorder="1" applyAlignment="1">
      <alignment horizontal="center" vertical="center"/>
    </xf>
    <xf numFmtId="165" fontId="140" fillId="19" borderId="176" xfId="2" applyFont="1" applyFill="1" applyBorder="1" applyAlignment="1">
      <alignment horizontal="center" vertical="center" wrapText="1"/>
    </xf>
    <xf numFmtId="165" fontId="27" fillId="0" borderId="0" xfId="2" applyFont="1" applyFill="1" applyBorder="1" applyAlignment="1">
      <alignment horizontal="center" vertical="center"/>
    </xf>
    <xf numFmtId="165" fontId="186" fillId="19" borderId="176" xfId="2" applyFont="1" applyFill="1" applyBorder="1" applyAlignment="1">
      <alignment horizontal="center" vertical="center" textRotation="90" wrapText="1"/>
    </xf>
    <xf numFmtId="165" fontId="186" fillId="19" borderId="183" xfId="2" applyFont="1" applyFill="1" applyBorder="1" applyAlignment="1">
      <alignment horizontal="center" vertical="center" textRotation="90" wrapText="1"/>
    </xf>
    <xf numFmtId="166" fontId="186" fillId="19" borderId="176" xfId="3" applyFont="1" applyFill="1" applyBorder="1" applyAlignment="1">
      <alignment horizontal="center" vertical="center" wrapText="1"/>
    </xf>
    <xf numFmtId="166" fontId="186" fillId="19" borderId="183" xfId="3" applyFont="1" applyFill="1" applyBorder="1" applyAlignment="1">
      <alignment horizontal="center" vertical="center" wrapText="1"/>
    </xf>
    <xf numFmtId="166" fontId="186" fillId="19" borderId="176" xfId="3" applyFont="1" applyFill="1" applyBorder="1" applyAlignment="1">
      <alignment horizontal="center" textRotation="90" wrapText="1"/>
    </xf>
    <xf numFmtId="166" fontId="186" fillId="19" borderId="183" xfId="3" applyFont="1" applyFill="1" applyBorder="1" applyAlignment="1">
      <alignment horizontal="center" textRotation="90" wrapText="1"/>
    </xf>
    <xf numFmtId="166" fontId="140" fillId="19" borderId="176" xfId="3" applyFont="1" applyFill="1" applyBorder="1" applyAlignment="1" applyProtection="1">
      <alignment horizontal="center" vertical="center" textRotation="44" wrapText="1"/>
      <protection locked="0" hidden="1"/>
    </xf>
    <xf numFmtId="166" fontId="140" fillId="19" borderId="183" xfId="3" applyFont="1" applyFill="1" applyBorder="1" applyAlignment="1" applyProtection="1">
      <alignment horizontal="center" vertical="center" textRotation="44" wrapText="1"/>
      <protection locked="0" hidden="1"/>
    </xf>
    <xf numFmtId="165" fontId="186" fillId="19" borderId="176" xfId="2" applyFont="1" applyFill="1" applyBorder="1" applyAlignment="1">
      <alignment horizontal="center" vertical="center" textRotation="45"/>
    </xf>
    <xf numFmtId="165" fontId="186" fillId="19" borderId="183" xfId="2" applyFont="1" applyFill="1" applyBorder="1" applyAlignment="1">
      <alignment horizontal="center" vertical="center" textRotation="45"/>
    </xf>
    <xf numFmtId="0" fontId="150" fillId="19" borderId="176" xfId="0" applyFont="1" applyFill="1" applyBorder="1" applyAlignment="1">
      <alignment horizontal="center" vertical="center"/>
    </xf>
    <xf numFmtId="0" fontId="150" fillId="19" borderId="176" xfId="0" applyFont="1" applyFill="1" applyBorder="1" applyAlignment="1" applyProtection="1">
      <alignment horizontal="center" vertical="center" textRotation="90" wrapText="1"/>
      <protection locked="0" hidden="1"/>
    </xf>
    <xf numFmtId="0" fontId="150" fillId="19" borderId="176" xfId="0" applyFont="1" applyFill="1" applyBorder="1"/>
    <xf numFmtId="168" fontId="115" fillId="6" borderId="12" xfId="0" applyNumberFormat="1" applyFont="1" applyFill="1" applyBorder="1" applyAlignment="1">
      <alignment horizontal="center"/>
    </xf>
    <xf numFmtId="0" fontId="97" fillId="0" borderId="0" xfId="0" quotePrefix="1" applyFont="1" applyAlignment="1">
      <alignment horizontal="center"/>
    </xf>
    <xf numFmtId="0" fontId="162" fillId="0" borderId="0" xfId="0" quotePrefix="1" applyFont="1" applyAlignment="1">
      <alignment horizontal="center"/>
    </xf>
    <xf numFmtId="0" fontId="162" fillId="0" borderId="0" xfId="0" applyFont="1" applyAlignment="1">
      <alignment horizontal="center"/>
    </xf>
    <xf numFmtId="0" fontId="162" fillId="0" borderId="0" xfId="0" applyFont="1" applyAlignment="1">
      <alignment horizontal="center" vertical="center"/>
    </xf>
    <xf numFmtId="166" fontId="115" fillId="0" borderId="12" xfId="3" applyFont="1" applyFill="1" applyBorder="1" applyAlignment="1">
      <alignment horizontal="center"/>
    </xf>
    <xf numFmtId="168" fontId="115" fillId="0" borderId="12" xfId="0" applyNumberFormat="1" applyFont="1" applyBorder="1" applyAlignment="1">
      <alignment horizontal="center"/>
    </xf>
    <xf numFmtId="0" fontId="115" fillId="0" borderId="12" xfId="0" applyFont="1" applyBorder="1" applyAlignment="1">
      <alignment horizontal="center"/>
    </xf>
    <xf numFmtId="0" fontId="205" fillId="19" borderId="183" xfId="0" applyFont="1" applyFill="1" applyBorder="1" applyAlignment="1">
      <alignment horizontal="center" textRotation="90" wrapText="1"/>
    </xf>
    <xf numFmtId="0" fontId="205" fillId="19" borderId="184" xfId="0" applyFont="1" applyFill="1" applyBorder="1" applyAlignment="1">
      <alignment horizontal="center" textRotation="90" wrapText="1"/>
    </xf>
    <xf numFmtId="0" fontId="71" fillId="6" borderId="12" xfId="0" applyFont="1" applyFill="1" applyBorder="1" applyAlignment="1">
      <alignment horizontal="center" vertical="center" wrapText="1"/>
    </xf>
    <xf numFmtId="0" fontId="120" fillId="0" borderId="0" xfId="0" quotePrefix="1" applyFont="1" applyAlignment="1">
      <alignment horizontal="center"/>
    </xf>
    <xf numFmtId="168" fontId="53" fillId="0" borderId="164" xfId="0" applyNumberFormat="1" applyFont="1" applyBorder="1" applyAlignment="1">
      <alignment horizontal="center"/>
    </xf>
    <xf numFmtId="168" fontId="53" fillId="0" borderId="95" xfId="0" applyNumberFormat="1" applyFont="1" applyBorder="1" applyAlignment="1">
      <alignment horizontal="center"/>
    </xf>
    <xf numFmtId="0" fontId="110" fillId="0" borderId="0" xfId="0" applyFont="1" applyAlignment="1">
      <alignment horizontal="center" vertical="center"/>
    </xf>
    <xf numFmtId="0" fontId="121" fillId="0" borderId="172" xfId="0" applyFont="1" applyBorder="1" applyAlignment="1">
      <alignment horizontal="center" vertical="center"/>
    </xf>
    <xf numFmtId="0" fontId="57" fillId="10" borderId="145" xfId="0" applyFont="1" applyFill="1" applyBorder="1" applyAlignment="1">
      <alignment horizontal="center" vertical="center"/>
    </xf>
    <xf numFmtId="0" fontId="57" fillId="10" borderId="158" xfId="0" applyFont="1" applyFill="1" applyBorder="1" applyAlignment="1">
      <alignment horizontal="center" vertical="center"/>
    </xf>
    <xf numFmtId="0" fontId="57" fillId="10" borderId="171" xfId="0" applyFont="1" applyFill="1" applyBorder="1" applyAlignment="1">
      <alignment horizontal="center" vertical="center"/>
    </xf>
    <xf numFmtId="0" fontId="120" fillId="0" borderId="0" xfId="0" applyFont="1" applyAlignment="1">
      <alignment horizontal="center"/>
    </xf>
    <xf numFmtId="166" fontId="53" fillId="0" borderId="165" xfId="3" applyFont="1" applyFill="1" applyBorder="1" applyAlignment="1">
      <alignment horizontal="center"/>
    </xf>
    <xf numFmtId="166" fontId="53" fillId="0" borderId="166" xfId="3" applyFont="1" applyFill="1" applyBorder="1" applyAlignment="1">
      <alignment horizontal="center"/>
    </xf>
    <xf numFmtId="166" fontId="50" fillId="0" borderId="167" xfId="3" applyFont="1" applyFill="1" applyBorder="1" applyAlignment="1">
      <alignment horizontal="left"/>
    </xf>
    <xf numFmtId="166" fontId="50" fillId="0" borderId="168" xfId="3" applyFont="1" applyFill="1" applyBorder="1" applyAlignment="1">
      <alignment horizontal="left"/>
    </xf>
    <xf numFmtId="166" fontId="50" fillId="0" borderId="169" xfId="3" applyFont="1" applyFill="1" applyBorder="1" applyAlignment="1">
      <alignment horizontal="left"/>
    </xf>
    <xf numFmtId="0" fontId="50" fillId="0" borderId="109" xfId="0" applyFont="1" applyBorder="1" applyAlignment="1">
      <alignment horizontal="left"/>
    </xf>
    <xf numFmtId="0" fontId="50" fillId="0" borderId="90" xfId="0" applyFont="1" applyBorder="1" applyAlignment="1">
      <alignment horizontal="left"/>
    </xf>
    <xf numFmtId="0" fontId="50" fillId="0" borderId="89" xfId="0" applyFont="1" applyBorder="1" applyAlignment="1">
      <alignment horizontal="left"/>
    </xf>
    <xf numFmtId="168" fontId="53" fillId="8" borderId="163" xfId="0" applyNumberFormat="1" applyFont="1" applyFill="1" applyBorder="1" applyAlignment="1">
      <alignment horizontal="center"/>
    </xf>
    <xf numFmtId="168" fontId="53" fillId="8" borderId="100" xfId="0" applyNumberFormat="1" applyFont="1" applyFill="1" applyBorder="1" applyAlignment="1">
      <alignment horizontal="center"/>
    </xf>
    <xf numFmtId="168" fontId="53" fillId="0" borderId="162" xfId="0" applyNumberFormat="1" applyFont="1" applyBorder="1" applyAlignment="1">
      <alignment horizontal="center"/>
    </xf>
    <xf numFmtId="0" fontId="54" fillId="8" borderId="138" xfId="0" applyFont="1" applyFill="1" applyBorder="1" applyAlignment="1" applyProtection="1">
      <alignment horizontal="center" vertical="center" textRotation="90" wrapText="1"/>
      <protection locked="0" hidden="1"/>
    </xf>
    <xf numFmtId="0" fontId="54" fillId="8" borderId="170" xfId="0" applyFont="1" applyFill="1" applyBorder="1" applyAlignment="1" applyProtection="1">
      <alignment horizontal="center" vertical="center" textRotation="90" wrapText="1"/>
      <protection locked="0" hidden="1"/>
    </xf>
    <xf numFmtId="0" fontId="50" fillId="8" borderId="103" xfId="0" applyFont="1" applyFill="1" applyBorder="1" applyAlignment="1">
      <alignment horizontal="left"/>
    </xf>
    <xf numFmtId="0" fontId="50" fillId="8" borderId="104" xfId="0" applyFont="1" applyFill="1" applyBorder="1" applyAlignment="1">
      <alignment horizontal="left"/>
    </xf>
    <xf numFmtId="0" fontId="50" fillId="8" borderId="106" xfId="0" applyFont="1" applyFill="1" applyBorder="1" applyAlignment="1">
      <alignment horizontal="left"/>
    </xf>
    <xf numFmtId="0" fontId="141" fillId="19" borderId="54" xfId="0" applyFont="1" applyFill="1" applyBorder="1" applyAlignment="1">
      <alignment horizontal="center"/>
    </xf>
    <xf numFmtId="0" fontId="141" fillId="19" borderId="32" xfId="0" applyFont="1" applyFill="1" applyBorder="1" applyAlignment="1">
      <alignment horizontal="center"/>
    </xf>
    <xf numFmtId="0" fontId="157" fillId="19" borderId="176" xfId="0" applyFont="1" applyFill="1" applyBorder="1" applyAlignment="1">
      <alignment horizontal="center"/>
    </xf>
    <xf numFmtId="166" fontId="157" fillId="19" borderId="176" xfId="3" applyFont="1" applyFill="1" applyBorder="1" applyAlignment="1">
      <alignment horizontal="center"/>
    </xf>
    <xf numFmtId="0" fontId="22" fillId="6" borderId="12" xfId="0" applyFont="1" applyFill="1" applyBorder="1" applyAlignment="1">
      <alignment horizontal="center"/>
    </xf>
    <xf numFmtId="0" fontId="27" fillId="0" borderId="12" xfId="0" applyFont="1" applyBorder="1" applyAlignment="1">
      <alignment horizontal="center" vertical="center"/>
    </xf>
    <xf numFmtId="0" fontId="16" fillId="0" borderId="12" xfId="0" applyFont="1" applyBorder="1" applyAlignment="1">
      <alignment horizontal="left"/>
    </xf>
    <xf numFmtId="0" fontId="4" fillId="0" borderId="54" xfId="0" applyFont="1" applyBorder="1" applyAlignment="1">
      <alignment horizontal="left"/>
    </xf>
    <xf numFmtId="0" fontId="16" fillId="0" borderId="32" xfId="0" applyFont="1" applyBorder="1" applyAlignment="1">
      <alignment horizontal="left"/>
    </xf>
    <xf numFmtId="0" fontId="16" fillId="0" borderId="56" xfId="0" applyFont="1" applyBorder="1" applyAlignment="1">
      <alignment horizontal="left"/>
    </xf>
    <xf numFmtId="0" fontId="16" fillId="0" borderId="54" xfId="0" applyFont="1" applyBorder="1" applyAlignment="1">
      <alignment horizontal="center"/>
    </xf>
    <xf numFmtId="0" fontId="16" fillId="0" borderId="32" xfId="0" applyFont="1" applyBorder="1" applyAlignment="1">
      <alignment horizontal="center"/>
    </xf>
    <xf numFmtId="0" fontId="16" fillId="0" borderId="56" xfId="0" applyFont="1" applyBorder="1" applyAlignment="1">
      <alignment horizontal="center"/>
    </xf>
    <xf numFmtId="0" fontId="4" fillId="0" borderId="54" xfId="0" applyFont="1" applyBorder="1" applyAlignment="1">
      <alignment horizontal="justify" vertical="center" wrapText="1"/>
    </xf>
    <xf numFmtId="0" fontId="16" fillId="0" borderId="56" xfId="0" applyFont="1" applyBorder="1" applyAlignment="1">
      <alignment horizontal="justify" vertical="center" wrapText="1"/>
    </xf>
    <xf numFmtId="49" fontId="16" fillId="4" borderId="55" xfId="4" applyNumberFormat="1" applyFill="1" applyBorder="1" applyAlignment="1">
      <alignment horizontal="center"/>
    </xf>
    <xf numFmtId="49" fontId="16" fillId="4" borderId="40" xfId="4" applyNumberFormat="1" applyFill="1" applyBorder="1" applyAlignment="1">
      <alignment horizontal="center"/>
    </xf>
    <xf numFmtId="49" fontId="16" fillId="4" borderId="40" xfId="4" applyNumberFormat="1" applyFill="1" applyBorder="1" applyAlignment="1">
      <alignment horizontal="left" wrapText="1"/>
    </xf>
    <xf numFmtId="0" fontId="16" fillId="0" borderId="52" xfId="0" applyFont="1" applyBorder="1" applyAlignment="1">
      <alignment horizontal="center"/>
    </xf>
    <xf numFmtId="0" fontId="16" fillId="0" borderId="0" xfId="0" applyFont="1" applyAlignment="1">
      <alignment horizontal="center"/>
    </xf>
    <xf numFmtId="166" fontId="16" fillId="0" borderId="52" xfId="3" applyFont="1" applyFill="1" applyBorder="1" applyAlignment="1">
      <alignment horizontal="center"/>
    </xf>
    <xf numFmtId="166" fontId="16" fillId="0" borderId="0" xfId="3" applyFont="1" applyFill="1" applyBorder="1" applyAlignment="1">
      <alignment horizontal="center"/>
    </xf>
    <xf numFmtId="0" fontId="16" fillId="0" borderId="0" xfId="0" applyFont="1" applyAlignment="1">
      <alignment horizontal="left"/>
    </xf>
    <xf numFmtId="166" fontId="22" fillId="0" borderId="72" xfId="3" applyFont="1" applyFill="1" applyBorder="1" applyAlignment="1">
      <alignment horizontal="center"/>
    </xf>
    <xf numFmtId="166" fontId="22" fillId="0" borderId="70" xfId="3" applyFont="1" applyFill="1" applyBorder="1" applyAlignment="1">
      <alignment horizontal="center"/>
    </xf>
    <xf numFmtId="0" fontId="17" fillId="0" borderId="54" xfId="0" applyFont="1" applyBorder="1" applyAlignment="1">
      <alignment horizontal="center"/>
    </xf>
    <xf numFmtId="0" fontId="17" fillId="0" borderId="32" xfId="0" applyFont="1" applyBorder="1" applyAlignment="1">
      <alignment horizontal="center"/>
    </xf>
    <xf numFmtId="0" fontId="17" fillId="0" borderId="56" xfId="0" applyFont="1" applyBorder="1" applyAlignment="1">
      <alignment horizontal="center"/>
    </xf>
    <xf numFmtId="0" fontId="141" fillId="19" borderId="176" xfId="0" applyFont="1" applyFill="1" applyBorder="1" applyAlignment="1">
      <alignment horizontal="center"/>
    </xf>
    <xf numFmtId="0" fontId="141" fillId="19" borderId="176" xfId="0" applyFont="1" applyFill="1" applyBorder="1" applyAlignment="1">
      <alignment horizontal="center" vertical="center"/>
    </xf>
    <xf numFmtId="0" fontId="141" fillId="19" borderId="176" xfId="0" applyFont="1" applyFill="1" applyBorder="1" applyAlignment="1">
      <alignment horizontal="center" vertical="center" wrapText="1"/>
    </xf>
    <xf numFmtId="0" fontId="140" fillId="19" borderId="176" xfId="0" applyFont="1" applyFill="1" applyBorder="1" applyAlignment="1">
      <alignment horizontal="center" vertical="center" wrapText="1"/>
    </xf>
    <xf numFmtId="0" fontId="164" fillId="19" borderId="176" xfId="0" applyFont="1" applyFill="1" applyBorder="1" applyAlignment="1">
      <alignment horizontal="center" vertical="center" wrapText="1"/>
    </xf>
    <xf numFmtId="0" fontId="4" fillId="0" borderId="55" xfId="0" applyFont="1" applyBorder="1" applyAlignment="1">
      <alignment horizontal="justify" vertical="center"/>
    </xf>
    <xf numFmtId="0" fontId="16" fillId="0" borderId="60" xfId="0" applyFont="1" applyBorder="1" applyAlignment="1">
      <alignment horizontal="justify" vertical="center"/>
    </xf>
    <xf numFmtId="0" fontId="111" fillId="6" borderId="12" xfId="0" applyFont="1" applyFill="1" applyBorder="1" applyAlignment="1">
      <alignment horizontal="center"/>
    </xf>
    <xf numFmtId="0" fontId="26" fillId="6" borderId="12" xfId="0" applyFont="1" applyFill="1" applyBorder="1" applyAlignment="1">
      <alignment horizontal="center"/>
    </xf>
    <xf numFmtId="0" fontId="165" fillId="19" borderId="176" xfId="0" quotePrefix="1" applyFont="1" applyFill="1" applyBorder="1" applyAlignment="1">
      <alignment horizontal="left"/>
    </xf>
    <xf numFmtId="0" fontId="165" fillId="19" borderId="176" xfId="0" applyFont="1" applyFill="1" applyBorder="1" applyAlignment="1">
      <alignment horizontal="left"/>
    </xf>
    <xf numFmtId="0" fontId="153" fillId="19" borderId="176" xfId="0" applyFont="1" applyFill="1" applyBorder="1" applyAlignment="1">
      <alignment horizontal="center"/>
    </xf>
    <xf numFmtId="0" fontId="161" fillId="19" borderId="176" xfId="0" applyFont="1" applyFill="1" applyBorder="1" applyAlignment="1">
      <alignment horizontal="center" vertical="center" wrapText="1"/>
    </xf>
    <xf numFmtId="0" fontId="161" fillId="19" borderId="183" xfId="0" applyFont="1" applyFill="1" applyBorder="1" applyAlignment="1">
      <alignment horizontal="center" vertical="center" wrapText="1"/>
    </xf>
    <xf numFmtId="0" fontId="153" fillId="19" borderId="176" xfId="0" applyFont="1" applyFill="1" applyBorder="1" applyAlignment="1" applyProtection="1">
      <alignment horizontal="center" vertical="center" textRotation="90" wrapText="1"/>
      <protection locked="0" hidden="1"/>
    </xf>
    <xf numFmtId="0" fontId="153" fillId="19" borderId="183" xfId="0" applyFont="1" applyFill="1" applyBorder="1" applyAlignment="1" applyProtection="1">
      <alignment horizontal="center" vertical="center" textRotation="90" wrapText="1"/>
      <protection locked="0" hidden="1"/>
    </xf>
    <xf numFmtId="0" fontId="165" fillId="19" borderId="176" xfId="0" applyFont="1" applyFill="1" applyBorder="1" applyAlignment="1">
      <alignment horizontal="center" vertical="center" wrapText="1"/>
    </xf>
    <xf numFmtId="0" fontId="18" fillId="2" borderId="0" xfId="0" quotePrefix="1" applyFont="1" applyFill="1" applyAlignment="1">
      <alignment horizontal="center"/>
    </xf>
    <xf numFmtId="0" fontId="18" fillId="2" borderId="0" xfId="0" applyFont="1" applyFill="1" applyAlignment="1">
      <alignment horizontal="center"/>
    </xf>
    <xf numFmtId="0" fontId="19" fillId="0" borderId="0" xfId="0" applyFont="1" applyAlignment="1">
      <alignment horizontal="center"/>
    </xf>
    <xf numFmtId="0" fontId="18" fillId="2" borderId="0" xfId="0" applyFont="1" applyFill="1" applyAlignment="1">
      <alignment horizontal="left"/>
    </xf>
    <xf numFmtId="0" fontId="19" fillId="0" borderId="0" xfId="0" applyFont="1" applyAlignment="1">
      <alignment horizontal="left"/>
    </xf>
    <xf numFmtId="0" fontId="27" fillId="6" borderId="70" xfId="0" applyFont="1" applyFill="1" applyBorder="1" applyAlignment="1">
      <alignment horizontal="center" vertical="center"/>
    </xf>
    <xf numFmtId="0" fontId="27" fillId="6" borderId="76" xfId="0" applyFont="1" applyFill="1" applyBorder="1" applyAlignment="1">
      <alignment horizontal="center" vertical="center"/>
    </xf>
    <xf numFmtId="0" fontId="12" fillId="0" borderId="0" xfId="0" applyFont="1" applyAlignment="1">
      <alignment horizontal="center"/>
    </xf>
    <xf numFmtId="0" fontId="7" fillId="0" borderId="0" xfId="0" quotePrefix="1" applyFont="1" applyAlignment="1">
      <alignment horizontal="center"/>
    </xf>
    <xf numFmtId="0" fontId="7" fillId="0" borderId="0" xfId="0" applyFont="1" applyAlignment="1">
      <alignment horizontal="center"/>
    </xf>
    <xf numFmtId="0" fontId="18" fillId="0" borderId="0" xfId="0" applyFont="1" applyAlignment="1">
      <alignment horizontal="center"/>
    </xf>
    <xf numFmtId="0" fontId="147" fillId="19" borderId="176" xfId="0" applyFont="1" applyFill="1" applyBorder="1" applyAlignment="1">
      <alignment horizontal="center" vertical="center" wrapText="1"/>
    </xf>
    <xf numFmtId="0" fontId="154" fillId="19" borderId="176" xfId="0" quotePrefix="1" applyFont="1" applyFill="1" applyBorder="1" applyAlignment="1">
      <alignment horizontal="left" wrapText="1"/>
    </xf>
    <xf numFmtId="0" fontId="154" fillId="19" borderId="176" xfId="0" applyFont="1" applyFill="1" applyBorder="1" applyAlignment="1">
      <alignment horizontal="left" wrapText="1"/>
    </xf>
    <xf numFmtId="0" fontId="154" fillId="19" borderId="176" xfId="0" applyFont="1" applyFill="1" applyBorder="1" applyAlignment="1">
      <alignment horizontal="center"/>
    </xf>
    <xf numFmtId="0" fontId="155" fillId="19" borderId="176" xfId="0" applyFont="1" applyFill="1" applyBorder="1" applyAlignment="1">
      <alignment horizontal="center" vertical="center" wrapText="1"/>
    </xf>
    <xf numFmtId="0" fontId="155" fillId="19" borderId="176" xfId="0" applyFont="1" applyFill="1" applyBorder="1" applyAlignment="1" applyProtection="1">
      <alignment horizontal="center" vertical="center" textRotation="90" wrapText="1"/>
      <protection locked="0" hidden="1"/>
    </xf>
    <xf numFmtId="4" fontId="26" fillId="6" borderId="54" xfId="1" applyNumberFormat="1" applyFont="1" applyFill="1" applyBorder="1" applyAlignment="1">
      <alignment horizontal="center"/>
    </xf>
    <xf numFmtId="4" fontId="26" fillId="6" borderId="32" xfId="1" applyNumberFormat="1" applyFont="1" applyFill="1" applyBorder="1" applyAlignment="1">
      <alignment horizontal="center"/>
    </xf>
    <xf numFmtId="4" fontId="26" fillId="6" borderId="56" xfId="1" applyNumberFormat="1" applyFont="1" applyFill="1" applyBorder="1" applyAlignment="1">
      <alignment horizontal="center"/>
    </xf>
    <xf numFmtId="4" fontId="151" fillId="6" borderId="12" xfId="1" applyNumberFormat="1" applyFont="1" applyFill="1" applyBorder="1" applyAlignment="1">
      <alignment horizontal="center" vertical="center"/>
    </xf>
    <xf numFmtId="0" fontId="147" fillId="19" borderId="176" xfId="0" quotePrefix="1" applyFont="1" applyFill="1" applyBorder="1" applyAlignment="1">
      <alignment horizontal="left"/>
    </xf>
    <xf numFmtId="0" fontId="147" fillId="19" borderId="176" xfId="0" applyFont="1" applyFill="1" applyBorder="1" applyAlignment="1">
      <alignment horizontal="left"/>
    </xf>
    <xf numFmtId="0" fontId="149" fillId="19" borderId="176" xfId="0" applyFont="1" applyFill="1" applyBorder="1" applyAlignment="1">
      <alignment horizontal="center"/>
    </xf>
    <xf numFmtId="0" fontId="147" fillId="19" borderId="183" xfId="0" applyFont="1" applyFill="1" applyBorder="1" applyAlignment="1">
      <alignment horizontal="center" vertical="center" wrapText="1"/>
    </xf>
    <xf numFmtId="168" fontId="147" fillId="19" borderId="176" xfId="0" applyNumberFormat="1" applyFont="1" applyFill="1" applyBorder="1" applyAlignment="1" applyProtection="1">
      <alignment horizontal="center" vertical="center" textRotation="90" wrapText="1"/>
      <protection locked="0" hidden="1"/>
    </xf>
    <xf numFmtId="168" fontId="147" fillId="19" borderId="183" xfId="0" applyNumberFormat="1" applyFont="1" applyFill="1" applyBorder="1" applyAlignment="1" applyProtection="1">
      <alignment horizontal="center" vertical="center" textRotation="90" wrapText="1"/>
      <protection locked="0" hidden="1"/>
    </xf>
    <xf numFmtId="0" fontId="41" fillId="0" borderId="0" xfId="0" quotePrefix="1" applyFont="1" applyAlignment="1">
      <alignment horizontal="center"/>
    </xf>
    <xf numFmtId="0" fontId="41" fillId="0" borderId="0" xfId="0" applyFont="1" applyAlignment="1">
      <alignment horizontal="center"/>
    </xf>
    <xf numFmtId="0" fontId="41" fillId="4" borderId="54" xfId="0" applyFont="1" applyFill="1" applyBorder="1" applyAlignment="1">
      <alignment horizontal="center"/>
    </xf>
    <xf numFmtId="0" fontId="41" fillId="4" borderId="32" xfId="0" applyFont="1" applyFill="1" applyBorder="1" applyAlignment="1">
      <alignment horizontal="center"/>
    </xf>
    <xf numFmtId="0" fontId="41" fillId="4" borderId="56" xfId="0" applyFont="1" applyFill="1" applyBorder="1" applyAlignment="1">
      <alignment horizontal="center"/>
    </xf>
    <xf numFmtId="0" fontId="18" fillId="0" borderId="0" xfId="0" quotePrefix="1" applyFont="1" applyAlignment="1">
      <alignment horizontal="center"/>
    </xf>
    <xf numFmtId="0" fontId="41" fillId="11" borderId="12" xfId="0" applyFont="1" applyFill="1" applyBorder="1" applyAlignment="1">
      <alignment horizontal="center" wrapText="1"/>
    </xf>
    <xf numFmtId="0" fontId="7" fillId="11" borderId="12" xfId="0" quotePrefix="1" applyFont="1" applyFill="1" applyBorder="1" applyAlignment="1">
      <alignment horizontal="left"/>
    </xf>
    <xf numFmtId="0" fontId="7" fillId="11" borderId="12" xfId="0" applyFont="1" applyFill="1" applyBorder="1" applyAlignment="1">
      <alignment horizontal="left"/>
    </xf>
    <xf numFmtId="0" fontId="6" fillId="11" borderId="12" xfId="0" applyFont="1" applyFill="1" applyBorder="1" applyAlignment="1">
      <alignment horizontal="center"/>
    </xf>
    <xf numFmtId="0" fontId="24" fillId="11" borderId="12" xfId="0" applyFont="1" applyFill="1" applyBorder="1" applyAlignment="1">
      <alignment horizontal="center" vertical="center" wrapText="1"/>
    </xf>
    <xf numFmtId="0" fontId="7" fillId="11" borderId="12" xfId="0" applyFont="1" applyFill="1" applyBorder="1" applyAlignment="1" applyProtection="1">
      <alignment horizontal="center" vertical="center" textRotation="90" wrapText="1"/>
      <protection locked="0" hidden="1"/>
    </xf>
    <xf numFmtId="0" fontId="22" fillId="12" borderId="54" xfId="0" applyFont="1" applyFill="1" applyBorder="1" applyAlignment="1">
      <alignment horizontal="center"/>
    </xf>
    <xf numFmtId="0" fontId="22" fillId="12" borderId="32" xfId="0" applyFont="1" applyFill="1" applyBorder="1" applyAlignment="1">
      <alignment horizontal="center"/>
    </xf>
    <xf numFmtId="0" fontId="22" fillId="12" borderId="56" xfId="0" applyFont="1" applyFill="1" applyBorder="1" applyAlignment="1">
      <alignment horizontal="center"/>
    </xf>
    <xf numFmtId="49" fontId="5" fillId="0" borderId="0" xfId="0" applyNumberFormat="1" applyFont="1" applyAlignment="1">
      <alignment horizontal="justify"/>
    </xf>
    <xf numFmtId="0" fontId="7" fillId="0" borderId="12" xfId="0" applyFont="1" applyBorder="1" applyAlignment="1">
      <alignment horizontal="center"/>
    </xf>
    <xf numFmtId="0" fontId="6" fillId="0" borderId="12" xfId="0" applyFont="1" applyBorder="1" applyAlignment="1">
      <alignment horizontal="center"/>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textRotation="90" wrapText="1"/>
      <protection locked="0" hidden="1"/>
    </xf>
    <xf numFmtId="0" fontId="6" fillId="0" borderId="12" xfId="0" applyFont="1" applyBorder="1" applyAlignment="1">
      <alignment horizontal="center" vertical="center"/>
    </xf>
    <xf numFmtId="49" fontId="12" fillId="0" borderId="0" xfId="0" applyNumberFormat="1" applyFont="1" applyAlignment="1">
      <alignment horizontal="left"/>
    </xf>
    <xf numFmtId="0" fontId="102" fillId="0" borderId="156" xfId="0" applyFont="1" applyBorder="1" applyAlignment="1">
      <alignment horizontal="center" vertical="center" wrapText="1"/>
    </xf>
    <xf numFmtId="0" fontId="102" fillId="0" borderId="20" xfId="0" applyFont="1" applyBorder="1" applyAlignment="1">
      <alignment horizontal="center" vertical="center" wrapText="1"/>
    </xf>
    <xf numFmtId="0" fontId="102" fillId="0" borderId="23" xfId="0" applyFont="1" applyBorder="1" applyAlignment="1">
      <alignment horizontal="center" vertical="center" wrapText="1"/>
    </xf>
    <xf numFmtId="0" fontId="22" fillId="6" borderId="54" xfId="0" applyFont="1" applyFill="1" applyBorder="1" applyAlignment="1">
      <alignment horizontal="center"/>
    </xf>
    <xf numFmtId="0" fontId="22" fillId="6" borderId="32" xfId="0" applyFont="1" applyFill="1" applyBorder="1" applyAlignment="1">
      <alignment horizontal="center"/>
    </xf>
    <xf numFmtId="0" fontId="22" fillId="6" borderId="56" xfId="0" applyFont="1" applyFill="1" applyBorder="1" applyAlignment="1">
      <alignment horizontal="center"/>
    </xf>
    <xf numFmtId="0" fontId="100" fillId="0" borderId="0" xfId="0" applyFont="1" applyAlignment="1">
      <alignment horizontal="left" vertical="justify"/>
    </xf>
    <xf numFmtId="0" fontId="82" fillId="0" borderId="0" xfId="0" applyFont="1" applyAlignment="1">
      <alignment horizontal="center"/>
    </xf>
    <xf numFmtId="0" fontId="139" fillId="19" borderId="178" xfId="0" quotePrefix="1" applyFont="1" applyFill="1" applyBorder="1" applyAlignment="1">
      <alignment horizontal="center" vertical="center"/>
    </xf>
    <xf numFmtId="0" fontId="139" fillId="19" borderId="179" xfId="0" applyFont="1" applyFill="1" applyBorder="1" applyAlignment="1">
      <alignment horizontal="center" vertical="center"/>
    </xf>
    <xf numFmtId="0" fontId="139" fillId="19" borderId="180" xfId="0" applyFont="1" applyFill="1" applyBorder="1" applyAlignment="1">
      <alignment horizontal="center" vertical="center"/>
    </xf>
    <xf numFmtId="0" fontId="185" fillId="19" borderId="26" xfId="0" quotePrefix="1" applyFont="1" applyFill="1" applyBorder="1" applyAlignment="1">
      <alignment horizontal="center" vertical="center"/>
    </xf>
    <xf numFmtId="0" fontId="185" fillId="19" borderId="28" xfId="0" applyFont="1" applyFill="1" applyBorder="1" applyAlignment="1">
      <alignment horizontal="center" vertical="center"/>
    </xf>
    <xf numFmtId="0" fontId="80" fillId="0" borderId="12" xfId="0" quotePrefix="1" applyFont="1" applyBorder="1" applyAlignment="1">
      <alignment horizontal="left"/>
    </xf>
    <xf numFmtId="0" fontId="80" fillId="0" borderId="12" xfId="0" applyFont="1" applyBorder="1" applyAlignment="1">
      <alignment horizontal="left"/>
    </xf>
    <xf numFmtId="169" fontId="83" fillId="6" borderId="12" xfId="0" quotePrefix="1" applyNumberFormat="1" applyFont="1" applyFill="1" applyBorder="1"/>
    <xf numFmtId="169" fontId="83" fillId="6" borderId="12" xfId="0" applyNumberFormat="1" applyFont="1" applyFill="1" applyBorder="1"/>
    <xf numFmtId="169" fontId="80" fillId="0" borderId="12" xfId="0" applyNumberFormat="1" applyFont="1" applyBorder="1" applyAlignment="1">
      <alignment horizontal="left"/>
    </xf>
    <xf numFmtId="0" fontId="80" fillId="0" borderId="12" xfId="0" applyFont="1" applyBorder="1" applyAlignment="1">
      <alignment horizontal="center"/>
    </xf>
    <xf numFmtId="0" fontId="81" fillId="0" borderId="79" xfId="0" applyFont="1" applyBorder="1" applyAlignment="1">
      <alignment horizontal="center" vertical="center"/>
    </xf>
    <xf numFmtId="0" fontId="81" fillId="0" borderId="49" xfId="0" applyFont="1" applyBorder="1" applyAlignment="1">
      <alignment horizontal="center" vertical="center"/>
    </xf>
    <xf numFmtId="0" fontId="82" fillId="6" borderId="12" xfId="0" applyFont="1" applyFill="1" applyBorder="1" applyAlignment="1">
      <alignment horizontal="left"/>
    </xf>
    <xf numFmtId="0" fontId="191" fillId="19" borderId="12" xfId="0" quotePrefix="1" applyFont="1" applyFill="1" applyBorder="1" applyAlignment="1">
      <alignment horizontal="center" vertical="center" wrapText="1"/>
    </xf>
    <xf numFmtId="0" fontId="185" fillId="19" borderId="24" xfId="0" quotePrefix="1" applyFont="1" applyFill="1" applyBorder="1" applyAlignment="1">
      <alignment horizontal="center" vertical="center"/>
    </xf>
    <xf numFmtId="0" fontId="185" fillId="19" borderId="25" xfId="0" quotePrefix="1" applyFont="1" applyFill="1" applyBorder="1" applyAlignment="1">
      <alignment horizontal="center" vertical="center"/>
    </xf>
    <xf numFmtId="0" fontId="185" fillId="19" borderId="176" xfId="0" quotePrefix="1" applyFont="1" applyFill="1" applyBorder="1" applyAlignment="1">
      <alignment horizontal="center" vertical="center" wrapText="1"/>
    </xf>
    <xf numFmtId="169" fontId="82" fillId="6" borderId="12" xfId="0" applyNumberFormat="1" applyFont="1" applyFill="1" applyBorder="1" applyAlignment="1">
      <alignment horizontal="left"/>
    </xf>
    <xf numFmtId="169" fontId="80" fillId="0" borderId="12" xfId="0" applyNumberFormat="1" applyFont="1" applyBorder="1" applyAlignment="1">
      <alignment horizontal="left" wrapText="1"/>
    </xf>
    <xf numFmtId="0" fontId="80" fillId="0" borderId="12" xfId="0" applyFont="1" applyBorder="1" applyAlignment="1">
      <alignment horizontal="center" vertical="top"/>
    </xf>
    <xf numFmtId="0" fontId="17" fillId="0" borderId="0" xfId="0" applyFont="1" applyAlignment="1">
      <alignment horizontal="center"/>
    </xf>
    <xf numFmtId="0" fontId="15" fillId="0" borderId="0" xfId="0" applyFont="1" applyAlignment="1">
      <alignment horizontal="center"/>
    </xf>
    <xf numFmtId="0" fontId="17" fillId="0" borderId="0" xfId="0" quotePrefix="1" applyFont="1" applyAlignment="1">
      <alignment horizontal="center"/>
    </xf>
    <xf numFmtId="0" fontId="17" fillId="0" borderId="0" xfId="0" applyFont="1" applyAlignment="1">
      <alignment horizontal="center" vertical="center"/>
    </xf>
    <xf numFmtId="0" fontId="17" fillId="0" borderId="182" xfId="0" quotePrefix="1" applyFont="1" applyBorder="1" applyAlignment="1">
      <alignment horizontal="center" vertical="center"/>
    </xf>
    <xf numFmtId="0" fontId="197" fillId="19" borderId="0" xfId="0" quotePrefix="1" applyFont="1" applyFill="1" applyAlignment="1">
      <alignment horizontal="center" vertical="center" wrapText="1"/>
    </xf>
    <xf numFmtId="0" fontId="5" fillId="0" borderId="0" xfId="0" applyFont="1" applyAlignment="1">
      <alignment horizontal="left"/>
    </xf>
    <xf numFmtId="0" fontId="24" fillId="0" borderId="0" xfId="0" quotePrefix="1" applyFont="1" applyAlignment="1">
      <alignment horizontal="left"/>
    </xf>
    <xf numFmtId="164" fontId="5" fillId="0" borderId="33" xfId="0" applyNumberFormat="1" applyFont="1" applyBorder="1" applyAlignment="1">
      <alignment horizontal="center"/>
    </xf>
    <xf numFmtId="0" fontId="6" fillId="0" borderId="0" xfId="0" quotePrefix="1" applyFont="1" applyAlignment="1">
      <alignment horizontal="left" wrapText="1"/>
    </xf>
    <xf numFmtId="0" fontId="6" fillId="0" borderId="0" xfId="0" applyFont="1" applyAlignment="1">
      <alignment horizontal="left" wrapText="1"/>
    </xf>
    <xf numFmtId="0" fontId="5" fillId="0" borderId="0" xfId="0" quotePrefix="1" applyFont="1" applyAlignment="1">
      <alignment horizontal="left"/>
    </xf>
    <xf numFmtId="0" fontId="5" fillId="0" borderId="0" xfId="0" quotePrefix="1" applyFont="1" applyAlignment="1">
      <alignment horizontal="center" wrapText="1"/>
    </xf>
    <xf numFmtId="0" fontId="5" fillId="0" borderId="0" xfId="0" applyFont="1" applyAlignment="1">
      <alignment horizontal="center" wrapText="1"/>
    </xf>
    <xf numFmtId="0" fontId="13" fillId="0" borderId="0" xfId="0" quotePrefix="1" applyFont="1" applyAlignment="1">
      <alignment horizontal="center" wrapText="1"/>
    </xf>
    <xf numFmtId="0" fontId="13" fillId="0" borderId="0" xfId="0" applyFont="1" applyAlignment="1">
      <alignment horizontal="center" wrapText="1"/>
    </xf>
    <xf numFmtId="49" fontId="5" fillId="0" borderId="0" xfId="0" applyNumberFormat="1" applyFont="1" applyAlignment="1">
      <alignment horizontal="center"/>
    </xf>
    <xf numFmtId="0" fontId="61" fillId="0" borderId="55" xfId="0" applyFont="1" applyBorder="1" applyAlignment="1">
      <alignment horizontal="center"/>
    </xf>
    <xf numFmtId="0" fontId="61" fillId="0" borderId="40" xfId="0" applyFont="1" applyBorder="1" applyAlignment="1">
      <alignment horizontal="center"/>
    </xf>
    <xf numFmtId="0" fontId="61" fillId="0" borderId="60" xfId="0" applyFont="1" applyBorder="1" applyAlignment="1">
      <alignment horizontal="center"/>
    </xf>
    <xf numFmtId="170" fontId="61" fillId="0" borderId="55" xfId="0" applyNumberFormat="1" applyFont="1" applyBorder="1" applyAlignment="1">
      <alignment horizontal="center"/>
    </xf>
    <xf numFmtId="170" fontId="61" fillId="0" borderId="40" xfId="0" applyNumberFormat="1" applyFont="1" applyBorder="1" applyAlignment="1">
      <alignment horizontal="center"/>
    </xf>
    <xf numFmtId="0" fontId="55" fillId="0" borderId="54" xfId="0" quotePrefix="1" applyFont="1" applyBorder="1" applyAlignment="1">
      <alignment horizontal="left"/>
    </xf>
    <xf numFmtId="0" fontId="55" fillId="0" borderId="32" xfId="0" quotePrefix="1" applyFont="1" applyBorder="1" applyAlignment="1">
      <alignment horizontal="left"/>
    </xf>
    <xf numFmtId="0" fontId="55" fillId="0" borderId="56" xfId="0" quotePrefix="1" applyFont="1" applyBorder="1" applyAlignment="1">
      <alignment horizontal="left"/>
    </xf>
    <xf numFmtId="44" fontId="22" fillId="0" borderId="67" xfId="0" applyNumberFormat="1" applyFont="1" applyBorder="1" applyAlignment="1">
      <alignment horizontal="center"/>
    </xf>
    <xf numFmtId="168" fontId="55" fillId="0" borderId="9" xfId="2" applyNumberFormat="1" applyFont="1" applyFill="1" applyBorder="1" applyAlignment="1">
      <alignment horizontal="center"/>
    </xf>
    <xf numFmtId="168" fontId="55" fillId="0" borderId="27" xfId="2" applyNumberFormat="1" applyFont="1" applyFill="1" applyBorder="1" applyAlignment="1">
      <alignment horizontal="center"/>
    </xf>
    <xf numFmtId="168" fontId="55" fillId="0" borderId="83" xfId="2" applyNumberFormat="1" applyFont="1" applyFill="1" applyBorder="1" applyAlignment="1">
      <alignment horizontal="center"/>
    </xf>
    <xf numFmtId="170" fontId="55" fillId="0" borderId="63" xfId="0" applyNumberFormat="1" applyFont="1" applyBorder="1" applyAlignment="1">
      <alignment horizontal="center"/>
    </xf>
    <xf numFmtId="0" fontId="55" fillId="0" borderId="63" xfId="0" applyFont="1" applyBorder="1" applyAlignment="1">
      <alignment horizontal="center"/>
    </xf>
    <xf numFmtId="0" fontId="4" fillId="0" borderId="0" xfId="0" applyFont="1" applyAlignment="1">
      <alignment horizontal="center"/>
    </xf>
    <xf numFmtId="166" fontId="4" fillId="0" borderId="0" xfId="3" applyFont="1" applyBorder="1" applyAlignment="1">
      <alignment horizontal="center"/>
    </xf>
    <xf numFmtId="168" fontId="55" fillId="0" borderId="55" xfId="2" applyNumberFormat="1" applyFont="1" applyFill="1" applyBorder="1" applyAlignment="1">
      <alignment horizontal="center"/>
    </xf>
    <xf numFmtId="168" fontId="55" fillId="0" borderId="40" xfId="2" applyNumberFormat="1" applyFont="1" applyFill="1" applyBorder="1" applyAlignment="1">
      <alignment horizontal="center"/>
    </xf>
    <xf numFmtId="168" fontId="55" fillId="0" borderId="60" xfId="2" applyNumberFormat="1" applyFont="1" applyFill="1" applyBorder="1" applyAlignment="1">
      <alignment horizontal="center"/>
    </xf>
    <xf numFmtId="170" fontId="169" fillId="19" borderId="176" xfId="0" applyNumberFormat="1" applyFont="1" applyFill="1" applyBorder="1" applyAlignment="1">
      <alignment horizontal="center" wrapText="1"/>
    </xf>
    <xf numFmtId="164" fontId="55" fillId="0" borderId="69" xfId="0" applyNumberFormat="1" applyFont="1" applyBorder="1" applyAlignment="1">
      <alignment horizontal="center"/>
    </xf>
    <xf numFmtId="164" fontId="55" fillId="0" borderId="33" xfId="0" applyNumberFormat="1" applyFont="1" applyBorder="1" applyAlignment="1">
      <alignment horizontal="center"/>
    </xf>
    <xf numFmtId="164" fontId="55" fillId="0" borderId="44" xfId="0" applyNumberFormat="1" applyFont="1" applyBorder="1" applyAlignment="1">
      <alignment horizontal="center"/>
    </xf>
    <xf numFmtId="170" fontId="55" fillId="0" borderId="18" xfId="0" applyNumberFormat="1" applyFont="1" applyBorder="1" applyAlignment="1">
      <alignment horizontal="center"/>
    </xf>
    <xf numFmtId="0" fontId="55" fillId="0" borderId="18" xfId="0" applyFont="1" applyBorder="1" applyAlignment="1">
      <alignment horizontal="center"/>
    </xf>
    <xf numFmtId="170" fontId="61" fillId="6" borderId="45" xfId="0" applyNumberFormat="1" applyFont="1" applyFill="1" applyBorder="1" applyAlignment="1">
      <alignment horizontal="center"/>
    </xf>
    <xf numFmtId="0" fontId="61" fillId="6" borderId="45" xfId="0" applyFont="1" applyFill="1" applyBorder="1" applyAlignment="1">
      <alignment horizontal="center"/>
    </xf>
    <xf numFmtId="0" fontId="61" fillId="0" borderId="0" xfId="0" quotePrefix="1" applyFont="1" applyAlignment="1">
      <alignment horizontal="center"/>
    </xf>
    <xf numFmtId="0" fontId="61" fillId="0" borderId="0" xfId="0" applyFont="1" applyAlignment="1">
      <alignment horizontal="center"/>
    </xf>
    <xf numFmtId="170" fontId="61" fillId="0" borderId="0" xfId="0" applyNumberFormat="1" applyFont="1" applyAlignment="1">
      <alignment horizontal="center"/>
    </xf>
    <xf numFmtId="170" fontId="55" fillId="0" borderId="12" xfId="0" applyNumberFormat="1" applyFont="1" applyBorder="1" applyAlignment="1">
      <alignment horizontal="center"/>
    </xf>
    <xf numFmtId="0" fontId="55" fillId="0" borderId="12" xfId="0" applyFont="1" applyBorder="1" applyAlignment="1">
      <alignment horizontal="center"/>
    </xf>
    <xf numFmtId="166" fontId="22" fillId="0" borderId="0" xfId="3" applyFont="1" applyBorder="1" applyAlignment="1">
      <alignment horizontal="center"/>
    </xf>
    <xf numFmtId="164" fontId="55" fillId="0" borderId="57" xfId="0" applyNumberFormat="1" applyFont="1" applyBorder="1" applyAlignment="1">
      <alignment horizontal="center"/>
    </xf>
    <xf numFmtId="164" fontId="55" fillId="0" borderId="112" xfId="0" applyNumberFormat="1" applyFont="1" applyBorder="1" applyAlignment="1">
      <alignment horizontal="center"/>
    </xf>
    <xf numFmtId="166" fontId="55" fillId="0" borderId="12" xfId="3" applyFont="1" applyFill="1" applyBorder="1" applyAlignment="1">
      <alignment horizontal="center"/>
    </xf>
    <xf numFmtId="166" fontId="109" fillId="6" borderId="45" xfId="3" applyFont="1" applyFill="1" applyBorder="1" applyAlignment="1">
      <alignment horizontal="center"/>
    </xf>
    <xf numFmtId="164" fontId="55" fillId="0" borderId="9" xfId="0" applyNumberFormat="1" applyFont="1" applyBorder="1" applyAlignment="1">
      <alignment horizontal="center"/>
    </xf>
    <xf numFmtId="164" fontId="55" fillId="0" borderId="83" xfId="0" applyNumberFormat="1" applyFont="1" applyBorder="1" applyAlignment="1">
      <alignment horizontal="center"/>
    </xf>
    <xf numFmtId="170" fontId="61" fillId="0" borderId="52" xfId="0" applyNumberFormat="1" applyFont="1" applyBorder="1" applyAlignment="1">
      <alignment horizontal="center"/>
    </xf>
    <xf numFmtId="170" fontId="61" fillId="0" borderId="53" xfId="0" applyNumberFormat="1" applyFont="1" applyBorder="1" applyAlignment="1">
      <alignment horizontal="center"/>
    </xf>
    <xf numFmtId="168" fontId="61" fillId="6" borderId="72" xfId="2" applyNumberFormat="1" applyFont="1" applyFill="1" applyBorder="1" applyAlignment="1">
      <alignment horizontal="center"/>
    </xf>
    <xf numFmtId="168" fontId="61" fillId="6" borderId="70" xfId="2" applyNumberFormat="1" applyFont="1" applyFill="1" applyBorder="1" applyAlignment="1">
      <alignment horizontal="center"/>
    </xf>
    <xf numFmtId="168" fontId="61" fillId="6" borderId="76" xfId="2" applyNumberFormat="1" applyFont="1" applyFill="1" applyBorder="1" applyAlignment="1">
      <alignment horizontal="center"/>
    </xf>
    <xf numFmtId="0" fontId="169" fillId="19" borderId="176" xfId="0" applyFont="1" applyFill="1" applyBorder="1" applyAlignment="1">
      <alignment horizontal="center" wrapText="1"/>
    </xf>
    <xf numFmtId="166" fontId="55" fillId="0" borderId="30" xfId="3" applyFont="1" applyFill="1" applyBorder="1" applyAlignment="1">
      <alignment horizontal="center"/>
    </xf>
    <xf numFmtId="4" fontId="61" fillId="0" borderId="55" xfId="0" applyNumberFormat="1" applyFont="1" applyBorder="1" applyAlignment="1">
      <alignment horizontal="center"/>
    </xf>
    <xf numFmtId="4" fontId="61" fillId="0" borderId="60" xfId="0" applyNumberFormat="1" applyFont="1" applyBorder="1" applyAlignment="1">
      <alignment horizontal="center"/>
    </xf>
    <xf numFmtId="0" fontId="55" fillId="0" borderId="0" xfId="0" applyFont="1" applyAlignment="1">
      <alignment horizontal="center" wrapText="1"/>
    </xf>
    <xf numFmtId="0" fontId="55" fillId="0" borderId="0" xfId="0" quotePrefix="1" applyFont="1" applyAlignment="1">
      <alignment horizontal="center" wrapText="1"/>
    </xf>
    <xf numFmtId="0" fontId="170" fillId="19" borderId="176" xfId="0" applyFont="1" applyFill="1" applyBorder="1" applyAlignment="1">
      <alignment horizontal="center" vertical="center" wrapText="1"/>
    </xf>
    <xf numFmtId="0" fontId="170" fillId="19" borderId="176" xfId="0" quotePrefix="1" applyFont="1" applyFill="1" applyBorder="1" applyAlignment="1">
      <alignment horizontal="center" vertical="center" wrapText="1"/>
    </xf>
    <xf numFmtId="0" fontId="61" fillId="0" borderId="30" xfId="0" quotePrefix="1" applyFont="1" applyBorder="1" applyAlignment="1">
      <alignment horizontal="center"/>
    </xf>
    <xf numFmtId="0" fontId="169" fillId="19" borderId="176" xfId="0" applyFont="1" applyFill="1" applyBorder="1" applyAlignment="1">
      <alignment horizontal="center"/>
    </xf>
    <xf numFmtId="0" fontId="109" fillId="17" borderId="147" xfId="0" applyFont="1" applyFill="1" applyBorder="1" applyAlignment="1">
      <alignment horizontal="left"/>
    </xf>
    <xf numFmtId="0" fontId="170" fillId="19" borderId="176" xfId="0" applyFont="1" applyFill="1" applyBorder="1" applyAlignment="1">
      <alignment horizontal="center" wrapText="1"/>
    </xf>
    <xf numFmtId="0" fontId="170" fillId="19" borderId="176" xfId="0" quotePrefix="1" applyFont="1" applyFill="1" applyBorder="1" applyAlignment="1">
      <alignment horizontal="center" wrapText="1"/>
    </xf>
    <xf numFmtId="0" fontId="61" fillId="0" borderId="30" xfId="0" applyFont="1" applyBorder="1" applyAlignment="1">
      <alignment horizontal="center"/>
    </xf>
    <xf numFmtId="170" fontId="61" fillId="6" borderId="72" xfId="0" applyNumberFormat="1" applyFont="1" applyFill="1" applyBorder="1" applyAlignment="1">
      <alignment horizontal="center"/>
    </xf>
    <xf numFmtId="170" fontId="61" fillId="6" borderId="76" xfId="0" applyNumberFormat="1" applyFont="1" applyFill="1" applyBorder="1" applyAlignment="1">
      <alignment horizontal="center"/>
    </xf>
    <xf numFmtId="0" fontId="61" fillId="0" borderId="26" xfId="0" quotePrefix="1" applyFont="1" applyBorder="1" applyAlignment="1">
      <alignment horizontal="center"/>
    </xf>
    <xf numFmtId="0" fontId="61" fillId="0" borderId="27" xfId="0" quotePrefix="1" applyFont="1" applyBorder="1" applyAlignment="1">
      <alignment horizontal="center"/>
    </xf>
    <xf numFmtId="0" fontId="61" fillId="0" borderId="27" xfId="0" applyFont="1" applyBorder="1" applyAlignment="1">
      <alignment horizontal="center"/>
    </xf>
    <xf numFmtId="0" fontId="61" fillId="0" borderId="83" xfId="0" applyFont="1" applyBorder="1" applyAlignment="1">
      <alignment horizontal="center"/>
    </xf>
    <xf numFmtId="170" fontId="61" fillId="0" borderId="9" xfId="0" applyNumberFormat="1" applyFont="1" applyBorder="1" applyAlignment="1">
      <alignment horizontal="center"/>
    </xf>
    <xf numFmtId="170" fontId="61" fillId="0" borderId="83" xfId="0" applyNumberFormat="1" applyFont="1" applyBorder="1" applyAlignment="1">
      <alignment horizontal="center"/>
    </xf>
    <xf numFmtId="0" fontId="61" fillId="0" borderId="54" xfId="0" quotePrefix="1" applyFont="1" applyBorder="1" applyAlignment="1">
      <alignment horizontal="center"/>
    </xf>
    <xf numFmtId="0" fontId="61" fillId="0" borderId="32" xfId="0" quotePrefix="1" applyFont="1" applyBorder="1" applyAlignment="1">
      <alignment horizontal="center"/>
    </xf>
    <xf numFmtId="0" fontId="61" fillId="0" borderId="56" xfId="0" quotePrefix="1" applyFont="1" applyBorder="1" applyAlignment="1">
      <alignment horizontal="center"/>
    </xf>
    <xf numFmtId="170" fontId="61" fillId="0" borderId="27" xfId="0" applyNumberFormat="1" applyFont="1" applyBorder="1" applyAlignment="1">
      <alignment horizontal="center"/>
    </xf>
    <xf numFmtId="164" fontId="55" fillId="0" borderId="55" xfId="0" applyNumberFormat="1" applyFont="1" applyBorder="1" applyAlignment="1">
      <alignment horizontal="center"/>
    </xf>
    <xf numFmtId="164" fontId="55" fillId="0" borderId="60" xfId="0" applyNumberFormat="1" applyFont="1" applyBorder="1" applyAlignment="1">
      <alignment horizontal="center"/>
    </xf>
    <xf numFmtId="164" fontId="61" fillId="6" borderId="80" xfId="0" applyNumberFormat="1" applyFont="1" applyFill="1" applyBorder="1" applyAlignment="1">
      <alignment horizontal="right"/>
    </xf>
    <xf numFmtId="164" fontId="61" fillId="6" borderId="81" xfId="0" applyNumberFormat="1" applyFont="1" applyFill="1" applyBorder="1" applyAlignment="1">
      <alignment horizontal="right"/>
    </xf>
    <xf numFmtId="164" fontId="61" fillId="6" borderId="82" xfId="0" applyNumberFormat="1" applyFont="1" applyFill="1" applyBorder="1" applyAlignment="1">
      <alignment horizontal="right"/>
    </xf>
    <xf numFmtId="168" fontId="55" fillId="0" borderId="57" xfId="2" applyNumberFormat="1" applyFont="1" applyFill="1" applyBorder="1" applyAlignment="1">
      <alignment horizontal="center"/>
    </xf>
    <xf numFmtId="168" fontId="55" fillId="0" borderId="1" xfId="2" applyNumberFormat="1" applyFont="1" applyFill="1" applyBorder="1" applyAlignment="1">
      <alignment horizontal="center"/>
    </xf>
    <xf numFmtId="168" fontId="55" fillId="0" borderId="112" xfId="2" applyNumberFormat="1" applyFont="1" applyFill="1" applyBorder="1" applyAlignment="1">
      <alignment horizontal="center"/>
    </xf>
    <xf numFmtId="0" fontId="7" fillId="0" borderId="0" xfId="0" applyFont="1" applyAlignment="1">
      <alignment horizontal="center" vertical="center"/>
    </xf>
    <xf numFmtId="0" fontId="7" fillId="0" borderId="0" xfId="0" quotePrefix="1" applyFont="1" applyAlignment="1">
      <alignment horizontal="center" vertical="center"/>
    </xf>
    <xf numFmtId="0" fontId="122" fillId="19" borderId="79" xfId="0" applyFont="1" applyFill="1" applyBorder="1" applyAlignment="1">
      <alignment horizontal="center" vertical="center"/>
    </xf>
    <xf numFmtId="0" fontId="122" fillId="19" borderId="24" xfId="0" applyFont="1" applyFill="1" applyBorder="1" applyAlignment="1">
      <alignment horizontal="center" vertical="center"/>
    </xf>
    <xf numFmtId="0" fontId="122" fillId="19" borderId="39" xfId="0" applyFont="1" applyFill="1" applyBorder="1" applyAlignment="1">
      <alignment horizontal="center" vertical="center"/>
    </xf>
    <xf numFmtId="0" fontId="177" fillId="19" borderId="176" xfId="0" applyFont="1" applyFill="1" applyBorder="1" applyAlignment="1">
      <alignment horizontal="center" vertical="center"/>
    </xf>
    <xf numFmtId="0" fontId="177" fillId="19" borderId="176" xfId="0" applyFont="1" applyFill="1" applyBorder="1" applyAlignment="1">
      <alignment horizontal="center" vertical="center" wrapText="1"/>
    </xf>
    <xf numFmtId="0" fontId="178" fillId="19" borderId="176" xfId="0" applyFont="1" applyFill="1" applyBorder="1" applyAlignment="1">
      <alignment horizontal="center" vertical="center" wrapText="1"/>
    </xf>
    <xf numFmtId="0" fontId="178" fillId="19" borderId="176" xfId="0" applyFont="1" applyFill="1" applyBorder="1" applyAlignment="1">
      <alignment horizontal="center" vertical="center"/>
    </xf>
    <xf numFmtId="0" fontId="178" fillId="19" borderId="183" xfId="0" applyFont="1" applyFill="1" applyBorder="1" applyAlignment="1">
      <alignment horizontal="center" vertical="center" wrapText="1"/>
    </xf>
    <xf numFmtId="0" fontId="177" fillId="19" borderId="183" xfId="0" applyFont="1" applyFill="1" applyBorder="1" applyAlignment="1">
      <alignment horizontal="center" vertical="center" wrapText="1"/>
    </xf>
    <xf numFmtId="9" fontId="177" fillId="19" borderId="176" xfId="0" applyNumberFormat="1" applyFont="1" applyFill="1" applyBorder="1" applyAlignment="1">
      <alignment horizontal="center" vertical="center"/>
    </xf>
    <xf numFmtId="0" fontId="57" fillId="0" borderId="0" xfId="0" applyFont="1" applyAlignment="1">
      <alignment horizontal="center" vertical="center"/>
    </xf>
    <xf numFmtId="0" fontId="178" fillId="19" borderId="176" xfId="0" quotePrefix="1" applyFont="1" applyFill="1" applyBorder="1" applyAlignment="1">
      <alignment horizontal="center"/>
    </xf>
    <xf numFmtId="4" fontId="178" fillId="19" borderId="176" xfId="0" applyNumberFormat="1" applyFont="1" applyFill="1" applyBorder="1" applyAlignment="1">
      <alignment horizontal="center"/>
    </xf>
    <xf numFmtId="49" fontId="177" fillId="19" borderId="176" xfId="0" quotePrefix="1" applyNumberFormat="1" applyFont="1" applyFill="1" applyBorder="1" applyAlignment="1">
      <alignment horizontal="center" vertical="center"/>
    </xf>
    <xf numFmtId="49" fontId="177" fillId="19" borderId="176" xfId="0" applyNumberFormat="1" applyFont="1" applyFill="1" applyBorder="1" applyAlignment="1">
      <alignment horizontal="center" vertical="center"/>
    </xf>
    <xf numFmtId="0" fontId="177" fillId="19" borderId="176" xfId="0" applyFont="1" applyFill="1" applyBorder="1" applyAlignment="1">
      <alignment horizontal="center"/>
    </xf>
    <xf numFmtId="0" fontId="178" fillId="19" borderId="176" xfId="0" applyFont="1" applyFill="1" applyBorder="1" applyAlignment="1">
      <alignment horizontal="center" wrapText="1"/>
    </xf>
    <xf numFmtId="0" fontId="178" fillId="19" borderId="176" xfId="0" quotePrefix="1" applyFont="1" applyFill="1" applyBorder="1" applyAlignment="1">
      <alignment horizontal="center" wrapText="1"/>
    </xf>
    <xf numFmtId="0" fontId="178" fillId="19" borderId="176" xfId="0" quotePrefix="1" applyFont="1" applyFill="1" applyBorder="1" applyAlignment="1">
      <alignment horizontal="center" vertical="center" wrapText="1"/>
    </xf>
    <xf numFmtId="170" fontId="55" fillId="0" borderId="30" xfId="0" applyNumberFormat="1" applyFont="1" applyBorder="1" applyAlignment="1">
      <alignment horizontal="center"/>
    </xf>
    <xf numFmtId="166" fontId="109" fillId="6" borderId="12" xfId="0" applyNumberFormat="1" applyFont="1" applyFill="1" applyBorder="1" applyAlignment="1">
      <alignment horizontal="center"/>
    </xf>
    <xf numFmtId="166" fontId="109" fillId="6" borderId="12" xfId="3" applyFont="1" applyFill="1" applyBorder="1" applyAlignment="1">
      <alignment horizontal="center"/>
    </xf>
    <xf numFmtId="170" fontId="55" fillId="0" borderId="54" xfId="0" applyNumberFormat="1" applyFont="1" applyBorder="1" applyAlignment="1">
      <alignment horizontal="center"/>
    </xf>
    <xf numFmtId="170" fontId="55" fillId="0" borderId="56" xfId="0" applyNumberFormat="1" applyFont="1" applyBorder="1" applyAlignment="1">
      <alignment horizontal="center"/>
    </xf>
    <xf numFmtId="166" fontId="55" fillId="0" borderId="54" xfId="3" applyFont="1" applyFill="1" applyBorder="1" applyAlignment="1">
      <alignment horizontal="center"/>
    </xf>
    <xf numFmtId="166" fontId="55" fillId="0" borderId="56" xfId="3" applyFont="1" applyFill="1" applyBorder="1" applyAlignment="1">
      <alignment horizontal="center"/>
    </xf>
    <xf numFmtId="0" fontId="109" fillId="6" borderId="147" xfId="0" applyFont="1" applyFill="1" applyBorder="1" applyAlignment="1">
      <alignment horizontal="left"/>
    </xf>
    <xf numFmtId="0" fontId="109" fillId="6" borderId="147" xfId="0" applyFont="1" applyFill="1" applyBorder="1" applyAlignment="1">
      <alignment horizontal="center"/>
    </xf>
    <xf numFmtId="0" fontId="152" fillId="19" borderId="176" xfId="0" applyFont="1" applyFill="1" applyBorder="1" applyAlignment="1">
      <alignment horizontal="center" vertical="center"/>
    </xf>
    <xf numFmtId="0" fontId="152" fillId="19" borderId="176" xfId="0" quotePrefix="1" applyFont="1" applyFill="1" applyBorder="1" applyAlignment="1">
      <alignment horizontal="center" vertical="center"/>
    </xf>
    <xf numFmtId="0" fontId="114" fillId="6" borderId="147" xfId="0" applyFont="1" applyFill="1" applyBorder="1" applyAlignment="1">
      <alignment horizontal="left"/>
    </xf>
    <xf numFmtId="0" fontId="152" fillId="19" borderId="176" xfId="0" quotePrefix="1" applyFont="1" applyFill="1" applyBorder="1" applyAlignment="1">
      <alignment horizontal="center" vertical="center" wrapText="1"/>
    </xf>
    <xf numFmtId="0" fontId="171" fillId="19" borderId="147" xfId="0" applyFont="1" applyFill="1" applyBorder="1" applyAlignment="1">
      <alignment horizontal="center" vertical="center"/>
    </xf>
    <xf numFmtId="0" fontId="114" fillId="14" borderId="147" xfId="0" applyFont="1" applyFill="1" applyBorder="1" applyAlignment="1">
      <alignment horizontal="center"/>
    </xf>
    <xf numFmtId="0" fontId="177" fillId="19" borderId="147" xfId="0" applyFont="1" applyFill="1" applyBorder="1" applyAlignment="1">
      <alignment horizontal="center" vertical="center"/>
    </xf>
    <xf numFmtId="0" fontId="178" fillId="19" borderId="147" xfId="0" applyFont="1" applyFill="1" applyBorder="1" applyAlignment="1">
      <alignment horizontal="center" vertical="center"/>
    </xf>
    <xf numFmtId="0" fontId="15" fillId="0" borderId="0" xfId="0" applyFont="1" applyAlignment="1">
      <alignment horizontal="left" vertical="center" wrapText="1"/>
    </xf>
    <xf numFmtId="49" fontId="30" fillId="6" borderId="39" xfId="1" applyNumberFormat="1" applyFont="1" applyFill="1" applyBorder="1" applyAlignment="1">
      <alignment horizontal="center"/>
    </xf>
    <xf numFmtId="49" fontId="30" fillId="6" borderId="112" xfId="1" applyNumberFormat="1" applyFont="1" applyFill="1" applyBorder="1" applyAlignment="1">
      <alignment horizontal="center"/>
    </xf>
    <xf numFmtId="4" fontId="147" fillId="19" borderId="176" xfId="1" applyNumberFormat="1" applyFont="1" applyFill="1" applyBorder="1" applyAlignment="1">
      <alignment horizontal="center" vertical="center" wrapText="1"/>
    </xf>
    <xf numFmtId="4" fontId="147" fillId="19" borderId="176" xfId="1" applyNumberFormat="1" applyFont="1" applyFill="1" applyBorder="1" applyAlignment="1">
      <alignment horizontal="center"/>
    </xf>
    <xf numFmtId="49" fontId="147" fillId="19" borderId="178" xfId="1" applyNumberFormat="1" applyFont="1" applyFill="1" applyBorder="1" applyAlignment="1">
      <alignment horizontal="center" vertical="center" wrapText="1"/>
    </xf>
    <xf numFmtId="4" fontId="147" fillId="19" borderId="176" xfId="1" applyNumberFormat="1" applyFont="1" applyFill="1" applyBorder="1" applyAlignment="1">
      <alignment horizontal="center" vertical="center"/>
    </xf>
    <xf numFmtId="49" fontId="147" fillId="19" borderId="176" xfId="1" applyNumberFormat="1" applyFont="1" applyFill="1" applyBorder="1" applyAlignment="1">
      <alignment horizontal="center" vertical="center" wrapText="1"/>
    </xf>
    <xf numFmtId="0" fontId="41" fillId="6" borderId="54" xfId="0" applyFont="1" applyFill="1" applyBorder="1" applyAlignment="1">
      <alignment horizontal="center" vertical="center"/>
    </xf>
    <xf numFmtId="0" fontId="41" fillId="6" borderId="32" xfId="0" applyFont="1" applyFill="1" applyBorder="1" applyAlignment="1">
      <alignment horizontal="center" vertical="center"/>
    </xf>
    <xf numFmtId="0" fontId="158" fillId="0" borderId="0" xfId="0" applyFont="1" applyAlignment="1">
      <alignment horizontal="center" vertical="center"/>
    </xf>
    <xf numFmtId="0" fontId="193" fillId="0" borderId="0" xfId="0" quotePrefix="1" applyFont="1" applyAlignment="1">
      <alignment horizontal="center" vertical="center"/>
    </xf>
    <xf numFmtId="0" fontId="193" fillId="0" borderId="0" xfId="0" applyFont="1" applyAlignment="1">
      <alignment horizontal="center" vertical="center"/>
    </xf>
    <xf numFmtId="4" fontId="147" fillId="19" borderId="176" xfId="1" quotePrefix="1" applyNumberFormat="1" applyFont="1" applyFill="1" applyBorder="1" applyAlignment="1">
      <alignment horizontal="center" wrapText="1"/>
    </xf>
    <xf numFmtId="4" fontId="147" fillId="19" borderId="176" xfId="1" applyNumberFormat="1" applyFont="1" applyFill="1" applyBorder="1" applyAlignment="1">
      <alignment horizontal="center" wrapText="1"/>
    </xf>
    <xf numFmtId="0" fontId="176" fillId="6" borderId="12" xfId="0" applyFont="1" applyFill="1" applyBorder="1" applyAlignment="1">
      <alignment horizontal="center" vertical="center"/>
    </xf>
    <xf numFmtId="0" fontId="130" fillId="0" borderId="0" xfId="6" applyFont="1" applyFill="1" applyBorder="1" applyAlignment="1">
      <alignment horizontal="center"/>
    </xf>
    <xf numFmtId="0" fontId="130" fillId="0" borderId="0" xfId="6" quotePrefix="1" applyFont="1" applyFill="1" applyBorder="1" applyAlignment="1">
      <alignment horizontal="center"/>
    </xf>
    <xf numFmtId="0" fontId="134" fillId="19" borderId="69" xfId="0" applyFont="1" applyFill="1" applyBorder="1" applyAlignment="1">
      <alignment horizontal="center" vertical="center"/>
    </xf>
    <xf numFmtId="0" fontId="134" fillId="19" borderId="55" xfId="0" applyFont="1" applyFill="1" applyBorder="1" applyAlignment="1">
      <alignment horizontal="center" vertical="center"/>
    </xf>
    <xf numFmtId="0" fontId="135" fillId="19" borderId="0" xfId="0" applyFont="1" applyFill="1" applyAlignment="1">
      <alignment horizontal="center" vertical="center" wrapText="1"/>
    </xf>
    <xf numFmtId="0" fontId="135" fillId="19" borderId="40" xfId="0" applyFont="1" applyFill="1" applyBorder="1" applyAlignment="1">
      <alignment horizontal="center" vertical="center" wrapText="1"/>
    </xf>
    <xf numFmtId="0" fontId="136" fillId="19" borderId="52" xfId="0" applyFont="1" applyFill="1" applyBorder="1" applyAlignment="1">
      <alignment horizontal="center" vertical="center" wrapText="1"/>
    </xf>
    <xf numFmtId="0" fontId="136" fillId="19" borderId="55" xfId="0" applyFont="1" applyFill="1" applyBorder="1" applyAlignment="1">
      <alignment horizontal="center" vertical="center" wrapText="1"/>
    </xf>
    <xf numFmtId="0" fontId="131" fillId="0" borderId="0" xfId="0" applyFont="1" applyAlignment="1">
      <alignment horizontal="center" vertical="center"/>
    </xf>
    <xf numFmtId="0" fontId="137" fillId="19" borderId="53" xfId="0" applyFont="1" applyFill="1" applyBorder="1" applyAlignment="1">
      <alignment horizontal="center" vertical="center" wrapText="1"/>
    </xf>
    <xf numFmtId="0" fontId="137" fillId="19" borderId="60" xfId="0" applyFont="1" applyFill="1" applyBorder="1" applyAlignment="1">
      <alignment horizontal="center" vertical="center" wrapText="1"/>
    </xf>
    <xf numFmtId="49" fontId="135" fillId="19" borderId="55" xfId="0" applyNumberFormat="1" applyFont="1" applyFill="1" applyBorder="1" applyAlignment="1">
      <alignment horizontal="center" vertical="center"/>
    </xf>
    <xf numFmtId="49" fontId="135" fillId="19" borderId="40" xfId="0" applyNumberFormat="1" applyFont="1" applyFill="1" applyBorder="1" applyAlignment="1">
      <alignment horizontal="center" vertical="center"/>
    </xf>
    <xf numFmtId="49" fontId="135" fillId="19" borderId="60" xfId="0" applyNumberFormat="1" applyFont="1" applyFill="1" applyBorder="1" applyAlignment="1">
      <alignment horizontal="center" vertical="center"/>
    </xf>
    <xf numFmtId="0" fontId="136" fillId="19" borderId="0" xfId="0" applyFont="1" applyFill="1" applyAlignment="1">
      <alignment horizontal="center" vertical="center" wrapText="1"/>
    </xf>
    <xf numFmtId="0" fontId="136" fillId="19" borderId="40" xfId="0" applyFont="1" applyFill="1" applyBorder="1" applyAlignment="1">
      <alignment horizontal="center" vertical="center" wrapText="1"/>
    </xf>
    <xf numFmtId="0" fontId="134" fillId="19" borderId="52" xfId="0" applyFont="1" applyFill="1" applyBorder="1" applyAlignment="1">
      <alignment horizontal="center" vertical="center"/>
    </xf>
    <xf numFmtId="0" fontId="89" fillId="4" borderId="0" xfId="0" quotePrefix="1" applyFont="1" applyFill="1" applyAlignment="1">
      <alignment horizontal="center"/>
    </xf>
    <xf numFmtId="0" fontId="123" fillId="0" borderId="40" xfId="0" applyFont="1" applyBorder="1" applyAlignment="1">
      <alignment horizontal="center" vertical="center"/>
    </xf>
    <xf numFmtId="0" fontId="123" fillId="0" borderId="60" xfId="0" applyFont="1" applyBorder="1" applyAlignment="1">
      <alignment horizontal="center" vertical="center"/>
    </xf>
    <xf numFmtId="0" fontId="137" fillId="19" borderId="44" xfId="0" applyFont="1" applyFill="1" applyBorder="1" applyAlignment="1">
      <alignment horizontal="center" vertical="center" wrapText="1"/>
    </xf>
    <xf numFmtId="0" fontId="89" fillId="4" borderId="0" xfId="0" applyFont="1" applyFill="1" applyAlignment="1">
      <alignment horizontal="center"/>
    </xf>
    <xf numFmtId="0" fontId="83" fillId="6" borderId="12" xfId="0" applyFont="1" applyFill="1" applyBorder="1" applyAlignment="1">
      <alignment horizontal="center" vertical="center"/>
    </xf>
    <xf numFmtId="49" fontId="4" fillId="2" borderId="36" xfId="0" quotePrefix="1" applyNumberFormat="1" applyFont="1" applyFill="1" applyBorder="1" applyAlignment="1">
      <alignment horizontal="left" vertical="center" wrapText="1"/>
    </xf>
    <xf numFmtId="49" fontId="4" fillId="2" borderId="23" xfId="0" quotePrefix="1" applyNumberFormat="1" applyFont="1" applyFill="1" applyBorder="1" applyAlignment="1">
      <alignment horizontal="left" vertical="center" wrapText="1"/>
    </xf>
    <xf numFmtId="49" fontId="19" fillId="4" borderId="12" xfId="0" applyNumberFormat="1" applyFont="1" applyFill="1" applyBorder="1" applyAlignment="1">
      <alignment horizontal="left" vertical="center" wrapText="1"/>
    </xf>
    <xf numFmtId="49" fontId="17" fillId="6" borderId="36" xfId="0" applyNumberFormat="1" applyFont="1" applyFill="1" applyBorder="1" applyAlignment="1">
      <alignment horizontal="center"/>
    </xf>
    <xf numFmtId="49" fontId="17" fillId="6" borderId="20" xfId="0" applyNumberFormat="1" applyFont="1" applyFill="1" applyBorder="1" applyAlignment="1">
      <alignment horizontal="center"/>
    </xf>
    <xf numFmtId="49" fontId="17" fillId="6" borderId="23" xfId="0" applyNumberFormat="1" applyFont="1" applyFill="1" applyBorder="1" applyAlignment="1">
      <alignment horizontal="center"/>
    </xf>
    <xf numFmtId="0" fontId="4" fillId="2" borderId="38" xfId="0" quotePrefix="1" applyFont="1" applyFill="1" applyBorder="1" applyAlignment="1">
      <alignment horizontal="left" vertical="center" wrapText="1"/>
    </xf>
    <xf numFmtId="0" fontId="4" fillId="2" borderId="40" xfId="0" quotePrefix="1" applyFont="1" applyFill="1" applyBorder="1" applyAlignment="1">
      <alignment horizontal="left" vertical="center" wrapText="1"/>
    </xf>
    <xf numFmtId="0" fontId="4" fillId="2" borderId="37" xfId="0" quotePrefix="1" applyFont="1" applyFill="1" applyBorder="1" applyAlignment="1">
      <alignment horizontal="left" vertical="center" wrapText="1"/>
    </xf>
    <xf numFmtId="0" fontId="4" fillId="0" borderId="38" xfId="0" quotePrefix="1" applyFont="1" applyBorder="1" applyAlignment="1">
      <alignment horizontal="left" vertical="center" wrapText="1"/>
    </xf>
    <xf numFmtId="0" fontId="4" fillId="0" borderId="37" xfId="0" quotePrefix="1" applyFont="1" applyBorder="1" applyAlignment="1">
      <alignment horizontal="left" vertical="center" wrapText="1"/>
    </xf>
    <xf numFmtId="0" fontId="4" fillId="2" borderId="84" xfId="0" quotePrefix="1" applyFont="1" applyFill="1" applyBorder="1" applyAlignment="1">
      <alignment horizontal="left" vertical="center" wrapText="1"/>
    </xf>
    <xf numFmtId="0" fontId="4" fillId="2" borderId="32" xfId="0" quotePrefix="1" applyFont="1" applyFill="1" applyBorder="1" applyAlignment="1">
      <alignment horizontal="left" vertical="center" wrapText="1"/>
    </xf>
    <xf numFmtId="0" fontId="4" fillId="2" borderId="22" xfId="0" quotePrefix="1" applyFont="1" applyFill="1" applyBorder="1" applyAlignment="1">
      <alignment horizontal="left" vertical="center" wrapText="1"/>
    </xf>
    <xf numFmtId="49" fontId="4" fillId="2" borderId="39"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58" xfId="0" applyNumberFormat="1" applyFont="1" applyFill="1" applyBorder="1" applyAlignment="1">
      <alignment horizontal="left" vertical="center" wrapText="1"/>
    </xf>
    <xf numFmtId="49" fontId="4" fillId="2" borderId="39" xfId="0" quotePrefix="1" applyNumberFormat="1" applyFont="1" applyFill="1" applyBorder="1" applyAlignment="1">
      <alignment horizontal="left" vertical="center" wrapText="1"/>
    </xf>
    <xf numFmtId="49" fontId="4" fillId="2" borderId="58" xfId="0" quotePrefix="1" applyNumberFormat="1" applyFont="1" applyFill="1" applyBorder="1" applyAlignment="1">
      <alignment horizontal="left" vertical="center" wrapText="1"/>
    </xf>
    <xf numFmtId="0" fontId="4" fillId="0" borderId="40" xfId="0" applyFont="1" applyBorder="1" applyAlignment="1">
      <alignment horizontal="left" vertical="center" wrapText="1"/>
    </xf>
    <xf numFmtId="0" fontId="4" fillId="0" borderId="37" xfId="0" applyFont="1" applyBorder="1" applyAlignment="1">
      <alignment horizontal="left" vertical="center" wrapText="1"/>
    </xf>
    <xf numFmtId="0" fontId="4" fillId="2" borderId="3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58" xfId="0" applyFont="1" applyBorder="1" applyAlignment="1">
      <alignment horizontal="left" vertical="center" wrapText="1"/>
    </xf>
    <xf numFmtId="49" fontId="4" fillId="2" borderId="35" xfId="0" quotePrefix="1" applyNumberFormat="1" applyFont="1" applyFill="1" applyBorder="1" applyAlignment="1">
      <alignment horizontal="left" vertical="center"/>
    </xf>
    <xf numFmtId="49" fontId="4" fillId="2" borderId="71" xfId="0" applyNumberFormat="1" applyFont="1" applyFill="1" applyBorder="1" applyAlignment="1">
      <alignment horizontal="left" vertical="center"/>
    </xf>
    <xf numFmtId="0" fontId="4" fillId="2" borderId="35" xfId="0" applyFont="1" applyFill="1" applyBorder="1" applyAlignment="1">
      <alignment horizontal="left" wrapText="1"/>
    </xf>
    <xf numFmtId="0" fontId="4" fillId="2" borderId="34" xfId="0" applyFont="1" applyFill="1" applyBorder="1" applyAlignment="1">
      <alignment horizontal="left" wrapText="1"/>
    </xf>
    <xf numFmtId="0" fontId="4" fillId="2" borderId="38" xfId="0" quotePrefix="1" applyFont="1" applyFill="1" applyBorder="1" applyAlignment="1">
      <alignment horizontal="left" wrapText="1"/>
    </xf>
    <xf numFmtId="0" fontId="4" fillId="0" borderId="37" xfId="0" applyFont="1" applyBorder="1" applyAlignment="1">
      <alignment horizontal="left" wrapText="1"/>
    </xf>
    <xf numFmtId="49" fontId="4" fillId="0" borderId="111" xfId="0" applyNumberFormat="1" applyFont="1" applyBorder="1" applyAlignment="1">
      <alignment horizontal="left" vertical="center" wrapText="1"/>
    </xf>
    <xf numFmtId="49" fontId="4" fillId="0" borderId="33"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37" xfId="0" applyNumberFormat="1" applyFont="1" applyBorder="1" applyAlignment="1">
      <alignment horizontal="left" vertical="center" wrapText="1"/>
    </xf>
    <xf numFmtId="49" fontId="4" fillId="4" borderId="39"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58" xfId="0" applyFont="1" applyFill="1" applyBorder="1" applyAlignment="1">
      <alignment horizontal="left" vertical="center" wrapText="1"/>
    </xf>
    <xf numFmtId="49" fontId="4" fillId="4" borderId="39" xfId="0" quotePrefix="1" applyNumberFormat="1" applyFont="1" applyFill="1" applyBorder="1" applyAlignment="1">
      <alignment horizontal="left" vertical="center" wrapText="1"/>
    </xf>
    <xf numFmtId="0" fontId="19" fillId="0" borderId="0" xfId="0" quotePrefix="1" applyFont="1" applyAlignment="1">
      <alignment horizontal="center"/>
    </xf>
    <xf numFmtId="0" fontId="17" fillId="2" borderId="0" xfId="0" quotePrefix="1" applyFont="1" applyFill="1" applyAlignment="1">
      <alignment horizontal="center"/>
    </xf>
    <xf numFmtId="0" fontId="17" fillId="2" borderId="0" xfId="0" applyFont="1" applyFill="1" applyAlignment="1">
      <alignment horizontal="center"/>
    </xf>
    <xf numFmtId="0" fontId="17" fillId="2" borderId="40" xfId="0" applyFont="1" applyFill="1" applyBorder="1" applyAlignment="1">
      <alignment horizontal="center"/>
    </xf>
    <xf numFmtId="0" fontId="144" fillId="18" borderId="156" xfId="0" quotePrefix="1" applyFont="1" applyFill="1" applyBorder="1" applyAlignment="1">
      <alignment horizontal="left" vertical="center" wrapText="1"/>
    </xf>
    <xf numFmtId="0" fontId="144" fillId="18" borderId="20" xfId="0" quotePrefix="1" applyFont="1" applyFill="1" applyBorder="1" applyAlignment="1">
      <alignment horizontal="left" vertical="center" wrapText="1"/>
    </xf>
    <xf numFmtId="0" fontId="144" fillId="18" borderId="86" xfId="0" quotePrefix="1" applyFont="1" applyFill="1" applyBorder="1" applyAlignment="1">
      <alignment horizontal="left" vertical="center" wrapText="1"/>
    </xf>
    <xf numFmtId="0" fontId="4" fillId="0" borderId="2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15" fillId="0" borderId="41" xfId="0" applyFont="1" applyBorder="1" applyAlignment="1">
      <alignment horizontal="center" vertical="center"/>
    </xf>
    <xf numFmtId="0" fontId="15" fillId="0" borderId="4" xfId="0" applyFont="1" applyBorder="1" applyAlignment="1">
      <alignment horizontal="center" vertical="center"/>
    </xf>
    <xf numFmtId="0" fontId="15" fillId="0" borderId="41" xfId="0" applyFont="1" applyBorder="1" applyAlignment="1" applyProtection="1">
      <alignment horizontal="center" vertical="center"/>
      <protection locked="0" hidden="1"/>
    </xf>
    <xf numFmtId="0" fontId="15" fillId="0" borderId="4" xfId="0" applyFont="1" applyBorder="1" applyAlignment="1" applyProtection="1">
      <alignment horizontal="center" vertical="center"/>
      <protection locked="0" hidden="1"/>
    </xf>
    <xf numFmtId="49" fontId="17" fillId="6" borderId="36" xfId="0" applyNumberFormat="1" applyFont="1" applyFill="1" applyBorder="1" applyAlignment="1">
      <alignment horizontal="center" vertical="center"/>
    </xf>
    <xf numFmtId="49" fontId="17" fillId="6" borderId="20" xfId="0" applyNumberFormat="1" applyFont="1" applyFill="1" applyBorder="1" applyAlignment="1">
      <alignment horizontal="center" vertical="center"/>
    </xf>
    <xf numFmtId="49" fontId="17" fillId="6" borderId="23" xfId="0" applyNumberFormat="1" applyFont="1" applyFill="1" applyBorder="1" applyAlignment="1">
      <alignment horizontal="center" vertical="center"/>
    </xf>
    <xf numFmtId="49" fontId="4" fillId="0" borderId="35" xfId="0" quotePrefix="1" applyNumberFormat="1" applyFont="1" applyBorder="1" applyAlignment="1">
      <alignment horizontal="left" vertical="center"/>
    </xf>
    <xf numFmtId="49" fontId="4" fillId="0" borderId="71" xfId="0" quotePrefix="1" applyNumberFormat="1" applyFont="1" applyBorder="1" applyAlignment="1">
      <alignment horizontal="left" vertical="center"/>
    </xf>
    <xf numFmtId="49" fontId="4" fillId="0" borderId="34" xfId="0" quotePrefix="1" applyNumberFormat="1" applyFont="1" applyBorder="1" applyAlignment="1">
      <alignment horizontal="left" vertical="center"/>
    </xf>
    <xf numFmtId="0" fontId="4" fillId="2" borderId="35"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0" borderId="84" xfId="0" quotePrefix="1" applyFont="1" applyBorder="1" applyAlignment="1">
      <alignment horizontal="left" vertical="center" wrapText="1"/>
    </xf>
    <xf numFmtId="0" fontId="4" fillId="0" borderId="22" xfId="0" quotePrefix="1" applyFont="1" applyBorder="1" applyAlignment="1">
      <alignment horizontal="left" vertical="center" wrapText="1"/>
    </xf>
    <xf numFmtId="0" fontId="4" fillId="2" borderId="84" xfId="0" applyFont="1" applyFill="1" applyBorder="1" applyAlignment="1">
      <alignment horizontal="left" vertical="center" wrapText="1"/>
    </xf>
    <xf numFmtId="0" fontId="4" fillId="2" borderId="22" xfId="0" applyFont="1" applyFill="1" applyBorder="1" applyAlignment="1">
      <alignment horizontal="left" vertical="center" wrapText="1"/>
    </xf>
    <xf numFmtId="49" fontId="4" fillId="2" borderId="84" xfId="0" applyNumberFormat="1" applyFont="1" applyFill="1" applyBorder="1" applyAlignment="1">
      <alignment horizontal="left" vertical="center" wrapText="1"/>
    </xf>
    <xf numFmtId="49" fontId="4" fillId="2" borderId="32"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49" fontId="14" fillId="6" borderId="20" xfId="0" applyNumberFormat="1" applyFont="1" applyFill="1" applyBorder="1" applyAlignment="1">
      <alignment horizontal="center" vertical="center"/>
    </xf>
    <xf numFmtId="49" fontId="14" fillId="6" borderId="23" xfId="0" applyNumberFormat="1" applyFont="1" applyFill="1" applyBorder="1" applyAlignment="1">
      <alignment horizontal="center" vertical="center"/>
    </xf>
    <xf numFmtId="49" fontId="4" fillId="2" borderId="36"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49" fontId="4" fillId="2" borderId="23" xfId="0" applyNumberFormat="1" applyFont="1" applyFill="1" applyBorder="1" applyAlignment="1">
      <alignment horizontal="left" vertical="center" wrapText="1"/>
    </xf>
    <xf numFmtId="0" fontId="193" fillId="0" borderId="0" xfId="0" applyFont="1" applyAlignment="1">
      <alignment horizontal="left" vertical="center"/>
    </xf>
    <xf numFmtId="0" fontId="139" fillId="19" borderId="12" xfId="0" quotePrefix="1" applyFont="1" applyFill="1" applyBorder="1" applyAlignment="1">
      <alignment horizontal="left" vertical="center" wrapText="1"/>
    </xf>
    <xf numFmtId="0" fontId="139" fillId="19" borderId="12" xfId="0" applyFont="1" applyFill="1" applyBorder="1" applyAlignment="1">
      <alignment horizontal="left" vertical="center" wrapText="1"/>
    </xf>
    <xf numFmtId="0" fontId="19" fillId="2" borderId="0" xfId="0" quotePrefix="1" applyFont="1" applyFill="1" applyAlignment="1">
      <alignment horizontal="center"/>
    </xf>
    <xf numFmtId="0" fontId="19" fillId="2" borderId="0" xfId="0" applyFont="1" applyFill="1" applyAlignment="1">
      <alignment horizontal="center"/>
    </xf>
    <xf numFmtId="0" fontId="193" fillId="2" borderId="0" xfId="0" applyFont="1" applyFill="1" applyAlignment="1">
      <alignment horizontal="center" vertical="center"/>
    </xf>
    <xf numFmtId="0" fontId="4" fillId="0" borderId="39" xfId="0" applyFont="1" applyBorder="1" applyAlignment="1">
      <alignment horizontal="center"/>
    </xf>
    <xf numFmtId="0" fontId="4" fillId="0" borderId="1" xfId="0" applyFont="1" applyBorder="1"/>
    <xf numFmtId="0" fontId="4" fillId="0" borderId="58" xfId="0" applyFont="1" applyBorder="1"/>
    <xf numFmtId="0" fontId="15" fillId="0" borderId="2" xfId="0" applyFont="1" applyBorder="1" applyAlignment="1">
      <alignment horizontal="center" vertical="center"/>
    </xf>
    <xf numFmtId="0" fontId="4" fillId="0" borderId="4" xfId="0" applyFont="1" applyBorder="1" applyAlignment="1">
      <alignment horizontal="center"/>
    </xf>
    <xf numFmtId="0" fontId="15" fillId="0" borderId="2" xfId="0" applyFont="1" applyBorder="1" applyAlignment="1" applyProtection="1">
      <alignment horizontal="center" vertical="center"/>
      <protection locked="0" hidden="1"/>
    </xf>
    <xf numFmtId="0" fontId="144" fillId="18" borderId="12" xfId="0" quotePrefix="1" applyFont="1" applyFill="1" applyBorder="1" applyAlignment="1">
      <alignment horizontal="left" vertical="center" wrapText="1"/>
    </xf>
    <xf numFmtId="0" fontId="144" fillId="18" borderId="12" xfId="0" applyFont="1" applyFill="1" applyBorder="1" applyAlignment="1">
      <alignment horizontal="left" vertical="center" wrapText="1"/>
    </xf>
    <xf numFmtId="0" fontId="19" fillId="4" borderId="0" xfId="0" quotePrefix="1" applyFont="1" applyFill="1" applyAlignment="1">
      <alignment horizontal="center"/>
    </xf>
    <xf numFmtId="0" fontId="4" fillId="0" borderId="111"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111" xfId="0" quotePrefix="1" applyFont="1" applyBorder="1" applyAlignment="1">
      <alignment horizontal="left" vertical="center" wrapText="1"/>
    </xf>
    <xf numFmtId="0" fontId="4" fillId="0" borderId="31" xfId="0" quotePrefix="1" applyFont="1" applyBorder="1" applyAlignment="1">
      <alignment horizontal="left" vertical="center" wrapText="1"/>
    </xf>
    <xf numFmtId="49" fontId="4" fillId="0" borderId="71" xfId="0" applyNumberFormat="1" applyFont="1" applyBorder="1" applyAlignment="1">
      <alignment horizontal="left" vertical="center"/>
    </xf>
    <xf numFmtId="0" fontId="4" fillId="0" borderId="35" xfId="0" applyFont="1" applyBorder="1" applyAlignment="1">
      <alignment horizontal="left" wrapText="1"/>
    </xf>
    <xf numFmtId="0" fontId="4" fillId="0" borderId="34" xfId="0" applyFont="1" applyBorder="1" applyAlignment="1">
      <alignment horizontal="left" wrapText="1"/>
    </xf>
    <xf numFmtId="0" fontId="4" fillId="0" borderId="33" xfId="0" quotePrefix="1" applyFont="1" applyBorder="1" applyAlignment="1">
      <alignment horizontal="left" vertical="center" wrapText="1"/>
    </xf>
    <xf numFmtId="0" fontId="4" fillId="0" borderId="40" xfId="0" quotePrefix="1" applyFont="1" applyBorder="1" applyAlignment="1">
      <alignment horizontal="left" vertical="center" wrapText="1"/>
    </xf>
    <xf numFmtId="0" fontId="19" fillId="4" borderId="0" xfId="0" applyFont="1" applyFill="1" applyAlignment="1">
      <alignment horizontal="center"/>
    </xf>
    <xf numFmtId="49" fontId="4" fillId="0" borderId="111" xfId="0" applyNumberFormat="1" applyFont="1" applyBorder="1" applyAlignment="1">
      <alignment horizontal="left" wrapText="1"/>
    </xf>
    <xf numFmtId="49" fontId="4" fillId="0" borderId="33" xfId="0" applyNumberFormat="1" applyFont="1" applyBorder="1" applyAlignment="1">
      <alignment horizontal="left" wrapText="1"/>
    </xf>
    <xf numFmtId="49" fontId="4" fillId="0" borderId="31" xfId="0" applyNumberFormat="1" applyFont="1" applyBorder="1" applyAlignment="1">
      <alignment horizontal="left" wrapText="1"/>
    </xf>
    <xf numFmtId="49" fontId="4" fillId="0" borderId="38" xfId="0" applyNumberFormat="1" applyFont="1" applyBorder="1" applyAlignment="1">
      <alignment horizontal="left" wrapText="1"/>
    </xf>
    <xf numFmtId="49" fontId="4" fillId="0" borderId="40" xfId="0" applyNumberFormat="1" applyFont="1" applyBorder="1" applyAlignment="1">
      <alignment horizontal="left" wrapText="1"/>
    </xf>
    <xf numFmtId="49" fontId="4" fillId="0" borderId="37" xfId="0" applyNumberFormat="1" applyFont="1" applyBorder="1" applyAlignment="1">
      <alignment horizontal="left" wrapText="1"/>
    </xf>
    <xf numFmtId="49" fontId="4" fillId="0" borderId="39" xfId="0" applyNumberFormat="1" applyFont="1" applyBorder="1" applyAlignment="1">
      <alignment horizontal="left" vertical="center" wrapText="1"/>
    </xf>
    <xf numFmtId="49" fontId="4" fillId="0" borderId="39" xfId="0" quotePrefix="1" applyNumberFormat="1" applyFont="1" applyBorder="1" applyAlignment="1">
      <alignment horizontal="left" vertical="center" wrapText="1"/>
    </xf>
    <xf numFmtId="49" fontId="22" fillId="6" borderId="36" xfId="0" applyNumberFormat="1" applyFont="1" applyFill="1" applyBorder="1" applyAlignment="1">
      <alignment horizontal="center" vertical="center"/>
    </xf>
    <xf numFmtId="49" fontId="133" fillId="6" borderId="20" xfId="0" applyNumberFormat="1" applyFont="1" applyFill="1" applyBorder="1" applyAlignment="1">
      <alignment horizontal="center" vertical="center"/>
    </xf>
    <xf numFmtId="49" fontId="133" fillId="6" borderId="23" xfId="0" applyNumberFormat="1" applyFont="1" applyFill="1" applyBorder="1" applyAlignment="1">
      <alignment horizontal="center" vertical="center"/>
    </xf>
    <xf numFmtId="0" fontId="22" fillId="0" borderId="36" xfId="0" applyFont="1" applyBorder="1" applyAlignment="1">
      <alignment horizontal="center"/>
    </xf>
    <xf numFmtId="0" fontId="22" fillId="0" borderId="20" xfId="0" applyFont="1" applyBorder="1" applyAlignment="1">
      <alignment horizontal="center"/>
    </xf>
    <xf numFmtId="0" fontId="22" fillId="0" borderId="23" xfId="0" applyFont="1" applyBorder="1" applyAlignment="1">
      <alignment horizontal="center"/>
    </xf>
    <xf numFmtId="49" fontId="4" fillId="2" borderId="71" xfId="0" quotePrefix="1" applyNumberFormat="1" applyFont="1" applyFill="1" applyBorder="1" applyAlignment="1">
      <alignment horizontal="left" vertical="center"/>
    </xf>
    <xf numFmtId="49" fontId="4" fillId="2" borderId="34" xfId="0" quotePrefix="1" applyNumberFormat="1" applyFont="1" applyFill="1" applyBorder="1" applyAlignment="1">
      <alignment horizontal="left" vertical="center"/>
    </xf>
    <xf numFmtId="0" fontId="193" fillId="2" borderId="40" xfId="0" applyFont="1" applyFill="1" applyBorder="1" applyAlignment="1">
      <alignment horizontal="center"/>
    </xf>
    <xf numFmtId="49" fontId="22" fillId="6" borderId="36" xfId="0" applyNumberFormat="1" applyFont="1" applyFill="1" applyBorder="1" applyAlignment="1">
      <alignment horizontal="center"/>
    </xf>
    <xf numFmtId="49" fontId="133" fillId="6" borderId="20" xfId="0" applyNumberFormat="1" applyFont="1" applyFill="1" applyBorder="1" applyAlignment="1">
      <alignment horizontal="center"/>
    </xf>
    <xf numFmtId="49" fontId="133" fillId="6" borderId="23" xfId="0" applyNumberFormat="1" applyFont="1" applyFill="1" applyBorder="1" applyAlignment="1">
      <alignment horizontal="center"/>
    </xf>
    <xf numFmtId="0" fontId="29" fillId="7" borderId="40" xfId="0" applyFont="1" applyFill="1" applyBorder="1" applyAlignment="1">
      <alignment horizontal="justify" vertical="center" wrapText="1"/>
    </xf>
    <xf numFmtId="0" fontId="193" fillId="2" borderId="0" xfId="0" applyFont="1" applyFill="1" applyAlignment="1">
      <alignment horizontal="left"/>
    </xf>
    <xf numFmtId="0" fontId="202" fillId="17" borderId="0" xfId="0" applyFont="1" applyFill="1" applyAlignment="1">
      <alignment horizontal="center" vertical="center"/>
    </xf>
    <xf numFmtId="0" fontId="203" fillId="18" borderId="0" xfId="0" applyFont="1" applyFill="1" applyAlignment="1">
      <alignment horizontal="center" vertical="center"/>
    </xf>
    <xf numFmtId="0" fontId="203" fillId="18" borderId="0" xfId="0" applyFont="1" applyFill="1" applyAlignment="1">
      <alignment horizontal="center" vertical="center" wrapText="1"/>
    </xf>
    <xf numFmtId="0" fontId="93" fillId="17" borderId="0" xfId="0" applyFont="1" applyFill="1" applyAlignment="1">
      <alignment horizontal="center" vertical="center"/>
    </xf>
    <xf numFmtId="0" fontId="29" fillId="0" borderId="0" xfId="0" applyFont="1" applyAlignment="1">
      <alignment horizontal="left" vertical="center"/>
    </xf>
    <xf numFmtId="0" fontId="105" fillId="7" borderId="0" xfId="0" applyFont="1" applyFill="1" applyAlignment="1">
      <alignment horizontal="center" vertical="center"/>
    </xf>
    <xf numFmtId="0" fontId="4" fillId="4" borderId="38" xfId="0" quotePrefix="1"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193" fillId="2" borderId="0" xfId="0" applyFont="1" applyFill="1" applyAlignment="1">
      <alignment horizontal="center"/>
    </xf>
    <xf numFmtId="0" fontId="22" fillId="0" borderId="39" xfId="0" applyFont="1" applyBorder="1" applyAlignment="1">
      <alignment horizontal="center"/>
    </xf>
    <xf numFmtId="0" fontId="22" fillId="0" borderId="1" xfId="0" applyFont="1" applyBorder="1"/>
    <xf numFmtId="0" fontId="22" fillId="0" borderId="58" xfId="0" applyFont="1" applyBorder="1"/>
    <xf numFmtId="0" fontId="29" fillId="0" borderId="2" xfId="0" applyFont="1" applyBorder="1" applyAlignment="1">
      <alignment horizontal="center" vertical="center"/>
    </xf>
    <xf numFmtId="0" fontId="29" fillId="0" borderId="4" xfId="0" applyFont="1" applyBorder="1" applyAlignment="1">
      <alignment horizontal="center"/>
    </xf>
    <xf numFmtId="0" fontId="29" fillId="0" borderId="2" xfId="0" applyFont="1" applyBorder="1" applyAlignment="1" applyProtection="1">
      <alignment horizontal="center" vertical="center"/>
      <protection locked="0" hidden="1"/>
    </xf>
    <xf numFmtId="0" fontId="29" fillId="0" borderId="4" xfId="0" applyFont="1" applyBorder="1" applyAlignment="1" applyProtection="1">
      <alignment horizontal="center" vertical="center"/>
      <protection locked="0" hidden="1"/>
    </xf>
    <xf numFmtId="0" fontId="29" fillId="0" borderId="12" xfId="0" applyFont="1" applyBorder="1" applyAlignment="1">
      <alignment horizontal="justify" vertical="center" wrapText="1"/>
    </xf>
    <xf numFmtId="49" fontId="4" fillId="2" borderId="0" xfId="0" quotePrefix="1" applyNumberFormat="1" applyFont="1" applyFill="1" applyAlignment="1">
      <alignment horizontal="left"/>
    </xf>
    <xf numFmtId="49" fontId="4" fillId="2" borderId="0" xfId="0" applyNumberFormat="1" applyFont="1" applyFill="1" applyAlignment="1">
      <alignment horizontal="left"/>
    </xf>
    <xf numFmtId="0" fontId="4" fillId="2" borderId="0" xfId="0" quotePrefix="1" applyFont="1" applyFill="1" applyAlignment="1">
      <alignment horizontal="left" wrapText="1"/>
    </xf>
    <xf numFmtId="0" fontId="4" fillId="0" borderId="0" xfId="0" applyFont="1" applyAlignment="1">
      <alignment wrapText="1"/>
    </xf>
    <xf numFmtId="0" fontId="201" fillId="18" borderId="0" xfId="0" applyFont="1" applyFill="1" applyAlignment="1">
      <alignment horizontal="center" vertical="center"/>
    </xf>
    <xf numFmtId="0" fontId="4" fillId="2" borderId="37" xfId="0" applyFont="1" applyFill="1" applyBorder="1" applyAlignment="1">
      <alignment horizontal="left" vertical="center" wrapText="1"/>
    </xf>
    <xf numFmtId="0" fontId="193" fillId="4" borderId="40" xfId="0" applyFont="1" applyFill="1" applyBorder="1" applyAlignment="1">
      <alignment horizontal="center" vertical="center"/>
    </xf>
    <xf numFmtId="49" fontId="4" fillId="2" borderId="71" xfId="0" applyNumberFormat="1" applyFont="1" applyFill="1" applyBorder="1" applyAlignment="1">
      <alignment horizontal="left" wrapText="1"/>
    </xf>
    <xf numFmtId="49" fontId="4" fillId="2" borderId="0" xfId="0" quotePrefix="1" applyNumberFormat="1" applyFont="1" applyFill="1" applyAlignment="1">
      <alignment horizontal="left" wrapText="1"/>
    </xf>
    <xf numFmtId="0" fontId="4" fillId="0" borderId="0" xfId="0" applyFont="1" applyAlignment="1">
      <alignment horizontal="left" wrapText="1"/>
    </xf>
    <xf numFmtId="0" fontId="15" fillId="0" borderId="21" xfId="0" applyFont="1" applyBorder="1" applyAlignment="1" applyProtection="1">
      <alignment horizontal="center" vertical="center"/>
      <protection locked="0" hidden="1"/>
    </xf>
    <xf numFmtId="0" fontId="4" fillId="0" borderId="36" xfId="0" applyFont="1" applyBorder="1" applyAlignment="1">
      <alignment horizontal="center"/>
    </xf>
    <xf numFmtId="0" fontId="4" fillId="0" borderId="20" xfId="0" applyFont="1" applyBorder="1" applyAlignment="1">
      <alignment horizontal="center"/>
    </xf>
    <xf numFmtId="0" fontId="4" fillId="0" borderId="23" xfId="0" applyFont="1" applyBorder="1" applyAlignment="1">
      <alignment horizontal="center"/>
    </xf>
    <xf numFmtId="49" fontId="4" fillId="4" borderId="1" xfId="0" applyNumberFormat="1" applyFont="1" applyFill="1" applyBorder="1" applyAlignment="1">
      <alignment horizontal="left" vertical="center" wrapText="1"/>
    </xf>
    <xf numFmtId="49" fontId="4" fillId="4" borderId="58" xfId="0" applyNumberFormat="1" applyFont="1" applyFill="1" applyBorder="1" applyAlignment="1">
      <alignment horizontal="left" vertical="center" wrapText="1"/>
    </xf>
    <xf numFmtId="0" fontId="193" fillId="2" borderId="40" xfId="0" applyFont="1" applyFill="1" applyBorder="1" applyAlignment="1">
      <alignment horizontal="left"/>
    </xf>
    <xf numFmtId="0" fontId="15" fillId="0" borderId="21" xfId="0" applyFont="1" applyBorder="1" applyAlignment="1">
      <alignment horizontal="center" vertical="center"/>
    </xf>
    <xf numFmtId="49" fontId="4" fillId="2" borderId="111" xfId="0" applyNumberFormat="1" applyFont="1" applyFill="1" applyBorder="1" applyAlignment="1">
      <alignment horizontal="left" vertical="center" wrapText="1"/>
    </xf>
    <xf numFmtId="49" fontId="4" fillId="2" borderId="33"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37" xfId="0" applyNumberFormat="1" applyFont="1" applyFill="1" applyBorder="1" applyAlignment="1">
      <alignment horizontal="left" vertical="center" wrapText="1"/>
    </xf>
    <xf numFmtId="0" fontId="4" fillId="2" borderId="11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193" fillId="2" borderId="40" xfId="0" applyFont="1" applyFill="1" applyBorder="1" applyAlignment="1">
      <alignment horizontal="center" vertical="center"/>
    </xf>
    <xf numFmtId="0" fontId="4" fillId="4" borderId="40" xfId="0" quotePrefix="1" applyFont="1" applyFill="1" applyBorder="1" applyAlignment="1">
      <alignment horizontal="left" vertical="center" wrapText="1"/>
    </xf>
    <xf numFmtId="0" fontId="4" fillId="4" borderId="37" xfId="0" quotePrefix="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8" xfId="0" applyNumberFormat="1" applyFont="1" applyBorder="1" applyAlignment="1">
      <alignment horizontal="left" vertical="center" wrapText="1"/>
    </xf>
    <xf numFmtId="0" fontId="4" fillId="0" borderId="35" xfId="0" applyFont="1" applyBorder="1" applyAlignment="1">
      <alignment horizontal="left" vertical="center" wrapText="1"/>
    </xf>
    <xf numFmtId="0" fontId="4" fillId="0" borderId="34" xfId="0" applyFont="1" applyBorder="1" applyAlignment="1">
      <alignment horizontal="left" vertical="center" wrapText="1"/>
    </xf>
    <xf numFmtId="49" fontId="4" fillId="4" borderId="35" xfId="0" quotePrefix="1" applyNumberFormat="1" applyFont="1" applyFill="1" applyBorder="1" applyAlignment="1">
      <alignment horizontal="left" vertical="center"/>
    </xf>
    <xf numFmtId="49" fontId="4" fillId="4" borderId="71" xfId="0" applyNumberFormat="1" applyFont="1" applyFill="1" applyBorder="1" applyAlignment="1">
      <alignment horizontal="left" vertical="center"/>
    </xf>
    <xf numFmtId="0" fontId="4" fillId="4" borderId="35"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15" fillId="4" borderId="2" xfId="0" applyFont="1" applyFill="1" applyBorder="1" applyAlignment="1" applyProtection="1">
      <alignment horizontal="center" vertical="center"/>
      <protection locked="0" hidden="1"/>
    </xf>
    <xf numFmtId="0" fontId="15" fillId="4" borderId="4" xfId="0" applyFont="1" applyFill="1" applyBorder="1" applyAlignment="1" applyProtection="1">
      <alignment horizontal="center" vertical="center"/>
      <protection locked="0" hidden="1"/>
    </xf>
    <xf numFmtId="0" fontId="4" fillId="4" borderId="39" xfId="0" applyFont="1" applyFill="1" applyBorder="1" applyAlignment="1">
      <alignment horizontal="center"/>
    </xf>
    <xf numFmtId="0" fontId="4" fillId="4" borderId="1" xfId="0" applyFont="1" applyFill="1" applyBorder="1"/>
    <xf numFmtId="0" fontId="4" fillId="4" borderId="58" xfId="0" applyFont="1" applyFill="1" applyBorder="1"/>
    <xf numFmtId="0" fontId="15" fillId="4" borderId="2" xfId="0" applyFont="1" applyFill="1" applyBorder="1" applyAlignment="1">
      <alignment horizontal="center" vertical="center"/>
    </xf>
    <xf numFmtId="0" fontId="4" fillId="4" borderId="4" xfId="0" applyFont="1" applyFill="1" applyBorder="1" applyAlignment="1">
      <alignment horizontal="center"/>
    </xf>
    <xf numFmtId="0" fontId="193" fillId="2" borderId="0" xfId="0" quotePrefix="1" applyFont="1" applyFill="1" applyAlignment="1">
      <alignment horizontal="center"/>
    </xf>
    <xf numFmtId="0" fontId="4" fillId="0" borderId="27" xfId="0" applyFont="1" applyBorder="1"/>
    <xf numFmtId="0" fontId="4" fillId="0" borderId="28" xfId="0" applyFont="1" applyBorder="1"/>
    <xf numFmtId="49" fontId="4" fillId="2" borderId="111" xfId="0" applyNumberFormat="1" applyFont="1" applyFill="1" applyBorder="1" applyAlignment="1">
      <alignment horizontal="left" vertical="center"/>
    </xf>
    <xf numFmtId="49" fontId="4" fillId="2" borderId="33" xfId="0" applyNumberFormat="1" applyFont="1" applyFill="1" applyBorder="1" applyAlignment="1">
      <alignment horizontal="left" vertical="center"/>
    </xf>
    <xf numFmtId="49" fontId="4" fillId="2" borderId="31" xfId="0" applyNumberFormat="1" applyFont="1" applyFill="1" applyBorder="1" applyAlignment="1">
      <alignment horizontal="left" vertical="center"/>
    </xf>
    <xf numFmtId="0" fontId="4" fillId="0" borderId="38" xfId="0" quotePrefix="1" applyFont="1" applyBorder="1" applyAlignment="1">
      <alignment horizontal="left" wrapText="1"/>
    </xf>
    <xf numFmtId="49" fontId="4" fillId="2" borderId="111" xfId="0" applyNumberFormat="1" applyFont="1" applyFill="1" applyBorder="1" applyAlignment="1">
      <alignment horizontal="left" wrapText="1"/>
    </xf>
    <xf numFmtId="49" fontId="4" fillId="2" borderId="33" xfId="0" applyNumberFormat="1" applyFont="1" applyFill="1" applyBorder="1" applyAlignment="1">
      <alignment horizontal="left" wrapText="1"/>
    </xf>
    <xf numFmtId="49" fontId="4" fillId="2" borderId="31" xfId="0" applyNumberFormat="1" applyFont="1" applyFill="1" applyBorder="1" applyAlignment="1">
      <alignment horizontal="left" wrapText="1"/>
    </xf>
    <xf numFmtId="49" fontId="4" fillId="2" borderId="38" xfId="0" applyNumberFormat="1" applyFont="1" applyFill="1" applyBorder="1" applyAlignment="1">
      <alignment horizontal="left" wrapText="1"/>
    </xf>
    <xf numFmtId="49" fontId="4" fillId="2" borderId="40" xfId="0" applyNumberFormat="1" applyFont="1" applyFill="1" applyBorder="1" applyAlignment="1">
      <alignment horizontal="left" wrapText="1"/>
    </xf>
    <xf numFmtId="49" fontId="4" fillId="2" borderId="37" xfId="0" applyNumberFormat="1" applyFont="1" applyFill="1" applyBorder="1" applyAlignment="1">
      <alignment horizontal="left" wrapText="1"/>
    </xf>
    <xf numFmtId="0" fontId="144" fillId="18" borderId="54" xfId="0" quotePrefix="1" applyFont="1" applyFill="1" applyBorder="1" applyAlignment="1">
      <alignment horizontal="left" vertical="center" wrapText="1"/>
    </xf>
    <xf numFmtId="0" fontId="144" fillId="18" borderId="32" xfId="0" quotePrefix="1" applyFont="1" applyFill="1" applyBorder="1" applyAlignment="1">
      <alignment horizontal="left" vertical="center" wrapText="1"/>
    </xf>
    <xf numFmtId="0" fontId="144" fillId="18" borderId="56" xfId="0" quotePrefix="1" applyFont="1" applyFill="1" applyBorder="1" applyAlignment="1">
      <alignment horizontal="left" vertical="center" wrapText="1"/>
    </xf>
    <xf numFmtId="49" fontId="22" fillId="6" borderId="20" xfId="0" applyNumberFormat="1" applyFont="1" applyFill="1" applyBorder="1" applyAlignment="1">
      <alignment horizontal="center"/>
    </xf>
    <xf numFmtId="49" fontId="22" fillId="6" borderId="23" xfId="0" applyNumberFormat="1" applyFont="1" applyFill="1" applyBorder="1" applyAlignment="1">
      <alignment horizontal="center"/>
    </xf>
    <xf numFmtId="0" fontId="4" fillId="4" borderId="35" xfId="0" applyFont="1" applyFill="1" applyBorder="1" applyAlignment="1">
      <alignment horizontal="left" wrapText="1"/>
    </xf>
    <xf numFmtId="0" fontId="4" fillId="4" borderId="34" xfId="0" applyFont="1" applyFill="1" applyBorder="1" applyAlignment="1">
      <alignment horizontal="left" wrapText="1"/>
    </xf>
    <xf numFmtId="0" fontId="198" fillId="6" borderId="0" xfId="0" applyFont="1" applyFill="1" applyAlignment="1">
      <alignment horizontal="center" vertical="center"/>
    </xf>
    <xf numFmtId="0" fontId="144" fillId="19" borderId="176" xfId="0" applyFont="1" applyFill="1" applyBorder="1" applyAlignment="1">
      <alignment horizontal="center" vertical="center"/>
    </xf>
  </cellXfs>
  <cellStyles count="7">
    <cellStyle name="20% - Énfasis1" xfId="6" builtinId="30"/>
    <cellStyle name="Euro" xfId="1"/>
    <cellStyle name="Millares" xfId="2" builtinId="3"/>
    <cellStyle name="Moneda" xfId="3" builtinId="4"/>
    <cellStyle name="Normal" xfId="0" builtinId="0"/>
    <cellStyle name="Normal 4" xfId="4"/>
    <cellStyle name="Porcentaje" xfId="5" builtinId="5"/>
  </cellStyles>
  <dxfs count="0"/>
  <tableStyles count="0" defaultTableStyle="TableStyleMedium9" defaultPivotStyle="PivotStyleLight16"/>
  <colors>
    <mruColors>
      <color rgb="FFFF00FF"/>
      <color rgb="FFFFFF99"/>
      <color rgb="FF33CCCC"/>
      <color rgb="FFFFCC99"/>
      <color rgb="FF2F0BB5"/>
      <color rgb="FFFFCCFF"/>
      <color rgb="FF00FFFF"/>
      <color rgb="FF99FF66"/>
      <color rgb="FFFF99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14359" name="Rectangle 3">
          <a:extLst>
            <a:ext uri="{FF2B5EF4-FFF2-40B4-BE49-F238E27FC236}">
              <a16:creationId xmlns:a16="http://schemas.microsoft.com/office/drawing/2014/main" id="{00000000-0008-0000-0200-000017380000}"/>
            </a:ext>
          </a:extLst>
        </xdr:cNvPr>
        <xdr:cNvSpPr>
          <a:spLocks noChangeArrowheads="1"/>
        </xdr:cNvSpPr>
      </xdr:nvSpPr>
      <xdr:spPr bwMode="auto">
        <a:xfrm>
          <a:off x="9677400" y="0"/>
          <a:ext cx="0" cy="0"/>
        </a:xfrm>
        <a:prstGeom prst="rect">
          <a:avLst/>
        </a:prstGeom>
        <a:solidFill>
          <a:srgbClr val="FFFFCC"/>
        </a:solidFill>
        <a:ln w="9525">
          <a:solidFill>
            <a:srgbClr val="000000"/>
          </a:solidFill>
          <a:miter lim="800000"/>
          <a:headEnd/>
          <a:tailEnd/>
        </a:ln>
      </xdr:spPr>
    </xdr:sp>
    <xdr:clientData/>
  </xdr:twoCellAnchor>
  <xdr:twoCellAnchor>
    <xdr:from>
      <xdr:col>13</xdr:col>
      <xdr:colOff>0</xdr:colOff>
      <xdr:row>0</xdr:row>
      <xdr:rowOff>0</xdr:rowOff>
    </xdr:from>
    <xdr:to>
      <xdr:col>13</xdr:col>
      <xdr:colOff>0</xdr:colOff>
      <xdr:row>0</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6953250" y="638175"/>
          <a:ext cx="466725" cy="20955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1F497D"/>
      </a:dk2>
      <a:lt2>
        <a:srgbClr val="EEECE1"/>
      </a:lt2>
      <a:accent1>
        <a:srgbClr val="C3D69B"/>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206"/>
  <sheetViews>
    <sheetView zoomScale="96" zoomScaleNormal="96" workbookViewId="0">
      <selection activeCell="H4" sqref="H4"/>
    </sheetView>
  </sheetViews>
  <sheetFormatPr baseColWidth="10" defaultColWidth="11.42578125" defaultRowHeight="12.75"/>
  <cols>
    <col min="1" max="1" width="11" style="224" customWidth="1"/>
    <col min="2" max="2" width="10.5703125" style="224" customWidth="1"/>
    <col min="3" max="3" width="14.7109375" style="224" customWidth="1"/>
    <col min="4" max="4" width="14.42578125" style="224" customWidth="1"/>
    <col min="5" max="5" width="16.5703125" style="224" customWidth="1"/>
    <col min="6" max="6" width="10.140625" style="224" customWidth="1"/>
    <col min="7" max="7" width="11.85546875" style="224" customWidth="1"/>
    <col min="8" max="8" width="22.5703125" style="224" customWidth="1"/>
    <col min="9" max="9" width="11.42578125" style="224"/>
    <col min="10" max="10" width="13.42578125" style="224" bestFit="1" customWidth="1"/>
    <col min="11" max="16384" width="11.42578125" style="224"/>
  </cols>
  <sheetData>
    <row r="1" spans="1:7">
      <c r="A1" s="1330"/>
      <c r="B1" s="1330"/>
      <c r="C1" s="1330"/>
      <c r="D1" s="593"/>
      <c r="E1" s="593"/>
      <c r="F1" s="593"/>
      <c r="G1" s="593"/>
    </row>
    <row r="2" spans="1:7" ht="25.5" customHeight="1">
      <c r="A2" s="1331" t="s">
        <v>322</v>
      </c>
      <c r="B2" s="1331"/>
      <c r="C2" s="1331"/>
      <c r="D2" s="1331"/>
      <c r="E2" s="1331"/>
      <c r="F2" s="1331"/>
      <c r="G2" s="1331"/>
    </row>
    <row r="3" spans="1:7" ht="21" customHeight="1">
      <c r="A3" s="1324" t="s">
        <v>323</v>
      </c>
      <c r="B3" s="1324"/>
      <c r="C3" s="1324"/>
      <c r="D3" s="1324"/>
      <c r="E3" s="1324"/>
      <c r="F3" s="1324"/>
      <c r="G3" s="1324"/>
    </row>
    <row r="4" spans="1:7" ht="20.25" customHeight="1">
      <c r="A4" s="1332" t="s">
        <v>324</v>
      </c>
      <c r="B4" s="1332"/>
      <c r="C4" s="1332"/>
      <c r="D4" s="1332"/>
      <c r="E4" s="1332"/>
      <c r="F4" s="1332"/>
      <c r="G4" s="1332"/>
    </row>
    <row r="5" spans="1:7">
      <c r="A5" s="1333" t="s">
        <v>325</v>
      </c>
      <c r="B5" s="1333"/>
      <c r="C5" s="1333"/>
      <c r="D5" s="1333"/>
      <c r="E5" s="1333"/>
      <c r="F5" s="1333"/>
      <c r="G5" s="1333"/>
    </row>
    <row r="6" spans="1:7" ht="35.25" customHeight="1">
      <c r="A6" s="1334" t="s">
        <v>897</v>
      </c>
      <c r="B6" s="1335"/>
      <c r="C6" s="1335"/>
      <c r="D6" s="1335"/>
      <c r="E6" s="1335"/>
      <c r="F6" s="1335"/>
      <c r="G6" s="1335"/>
    </row>
    <row r="7" spans="1:7" ht="31.5" customHeight="1">
      <c r="A7" s="1336" t="s">
        <v>326</v>
      </c>
      <c r="B7" s="1336"/>
      <c r="C7" s="1336"/>
      <c r="D7" s="1336"/>
      <c r="E7" s="1336"/>
      <c r="F7" s="1336"/>
      <c r="G7" s="1336"/>
    </row>
    <row r="8" spans="1:7" ht="20.25">
      <c r="A8" s="1337" t="s">
        <v>753</v>
      </c>
      <c r="B8" s="1324"/>
      <c r="C8" s="1324"/>
      <c r="D8" s="1324"/>
      <c r="E8" s="1324"/>
      <c r="F8" s="1324"/>
      <c r="G8" s="1324"/>
    </row>
    <row r="9" spans="1:7" ht="20.25">
      <c r="A9" s="1324" t="s">
        <v>327</v>
      </c>
      <c r="B9" s="1324"/>
      <c r="C9" s="1324"/>
      <c r="D9" s="1324"/>
      <c r="E9" s="1324"/>
      <c r="F9" s="1324"/>
      <c r="G9" s="1324"/>
    </row>
    <row r="10" spans="1:7" ht="20.25">
      <c r="A10" s="1324" t="s">
        <v>328</v>
      </c>
      <c r="B10" s="1324"/>
      <c r="C10" s="1324"/>
      <c r="D10" s="1324"/>
      <c r="E10" s="1324"/>
      <c r="F10" s="1324"/>
      <c r="G10" s="1324"/>
    </row>
    <row r="11" spans="1:7">
      <c r="A11" s="593"/>
      <c r="B11" s="593"/>
      <c r="C11" s="593"/>
      <c r="D11" s="593"/>
      <c r="E11" s="593"/>
      <c r="F11" s="593"/>
      <c r="G11" s="593"/>
    </row>
    <row r="12" spans="1:7" ht="24.75" customHeight="1">
      <c r="A12" s="594" t="s">
        <v>329</v>
      </c>
      <c r="B12" s="1317" t="s">
        <v>414</v>
      </c>
      <c r="C12" s="1318"/>
      <c r="D12" s="1318"/>
      <c r="E12" s="1318"/>
      <c r="F12" s="1325" t="s">
        <v>330</v>
      </c>
      <c r="G12" s="1326"/>
    </row>
    <row r="13" spans="1:7">
      <c r="A13" s="595">
        <v>11</v>
      </c>
      <c r="B13" s="1327" t="s">
        <v>210</v>
      </c>
      <c r="C13" s="1327"/>
      <c r="D13" s="1327"/>
      <c r="E13" s="1327"/>
      <c r="F13" s="1328">
        <f>SUM(Ingresos!M9,Ingresos!M15,Ingresos!M16)</f>
        <v>34750.300000000003</v>
      </c>
      <c r="G13" s="1329"/>
    </row>
    <row r="14" spans="1:7">
      <c r="A14" s="596">
        <v>12</v>
      </c>
      <c r="B14" s="1322" t="s">
        <v>331</v>
      </c>
      <c r="C14" s="1322"/>
      <c r="D14" s="1322"/>
      <c r="E14" s="1322"/>
      <c r="F14" s="1321">
        <f>SUM(Ingresos!M17,Ingresos!M18,Ingresos!M19,Ingresos!M21,Ingresos!M22,Ingresos!M23,Ingresos!M24,Ingresos!M25,Ingresos!M26,Ingresos!M27,Ingresos!M28,Ingresos!M29,Ingresos!M30,Ingresos!M31)</f>
        <v>165131.85999999996</v>
      </c>
      <c r="G14" s="1321"/>
    </row>
    <row r="15" spans="1:7">
      <c r="A15" s="596">
        <v>14</v>
      </c>
      <c r="B15" s="1322" t="s">
        <v>332</v>
      </c>
      <c r="C15" s="1322"/>
      <c r="D15" s="1322"/>
      <c r="E15" s="1322"/>
      <c r="F15" s="1321">
        <f>SUM(Ingresos!M32,Ingresos!M33)</f>
        <v>13465.24</v>
      </c>
      <c r="G15" s="1321"/>
    </row>
    <row r="16" spans="1:7">
      <c r="A16" s="596">
        <v>15</v>
      </c>
      <c r="B16" s="1322" t="s">
        <v>333</v>
      </c>
      <c r="C16" s="1322"/>
      <c r="D16" s="1322"/>
      <c r="E16" s="1322"/>
      <c r="F16" s="1323">
        <f>SUM(Ingresos!M35,Ingresos!M36,Ingresos!M37,Ingresos!M39:M40)</f>
        <v>5144.91</v>
      </c>
      <c r="G16" s="1321"/>
    </row>
    <row r="17" spans="1:7">
      <c r="A17" s="596">
        <v>16</v>
      </c>
      <c r="B17" s="1322" t="s">
        <v>111</v>
      </c>
      <c r="C17" s="1322"/>
      <c r="D17" s="1322"/>
      <c r="E17" s="1322"/>
      <c r="F17" s="1321">
        <f>SUM(Ingresos!M41)</f>
        <v>359385.28</v>
      </c>
      <c r="G17" s="1321"/>
    </row>
    <row r="18" spans="1:7" hidden="1">
      <c r="A18" s="596">
        <v>22</v>
      </c>
      <c r="B18" s="1322" t="s">
        <v>334</v>
      </c>
      <c r="C18" s="1322"/>
      <c r="D18" s="1322"/>
      <c r="E18" s="1322"/>
      <c r="F18" s="1321">
        <f>SUM(Ingresos!N44)</f>
        <v>0</v>
      </c>
      <c r="G18" s="1321"/>
    </row>
    <row r="19" spans="1:7" hidden="1">
      <c r="A19" s="596">
        <v>31</v>
      </c>
      <c r="B19" s="1322" t="s">
        <v>335</v>
      </c>
      <c r="C19" s="1322"/>
      <c r="D19" s="1322"/>
      <c r="E19" s="1322"/>
      <c r="F19" s="1321"/>
      <c r="G19" s="1321"/>
    </row>
    <row r="20" spans="1:7">
      <c r="A20" s="596">
        <v>32</v>
      </c>
      <c r="B20" s="1322" t="s">
        <v>235</v>
      </c>
      <c r="C20" s="1322"/>
      <c r="D20" s="1322"/>
      <c r="E20" s="1322"/>
      <c r="F20" s="1321">
        <f>SUM(Ingresos!M47,Ingresos!M48,Ingresos!M49)</f>
        <v>1224598.98</v>
      </c>
      <c r="G20" s="1321"/>
    </row>
    <row r="21" spans="1:7" ht="15.75">
      <c r="A21" s="1309" t="s">
        <v>336</v>
      </c>
      <c r="B21" s="1309"/>
      <c r="C21" s="1309"/>
      <c r="D21" s="1309"/>
      <c r="E21" s="1309"/>
      <c r="F21" s="1310">
        <f>SUM(F13:F20)</f>
        <v>1802476.5699999998</v>
      </c>
      <c r="G21" s="1310"/>
    </row>
    <row r="22" spans="1:7">
      <c r="A22" s="593"/>
      <c r="B22" s="593"/>
      <c r="C22" s="593"/>
      <c r="D22" s="593"/>
      <c r="E22" s="593"/>
      <c r="F22" s="593"/>
      <c r="G22" s="593"/>
    </row>
    <row r="23" spans="1:7">
      <c r="A23" s="593"/>
      <c r="B23" s="593"/>
      <c r="C23" s="593"/>
      <c r="D23" s="593"/>
      <c r="E23" s="593"/>
      <c r="F23" s="593"/>
      <c r="G23" s="593"/>
    </row>
    <row r="24" spans="1:7">
      <c r="A24" s="593"/>
      <c r="B24" s="593"/>
      <c r="C24" s="593"/>
      <c r="D24" s="593"/>
      <c r="E24" s="593"/>
      <c r="F24" s="593"/>
      <c r="G24" s="593"/>
    </row>
    <row r="25" spans="1:7">
      <c r="A25" s="1315" t="s">
        <v>754</v>
      </c>
      <c r="B25" s="1316"/>
      <c r="C25" s="1316"/>
      <c r="D25" s="1316"/>
      <c r="E25" s="1316"/>
      <c r="F25" s="1316"/>
      <c r="G25" s="1316"/>
    </row>
    <row r="26" spans="1:7">
      <c r="A26" s="1316" t="s">
        <v>327</v>
      </c>
      <c r="B26" s="1316"/>
      <c r="C26" s="1316"/>
      <c r="D26" s="1316"/>
      <c r="E26" s="1316"/>
      <c r="F26" s="1316"/>
      <c r="G26" s="1316"/>
    </row>
    <row r="27" spans="1:7">
      <c r="A27" s="1316" t="s">
        <v>328</v>
      </c>
      <c r="B27" s="1316"/>
      <c r="C27" s="1316"/>
      <c r="D27" s="1316"/>
      <c r="E27" s="1316"/>
      <c r="F27" s="1316"/>
      <c r="G27" s="1316"/>
    </row>
    <row r="28" spans="1:7">
      <c r="A28" s="597"/>
      <c r="B28" s="597"/>
      <c r="C28" s="597"/>
      <c r="D28" s="597"/>
      <c r="E28" s="597"/>
      <c r="F28" s="593"/>
      <c r="G28" s="593"/>
    </row>
    <row r="29" spans="1:7" ht="21.75" customHeight="1">
      <c r="A29" s="594" t="s">
        <v>329</v>
      </c>
      <c r="B29" s="1317" t="s">
        <v>415</v>
      </c>
      <c r="C29" s="1318"/>
      <c r="D29" s="1318"/>
      <c r="E29" s="1318"/>
      <c r="F29" s="1319" t="s">
        <v>170</v>
      </c>
      <c r="G29" s="1320"/>
    </row>
    <row r="30" spans="1:7">
      <c r="A30" s="596">
        <v>51</v>
      </c>
      <c r="B30" s="1306" t="s">
        <v>337</v>
      </c>
      <c r="C30" s="1306"/>
      <c r="D30" s="1306"/>
      <c r="E30" s="1306"/>
      <c r="F30" s="1321">
        <f>SUM('concent, de egresos. carta'!K20)</f>
        <v>760969.62450000003</v>
      </c>
      <c r="G30" s="1321"/>
    </row>
    <row r="31" spans="1:7">
      <c r="A31" s="596">
        <v>54</v>
      </c>
      <c r="B31" s="1306" t="s">
        <v>338</v>
      </c>
      <c r="C31" s="1306"/>
      <c r="D31" s="1306"/>
      <c r="E31" s="1306"/>
      <c r="F31" s="1307">
        <f>SUM('concent, de egresos. carta'!K65)</f>
        <v>385457.2</v>
      </c>
      <c r="G31" s="1308"/>
    </row>
    <row r="32" spans="1:7">
      <c r="A32" s="596">
        <v>55</v>
      </c>
      <c r="B32" s="1306" t="s">
        <v>339</v>
      </c>
      <c r="C32" s="1306"/>
      <c r="D32" s="1306"/>
      <c r="E32" s="1306"/>
      <c r="F32" s="1307">
        <f>SUM('concent, de egresos. carta'!K72)</f>
        <v>650</v>
      </c>
      <c r="G32" s="1308"/>
    </row>
    <row r="33" spans="1:14">
      <c r="A33" s="596">
        <v>56</v>
      </c>
      <c r="B33" s="1306" t="s">
        <v>340</v>
      </c>
      <c r="C33" s="1306"/>
      <c r="D33" s="1306"/>
      <c r="E33" s="1306"/>
      <c r="F33" s="1307">
        <f>SUM('concent, de egresos. carta'!K76)</f>
        <v>430549.75</v>
      </c>
      <c r="G33" s="1308"/>
    </row>
    <row r="34" spans="1:14">
      <c r="A34" s="596">
        <v>61</v>
      </c>
      <c r="B34" s="1306" t="s">
        <v>341</v>
      </c>
      <c r="C34" s="1306"/>
      <c r="D34" s="1306"/>
      <c r="E34" s="1306"/>
      <c r="F34" s="1307">
        <f>SUM('concent, de egresos. carta'!K93)</f>
        <v>224849.99</v>
      </c>
      <c r="G34" s="1308"/>
    </row>
    <row r="35" spans="1:14" hidden="1">
      <c r="A35" s="596">
        <v>62</v>
      </c>
      <c r="B35" s="1312" t="s">
        <v>233</v>
      </c>
      <c r="C35" s="1313"/>
      <c r="D35" s="1313"/>
      <c r="E35" s="1314"/>
      <c r="F35" s="1307"/>
      <c r="G35" s="1308"/>
    </row>
    <row r="36" spans="1:14" ht="15.75" hidden="1" customHeight="1">
      <c r="A36" s="596">
        <v>71</v>
      </c>
      <c r="B36" s="1306" t="s">
        <v>342</v>
      </c>
      <c r="C36" s="1306"/>
      <c r="D36" s="1306"/>
      <c r="E36" s="1306"/>
      <c r="F36" s="1307">
        <f>SUM('concent, de egresos. carta'!K95)</f>
        <v>0</v>
      </c>
      <c r="G36" s="1308"/>
    </row>
    <row r="37" spans="1:14" ht="15.75" hidden="1" customHeight="1">
      <c r="A37" s="596">
        <v>72</v>
      </c>
      <c r="B37" s="1306" t="s">
        <v>235</v>
      </c>
      <c r="C37" s="1306"/>
      <c r="D37" s="1306"/>
      <c r="E37" s="1306"/>
      <c r="F37" s="1307"/>
      <c r="G37" s="1308"/>
      <c r="J37" s="255"/>
    </row>
    <row r="38" spans="1:14" ht="18" customHeight="1">
      <c r="A38" s="1309" t="s">
        <v>343</v>
      </c>
      <c r="B38" s="1309"/>
      <c r="C38" s="1309"/>
      <c r="D38" s="1309"/>
      <c r="E38" s="1309"/>
      <c r="F38" s="1310">
        <f>SUM(F30:F37)+0.01</f>
        <v>1802476.5745000001</v>
      </c>
      <c r="G38" s="1310"/>
      <c r="H38" s="590">
        <f>F21-F38+M38</f>
        <v>-4.5000002719461918E-3</v>
      </c>
    </row>
    <row r="39" spans="1:14" ht="12" customHeight="1">
      <c r="A39" s="593"/>
      <c r="B39" s="593"/>
      <c r="C39" s="593"/>
      <c r="D39" s="593"/>
      <c r="E39" s="593"/>
      <c r="F39" s="593"/>
      <c r="G39" s="593"/>
    </row>
    <row r="40" spans="1:14" ht="12" customHeight="1">
      <c r="A40" s="593"/>
      <c r="B40" s="593"/>
      <c r="C40" s="593"/>
      <c r="D40" s="593"/>
      <c r="E40" s="593"/>
      <c r="F40" s="593"/>
      <c r="G40" s="593"/>
    </row>
    <row r="41" spans="1:14" ht="45.75" customHeight="1">
      <c r="A41" s="1278" t="s">
        <v>344</v>
      </c>
      <c r="B41" s="1278"/>
      <c r="C41" s="1278"/>
      <c r="D41" s="1278"/>
      <c r="E41" s="1278"/>
      <c r="F41" s="1278"/>
      <c r="G41" s="1278"/>
    </row>
    <row r="42" spans="1:14">
      <c r="A42" s="599"/>
      <c r="B42" s="599"/>
      <c r="C42" s="599"/>
      <c r="D42" s="599"/>
      <c r="E42" s="599"/>
      <c r="F42" s="599"/>
      <c r="G42" s="599"/>
    </row>
    <row r="43" spans="1:14" ht="22.5" customHeight="1">
      <c r="A43" s="1284" t="s">
        <v>345</v>
      </c>
      <c r="B43" s="1284"/>
      <c r="C43" s="1284"/>
      <c r="D43" s="1284"/>
      <c r="E43" s="1284"/>
      <c r="F43" s="1284"/>
      <c r="G43" s="1284"/>
    </row>
    <row r="44" spans="1:14" ht="27" customHeight="1">
      <c r="A44" s="1284" t="s">
        <v>346</v>
      </c>
      <c r="B44" s="1284"/>
      <c r="C44" s="1284"/>
      <c r="D44" s="1284"/>
      <c r="E44" s="1284"/>
      <c r="F44" s="1284"/>
      <c r="G44" s="1284"/>
    </row>
    <row r="45" spans="1:14" ht="9" customHeight="1">
      <c r="A45" s="598"/>
      <c r="B45" s="599"/>
      <c r="C45" s="599"/>
      <c r="D45" s="599"/>
      <c r="E45" s="599"/>
      <c r="F45" s="599"/>
      <c r="G45" s="599"/>
    </row>
    <row r="46" spans="1:14" ht="62.25" customHeight="1">
      <c r="A46" s="1311" t="s">
        <v>896</v>
      </c>
      <c r="B46" s="1311"/>
      <c r="C46" s="1311"/>
      <c r="D46" s="1311"/>
      <c r="E46" s="1311"/>
      <c r="F46" s="1311"/>
      <c r="G46" s="1311"/>
    </row>
    <row r="47" spans="1:14" ht="94.5" customHeight="1">
      <c r="A47" s="1298" t="s">
        <v>898</v>
      </c>
      <c r="B47" s="1278"/>
      <c r="C47" s="1278"/>
      <c r="D47" s="1278"/>
      <c r="E47" s="1278"/>
      <c r="F47" s="1278"/>
      <c r="G47" s="1278"/>
    </row>
    <row r="48" spans="1:14" ht="24.75" customHeight="1">
      <c r="A48" s="1302" t="s">
        <v>616</v>
      </c>
      <c r="B48" s="1302"/>
      <c r="C48" s="1302"/>
      <c r="D48" s="1302"/>
      <c r="E48" s="1302"/>
      <c r="F48" s="1302"/>
      <c r="G48" s="1302"/>
      <c r="H48" s="1265"/>
      <c r="I48" s="1265"/>
      <c r="J48" s="1265"/>
      <c r="K48" s="1265"/>
      <c r="L48" s="1265"/>
      <c r="M48" s="1265"/>
      <c r="N48" s="1265"/>
    </row>
    <row r="49" spans="1:14" ht="75.75" customHeight="1">
      <c r="A49" s="1298" t="s">
        <v>396</v>
      </c>
      <c r="B49" s="1278"/>
      <c r="C49" s="1278"/>
      <c r="D49" s="1278"/>
      <c r="E49" s="1278"/>
      <c r="F49" s="1278"/>
      <c r="G49" s="1278"/>
    </row>
    <row r="50" spans="1:14" ht="27" customHeight="1">
      <c r="A50" s="1302" t="s">
        <v>617</v>
      </c>
      <c r="B50" s="1302"/>
      <c r="C50" s="1302"/>
      <c r="D50" s="1302"/>
      <c r="E50" s="1302"/>
      <c r="F50" s="1302"/>
      <c r="G50" s="1302"/>
      <c r="H50" s="1265"/>
      <c r="I50" s="1265"/>
      <c r="J50" s="1265"/>
      <c r="K50" s="1265"/>
      <c r="L50" s="1265"/>
      <c r="M50" s="1265"/>
      <c r="N50" s="1265"/>
    </row>
    <row r="51" spans="1:14" ht="53.25" customHeight="1">
      <c r="A51" s="1298" t="s">
        <v>347</v>
      </c>
      <c r="B51" s="1278"/>
      <c r="C51" s="1278"/>
      <c r="D51" s="1278"/>
      <c r="E51" s="1278"/>
      <c r="F51" s="1278"/>
      <c r="G51" s="1278"/>
    </row>
    <row r="52" spans="1:14" ht="27.75" customHeight="1">
      <c r="A52" s="1302" t="s">
        <v>618</v>
      </c>
      <c r="B52" s="1302"/>
      <c r="C52" s="1302"/>
      <c r="D52" s="1302"/>
      <c r="E52" s="1302"/>
      <c r="F52" s="1302"/>
      <c r="G52" s="1302"/>
      <c r="H52" s="1265"/>
      <c r="I52" s="1265"/>
      <c r="J52" s="1265"/>
      <c r="K52" s="1265"/>
      <c r="L52" s="1265"/>
      <c r="M52" s="1265"/>
      <c r="N52" s="1265"/>
    </row>
    <row r="53" spans="1:14" ht="49.5" customHeight="1">
      <c r="A53" s="1298" t="s">
        <v>348</v>
      </c>
      <c r="B53" s="1278"/>
      <c r="C53" s="1278"/>
      <c r="D53" s="1278"/>
      <c r="E53" s="1278"/>
      <c r="F53" s="1278"/>
      <c r="G53" s="1278"/>
    </row>
    <row r="54" spans="1:14" ht="24.75" customHeight="1">
      <c r="A54" s="1302" t="s">
        <v>619</v>
      </c>
      <c r="B54" s="1302"/>
      <c r="C54" s="1302"/>
      <c r="D54" s="1302"/>
      <c r="E54" s="1302"/>
      <c r="F54" s="1302"/>
      <c r="G54" s="1302"/>
      <c r="H54" s="1265"/>
      <c r="I54" s="1265"/>
      <c r="J54" s="1265"/>
      <c r="K54" s="1265"/>
      <c r="L54" s="1265"/>
      <c r="M54" s="1265"/>
      <c r="N54" s="1265"/>
    </row>
    <row r="55" spans="1:14" ht="63.75" customHeight="1">
      <c r="A55" s="1298" t="s">
        <v>899</v>
      </c>
      <c r="B55" s="1278"/>
      <c r="C55" s="1278"/>
      <c r="D55" s="1278"/>
      <c r="E55" s="1278"/>
      <c r="F55" s="1278"/>
      <c r="G55" s="1278"/>
    </row>
    <row r="56" spans="1:14" ht="30" customHeight="1">
      <c r="A56" s="1278" t="s">
        <v>349</v>
      </c>
      <c r="B56" s="1278"/>
      <c r="C56" s="1278"/>
      <c r="D56" s="1278"/>
      <c r="E56" s="1278"/>
      <c r="F56" s="1278"/>
      <c r="G56" s="1278"/>
    </row>
    <row r="57" spans="1:14" ht="17.25" customHeight="1">
      <c r="A57" s="1278" t="s">
        <v>350</v>
      </c>
      <c r="B57" s="1278"/>
      <c r="C57" s="1278"/>
      <c r="D57" s="1278"/>
      <c r="E57" s="1278"/>
      <c r="F57" s="1278"/>
      <c r="G57" s="1278"/>
    </row>
    <row r="58" spans="1:14" ht="30.75" customHeight="1">
      <c r="A58" s="1278" t="s">
        <v>351</v>
      </c>
      <c r="B58" s="1278"/>
      <c r="C58" s="1278"/>
      <c r="D58" s="1278"/>
      <c r="E58" s="1278"/>
      <c r="F58" s="1278"/>
      <c r="G58" s="1278"/>
    </row>
    <row r="59" spans="1:14" ht="29.25" customHeight="1">
      <c r="A59" s="1298" t="s">
        <v>352</v>
      </c>
      <c r="B59" s="1278"/>
      <c r="C59" s="1278"/>
      <c r="D59" s="1278"/>
      <c r="E59" s="1278"/>
      <c r="F59" s="1278"/>
      <c r="G59" s="1278"/>
    </row>
    <row r="60" spans="1:14" ht="30" customHeight="1">
      <c r="A60" s="1302" t="s">
        <v>620</v>
      </c>
      <c r="B60" s="1302"/>
      <c r="C60" s="1302"/>
      <c r="D60" s="1302"/>
      <c r="E60" s="1302"/>
      <c r="F60" s="1302"/>
      <c r="G60" s="1302"/>
      <c r="H60" s="1265"/>
      <c r="I60" s="1265"/>
      <c r="J60" s="1265"/>
      <c r="K60" s="1265"/>
      <c r="L60" s="1265"/>
      <c r="M60" s="1265"/>
      <c r="N60" s="1265"/>
    </row>
    <row r="61" spans="1:14" ht="45" customHeight="1">
      <c r="A61" s="1298" t="s">
        <v>900</v>
      </c>
      <c r="B61" s="1278"/>
      <c r="C61" s="1278"/>
      <c r="D61" s="1278"/>
      <c r="E61" s="1278"/>
      <c r="F61" s="1278"/>
      <c r="G61" s="1278"/>
    </row>
    <row r="62" spans="1:14" ht="30.75" customHeight="1">
      <c r="A62" s="1302" t="s">
        <v>621</v>
      </c>
      <c r="B62" s="1302"/>
      <c r="C62" s="1302"/>
      <c r="D62" s="1302"/>
      <c r="E62" s="1302"/>
      <c r="F62" s="1302"/>
      <c r="G62" s="1302"/>
      <c r="H62" s="1265"/>
      <c r="I62" s="1265"/>
      <c r="J62" s="1265"/>
      <c r="K62" s="1265"/>
      <c r="L62" s="1265"/>
      <c r="M62" s="1265"/>
      <c r="N62" s="1265"/>
    </row>
    <row r="63" spans="1:14" ht="63.75" customHeight="1">
      <c r="A63" s="1298" t="s">
        <v>353</v>
      </c>
      <c r="B63" s="1278"/>
      <c r="C63" s="1278"/>
      <c r="D63" s="1278"/>
      <c r="E63" s="1278"/>
      <c r="F63" s="1278"/>
      <c r="G63" s="1278"/>
    </row>
    <row r="64" spans="1:14" ht="26.25" customHeight="1">
      <c r="A64" s="1302" t="s">
        <v>622</v>
      </c>
      <c r="B64" s="1302"/>
      <c r="C64" s="1302"/>
      <c r="D64" s="1302"/>
      <c r="E64" s="1302"/>
      <c r="F64" s="1302"/>
      <c r="G64" s="1302"/>
      <c r="H64" s="1265"/>
      <c r="I64" s="1265"/>
      <c r="J64" s="1265"/>
      <c r="K64" s="1265"/>
      <c r="L64" s="1265"/>
      <c r="M64" s="1265"/>
      <c r="N64" s="1265"/>
    </row>
    <row r="65" spans="1:14" ht="27.75" customHeight="1">
      <c r="A65" s="1298" t="s">
        <v>354</v>
      </c>
      <c r="B65" s="1278"/>
      <c r="C65" s="1278"/>
      <c r="D65" s="1278"/>
      <c r="E65" s="1278"/>
      <c r="F65" s="1278"/>
      <c r="G65" s="1278"/>
    </row>
    <row r="66" spans="1:14" ht="27" customHeight="1">
      <c r="A66" s="1302" t="s">
        <v>623</v>
      </c>
      <c r="B66" s="1302"/>
      <c r="C66" s="1302"/>
      <c r="D66" s="1302"/>
      <c r="E66" s="1302"/>
      <c r="F66" s="1302"/>
      <c r="G66" s="1302"/>
    </row>
    <row r="67" spans="1:14" ht="75.75" customHeight="1">
      <c r="A67" s="1298" t="s">
        <v>1011</v>
      </c>
      <c r="B67" s="1278"/>
      <c r="C67" s="1278"/>
      <c r="D67" s="1278"/>
      <c r="E67" s="1278"/>
      <c r="F67" s="1278"/>
      <c r="G67" s="1278"/>
    </row>
    <row r="68" spans="1:14" ht="27" customHeight="1">
      <c r="A68" s="1302" t="s">
        <v>624</v>
      </c>
      <c r="B68" s="1302"/>
      <c r="C68" s="1302"/>
      <c r="D68" s="1302"/>
      <c r="E68" s="1302"/>
      <c r="F68" s="1302"/>
      <c r="G68" s="1302"/>
      <c r="H68" s="1265"/>
      <c r="I68" s="1265"/>
      <c r="J68" s="1265"/>
      <c r="K68" s="1265"/>
      <c r="L68" s="1265"/>
      <c r="M68" s="1265"/>
      <c r="N68" s="1265"/>
    </row>
    <row r="69" spans="1:14" ht="50.25" customHeight="1">
      <c r="A69" s="1298" t="s">
        <v>901</v>
      </c>
      <c r="B69" s="1278"/>
      <c r="C69" s="1278"/>
      <c r="D69" s="1278"/>
      <c r="E69" s="1278"/>
      <c r="F69" s="1278"/>
      <c r="G69" s="1278"/>
    </row>
    <row r="70" spans="1:14" ht="27" customHeight="1">
      <c r="A70" s="1302" t="s">
        <v>625</v>
      </c>
      <c r="B70" s="1302"/>
      <c r="C70" s="1302"/>
      <c r="D70" s="1302"/>
      <c r="E70" s="1302"/>
      <c r="F70" s="1302"/>
      <c r="G70" s="1302"/>
      <c r="H70" s="1265"/>
      <c r="I70" s="1265"/>
      <c r="J70" s="1265"/>
      <c r="K70" s="1265"/>
      <c r="L70" s="1265"/>
      <c r="M70" s="1265"/>
      <c r="N70" s="1265"/>
    </row>
    <row r="71" spans="1:14" ht="43.5" customHeight="1">
      <c r="A71" s="1298" t="s">
        <v>355</v>
      </c>
      <c r="B71" s="1278"/>
      <c r="C71" s="1278"/>
      <c r="D71" s="1278"/>
      <c r="E71" s="1278"/>
      <c r="F71" s="1278"/>
      <c r="G71" s="1278"/>
    </row>
    <row r="72" spans="1:14" ht="26.25" customHeight="1">
      <c r="A72" s="1302" t="s">
        <v>626</v>
      </c>
      <c r="B72" s="1302"/>
      <c r="C72" s="1302"/>
      <c r="D72" s="1302"/>
      <c r="E72" s="1302"/>
      <c r="F72" s="1302"/>
      <c r="G72" s="1302"/>
    </row>
    <row r="73" spans="1:14" ht="60" customHeight="1">
      <c r="A73" s="1298" t="s">
        <v>902</v>
      </c>
      <c r="B73" s="1278"/>
      <c r="C73" s="1278"/>
      <c r="D73" s="1278"/>
      <c r="E73" s="1278"/>
      <c r="F73" s="1278"/>
      <c r="G73" s="1278"/>
    </row>
    <row r="74" spans="1:14" ht="27" customHeight="1">
      <c r="A74" s="1302" t="s">
        <v>627</v>
      </c>
      <c r="B74" s="1302"/>
      <c r="C74" s="1302"/>
      <c r="D74" s="1302"/>
      <c r="E74" s="1302"/>
      <c r="F74" s="1302"/>
      <c r="G74" s="1302"/>
    </row>
    <row r="75" spans="1:14" ht="59.25" customHeight="1">
      <c r="A75" s="1298" t="s">
        <v>356</v>
      </c>
      <c r="B75" s="1278"/>
      <c r="C75" s="1278"/>
      <c r="D75" s="1278"/>
      <c r="E75" s="1278"/>
      <c r="F75" s="1278"/>
      <c r="G75" s="1278"/>
    </row>
    <row r="76" spans="1:14" ht="42.75" customHeight="1">
      <c r="A76" s="1278" t="s">
        <v>357</v>
      </c>
      <c r="B76" s="1278"/>
      <c r="C76" s="1278"/>
      <c r="D76" s="1278"/>
      <c r="E76" s="1278"/>
      <c r="F76" s="1278"/>
      <c r="G76" s="1278"/>
    </row>
    <row r="77" spans="1:14" ht="33.75" customHeight="1">
      <c r="A77" s="1267" t="s">
        <v>634</v>
      </c>
      <c r="B77" s="1267"/>
      <c r="C77" s="1267"/>
      <c r="D77" s="1267"/>
      <c r="E77" s="1267"/>
      <c r="F77" s="1267"/>
      <c r="G77" s="1267"/>
    </row>
    <row r="78" spans="1:14" ht="30.75" customHeight="1">
      <c r="A78" s="1266" t="s">
        <v>903</v>
      </c>
      <c r="B78" s="1266"/>
      <c r="C78" s="1266"/>
      <c r="D78" s="1266"/>
      <c r="E78" s="1266"/>
      <c r="F78" s="1266"/>
      <c r="G78" s="1266"/>
    </row>
    <row r="79" spans="1:14" ht="44.25" customHeight="1">
      <c r="A79" s="1266" t="s">
        <v>904</v>
      </c>
      <c r="B79" s="1266"/>
      <c r="C79" s="1266"/>
      <c r="D79" s="1266"/>
      <c r="E79" s="1266"/>
      <c r="F79" s="1266"/>
      <c r="G79" s="1266"/>
    </row>
    <row r="80" spans="1:14" ht="27.75" customHeight="1">
      <c r="A80" s="1268" t="s">
        <v>593</v>
      </c>
      <c r="B80" s="1268"/>
      <c r="C80" s="1268"/>
      <c r="D80" s="1268"/>
      <c r="E80" s="1268"/>
      <c r="F80" s="1268"/>
      <c r="G80" s="1268"/>
    </row>
    <row r="81" spans="1:7" ht="45" customHeight="1">
      <c r="A81" s="1266" t="s">
        <v>905</v>
      </c>
      <c r="B81" s="1266"/>
      <c r="C81" s="1266"/>
      <c r="D81" s="1266"/>
      <c r="E81" s="1266"/>
      <c r="F81" s="1266"/>
      <c r="G81" s="1266"/>
    </row>
    <row r="82" spans="1:7" ht="27" customHeight="1">
      <c r="A82" s="1269" t="s">
        <v>594</v>
      </c>
      <c r="B82" s="1269"/>
      <c r="C82" s="1269"/>
      <c r="D82" s="1269"/>
      <c r="E82" s="1269"/>
      <c r="F82" s="1269"/>
      <c r="G82" s="1269"/>
    </row>
    <row r="83" spans="1:7" ht="108.75" customHeight="1">
      <c r="A83" s="1338" t="s">
        <v>676</v>
      </c>
      <c r="B83" s="1338"/>
      <c r="C83" s="1338"/>
      <c r="D83" s="1338"/>
      <c r="E83" s="1338"/>
      <c r="F83" s="1338"/>
      <c r="G83" s="1338"/>
    </row>
    <row r="84" spans="1:7" ht="27.75" customHeight="1">
      <c r="A84" s="1269" t="s">
        <v>595</v>
      </c>
      <c r="B84" s="1269"/>
      <c r="C84" s="1269"/>
      <c r="D84" s="1269"/>
      <c r="E84" s="1269"/>
      <c r="F84" s="1269"/>
      <c r="G84" s="1269"/>
    </row>
    <row r="85" spans="1:7" ht="27.75" customHeight="1">
      <c r="A85" s="1266" t="s">
        <v>906</v>
      </c>
      <c r="B85" s="1266"/>
      <c r="C85" s="1266"/>
      <c r="D85" s="1266"/>
      <c r="E85" s="1266"/>
      <c r="F85" s="1266"/>
      <c r="G85" s="1266"/>
    </row>
    <row r="86" spans="1:7" ht="27" customHeight="1">
      <c r="A86" s="1335" t="s">
        <v>596</v>
      </c>
      <c r="B86" s="1335"/>
      <c r="C86" s="1335"/>
      <c r="D86" s="1335"/>
      <c r="E86" s="1335"/>
      <c r="F86" s="1335"/>
      <c r="G86" s="1335"/>
    </row>
    <row r="87" spans="1:7" ht="45" customHeight="1">
      <c r="A87" s="1266" t="s">
        <v>907</v>
      </c>
      <c r="B87" s="1266"/>
      <c r="C87" s="1266"/>
      <c r="D87" s="1266"/>
      <c r="E87" s="1266"/>
      <c r="F87" s="1266"/>
      <c r="G87" s="1266"/>
    </row>
    <row r="88" spans="1:7" ht="59.25" customHeight="1">
      <c r="A88" s="1266" t="s">
        <v>908</v>
      </c>
      <c r="B88" s="1266"/>
      <c r="C88" s="1266"/>
      <c r="D88" s="1266"/>
      <c r="E88" s="1266"/>
      <c r="F88" s="1266"/>
      <c r="G88" s="1266"/>
    </row>
    <row r="89" spans="1:7" ht="30" customHeight="1">
      <c r="A89" s="1266" t="s">
        <v>909</v>
      </c>
      <c r="B89" s="1266"/>
      <c r="C89" s="1266"/>
      <c r="D89" s="1266"/>
      <c r="E89" s="1266"/>
      <c r="F89" s="1266"/>
      <c r="G89" s="1266"/>
    </row>
    <row r="90" spans="1:7" ht="26.25" customHeight="1">
      <c r="A90" s="1335" t="s">
        <v>597</v>
      </c>
      <c r="B90" s="1335"/>
      <c r="C90" s="1335"/>
      <c r="D90" s="1335"/>
      <c r="E90" s="1335"/>
      <c r="F90" s="1335"/>
      <c r="G90" s="1335"/>
    </row>
    <row r="91" spans="1:7" ht="63.75" customHeight="1">
      <c r="A91" s="1266" t="s">
        <v>910</v>
      </c>
      <c r="B91" s="1266"/>
      <c r="C91" s="1266"/>
      <c r="D91" s="1266"/>
      <c r="E91" s="1266"/>
      <c r="F91" s="1266"/>
      <c r="G91" s="1266"/>
    </row>
    <row r="92" spans="1:7" ht="60" customHeight="1">
      <c r="A92" s="1266" t="s">
        <v>911</v>
      </c>
      <c r="B92" s="1266"/>
      <c r="C92" s="1266"/>
      <c r="D92" s="1266"/>
      <c r="E92" s="1266"/>
      <c r="F92" s="1266"/>
      <c r="G92" s="1266"/>
    </row>
    <row r="93" spans="1:7" ht="27" customHeight="1">
      <c r="A93" s="1335" t="s">
        <v>598</v>
      </c>
      <c r="B93" s="1335"/>
      <c r="C93" s="1335"/>
      <c r="D93" s="1335"/>
      <c r="E93" s="1335"/>
      <c r="F93" s="1335"/>
      <c r="G93" s="1335"/>
    </row>
    <row r="94" spans="1:7" ht="60" customHeight="1">
      <c r="A94" s="1266" t="s">
        <v>912</v>
      </c>
      <c r="B94" s="1266"/>
      <c r="C94" s="1266"/>
      <c r="D94" s="1266"/>
      <c r="E94" s="1266"/>
      <c r="F94" s="1266"/>
      <c r="G94" s="1266"/>
    </row>
    <row r="95" spans="1:7" ht="27" customHeight="1">
      <c r="A95" s="1279" t="s">
        <v>608</v>
      </c>
      <c r="B95" s="1279"/>
      <c r="C95" s="1279"/>
      <c r="D95" s="1279"/>
      <c r="E95" s="1279"/>
      <c r="F95" s="1279"/>
      <c r="G95" s="1279"/>
    </row>
    <row r="96" spans="1:7" ht="119.25" customHeight="1">
      <c r="A96" s="1298" t="s">
        <v>916</v>
      </c>
      <c r="B96" s="1278"/>
      <c r="C96" s="1278"/>
      <c r="D96" s="1278"/>
      <c r="E96" s="1278"/>
      <c r="F96" s="1278"/>
      <c r="G96" s="1278"/>
    </row>
    <row r="97" spans="1:14" ht="43.5" customHeight="1">
      <c r="A97" s="1298" t="s">
        <v>388</v>
      </c>
      <c r="B97" s="1278"/>
      <c r="C97" s="1278"/>
      <c r="D97" s="1278"/>
      <c r="E97" s="1278"/>
      <c r="F97" s="1278"/>
      <c r="G97" s="1278"/>
    </row>
    <row r="98" spans="1:14" ht="43.5" customHeight="1">
      <c r="A98" s="1298" t="s">
        <v>913</v>
      </c>
      <c r="B98" s="1298"/>
      <c r="C98" s="1298"/>
      <c r="D98" s="1298"/>
      <c r="E98" s="1298"/>
      <c r="F98" s="1298"/>
      <c r="G98" s="1298"/>
    </row>
    <row r="99" spans="1:14" ht="44.25" customHeight="1">
      <c r="A99" s="1278" t="s">
        <v>358</v>
      </c>
      <c r="B99" s="1278"/>
      <c r="C99" s="1278"/>
      <c r="D99" s="1278"/>
      <c r="E99" s="1278"/>
      <c r="F99" s="1278"/>
      <c r="G99" s="1278"/>
    </row>
    <row r="100" spans="1:14" ht="29.25" customHeight="1">
      <c r="A100" s="1278" t="s">
        <v>359</v>
      </c>
      <c r="B100" s="1278"/>
      <c r="C100" s="1278"/>
      <c r="D100" s="1278"/>
      <c r="E100" s="1278"/>
      <c r="F100" s="1278"/>
      <c r="G100" s="1278"/>
    </row>
    <row r="101" spans="1:14" ht="30.75" customHeight="1">
      <c r="A101" s="1278" t="s">
        <v>389</v>
      </c>
      <c r="B101" s="1278"/>
      <c r="C101" s="1278"/>
      <c r="D101" s="1278"/>
      <c r="E101" s="1278"/>
      <c r="F101" s="1278"/>
      <c r="G101" s="1278"/>
    </row>
    <row r="102" spans="1:14" ht="26.25" customHeight="1">
      <c r="A102" s="1279" t="s">
        <v>607</v>
      </c>
      <c r="B102" s="1279"/>
      <c r="C102" s="1279"/>
      <c r="D102" s="1279"/>
      <c r="E102" s="1279"/>
      <c r="F102" s="1279"/>
      <c r="G102" s="1279"/>
      <c r="H102" s="1265"/>
      <c r="I102" s="1265"/>
      <c r="J102" s="1265"/>
      <c r="K102" s="1265"/>
      <c r="L102" s="1265"/>
      <c r="M102" s="1265"/>
      <c r="N102" s="1265"/>
    </row>
    <row r="103" spans="1:14" ht="73.5" customHeight="1">
      <c r="A103" s="1298" t="s">
        <v>631</v>
      </c>
      <c r="B103" s="1278"/>
      <c r="C103" s="1278"/>
      <c r="D103" s="1278"/>
      <c r="E103" s="1278"/>
      <c r="F103" s="1278"/>
      <c r="G103" s="1278"/>
      <c r="L103" s="591"/>
    </row>
    <row r="104" spans="1:14" ht="27" customHeight="1">
      <c r="A104" s="1279" t="s">
        <v>606</v>
      </c>
      <c r="B104" s="1279"/>
      <c r="C104" s="1279"/>
      <c r="D104" s="1279"/>
      <c r="E104" s="1279"/>
      <c r="F104" s="1279"/>
      <c r="G104" s="1279"/>
      <c r="H104" s="1265"/>
      <c r="I104" s="1265"/>
      <c r="J104" s="1265"/>
      <c r="K104" s="1265"/>
      <c r="L104" s="1265"/>
      <c r="M104" s="1265"/>
      <c r="N104" s="1265"/>
    </row>
    <row r="105" spans="1:14" ht="89.25" customHeight="1">
      <c r="A105" s="1311" t="s">
        <v>609</v>
      </c>
      <c r="B105" s="1311"/>
      <c r="C105" s="1311"/>
      <c r="D105" s="1311"/>
      <c r="E105" s="1311"/>
      <c r="F105" s="1311"/>
      <c r="G105" s="1311"/>
    </row>
    <row r="106" spans="1:14" ht="27.75" customHeight="1">
      <c r="A106" s="1279" t="s">
        <v>605</v>
      </c>
      <c r="B106" s="1279"/>
      <c r="C106" s="1279"/>
      <c r="D106" s="1279"/>
      <c r="E106" s="1279"/>
      <c r="F106" s="1279"/>
      <c r="G106" s="1279"/>
    </row>
    <row r="107" spans="1:14" ht="60" customHeight="1">
      <c r="A107" s="1298" t="s">
        <v>610</v>
      </c>
      <c r="B107" s="1278"/>
      <c r="C107" s="1278"/>
      <c r="D107" s="1278"/>
      <c r="E107" s="1278"/>
      <c r="F107" s="1278"/>
      <c r="G107" s="1278"/>
    </row>
    <row r="108" spans="1:14" ht="27" customHeight="1">
      <c r="A108" s="1279" t="s">
        <v>885</v>
      </c>
      <c r="B108" s="1279"/>
      <c r="C108" s="1279"/>
      <c r="D108" s="1279"/>
      <c r="E108" s="1279"/>
      <c r="F108" s="1279"/>
      <c r="G108" s="1279"/>
    </row>
    <row r="109" spans="1:14" ht="27.75" customHeight="1">
      <c r="A109" s="1279" t="s">
        <v>0</v>
      </c>
      <c r="B109" s="1279"/>
      <c r="C109" s="1279"/>
      <c r="D109" s="1279"/>
      <c r="E109" s="1279"/>
      <c r="F109" s="1279"/>
      <c r="G109" s="1279"/>
    </row>
    <row r="110" spans="1:14" ht="42.75" customHeight="1">
      <c r="A110" s="1298" t="s">
        <v>611</v>
      </c>
      <c r="B110" s="1298"/>
      <c r="C110" s="1298"/>
      <c r="D110" s="1298"/>
      <c r="E110" s="1298"/>
      <c r="F110" s="1298"/>
      <c r="G110" s="1298"/>
    </row>
    <row r="111" spans="1:14" ht="27" customHeight="1">
      <c r="A111" s="1302" t="s">
        <v>604</v>
      </c>
      <c r="B111" s="1302"/>
      <c r="C111" s="1302"/>
      <c r="D111" s="1302"/>
      <c r="E111" s="1302"/>
      <c r="F111" s="1302"/>
      <c r="G111" s="1302"/>
    </row>
    <row r="112" spans="1:14" ht="30.75" customHeight="1">
      <c r="A112" s="1298" t="s">
        <v>612</v>
      </c>
      <c r="B112" s="1278"/>
      <c r="C112" s="1278"/>
      <c r="D112" s="1278"/>
      <c r="E112" s="1278"/>
      <c r="F112" s="1278"/>
      <c r="G112" s="1278"/>
    </row>
    <row r="113" spans="1:15" ht="27.75" customHeight="1">
      <c r="A113" s="1303" t="s">
        <v>886</v>
      </c>
      <c r="B113" s="1303"/>
      <c r="C113" s="1303"/>
      <c r="D113" s="1303"/>
      <c r="E113" s="1303"/>
      <c r="F113" s="1303"/>
      <c r="G113" s="1303"/>
    </row>
    <row r="114" spans="1:15" ht="44.25" customHeight="1">
      <c r="A114" s="1303" t="s">
        <v>887</v>
      </c>
      <c r="B114" s="1303"/>
      <c r="C114" s="1303"/>
      <c r="D114" s="1303"/>
      <c r="E114" s="1303"/>
      <c r="F114" s="1303"/>
      <c r="G114" s="1303"/>
    </row>
    <row r="115" spans="1:15" ht="47.25" customHeight="1">
      <c r="A115" s="1303" t="s">
        <v>914</v>
      </c>
      <c r="B115" s="1303"/>
      <c r="C115" s="1303"/>
      <c r="D115" s="1303"/>
      <c r="E115" s="1303"/>
      <c r="F115" s="1303"/>
      <c r="G115" s="1303"/>
    </row>
    <row r="116" spans="1:15" ht="73.5" customHeight="1">
      <c r="A116" s="1303" t="s">
        <v>888</v>
      </c>
      <c r="B116" s="1303"/>
      <c r="C116" s="1303"/>
      <c r="D116" s="1303"/>
      <c r="E116" s="1303"/>
      <c r="F116" s="1303"/>
      <c r="G116" s="1303"/>
    </row>
    <row r="117" spans="1:15" ht="91.5" customHeight="1">
      <c r="A117" s="1279" t="s">
        <v>889</v>
      </c>
      <c r="B117" s="1303"/>
      <c r="C117" s="1303"/>
      <c r="D117" s="1303"/>
      <c r="E117" s="1303"/>
      <c r="F117" s="1303"/>
      <c r="G117" s="1303"/>
    </row>
    <row r="118" spans="1:15" ht="31.5" customHeight="1">
      <c r="A118" s="1279" t="s">
        <v>890</v>
      </c>
      <c r="B118" s="1303"/>
      <c r="C118" s="1303"/>
      <c r="D118" s="1303"/>
      <c r="E118" s="1303"/>
      <c r="F118" s="1303"/>
      <c r="G118" s="1303"/>
    </row>
    <row r="119" spans="1:15" ht="42.75" customHeight="1">
      <c r="A119" s="1279" t="s">
        <v>891</v>
      </c>
      <c r="B119" s="1303"/>
      <c r="C119" s="1303"/>
      <c r="D119" s="1303"/>
      <c r="E119" s="1303"/>
      <c r="F119" s="1303"/>
      <c r="G119" s="1303"/>
    </row>
    <row r="120" spans="1:15" ht="45.75" customHeight="1">
      <c r="A120" s="1303" t="s">
        <v>892</v>
      </c>
      <c r="B120" s="1303"/>
      <c r="C120" s="1303"/>
      <c r="D120" s="1303"/>
      <c r="E120" s="1303"/>
      <c r="F120" s="1303"/>
      <c r="G120" s="1303"/>
    </row>
    <row r="121" spans="1:15" ht="73.5" customHeight="1">
      <c r="A121" s="1304" t="s">
        <v>635</v>
      </c>
      <c r="B121" s="1305"/>
      <c r="C121" s="1305"/>
      <c r="D121" s="1305"/>
      <c r="E121" s="1305"/>
      <c r="F121" s="1305"/>
      <c r="G121" s="1305"/>
      <c r="O121" s="592"/>
    </row>
    <row r="122" spans="1:15" ht="27" customHeight="1">
      <c r="A122" s="1302" t="s">
        <v>603</v>
      </c>
      <c r="B122" s="1302"/>
      <c r="C122" s="1302"/>
      <c r="D122" s="1302"/>
      <c r="E122" s="1302"/>
      <c r="F122" s="1302"/>
      <c r="G122" s="1302"/>
    </row>
    <row r="123" spans="1:15" ht="75" customHeight="1">
      <c r="A123" s="1298" t="s">
        <v>613</v>
      </c>
      <c r="B123" s="1278"/>
      <c r="C123" s="1278"/>
      <c r="D123" s="1278"/>
      <c r="E123" s="1278"/>
      <c r="F123" s="1278"/>
      <c r="G123" s="1278"/>
    </row>
    <row r="124" spans="1:15" ht="17.25" customHeight="1">
      <c r="A124" s="1303" t="s">
        <v>893</v>
      </c>
      <c r="B124" s="1303"/>
      <c r="C124" s="1303"/>
      <c r="D124" s="1303"/>
      <c r="E124" s="1303"/>
      <c r="F124" s="1303"/>
      <c r="G124" s="1303"/>
    </row>
    <row r="125" spans="1:15" ht="14.25" customHeight="1">
      <c r="A125" s="1303" t="s">
        <v>894</v>
      </c>
      <c r="B125" s="1303"/>
      <c r="C125" s="1303"/>
      <c r="D125" s="1303"/>
      <c r="E125" s="1303"/>
      <c r="F125" s="1303"/>
      <c r="G125" s="1303"/>
    </row>
    <row r="126" spans="1:15" ht="31.5" customHeight="1">
      <c r="A126" s="1303" t="s">
        <v>895</v>
      </c>
      <c r="B126" s="1303"/>
      <c r="C126" s="1303"/>
      <c r="D126" s="1303"/>
      <c r="E126" s="1303"/>
      <c r="F126" s="1303"/>
      <c r="G126" s="1303"/>
    </row>
    <row r="127" spans="1:15" ht="27" customHeight="1">
      <c r="A127" s="1279" t="s">
        <v>602</v>
      </c>
      <c r="B127" s="1279"/>
      <c r="C127" s="1279"/>
      <c r="D127" s="1279"/>
      <c r="E127" s="1279"/>
      <c r="F127" s="1279"/>
      <c r="G127" s="1279"/>
      <c r="H127" s="1265"/>
      <c r="I127" s="1265"/>
      <c r="J127" s="1265"/>
      <c r="K127" s="1265"/>
      <c r="L127" s="1265"/>
      <c r="M127" s="1265"/>
      <c r="N127" s="1265"/>
    </row>
    <row r="128" spans="1:15" ht="66" customHeight="1">
      <c r="A128" s="1298" t="s">
        <v>915</v>
      </c>
      <c r="B128" s="1278"/>
      <c r="C128" s="1278"/>
      <c r="D128" s="1278"/>
      <c r="E128" s="1278"/>
      <c r="F128" s="1278"/>
      <c r="G128" s="1278"/>
    </row>
    <row r="129" spans="1:7" ht="102.75" customHeight="1">
      <c r="A129" s="1298" t="s">
        <v>390</v>
      </c>
      <c r="B129" s="1278"/>
      <c r="C129" s="1278"/>
      <c r="D129" s="1278"/>
      <c r="E129" s="1278"/>
      <c r="F129" s="1278"/>
      <c r="G129" s="1278"/>
    </row>
    <row r="130" spans="1:7" ht="26.25" customHeight="1">
      <c r="A130" s="1279" t="s">
        <v>601</v>
      </c>
      <c r="B130" s="1279"/>
      <c r="C130" s="1279"/>
      <c r="D130" s="1279"/>
      <c r="E130" s="1279"/>
      <c r="F130" s="1279"/>
      <c r="G130" s="1279"/>
    </row>
    <row r="131" spans="1:7" ht="60.75" customHeight="1">
      <c r="A131" s="1298" t="s">
        <v>614</v>
      </c>
      <c r="B131" s="1278"/>
      <c r="C131" s="1278"/>
      <c r="D131" s="1278"/>
      <c r="E131" s="1278"/>
      <c r="F131" s="1278"/>
      <c r="G131" s="1278"/>
    </row>
    <row r="132" spans="1:7" ht="31.5" customHeight="1">
      <c r="A132" s="1278" t="s">
        <v>319</v>
      </c>
      <c r="B132" s="1278"/>
      <c r="C132" s="1278"/>
      <c r="D132" s="1278"/>
      <c r="E132" s="1278"/>
      <c r="F132" s="1278"/>
      <c r="G132" s="1278"/>
    </row>
    <row r="133" spans="1:7">
      <c r="A133" s="599"/>
      <c r="B133" s="599"/>
      <c r="C133" s="599"/>
      <c r="D133" s="593"/>
      <c r="E133" s="593"/>
      <c r="F133" s="593"/>
      <c r="G133" s="593"/>
    </row>
    <row r="134" spans="1:7" ht="15.75">
      <c r="A134" s="1299" t="s">
        <v>305</v>
      </c>
      <c r="B134" s="1299"/>
      <c r="C134" s="1299"/>
      <c r="D134" s="1300" t="s">
        <v>1012</v>
      </c>
      <c r="E134" s="1300"/>
      <c r="F134" s="1301" t="s">
        <v>1013</v>
      </c>
      <c r="G134" s="1300" t="s">
        <v>1</v>
      </c>
    </row>
    <row r="135" spans="1:7" ht="30.75" customHeight="1">
      <c r="A135" s="1293" t="s">
        <v>989</v>
      </c>
      <c r="B135" s="1294"/>
      <c r="C135" s="1295"/>
      <c r="D135" s="1296">
        <v>5</v>
      </c>
      <c r="E135" s="1296"/>
      <c r="F135" s="1297">
        <v>1.5</v>
      </c>
      <c r="G135" s="1297"/>
    </row>
    <row r="136" spans="1:7" ht="30.75" customHeight="1">
      <c r="A136" s="1285" t="s">
        <v>920</v>
      </c>
      <c r="B136" s="1286"/>
      <c r="C136" s="1287"/>
      <c r="D136" s="1288">
        <v>5</v>
      </c>
      <c r="E136" s="1288"/>
      <c r="F136" s="1288">
        <v>1.6</v>
      </c>
      <c r="G136" s="1288"/>
    </row>
    <row r="137" spans="1:7" ht="30.75" customHeight="1">
      <c r="A137" s="1285" t="s">
        <v>917</v>
      </c>
      <c r="B137" s="1286"/>
      <c r="C137" s="1287"/>
      <c r="D137" s="1288">
        <v>5</v>
      </c>
      <c r="E137" s="1288"/>
      <c r="F137" s="1288">
        <v>1.5</v>
      </c>
      <c r="G137" s="1288"/>
    </row>
    <row r="138" spans="1:7" ht="30.75" customHeight="1">
      <c r="A138" s="1285" t="s">
        <v>918</v>
      </c>
      <c r="B138" s="1286"/>
      <c r="C138" s="1287"/>
      <c r="D138" s="1288">
        <v>5</v>
      </c>
      <c r="E138" s="1288"/>
      <c r="F138" s="1288">
        <v>3</v>
      </c>
      <c r="G138" s="1288"/>
    </row>
    <row r="139" spans="1:7" ht="33" customHeight="1">
      <c r="A139" s="1285" t="s">
        <v>919</v>
      </c>
      <c r="B139" s="1286"/>
      <c r="C139" s="1287"/>
      <c r="D139" s="1288">
        <v>5</v>
      </c>
      <c r="E139" s="1288"/>
      <c r="F139" s="1289" t="s">
        <v>2</v>
      </c>
      <c r="G139" s="1290"/>
    </row>
    <row r="140" spans="1:7" ht="47.25" hidden="1" customHeight="1">
      <c r="A140" s="1291" t="s">
        <v>921</v>
      </c>
      <c r="B140" s="1292"/>
      <c r="C140" s="1292"/>
      <c r="D140" s="1288">
        <v>0</v>
      </c>
      <c r="E140" s="1288"/>
      <c r="F140" s="1288">
        <v>0</v>
      </c>
      <c r="G140" s="1288"/>
    </row>
    <row r="141" spans="1:7" ht="31.5" customHeight="1">
      <c r="A141" s="1277" t="s">
        <v>3</v>
      </c>
      <c r="B141" s="1278"/>
      <c r="C141" s="1278"/>
      <c r="D141" s="1278"/>
      <c r="E141" s="1278"/>
      <c r="F141" s="1278"/>
      <c r="G141" s="1278"/>
    </row>
    <row r="142" spans="1:7" ht="27.75" customHeight="1">
      <c r="A142" s="1279" t="s">
        <v>600</v>
      </c>
      <c r="B142" s="1279"/>
      <c r="C142" s="1279"/>
      <c r="D142" s="1279"/>
      <c r="E142" s="1279"/>
      <c r="F142" s="1279"/>
      <c r="G142" s="1279"/>
    </row>
    <row r="143" spans="1:7" ht="106.5" customHeight="1">
      <c r="A143" s="1280" t="s">
        <v>922</v>
      </c>
      <c r="B143" s="1266"/>
      <c r="C143" s="1266"/>
      <c r="D143" s="1266"/>
      <c r="E143" s="1266"/>
      <c r="F143" s="1266"/>
      <c r="G143" s="1266"/>
    </row>
    <row r="144" spans="1:7" ht="27" customHeight="1">
      <c r="A144" s="1279" t="s">
        <v>599</v>
      </c>
      <c r="B144" s="1279"/>
      <c r="C144" s="1279"/>
      <c r="D144" s="1279"/>
      <c r="E144" s="1279"/>
      <c r="F144" s="1279"/>
      <c r="G144" s="1279"/>
    </row>
    <row r="145" spans="1:14" ht="75.75" customHeight="1">
      <c r="A145" s="1280" t="s">
        <v>615</v>
      </c>
      <c r="B145" s="1266"/>
      <c r="C145" s="1266"/>
      <c r="D145" s="1266"/>
      <c r="E145" s="1266"/>
      <c r="F145" s="1266"/>
      <c r="G145" s="1266"/>
    </row>
    <row r="146" spans="1:14" ht="33" customHeight="1">
      <c r="A146" s="1280" t="s">
        <v>923</v>
      </c>
      <c r="B146" s="1266"/>
      <c r="C146" s="1266"/>
      <c r="D146" s="1266"/>
      <c r="E146" s="1266"/>
      <c r="F146" s="1266"/>
      <c r="G146" s="1266"/>
    </row>
    <row r="147" spans="1:14" ht="10.5" customHeight="1">
      <c r="A147" s="600"/>
      <c r="B147" s="599"/>
      <c r="C147" s="599"/>
      <c r="D147" s="593"/>
      <c r="E147" s="593"/>
      <c r="F147" s="593"/>
      <c r="G147" s="593"/>
    </row>
    <row r="148" spans="1:14" ht="38.25" customHeight="1">
      <c r="A148" s="1283" t="s">
        <v>992</v>
      </c>
      <c r="B148" s="1284"/>
      <c r="C148" s="1284"/>
      <c r="D148" s="1284"/>
      <c r="E148" s="1284"/>
      <c r="F148" s="1284"/>
      <c r="G148" s="1284"/>
      <c r="H148" s="1263"/>
      <c r="I148" s="1264"/>
      <c r="J148" s="1264"/>
      <c r="K148" s="1264"/>
      <c r="L148" s="1264"/>
      <c r="M148" s="1264"/>
      <c r="N148" s="1264"/>
    </row>
    <row r="149" spans="1:14">
      <c r="A149" s="593"/>
      <c r="B149" s="593"/>
      <c r="C149" s="593"/>
      <c r="D149" s="593"/>
      <c r="E149" s="593"/>
      <c r="F149" s="593"/>
      <c r="G149" s="593"/>
    </row>
    <row r="150" spans="1:14">
      <c r="A150" s="593"/>
      <c r="B150" s="593"/>
      <c r="C150" s="593"/>
      <c r="D150" s="593"/>
      <c r="E150" s="593"/>
      <c r="F150" s="593"/>
      <c r="G150" s="593"/>
    </row>
    <row r="151" spans="1:14">
      <c r="A151" s="593"/>
      <c r="B151" s="593"/>
      <c r="C151" s="593"/>
      <c r="D151" s="593"/>
      <c r="E151" s="593"/>
      <c r="F151" s="593"/>
      <c r="G151" s="593"/>
    </row>
    <row r="152" spans="1:14">
      <c r="A152" s="593"/>
      <c r="B152" s="593"/>
      <c r="C152" s="593"/>
      <c r="D152" s="593"/>
      <c r="E152" s="593"/>
      <c r="F152" s="593"/>
      <c r="G152" s="593"/>
    </row>
    <row r="154" spans="1:14" ht="23.25" customHeight="1" thickBot="1">
      <c r="A154" s="601"/>
      <c r="B154" s="325"/>
      <c r="C154" s="325"/>
      <c r="D154" s="602"/>
      <c r="E154" s="325"/>
      <c r="F154" s="325"/>
      <c r="G154" s="325"/>
    </row>
    <row r="155" spans="1:14">
      <c r="A155" s="1270" t="s">
        <v>762</v>
      </c>
      <c r="B155" s="1270"/>
      <c r="C155" s="1270"/>
      <c r="D155" s="22"/>
      <c r="E155" s="1271" t="s">
        <v>763</v>
      </c>
      <c r="F155" s="1271"/>
      <c r="G155" s="1271"/>
    </row>
    <row r="156" spans="1:14" ht="15" customHeight="1">
      <c r="A156" s="1270" t="s">
        <v>4</v>
      </c>
      <c r="B156" s="1270"/>
      <c r="C156" s="1270"/>
      <c r="D156" s="22"/>
      <c r="E156" s="1270" t="s">
        <v>979</v>
      </c>
      <c r="F156" s="1270"/>
      <c r="G156" s="1270"/>
    </row>
    <row r="157" spans="1:14" ht="5.25" customHeight="1">
      <c r="A157" s="22"/>
      <c r="B157" s="22"/>
      <c r="C157" s="22"/>
      <c r="D157" s="22"/>
      <c r="E157" s="22"/>
    </row>
    <row r="158" spans="1:14">
      <c r="A158" s="22"/>
      <c r="B158" s="22"/>
      <c r="C158" s="22"/>
      <c r="D158" s="22"/>
      <c r="E158" s="22"/>
    </row>
    <row r="159" spans="1:14">
      <c r="A159" s="22"/>
      <c r="B159" s="22"/>
      <c r="C159" s="22"/>
      <c r="D159" s="22"/>
      <c r="E159" s="22"/>
    </row>
    <row r="160" spans="1:14">
      <c r="A160" s="22"/>
      <c r="B160" s="22"/>
      <c r="C160" s="22"/>
      <c r="D160" s="22"/>
      <c r="E160" s="22"/>
    </row>
    <row r="161" spans="1:16">
      <c r="A161" s="22"/>
      <c r="B161" s="22"/>
      <c r="C161" s="22"/>
      <c r="D161" s="22"/>
      <c r="E161" s="22"/>
    </row>
    <row r="162" spans="1:16">
      <c r="A162" s="22"/>
      <c r="B162" s="22"/>
      <c r="C162" s="22"/>
      <c r="D162" s="22"/>
      <c r="E162" s="22"/>
    </row>
    <row r="163" spans="1:16">
      <c r="A163" s="22"/>
      <c r="B163" s="22"/>
      <c r="C163" s="22"/>
      <c r="D163" s="22"/>
      <c r="E163" s="22"/>
    </row>
    <row r="164" spans="1:16" ht="13.5" thickBot="1">
      <c r="A164" s="603"/>
      <c r="B164" s="325"/>
      <c r="C164" s="325"/>
      <c r="D164" s="22"/>
      <c r="E164" s="603"/>
      <c r="F164" s="325"/>
      <c r="G164" s="325"/>
    </row>
    <row r="165" spans="1:16" ht="18" customHeight="1">
      <c r="A165" s="1273" t="s">
        <v>764</v>
      </c>
      <c r="B165" s="1274"/>
      <c r="C165" s="1274"/>
      <c r="D165" s="22"/>
      <c r="E165" s="1270" t="s">
        <v>765</v>
      </c>
      <c r="F165" s="1270"/>
      <c r="G165" s="1270"/>
      <c r="I165" s="1261"/>
      <c r="J165" s="1262"/>
      <c r="K165" s="1262"/>
      <c r="N165" s="1261"/>
      <c r="O165" s="1261"/>
      <c r="P165" s="1261"/>
    </row>
    <row r="166" spans="1:16" ht="15.75" customHeight="1">
      <c r="A166" s="1275" t="s">
        <v>442</v>
      </c>
      <c r="B166" s="1276"/>
      <c r="C166" s="1276"/>
      <c r="D166" s="22"/>
      <c r="E166" s="1271" t="s">
        <v>980</v>
      </c>
      <c r="F166" s="1271"/>
      <c r="G166" s="1271"/>
    </row>
    <row r="167" spans="1:16">
      <c r="A167" s="1012"/>
      <c r="B167" s="1013"/>
      <c r="C167" s="1013"/>
      <c r="D167" s="22"/>
      <c r="E167" s="1011"/>
      <c r="F167" s="1011"/>
      <c r="G167" s="1011"/>
    </row>
    <row r="168" spans="1:16">
      <c r="A168" s="22"/>
      <c r="B168" s="22"/>
      <c r="C168" s="22"/>
      <c r="D168" s="22"/>
      <c r="E168" s="22"/>
    </row>
    <row r="169" spans="1:16">
      <c r="A169" s="22"/>
      <c r="B169" s="22"/>
      <c r="C169" s="22"/>
      <c r="D169" s="22"/>
      <c r="E169" s="22"/>
    </row>
    <row r="170" spans="1:16">
      <c r="A170" s="22"/>
      <c r="B170" s="22"/>
      <c r="C170" s="22"/>
      <c r="D170" s="22"/>
      <c r="E170" s="22"/>
    </row>
    <row r="171" spans="1:16" ht="13.5" customHeight="1">
      <c r="A171" s="22"/>
      <c r="B171" s="22"/>
      <c r="C171" s="22"/>
      <c r="D171" s="22"/>
      <c r="E171" s="22"/>
    </row>
    <row r="172" spans="1:16">
      <c r="A172" s="22"/>
      <c r="B172" s="22"/>
      <c r="C172" s="22"/>
      <c r="D172" s="22"/>
      <c r="E172" s="22"/>
    </row>
    <row r="173" spans="1:16" ht="13.5" thickBot="1">
      <c r="A173" s="604"/>
      <c r="B173" s="603"/>
      <c r="C173" s="603"/>
      <c r="D173" s="22"/>
      <c r="E173" s="603"/>
      <c r="F173" s="325"/>
      <c r="G173" s="325"/>
    </row>
    <row r="174" spans="1:16" ht="30" customHeight="1">
      <c r="A174" s="1273" t="s">
        <v>766</v>
      </c>
      <c r="B174" s="1274"/>
      <c r="C174" s="1274"/>
      <c r="D174" s="22"/>
      <c r="E174" s="1275" t="s">
        <v>978</v>
      </c>
      <c r="F174" s="1276"/>
      <c r="G174" s="1276"/>
    </row>
    <row r="175" spans="1:16" ht="15" customHeight="1">
      <c r="A175" s="1270" t="s">
        <v>5</v>
      </c>
      <c r="B175" s="1271"/>
      <c r="C175" s="1271"/>
      <c r="D175" s="22"/>
      <c r="E175" s="1270" t="s">
        <v>987</v>
      </c>
      <c r="F175" s="1270"/>
      <c r="G175" s="1270"/>
    </row>
    <row r="176" spans="1:16">
      <c r="A176" s="22"/>
      <c r="B176" s="22"/>
      <c r="C176" s="22"/>
      <c r="D176" s="22"/>
      <c r="E176" s="22"/>
    </row>
    <row r="177" spans="1:7">
      <c r="A177" s="22"/>
      <c r="B177" s="22"/>
      <c r="C177" s="22"/>
      <c r="D177" s="22"/>
      <c r="E177" s="22"/>
    </row>
    <row r="178" spans="1:7">
      <c r="A178" s="22"/>
      <c r="B178" s="22"/>
      <c r="C178" s="22"/>
      <c r="D178" s="22"/>
      <c r="E178" s="22"/>
    </row>
    <row r="179" spans="1:7">
      <c r="A179" s="22"/>
      <c r="B179" s="22"/>
      <c r="C179" s="22"/>
      <c r="D179" s="22"/>
      <c r="E179" s="22"/>
    </row>
    <row r="180" spans="1:7">
      <c r="A180" s="22"/>
      <c r="B180" s="22"/>
      <c r="C180" s="22"/>
      <c r="D180" s="22"/>
      <c r="E180" s="22"/>
    </row>
    <row r="181" spans="1:7">
      <c r="A181" s="22"/>
      <c r="B181" s="22"/>
      <c r="C181" s="22"/>
      <c r="D181" s="22"/>
      <c r="E181" s="22"/>
    </row>
    <row r="182" spans="1:7" ht="13.5" thickBot="1">
      <c r="A182" s="605"/>
      <c r="B182" s="605"/>
      <c r="C182" s="605"/>
      <c r="D182" s="606"/>
      <c r="E182" s="605"/>
      <c r="F182" s="605"/>
      <c r="G182" s="605"/>
    </row>
    <row r="183" spans="1:7" ht="15.75" customHeight="1">
      <c r="A183" s="1270" t="s">
        <v>977</v>
      </c>
      <c r="B183" s="1271"/>
      <c r="C183" s="1271"/>
      <c r="D183" s="22"/>
      <c r="E183" s="1272" t="s">
        <v>767</v>
      </c>
      <c r="F183" s="1272"/>
      <c r="G183" s="1272"/>
    </row>
    <row r="184" spans="1:7" ht="15.75" customHeight="1">
      <c r="A184" s="1270" t="s">
        <v>6</v>
      </c>
      <c r="B184" s="1270"/>
      <c r="C184" s="1270"/>
      <c r="D184" s="22"/>
      <c r="E184" s="1270" t="s">
        <v>7</v>
      </c>
      <c r="F184" s="1270"/>
      <c r="G184" s="1270"/>
    </row>
    <row r="185" spans="1:7">
      <c r="A185" s="22"/>
      <c r="B185" s="22"/>
      <c r="C185" s="22"/>
      <c r="D185" s="22"/>
      <c r="E185" s="22"/>
    </row>
    <row r="186" spans="1:7">
      <c r="A186" s="22"/>
      <c r="B186" s="22"/>
      <c r="C186" s="22"/>
      <c r="D186" s="22"/>
      <c r="E186" s="22"/>
    </row>
    <row r="187" spans="1:7">
      <c r="A187" s="22"/>
      <c r="B187" s="22"/>
      <c r="C187" s="22"/>
      <c r="D187" s="22"/>
      <c r="E187" s="22"/>
    </row>
    <row r="188" spans="1:7">
      <c r="A188" s="22"/>
      <c r="B188" s="22"/>
      <c r="C188" s="22"/>
      <c r="D188" s="22"/>
      <c r="E188" s="22"/>
    </row>
    <row r="189" spans="1:7">
      <c r="A189" s="22"/>
      <c r="B189" s="22"/>
      <c r="C189" s="22"/>
      <c r="D189" s="22"/>
      <c r="E189" s="22"/>
    </row>
    <row r="190" spans="1:7">
      <c r="A190" s="22"/>
      <c r="B190" s="22"/>
      <c r="C190" s="22"/>
      <c r="D190" s="22"/>
      <c r="E190" s="22"/>
    </row>
    <row r="191" spans="1:7" ht="13.5" thickBot="1">
      <c r="A191" s="607"/>
      <c r="B191" s="603"/>
      <c r="C191" s="603"/>
      <c r="D191" s="22"/>
      <c r="E191" s="603"/>
      <c r="F191" s="325"/>
      <c r="G191" s="325"/>
    </row>
    <row r="192" spans="1:7" ht="28.5" customHeight="1">
      <c r="A192" s="1281" t="s">
        <v>768</v>
      </c>
      <c r="B192" s="1281"/>
      <c r="C192" s="1281"/>
      <c r="D192" s="22"/>
      <c r="E192" s="1282" t="s">
        <v>988</v>
      </c>
      <c r="F192" s="1282"/>
      <c r="G192" s="1282"/>
    </row>
    <row r="193" spans="1:7">
      <c r="A193" s="1270" t="s">
        <v>8</v>
      </c>
      <c r="B193" s="1271"/>
      <c r="C193" s="1271"/>
      <c r="D193" s="22"/>
      <c r="E193" s="1271" t="s">
        <v>991</v>
      </c>
      <c r="F193" s="1271"/>
      <c r="G193" s="1271"/>
    </row>
    <row r="194" spans="1:7">
      <c r="A194" s="22"/>
      <c r="B194" s="22"/>
      <c r="C194" s="22"/>
      <c r="D194" s="22"/>
      <c r="E194" s="22"/>
    </row>
    <row r="195" spans="1:7">
      <c r="A195" s="22"/>
      <c r="B195" s="22"/>
      <c r="C195" s="22"/>
      <c r="D195" s="22"/>
      <c r="E195" s="22"/>
    </row>
    <row r="196" spans="1:7">
      <c r="A196" s="22"/>
      <c r="B196" s="22"/>
      <c r="C196" s="22"/>
      <c r="D196" s="22"/>
      <c r="E196" s="22"/>
    </row>
    <row r="197" spans="1:7">
      <c r="A197" s="22"/>
      <c r="B197" s="22"/>
      <c r="C197" s="22"/>
      <c r="D197" s="22"/>
      <c r="E197" s="22"/>
    </row>
    <row r="198" spans="1:7">
      <c r="A198" s="22"/>
      <c r="B198" s="22"/>
      <c r="C198" s="22"/>
      <c r="D198" s="22"/>
      <c r="E198" s="22"/>
    </row>
    <row r="199" spans="1:7">
      <c r="A199" s="22"/>
      <c r="B199" s="22"/>
      <c r="C199" s="22"/>
      <c r="D199" s="22"/>
      <c r="E199" s="22"/>
    </row>
    <row r="200" spans="1:7" ht="14.25" customHeight="1" thickBot="1">
      <c r="A200" s="607"/>
      <c r="B200" s="603"/>
      <c r="C200" s="603"/>
      <c r="D200" s="22"/>
      <c r="E200" s="603"/>
      <c r="F200" s="325"/>
      <c r="G200" s="325"/>
    </row>
    <row r="201" spans="1:7" ht="14.25" customHeight="1">
      <c r="A201" s="1270" t="s">
        <v>769</v>
      </c>
      <c r="B201" s="1270"/>
      <c r="C201" s="1270"/>
      <c r="D201" s="22"/>
      <c r="E201" s="1272" t="s">
        <v>770</v>
      </c>
      <c r="F201" s="1272"/>
      <c r="G201" s="1272"/>
    </row>
    <row r="202" spans="1:7">
      <c r="A202" s="1270" t="s">
        <v>9</v>
      </c>
      <c r="B202" s="1270"/>
      <c r="C202" s="1270"/>
      <c r="D202" s="22"/>
      <c r="E202" s="606" t="s">
        <v>10</v>
      </c>
      <c r="F202" s="606"/>
      <c r="G202" s="606"/>
    </row>
    <row r="203" spans="1:7">
      <c r="A203" s="22"/>
      <c r="B203" s="22"/>
      <c r="C203" s="22"/>
      <c r="D203" s="22"/>
      <c r="E203" s="22"/>
    </row>
    <row r="204" spans="1:7" ht="26.25" customHeight="1">
      <c r="A204" s="22"/>
      <c r="B204" s="22"/>
      <c r="C204" s="22"/>
      <c r="D204" s="22"/>
      <c r="E204" s="22"/>
    </row>
    <row r="205" spans="1:7">
      <c r="A205" s="22"/>
      <c r="B205" s="22"/>
      <c r="C205" s="22"/>
      <c r="D205" s="22"/>
      <c r="E205" s="22"/>
    </row>
    <row r="206" spans="1:7">
      <c r="A206" s="22"/>
    </row>
  </sheetData>
  <mergeCells count="209">
    <mergeCell ref="A93:G93"/>
    <mergeCell ref="A94:G94"/>
    <mergeCell ref="H127:N127"/>
    <mergeCell ref="H104:N104"/>
    <mergeCell ref="H102:N102"/>
    <mergeCell ref="A83:G83"/>
    <mergeCell ref="A84:G84"/>
    <mergeCell ref="A85:G85"/>
    <mergeCell ref="A86:G86"/>
    <mergeCell ref="A87:G87"/>
    <mergeCell ref="A88:G88"/>
    <mergeCell ref="A89:G89"/>
    <mergeCell ref="A90:G90"/>
    <mergeCell ref="A91:G91"/>
    <mergeCell ref="A98:G98"/>
    <mergeCell ref="A99:G99"/>
    <mergeCell ref="A100:G100"/>
    <mergeCell ref="A101:G101"/>
    <mergeCell ref="A102:G102"/>
    <mergeCell ref="A103:G103"/>
    <mergeCell ref="A104:G104"/>
    <mergeCell ref="A105:G105"/>
    <mergeCell ref="A106:G106"/>
    <mergeCell ref="A107:G107"/>
    <mergeCell ref="A1:C1"/>
    <mergeCell ref="A2:G2"/>
    <mergeCell ref="A3:G3"/>
    <mergeCell ref="A4:G4"/>
    <mergeCell ref="A5:G5"/>
    <mergeCell ref="A6:G6"/>
    <mergeCell ref="A7:G7"/>
    <mergeCell ref="A8:G8"/>
    <mergeCell ref="A9:G9"/>
    <mergeCell ref="A10:G10"/>
    <mergeCell ref="B12:E12"/>
    <mergeCell ref="F12:G12"/>
    <mergeCell ref="B13:E13"/>
    <mergeCell ref="F13:G13"/>
    <mergeCell ref="B14:E14"/>
    <mergeCell ref="F14:G14"/>
    <mergeCell ref="B15:E15"/>
    <mergeCell ref="F15:G15"/>
    <mergeCell ref="B16:E16"/>
    <mergeCell ref="F16:G16"/>
    <mergeCell ref="B17:E17"/>
    <mergeCell ref="F17:G17"/>
    <mergeCell ref="B18:E18"/>
    <mergeCell ref="F18:G18"/>
    <mergeCell ref="B19:E19"/>
    <mergeCell ref="F19:G19"/>
    <mergeCell ref="B20:E20"/>
    <mergeCell ref="F20:G20"/>
    <mergeCell ref="A21:E21"/>
    <mergeCell ref="F21:G21"/>
    <mergeCell ref="A25:G25"/>
    <mergeCell ref="A26:G26"/>
    <mergeCell ref="A27:G27"/>
    <mergeCell ref="B29:E29"/>
    <mergeCell ref="F29:G29"/>
    <mergeCell ref="B30:E30"/>
    <mergeCell ref="F30:G30"/>
    <mergeCell ref="B31:E31"/>
    <mergeCell ref="F31:G31"/>
    <mergeCell ref="B32:E32"/>
    <mergeCell ref="F32:G32"/>
    <mergeCell ref="B33:E33"/>
    <mergeCell ref="F33:G33"/>
    <mergeCell ref="B34:E34"/>
    <mergeCell ref="F34:G34"/>
    <mergeCell ref="B36:E36"/>
    <mergeCell ref="F36:G36"/>
    <mergeCell ref="B35:E35"/>
    <mergeCell ref="F35:G35"/>
    <mergeCell ref="B37:E37"/>
    <mergeCell ref="F37:G37"/>
    <mergeCell ref="A38:E38"/>
    <mergeCell ref="F38:G38"/>
    <mergeCell ref="A41:G41"/>
    <mergeCell ref="A43:G43"/>
    <mergeCell ref="A44:G44"/>
    <mergeCell ref="A46:G46"/>
    <mergeCell ref="A47:G47"/>
    <mergeCell ref="A48:G48"/>
    <mergeCell ref="A49:G49"/>
    <mergeCell ref="A50:G50"/>
    <mergeCell ref="A51:G51"/>
    <mergeCell ref="A52:G52"/>
    <mergeCell ref="A53:G53"/>
    <mergeCell ref="A54:G54"/>
    <mergeCell ref="A55:G55"/>
    <mergeCell ref="A56:G56"/>
    <mergeCell ref="A57:G57"/>
    <mergeCell ref="A58:G58"/>
    <mergeCell ref="A108:G10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5:G75"/>
    <mergeCell ref="A76:G76"/>
    <mergeCell ref="A95:G95"/>
    <mergeCell ref="A96:G96"/>
    <mergeCell ref="A97:G97"/>
    <mergeCell ref="A109:G109"/>
    <mergeCell ref="A110:G110"/>
    <mergeCell ref="A111:G111"/>
    <mergeCell ref="A112:G112"/>
    <mergeCell ref="A113:G113"/>
    <mergeCell ref="A115:G115"/>
    <mergeCell ref="A116:G116"/>
    <mergeCell ref="A114:G114"/>
    <mergeCell ref="A117:G117"/>
    <mergeCell ref="A122:G122"/>
    <mergeCell ref="A123:G123"/>
    <mergeCell ref="A124:G124"/>
    <mergeCell ref="A125:G125"/>
    <mergeCell ref="A126:G126"/>
    <mergeCell ref="A118:G118"/>
    <mergeCell ref="A119:G119"/>
    <mergeCell ref="A120:G120"/>
    <mergeCell ref="A121:G121"/>
    <mergeCell ref="A127:G127"/>
    <mergeCell ref="A128:G128"/>
    <mergeCell ref="A129:G129"/>
    <mergeCell ref="A130:G130"/>
    <mergeCell ref="A131:G131"/>
    <mergeCell ref="A132:G132"/>
    <mergeCell ref="A134:C134"/>
    <mergeCell ref="D134:E134"/>
    <mergeCell ref="F134:G134"/>
    <mergeCell ref="A135:C135"/>
    <mergeCell ref="D135:E135"/>
    <mergeCell ref="F135:G135"/>
    <mergeCell ref="A136:C136"/>
    <mergeCell ref="D136:E136"/>
    <mergeCell ref="F136:G136"/>
    <mergeCell ref="A137:C137"/>
    <mergeCell ref="D137:E137"/>
    <mergeCell ref="F137:G137"/>
    <mergeCell ref="A138:C138"/>
    <mergeCell ref="D138:E138"/>
    <mergeCell ref="F138:G138"/>
    <mergeCell ref="A139:C139"/>
    <mergeCell ref="D139:E139"/>
    <mergeCell ref="F139:G139"/>
    <mergeCell ref="A140:C140"/>
    <mergeCell ref="D140:E140"/>
    <mergeCell ref="F140:G140"/>
    <mergeCell ref="A192:C192"/>
    <mergeCell ref="E192:G192"/>
    <mergeCell ref="A193:C193"/>
    <mergeCell ref="A201:C201"/>
    <mergeCell ref="A202:C202"/>
    <mergeCell ref="E201:G201"/>
    <mergeCell ref="A144:G144"/>
    <mergeCell ref="A145:G145"/>
    <mergeCell ref="A146:G146"/>
    <mergeCell ref="A148:G148"/>
    <mergeCell ref="A155:C155"/>
    <mergeCell ref="E155:G155"/>
    <mergeCell ref="E193:G193"/>
    <mergeCell ref="A92:G92"/>
    <mergeCell ref="A77:G77"/>
    <mergeCell ref="A78:G78"/>
    <mergeCell ref="A79:G79"/>
    <mergeCell ref="A80:G80"/>
    <mergeCell ref="A81:G81"/>
    <mergeCell ref="A82:G82"/>
    <mergeCell ref="A183:C183"/>
    <mergeCell ref="A184:C184"/>
    <mergeCell ref="E184:G184"/>
    <mergeCell ref="E183:G183"/>
    <mergeCell ref="A156:C156"/>
    <mergeCell ref="E156:G156"/>
    <mergeCell ref="A165:C165"/>
    <mergeCell ref="E165:G165"/>
    <mergeCell ref="A166:C166"/>
    <mergeCell ref="E166:G166"/>
    <mergeCell ref="A174:C174"/>
    <mergeCell ref="E174:G174"/>
    <mergeCell ref="A175:C175"/>
    <mergeCell ref="E175:G175"/>
    <mergeCell ref="A141:G141"/>
    <mergeCell ref="A142:G142"/>
    <mergeCell ref="A143:G143"/>
    <mergeCell ref="I165:K165"/>
    <mergeCell ref="N165:P165"/>
    <mergeCell ref="H148:N148"/>
    <mergeCell ref="H48:N48"/>
    <mergeCell ref="H50:N50"/>
    <mergeCell ref="H52:N52"/>
    <mergeCell ref="H54:N54"/>
    <mergeCell ref="H60:N60"/>
    <mergeCell ref="H62:N62"/>
    <mergeCell ref="H64:N64"/>
    <mergeCell ref="H68:N68"/>
    <mergeCell ref="H70:N70"/>
  </mergeCells>
  <phoneticPr fontId="11" type="noConversion"/>
  <pageMargins left="1.0236220472440944" right="0.15748031496062992" top="0.59055118110236227" bottom="0.94488188976377963" header="0.15748031496062992" footer="0"/>
  <pageSetup scale="93" orientation="portrait" verticalDpi="300" r:id="rId1"/>
  <headerFooter alignWithMargins="0">
    <oddFooter>&amp;C&amp;P&amp;R</oddFooter>
  </headerFooter>
  <rowBreaks count="8" manualBreakCount="8">
    <brk id="43" max="16383" man="1"/>
    <brk id="59" max="16383" man="1"/>
    <brk id="73" max="16383" man="1"/>
    <brk id="89" max="16383" man="1"/>
    <brk id="103" max="16383" man="1"/>
    <brk id="118" max="15" man="1"/>
    <brk id="131" max="16383" man="1"/>
    <brk id="156" max="16383" man="1"/>
  </rowBreaks>
  <colBreaks count="1" manualBreakCount="1">
    <brk id="7"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04"/>
  <sheetViews>
    <sheetView topLeftCell="A10" zoomScale="106" zoomScaleNormal="106" workbookViewId="0">
      <selection activeCell="K33" sqref="K33"/>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62" customWidth="1"/>
    <col min="7" max="7" width="42.85546875" style="17" customWidth="1"/>
    <col min="8" max="8" width="16.7109375" customWidth="1"/>
  </cols>
  <sheetData>
    <row r="1" spans="1:8" ht="18.75">
      <c r="A1" s="1492" t="s">
        <v>84</v>
      </c>
      <c r="B1" s="1492"/>
      <c r="C1" s="1492"/>
      <c r="D1" s="1492"/>
      <c r="E1" s="1492"/>
      <c r="F1" s="1492"/>
      <c r="G1" s="1492"/>
      <c r="H1" s="1492"/>
    </row>
    <row r="2" spans="1:8" ht="18.75">
      <c r="A2" s="1492" t="s">
        <v>83</v>
      </c>
      <c r="B2" s="1492"/>
      <c r="C2" s="1492"/>
      <c r="D2" s="1492"/>
      <c r="E2" s="1492"/>
      <c r="F2" s="1492"/>
      <c r="G2" s="1492"/>
      <c r="H2" s="1492"/>
    </row>
    <row r="3" spans="1:8" ht="18.75">
      <c r="A3" s="1470" t="s">
        <v>687</v>
      </c>
      <c r="B3" s="1470"/>
      <c r="C3" s="1470"/>
      <c r="D3" s="1470"/>
      <c r="E3" s="1470"/>
      <c r="F3" s="1470"/>
      <c r="G3" s="1470"/>
      <c r="H3" s="1470"/>
    </row>
    <row r="4" spans="1:8" ht="18.75">
      <c r="A4" s="1470" t="s">
        <v>14</v>
      </c>
      <c r="B4" s="1470"/>
      <c r="C4" s="1470"/>
      <c r="D4" s="1470"/>
      <c r="E4" s="1470"/>
      <c r="F4" s="1470"/>
      <c r="G4" s="1470"/>
      <c r="H4" s="1470"/>
    </row>
    <row r="5" spans="1:8" ht="4.5" customHeight="1">
      <c r="A5" s="1493" t="s">
        <v>26</v>
      </c>
      <c r="B5" s="1493"/>
      <c r="C5" s="1493"/>
      <c r="D5" s="1493"/>
      <c r="E5" s="1493"/>
      <c r="F5" s="1493"/>
      <c r="G5" s="1493"/>
      <c r="H5" s="1493"/>
    </row>
    <row r="6" spans="1:8">
      <c r="A6" s="1493"/>
      <c r="B6" s="1493"/>
      <c r="C6" s="1493"/>
      <c r="D6" s="1493"/>
      <c r="E6" s="1493"/>
      <c r="F6" s="1493"/>
      <c r="G6" s="1493"/>
      <c r="H6" s="1493"/>
    </row>
    <row r="7" spans="1:8" ht="26.25" customHeight="1">
      <c r="A7" s="1494" t="s">
        <v>675</v>
      </c>
      <c r="B7" s="1495"/>
      <c r="C7" s="1495"/>
      <c r="D7" s="1495"/>
      <c r="E7" s="1495"/>
      <c r="F7" s="1495"/>
      <c r="G7" s="1495"/>
      <c r="H7" s="1495"/>
    </row>
    <row r="8" spans="1:8" ht="15">
      <c r="A8" s="1496" t="s">
        <v>11</v>
      </c>
      <c r="B8" s="1496"/>
      <c r="C8" s="1496"/>
      <c r="D8" s="1496"/>
      <c r="E8" s="1496"/>
      <c r="F8" s="1496"/>
      <c r="G8" s="1497" t="s">
        <v>23</v>
      </c>
      <c r="H8" s="1498" t="s">
        <v>30</v>
      </c>
    </row>
    <row r="9" spans="1:8" ht="60" customHeight="1">
      <c r="A9" s="439" t="s">
        <v>19</v>
      </c>
      <c r="B9" s="440" t="s">
        <v>185</v>
      </c>
      <c r="C9" s="439" t="s">
        <v>20</v>
      </c>
      <c r="D9" s="439" t="s">
        <v>24</v>
      </c>
      <c r="E9" s="441" t="s">
        <v>320</v>
      </c>
      <c r="F9" s="439" t="s">
        <v>22</v>
      </c>
      <c r="G9" s="1497"/>
      <c r="H9" s="1498"/>
    </row>
    <row r="10" spans="1:8" ht="19.5" customHeight="1">
      <c r="A10" s="71" t="s">
        <v>313</v>
      </c>
      <c r="B10" s="71" t="s">
        <v>45</v>
      </c>
      <c r="C10" s="71" t="s">
        <v>36</v>
      </c>
      <c r="D10" s="73">
        <v>1</v>
      </c>
      <c r="E10" s="74">
        <v>111</v>
      </c>
      <c r="F10" s="252" t="s">
        <v>34</v>
      </c>
      <c r="G10" s="309" t="s">
        <v>702</v>
      </c>
      <c r="H10" s="46" t="e">
        <f>SUM('concent, de egresos. carta'!#REF!)</f>
        <v>#REF!</v>
      </c>
    </row>
    <row r="11" spans="1:8" ht="19.5" customHeight="1">
      <c r="A11" s="71" t="s">
        <v>313</v>
      </c>
      <c r="B11" s="71" t="s">
        <v>45</v>
      </c>
      <c r="C11" s="71" t="s">
        <v>36</v>
      </c>
      <c r="D11" s="73">
        <v>1</v>
      </c>
      <c r="E11" s="74">
        <v>111</v>
      </c>
      <c r="F11" s="448">
        <v>51103</v>
      </c>
      <c r="G11" s="256" t="s">
        <v>87</v>
      </c>
      <c r="H11" s="46" t="e">
        <f>SUM('concent, de egresos. carta'!#REF!)</f>
        <v>#REF!</v>
      </c>
    </row>
    <row r="12" spans="1:8" ht="19.5" customHeight="1">
      <c r="A12" s="71" t="s">
        <v>313</v>
      </c>
      <c r="B12" s="71" t="s">
        <v>45</v>
      </c>
      <c r="C12" s="71" t="s">
        <v>36</v>
      </c>
      <c r="D12" s="73">
        <v>1</v>
      </c>
      <c r="E12" s="74">
        <v>111</v>
      </c>
      <c r="F12" s="448">
        <v>51207</v>
      </c>
      <c r="G12" s="256" t="s">
        <v>175</v>
      </c>
      <c r="H12" s="46" t="e">
        <f>SUM('concent, de egresos. carta'!#REF!)</f>
        <v>#REF!</v>
      </c>
    </row>
    <row r="13" spans="1:8" ht="19.5" customHeight="1">
      <c r="A13" s="71" t="s">
        <v>313</v>
      </c>
      <c r="B13" s="71" t="s">
        <v>45</v>
      </c>
      <c r="C13" s="71" t="s">
        <v>36</v>
      </c>
      <c r="D13" s="73">
        <v>1</v>
      </c>
      <c r="E13" s="74">
        <v>111</v>
      </c>
      <c r="F13" s="154" t="s">
        <v>94</v>
      </c>
      <c r="G13" s="304" t="s">
        <v>95</v>
      </c>
      <c r="H13" s="46" t="e">
        <f>SUM('concent, de egresos. carta'!#REF!)</f>
        <v>#REF!</v>
      </c>
    </row>
    <row r="14" spans="1:8" ht="19.5" customHeight="1">
      <c r="A14" s="71" t="s">
        <v>313</v>
      </c>
      <c r="B14" s="71" t="s">
        <v>45</v>
      </c>
      <c r="C14" s="71" t="s">
        <v>36</v>
      </c>
      <c r="D14" s="73">
        <v>1</v>
      </c>
      <c r="E14" s="74">
        <v>111</v>
      </c>
      <c r="F14" s="154" t="s">
        <v>96</v>
      </c>
      <c r="G14" s="304" t="s">
        <v>97</v>
      </c>
      <c r="H14" s="46" t="e">
        <f>SUM('concent, de egresos. carta'!#REF!)</f>
        <v>#REF!</v>
      </c>
    </row>
    <row r="15" spans="1:8" ht="19.5" customHeight="1">
      <c r="A15" s="71" t="s">
        <v>313</v>
      </c>
      <c r="B15" s="71" t="s">
        <v>45</v>
      </c>
      <c r="C15" s="71" t="s">
        <v>36</v>
      </c>
      <c r="D15" s="73">
        <v>1</v>
      </c>
      <c r="E15" s="74">
        <v>111</v>
      </c>
      <c r="F15" s="61" t="s">
        <v>179</v>
      </c>
      <c r="G15" s="309" t="s">
        <v>90</v>
      </c>
      <c r="H15" s="46"/>
    </row>
    <row r="16" spans="1:8" ht="18" hidden="1" customHeight="1">
      <c r="A16" s="71" t="s">
        <v>313</v>
      </c>
      <c r="B16" s="71" t="s">
        <v>45</v>
      </c>
      <c r="C16" s="71" t="s">
        <v>36</v>
      </c>
      <c r="D16" s="73">
        <v>1</v>
      </c>
      <c r="E16" s="74">
        <v>111</v>
      </c>
      <c r="F16" s="252" t="s">
        <v>431</v>
      </c>
      <c r="G16" s="309" t="s">
        <v>579</v>
      </c>
      <c r="H16" s="46"/>
    </row>
    <row r="17" spans="1:13" ht="19.5" hidden="1" customHeight="1">
      <c r="A17" s="71" t="s">
        <v>313</v>
      </c>
      <c r="B17" s="71" t="s">
        <v>45</v>
      </c>
      <c r="C17" s="71" t="s">
        <v>36</v>
      </c>
      <c r="D17" s="73">
        <v>1</v>
      </c>
      <c r="E17" s="74">
        <v>111</v>
      </c>
      <c r="F17" s="252" t="s">
        <v>456</v>
      </c>
      <c r="G17" s="309" t="s">
        <v>457</v>
      </c>
      <c r="H17" s="46"/>
    </row>
    <row r="18" spans="1:13" ht="19.5" customHeight="1">
      <c r="A18" s="71" t="s">
        <v>313</v>
      </c>
      <c r="B18" s="71" t="s">
        <v>45</v>
      </c>
      <c r="C18" s="71" t="s">
        <v>36</v>
      </c>
      <c r="D18" s="73">
        <v>1</v>
      </c>
      <c r="E18" s="74">
        <v>111</v>
      </c>
      <c r="F18" s="60" t="s">
        <v>413</v>
      </c>
      <c r="G18" s="309" t="s">
        <v>136</v>
      </c>
      <c r="H18" s="46"/>
      <c r="M18">
        <v>4</v>
      </c>
    </row>
    <row r="19" spans="1:13" ht="19.5" hidden="1" customHeight="1">
      <c r="A19" s="71" t="s">
        <v>313</v>
      </c>
      <c r="B19" s="71" t="s">
        <v>45</v>
      </c>
      <c r="C19" s="71" t="s">
        <v>36</v>
      </c>
      <c r="D19" s="73">
        <v>1</v>
      </c>
      <c r="E19" s="74">
        <v>111</v>
      </c>
      <c r="F19" s="253" t="s">
        <v>519</v>
      </c>
      <c r="G19" s="309" t="s">
        <v>580</v>
      </c>
      <c r="H19" s="46"/>
    </row>
    <row r="20" spans="1:13" ht="19.5" customHeight="1">
      <c r="A20" s="71" t="s">
        <v>313</v>
      </c>
      <c r="B20" s="71" t="s">
        <v>45</v>
      </c>
      <c r="C20" s="71" t="s">
        <v>36</v>
      </c>
      <c r="D20" s="73">
        <v>1</v>
      </c>
      <c r="E20" s="74">
        <v>111</v>
      </c>
      <c r="F20" s="75">
        <v>54111</v>
      </c>
      <c r="G20" s="309" t="s">
        <v>140</v>
      </c>
      <c r="H20" s="222"/>
      <c r="I20" s="254"/>
    </row>
    <row r="21" spans="1:13" ht="19.5" customHeight="1">
      <c r="A21" s="71" t="s">
        <v>313</v>
      </c>
      <c r="B21" s="71" t="s">
        <v>45</v>
      </c>
      <c r="C21" s="71" t="s">
        <v>36</v>
      </c>
      <c r="D21" s="73">
        <v>1</v>
      </c>
      <c r="E21" s="74">
        <v>111</v>
      </c>
      <c r="F21" s="75">
        <v>54112</v>
      </c>
      <c r="G21" s="309" t="s">
        <v>141</v>
      </c>
      <c r="H21" s="46"/>
    </row>
    <row r="22" spans="1:13" ht="19.5" customHeight="1">
      <c r="A22" s="71" t="s">
        <v>313</v>
      </c>
      <c r="B22" s="71" t="s">
        <v>45</v>
      </c>
      <c r="C22" s="71" t="s">
        <v>36</v>
      </c>
      <c r="D22" s="73">
        <v>1</v>
      </c>
      <c r="E22" s="74">
        <v>111</v>
      </c>
      <c r="F22" s="75">
        <v>54118</v>
      </c>
      <c r="G22" s="309" t="s">
        <v>387</v>
      </c>
      <c r="H22" s="222"/>
    </row>
    <row r="23" spans="1:13" ht="19.5" customHeight="1">
      <c r="A23" s="71" t="s">
        <v>313</v>
      </c>
      <c r="B23" s="71" t="s">
        <v>45</v>
      </c>
      <c r="C23" s="71" t="s">
        <v>36</v>
      </c>
      <c r="D23" s="73">
        <v>1</v>
      </c>
      <c r="E23" s="74">
        <v>111</v>
      </c>
      <c r="F23" s="75">
        <v>54199</v>
      </c>
      <c r="G23" s="309" t="s">
        <v>581</v>
      </c>
      <c r="H23" s="46"/>
    </row>
    <row r="24" spans="1:13" ht="19.5" customHeight="1">
      <c r="A24" s="71" t="s">
        <v>313</v>
      </c>
      <c r="B24" s="71" t="s">
        <v>45</v>
      </c>
      <c r="C24" s="71" t="s">
        <v>36</v>
      </c>
      <c r="D24" s="73">
        <v>1</v>
      </c>
      <c r="E24" s="74">
        <v>111</v>
      </c>
      <c r="F24" s="75">
        <v>54304</v>
      </c>
      <c r="G24" s="310" t="s">
        <v>315</v>
      </c>
      <c r="H24" s="46"/>
    </row>
    <row r="25" spans="1:13" ht="19.5" customHeight="1">
      <c r="A25" s="71" t="s">
        <v>313</v>
      </c>
      <c r="B25" s="71" t="s">
        <v>45</v>
      </c>
      <c r="C25" s="71" t="s">
        <v>36</v>
      </c>
      <c r="D25" s="73">
        <v>1</v>
      </c>
      <c r="E25" s="74">
        <v>111</v>
      </c>
      <c r="F25" s="75">
        <v>54316</v>
      </c>
      <c r="G25" s="309" t="s">
        <v>161</v>
      </c>
      <c r="H25" s="46"/>
    </row>
    <row r="26" spans="1:13" ht="19.5" hidden="1" customHeight="1">
      <c r="A26" s="71" t="s">
        <v>313</v>
      </c>
      <c r="B26" s="71" t="s">
        <v>45</v>
      </c>
      <c r="C26" s="71" t="s">
        <v>36</v>
      </c>
      <c r="D26" s="73">
        <v>1</v>
      </c>
      <c r="E26" s="74">
        <v>111</v>
      </c>
      <c r="F26" s="75">
        <v>54317</v>
      </c>
      <c r="G26" s="310" t="s">
        <v>162</v>
      </c>
      <c r="H26" s="46"/>
    </row>
    <row r="27" spans="1:13" ht="12" hidden="1" customHeight="1">
      <c r="A27" s="71" t="s">
        <v>313</v>
      </c>
      <c r="B27" s="71" t="s">
        <v>45</v>
      </c>
      <c r="C27" s="71" t="s">
        <v>36</v>
      </c>
      <c r="D27" s="73">
        <v>1</v>
      </c>
      <c r="E27" s="74">
        <v>111</v>
      </c>
      <c r="F27" s="75">
        <v>54599</v>
      </c>
      <c r="G27" s="310" t="s">
        <v>582</v>
      </c>
      <c r="H27" s="381"/>
    </row>
    <row r="28" spans="1:13" ht="19.5" customHeight="1">
      <c r="A28" s="71" t="s">
        <v>313</v>
      </c>
      <c r="B28" s="71" t="s">
        <v>45</v>
      </c>
      <c r="C28" s="71" t="s">
        <v>36</v>
      </c>
      <c r="D28" s="73">
        <v>1</v>
      </c>
      <c r="E28" s="74">
        <v>111</v>
      </c>
      <c r="F28" s="60" t="s">
        <v>316</v>
      </c>
      <c r="G28" s="311" t="s">
        <v>114</v>
      </c>
      <c r="H28" s="381"/>
    </row>
    <row r="29" spans="1:13" ht="19.5" customHeight="1">
      <c r="A29" s="71" t="s">
        <v>313</v>
      </c>
      <c r="B29" s="71" t="s">
        <v>45</v>
      </c>
      <c r="C29" s="71" t="s">
        <v>36</v>
      </c>
      <c r="D29" s="73">
        <v>1</v>
      </c>
      <c r="E29" s="74">
        <v>111</v>
      </c>
      <c r="F29" s="97">
        <v>61599</v>
      </c>
      <c r="G29" s="312" t="s">
        <v>124</v>
      </c>
      <c r="H29" s="381"/>
    </row>
    <row r="30" spans="1:13" ht="13.5" hidden="1" customHeight="1">
      <c r="A30" s="71" t="s">
        <v>313</v>
      </c>
      <c r="B30" s="71" t="s">
        <v>45</v>
      </c>
      <c r="C30" s="71" t="s">
        <v>36</v>
      </c>
      <c r="D30" s="73">
        <v>1</v>
      </c>
      <c r="E30" s="74">
        <v>111</v>
      </c>
      <c r="F30" s="62">
        <v>61201</v>
      </c>
      <c r="G30" s="308" t="s">
        <v>121</v>
      </c>
      <c r="H30" s="381"/>
    </row>
    <row r="31" spans="1:13" ht="19.5" customHeight="1">
      <c r="A31" s="71" t="s">
        <v>313</v>
      </c>
      <c r="B31" s="71" t="s">
        <v>45</v>
      </c>
      <c r="C31" s="71" t="s">
        <v>36</v>
      </c>
      <c r="D31" s="73">
        <v>1</v>
      </c>
      <c r="E31" s="74">
        <v>111</v>
      </c>
      <c r="F31" s="75">
        <v>61601</v>
      </c>
      <c r="G31" s="309" t="s">
        <v>125</v>
      </c>
      <c r="H31" s="46"/>
    </row>
    <row r="32" spans="1:13" ht="19.5" customHeight="1">
      <c r="A32" s="71" t="s">
        <v>313</v>
      </c>
      <c r="B32" s="71" t="s">
        <v>45</v>
      </c>
      <c r="C32" s="71" t="s">
        <v>36</v>
      </c>
      <c r="D32" s="73">
        <v>1</v>
      </c>
      <c r="E32" s="74">
        <v>111</v>
      </c>
      <c r="F32" s="75">
        <v>61606</v>
      </c>
      <c r="G32" s="309" t="s">
        <v>317</v>
      </c>
      <c r="H32" s="46"/>
    </row>
    <row r="33" spans="1:8" ht="19.5" customHeight="1">
      <c r="A33" s="71" t="s">
        <v>313</v>
      </c>
      <c r="B33" s="71" t="s">
        <v>45</v>
      </c>
      <c r="C33" s="71" t="s">
        <v>36</v>
      </c>
      <c r="D33" s="73">
        <v>1</v>
      </c>
      <c r="E33" s="74">
        <v>111</v>
      </c>
      <c r="F33" s="75">
        <v>61608</v>
      </c>
      <c r="G33" s="309" t="s">
        <v>129</v>
      </c>
      <c r="H33" s="222"/>
    </row>
    <row r="34" spans="1:8" ht="15" hidden="1">
      <c r="A34" s="71" t="s">
        <v>313</v>
      </c>
      <c r="B34" s="71" t="s">
        <v>45</v>
      </c>
      <c r="C34" s="71" t="s">
        <v>36</v>
      </c>
      <c r="D34" s="73">
        <v>1</v>
      </c>
      <c r="E34" s="74">
        <v>111</v>
      </c>
      <c r="F34" s="75">
        <v>61699</v>
      </c>
      <c r="G34" s="309" t="s">
        <v>318</v>
      </c>
      <c r="H34" s="46"/>
    </row>
    <row r="35" spans="1:8" ht="15.75" customHeight="1" thickBot="1">
      <c r="A35" s="1499" t="s">
        <v>25</v>
      </c>
      <c r="B35" s="1500"/>
      <c r="C35" s="1500"/>
      <c r="D35" s="1500"/>
      <c r="E35" s="1500"/>
      <c r="F35" s="1500"/>
      <c r="G35" s="1501"/>
      <c r="H35" s="442" t="e">
        <f>SUM(H10:H34)</f>
        <v>#REF!</v>
      </c>
    </row>
    <row r="36" spans="1:8" ht="15.75" thickTop="1">
      <c r="A36" s="87"/>
      <c r="B36" s="87"/>
      <c r="C36" s="87"/>
      <c r="D36" s="14"/>
      <c r="E36" s="98"/>
      <c r="H36" s="79"/>
    </row>
    <row r="37" spans="1:8" ht="15">
      <c r="A37" s="87"/>
      <c r="B37" s="87"/>
      <c r="C37" s="87"/>
      <c r="D37" s="14"/>
      <c r="E37" s="98"/>
      <c r="H37" s="79"/>
    </row>
    <row r="38" spans="1:8" ht="15">
      <c r="A38" s="87"/>
      <c r="B38" s="87"/>
      <c r="C38" s="87"/>
      <c r="D38" s="14"/>
      <c r="E38" s="98"/>
      <c r="H38" s="79"/>
    </row>
    <row r="39" spans="1:8" ht="15">
      <c r="A39" s="87"/>
      <c r="B39" s="87"/>
      <c r="C39" s="87"/>
      <c r="D39" s="14"/>
      <c r="E39" s="98"/>
      <c r="H39" s="79"/>
    </row>
    <row r="40" spans="1:8" ht="15">
      <c r="A40" s="87"/>
      <c r="B40" s="87"/>
      <c r="C40" s="87"/>
      <c r="D40" s="14"/>
      <c r="E40" s="98"/>
      <c r="H40" s="79"/>
    </row>
    <row r="41" spans="1:8" ht="15">
      <c r="A41" s="87"/>
      <c r="B41" s="87"/>
      <c r="C41" s="87"/>
      <c r="D41" s="14"/>
      <c r="E41" s="98"/>
      <c r="H41" s="79"/>
    </row>
    <row r="42" spans="1:8" ht="15">
      <c r="A42" s="87"/>
      <c r="B42" s="87"/>
      <c r="C42" s="87"/>
      <c r="D42" s="14"/>
      <c r="E42" s="98"/>
      <c r="H42" s="79"/>
    </row>
    <row r="43" spans="1:8" ht="15">
      <c r="A43" s="87"/>
      <c r="B43" s="87"/>
      <c r="C43" s="87"/>
      <c r="D43" s="14"/>
      <c r="E43" s="98"/>
      <c r="H43" s="79"/>
    </row>
    <row r="44" spans="1:8" ht="15">
      <c r="A44" s="87"/>
      <c r="B44" s="87"/>
      <c r="C44" s="87"/>
      <c r="D44" s="14"/>
      <c r="E44" s="98"/>
      <c r="H44" s="79"/>
    </row>
    <row r="45" spans="1:8" ht="15">
      <c r="A45" s="87"/>
      <c r="B45" s="87"/>
      <c r="C45" s="87"/>
      <c r="D45" s="14"/>
      <c r="E45" s="98"/>
      <c r="H45" s="79"/>
    </row>
    <row r="46" spans="1:8" ht="15">
      <c r="A46" s="87"/>
      <c r="B46" s="87"/>
      <c r="C46" s="87"/>
      <c r="D46" s="14"/>
      <c r="E46" s="98"/>
      <c r="H46" s="79"/>
    </row>
    <row r="47" spans="1:8" ht="15">
      <c r="A47" s="87"/>
      <c r="B47" s="87"/>
      <c r="C47" s="87"/>
      <c r="D47" s="14"/>
      <c r="E47" s="98"/>
    </row>
    <row r="48" spans="1:8" ht="15">
      <c r="A48" s="87"/>
      <c r="B48" s="87"/>
      <c r="C48" s="87"/>
      <c r="D48" s="14"/>
      <c r="E48" s="98"/>
    </row>
    <row r="49" spans="1:8" ht="15">
      <c r="A49" s="87"/>
      <c r="B49" s="87"/>
      <c r="C49" s="87"/>
      <c r="D49" s="14"/>
      <c r="E49" s="98"/>
      <c r="H49" s="79"/>
    </row>
    <row r="50" spans="1:8" ht="15">
      <c r="A50" s="87"/>
      <c r="B50" s="87"/>
      <c r="C50" s="87"/>
      <c r="D50" s="14"/>
      <c r="E50" s="98"/>
      <c r="H50" s="79"/>
    </row>
    <row r="51" spans="1:8" ht="15">
      <c r="A51" s="87"/>
      <c r="B51" s="87"/>
      <c r="C51" s="87"/>
      <c r="D51" s="14"/>
      <c r="E51" s="98"/>
      <c r="H51" s="79"/>
    </row>
    <row r="52" spans="1:8" ht="15">
      <c r="A52" s="87"/>
      <c r="B52" s="87"/>
      <c r="C52" s="87"/>
      <c r="D52" s="14"/>
      <c r="E52" s="98"/>
      <c r="H52" s="79"/>
    </row>
    <row r="53" spans="1:8" ht="15">
      <c r="A53" s="87"/>
      <c r="B53" s="87"/>
      <c r="C53" s="87"/>
      <c r="D53" s="14"/>
      <c r="E53" s="98"/>
      <c r="H53" s="79"/>
    </row>
    <row r="54" spans="1:8" ht="15">
      <c r="A54" s="87"/>
      <c r="B54" s="87"/>
      <c r="C54" s="87"/>
      <c r="D54" s="14"/>
      <c r="E54" s="98"/>
      <c r="H54" s="79"/>
    </row>
    <row r="55" spans="1:8" ht="15">
      <c r="A55" s="87"/>
      <c r="B55" s="87"/>
      <c r="C55" s="87"/>
      <c r="D55" s="14"/>
      <c r="E55" s="98"/>
      <c r="H55" s="79"/>
    </row>
    <row r="56" spans="1:8" ht="15">
      <c r="A56" s="87"/>
      <c r="B56" s="87"/>
      <c r="C56" s="87"/>
      <c r="D56" s="14"/>
      <c r="E56" s="98"/>
      <c r="H56" s="79"/>
    </row>
    <row r="57" spans="1:8" ht="15">
      <c r="A57" s="87"/>
      <c r="B57" s="87"/>
      <c r="C57" s="87"/>
      <c r="D57" s="14"/>
      <c r="E57" s="98"/>
      <c r="H57" s="79"/>
    </row>
    <row r="58" spans="1:8" ht="15">
      <c r="A58" s="87"/>
      <c r="B58" s="87"/>
      <c r="C58" s="87"/>
      <c r="D58" s="14"/>
      <c r="E58" s="98"/>
      <c r="H58" s="79"/>
    </row>
    <row r="59" spans="1:8" ht="15">
      <c r="A59" s="87"/>
      <c r="B59" s="87"/>
      <c r="C59" s="87"/>
      <c r="D59" s="14"/>
      <c r="E59" s="98"/>
      <c r="H59" s="79"/>
    </row>
    <row r="60" spans="1:8" ht="15">
      <c r="A60" s="87"/>
      <c r="B60" s="87"/>
      <c r="C60" s="87"/>
      <c r="D60" s="14"/>
      <c r="E60" s="98"/>
      <c r="H60" s="79"/>
    </row>
    <row r="61" spans="1:8" ht="15">
      <c r="A61" s="87"/>
      <c r="B61" s="87"/>
      <c r="C61" s="87"/>
      <c r="D61" s="14"/>
      <c r="E61" s="98"/>
      <c r="H61" s="79"/>
    </row>
    <row r="62" spans="1:8" ht="15">
      <c r="A62" s="87"/>
      <c r="B62" s="87"/>
      <c r="C62" s="87"/>
      <c r="D62" s="14"/>
      <c r="E62" s="98"/>
      <c r="H62" s="79"/>
    </row>
    <row r="63" spans="1:8" ht="15">
      <c r="A63" s="87"/>
      <c r="B63" s="87"/>
      <c r="C63" s="87"/>
      <c r="D63" s="14"/>
      <c r="E63" s="98"/>
      <c r="H63" s="79"/>
    </row>
    <row r="64" spans="1:8" ht="15">
      <c r="A64" s="87"/>
      <c r="B64" s="87"/>
      <c r="C64" s="87"/>
      <c r="D64" s="14"/>
      <c r="E64" s="98"/>
      <c r="H64" s="79"/>
    </row>
    <row r="65" spans="1:8" ht="15">
      <c r="A65" s="87"/>
      <c r="B65" s="87"/>
      <c r="C65" s="87"/>
      <c r="D65" s="14"/>
      <c r="E65" s="98"/>
      <c r="H65" s="79"/>
    </row>
    <row r="66" spans="1:8" ht="15">
      <c r="A66" s="87"/>
      <c r="B66" s="87"/>
      <c r="C66" s="87"/>
      <c r="D66" s="14"/>
      <c r="E66" s="98"/>
      <c r="H66" s="79"/>
    </row>
    <row r="67" spans="1:8" ht="15">
      <c r="A67" s="87"/>
      <c r="B67" s="87"/>
      <c r="C67" s="87"/>
      <c r="D67" s="14"/>
      <c r="E67" s="98"/>
      <c r="H67" s="79"/>
    </row>
    <row r="68" spans="1:8" ht="15">
      <c r="A68" s="15"/>
      <c r="B68" s="15"/>
      <c r="C68" s="15"/>
      <c r="D68" s="14"/>
      <c r="E68" s="15"/>
      <c r="G68" s="313"/>
      <c r="H68" s="47"/>
    </row>
    <row r="69" spans="1:8" ht="15">
      <c r="A69" s="87"/>
      <c r="B69" s="87"/>
      <c r="C69" s="86"/>
      <c r="D69" s="14"/>
      <c r="E69" s="87"/>
      <c r="F69" s="63"/>
      <c r="G69" s="308"/>
      <c r="H69" s="79"/>
    </row>
    <row r="70" spans="1:8" ht="15">
      <c r="A70" s="87"/>
      <c r="B70" s="87"/>
      <c r="C70" s="86"/>
      <c r="D70" s="14"/>
      <c r="E70" s="87"/>
      <c r="F70" s="63"/>
      <c r="G70" s="308"/>
      <c r="H70" s="79"/>
    </row>
    <row r="71" spans="1:8" ht="15">
      <c r="A71" s="87"/>
      <c r="B71" s="87"/>
      <c r="C71" s="86"/>
      <c r="D71" s="14"/>
      <c r="E71" s="87"/>
      <c r="G71" s="80"/>
      <c r="H71" s="79"/>
    </row>
    <row r="72" spans="1:8" ht="15">
      <c r="A72" s="87"/>
      <c r="B72" s="87"/>
      <c r="C72" s="86"/>
      <c r="D72" s="14"/>
      <c r="E72" s="87"/>
      <c r="F72" s="63"/>
      <c r="G72" s="308"/>
      <c r="H72" s="79"/>
    </row>
    <row r="73" spans="1:8" ht="15">
      <c r="A73" s="87"/>
      <c r="B73" s="87"/>
      <c r="C73" s="86"/>
      <c r="D73" s="14"/>
      <c r="E73" s="87"/>
      <c r="F73" s="63"/>
      <c r="G73" s="308"/>
      <c r="H73" s="79"/>
    </row>
    <row r="74" spans="1:8" ht="15">
      <c r="A74" s="87"/>
      <c r="B74" s="87"/>
      <c r="C74" s="86"/>
      <c r="D74" s="14"/>
      <c r="E74" s="87"/>
      <c r="F74" s="63"/>
      <c r="G74" s="308"/>
      <c r="H74" s="79"/>
    </row>
    <row r="75" spans="1:8" ht="15">
      <c r="A75" s="87"/>
      <c r="B75" s="87"/>
      <c r="C75" s="86"/>
      <c r="D75" s="14"/>
      <c r="E75" s="87"/>
      <c r="H75" s="79"/>
    </row>
    <row r="76" spans="1:8" ht="15">
      <c r="A76" s="87"/>
      <c r="B76" s="87"/>
      <c r="C76" s="86"/>
      <c r="D76" s="14"/>
      <c r="E76" s="87"/>
      <c r="H76" s="79"/>
    </row>
    <row r="77" spans="1:8" ht="15">
      <c r="A77" s="87"/>
      <c r="B77" s="87"/>
      <c r="C77" s="86"/>
      <c r="D77" s="14"/>
      <c r="E77" s="87"/>
      <c r="H77" s="79"/>
    </row>
    <row r="78" spans="1:8" ht="15">
      <c r="A78" s="87"/>
      <c r="B78" s="87"/>
      <c r="C78" s="86"/>
      <c r="D78" s="14"/>
      <c r="E78" s="87"/>
      <c r="H78" s="79"/>
    </row>
    <row r="79" spans="1:8" ht="15">
      <c r="A79" s="15"/>
      <c r="B79" s="15"/>
      <c r="C79" s="15"/>
      <c r="D79" s="14"/>
      <c r="E79" s="15"/>
      <c r="G79" s="313"/>
      <c r="H79" s="47"/>
    </row>
    <row r="80" spans="1:8" ht="15">
      <c r="A80" s="87"/>
      <c r="B80" s="86"/>
      <c r="C80" s="86"/>
      <c r="D80" s="14"/>
      <c r="E80" s="87"/>
      <c r="F80" s="63"/>
      <c r="G80" s="308"/>
      <c r="H80" s="79"/>
    </row>
    <row r="81" spans="1:8" ht="15">
      <c r="A81" s="87"/>
      <c r="B81" s="86"/>
      <c r="C81" s="86"/>
      <c r="D81" s="14"/>
      <c r="E81" s="87"/>
      <c r="F81" s="63"/>
      <c r="G81" s="308"/>
      <c r="H81" s="79"/>
    </row>
    <row r="82" spans="1:8" ht="15">
      <c r="A82" s="87"/>
      <c r="B82" s="86"/>
      <c r="C82" s="86"/>
      <c r="D82" s="14"/>
      <c r="E82" s="87"/>
      <c r="F82" s="63"/>
      <c r="G82" s="308"/>
      <c r="H82" s="79"/>
    </row>
    <row r="83" spans="1:8" ht="15">
      <c r="A83" s="87"/>
      <c r="B83" s="86"/>
      <c r="C83" s="86"/>
      <c r="D83" s="14"/>
      <c r="E83" s="87"/>
      <c r="F83" s="63"/>
      <c r="G83" s="308"/>
      <c r="H83" s="79"/>
    </row>
    <row r="84" spans="1:8" ht="15">
      <c r="A84" s="87"/>
      <c r="B84" s="86"/>
      <c r="C84" s="86"/>
      <c r="D84" s="14"/>
      <c r="E84" s="87"/>
      <c r="H84" s="79"/>
    </row>
    <row r="85" spans="1:8" ht="15">
      <c r="A85" s="87"/>
      <c r="B85" s="86"/>
      <c r="C85" s="86"/>
      <c r="D85" s="14"/>
      <c r="E85" s="87"/>
      <c r="H85" s="79"/>
    </row>
    <row r="86" spans="1:8" ht="15">
      <c r="A86" s="15"/>
      <c r="B86" s="15"/>
      <c r="C86" s="15"/>
      <c r="D86" s="14"/>
      <c r="E86" s="15"/>
      <c r="G86" s="313"/>
      <c r="H86" s="47"/>
    </row>
    <row r="87" spans="1:8" ht="15">
      <c r="A87" s="87"/>
      <c r="B87" s="86"/>
      <c r="C87" s="86"/>
      <c r="D87" s="14"/>
      <c r="E87" s="87"/>
      <c r="F87" s="63"/>
      <c r="G87" s="308"/>
      <c r="H87" s="79"/>
    </row>
    <row r="88" spans="1:8" ht="15">
      <c r="A88" s="87"/>
      <c r="B88" s="86"/>
      <c r="C88" s="86"/>
      <c r="D88" s="14"/>
      <c r="E88" s="87"/>
      <c r="F88" s="63"/>
      <c r="G88" s="308"/>
      <c r="H88" s="79"/>
    </row>
    <row r="89" spans="1:8" ht="15">
      <c r="A89" s="87"/>
      <c r="B89" s="86"/>
      <c r="C89" s="86"/>
      <c r="D89" s="14"/>
      <c r="E89" s="87"/>
      <c r="H89" s="79"/>
    </row>
    <row r="90" spans="1:8" ht="15">
      <c r="A90" s="87"/>
      <c r="B90" s="86"/>
      <c r="C90" s="86"/>
      <c r="D90" s="14"/>
      <c r="E90" s="87"/>
      <c r="F90" s="63"/>
      <c r="G90" s="308"/>
      <c r="H90" s="79"/>
    </row>
    <row r="91" spans="1:8" ht="15">
      <c r="A91" s="87"/>
      <c r="B91" s="86"/>
      <c r="C91" s="86"/>
      <c r="D91" s="14"/>
      <c r="E91" s="87"/>
      <c r="F91" s="63"/>
      <c r="G91" s="308"/>
      <c r="H91" s="79"/>
    </row>
    <row r="92" spans="1:8" ht="15">
      <c r="A92" s="87"/>
      <c r="B92" s="86"/>
      <c r="C92" s="86"/>
      <c r="D92" s="14"/>
      <c r="E92" s="87"/>
      <c r="H92" s="79"/>
    </row>
    <row r="93" spans="1:8" ht="15">
      <c r="A93" s="87"/>
      <c r="B93" s="86"/>
      <c r="C93" s="86"/>
      <c r="D93" s="14"/>
      <c r="E93" s="87"/>
      <c r="H93" s="79"/>
    </row>
    <row r="94" spans="1:8" ht="15">
      <c r="A94" s="87"/>
      <c r="B94" s="86"/>
      <c r="C94" s="86"/>
      <c r="D94" s="14"/>
      <c r="E94" s="87"/>
      <c r="H94" s="79"/>
    </row>
    <row r="95" spans="1:8" ht="15">
      <c r="A95" s="87"/>
      <c r="B95" s="86"/>
      <c r="C95" s="86"/>
      <c r="D95" s="14"/>
      <c r="E95" s="87"/>
      <c r="H95" s="79"/>
    </row>
    <row r="96" spans="1:8" ht="15">
      <c r="A96" s="87"/>
      <c r="B96" s="86"/>
      <c r="C96" s="86"/>
      <c r="D96" s="14"/>
      <c r="E96" s="87"/>
      <c r="H96" s="79"/>
    </row>
    <row r="97" spans="1:8" ht="15">
      <c r="A97" s="87"/>
      <c r="B97" s="86"/>
      <c r="C97" s="86"/>
      <c r="D97" s="14"/>
      <c r="E97" s="87"/>
      <c r="H97" s="79"/>
    </row>
    <row r="98" spans="1:8" ht="15">
      <c r="A98" s="87"/>
      <c r="B98" s="86"/>
      <c r="C98" s="86"/>
      <c r="D98" s="14"/>
      <c r="E98" s="87"/>
      <c r="H98" s="79"/>
    </row>
    <row r="99" spans="1:8" ht="15">
      <c r="A99" s="87"/>
      <c r="B99" s="86"/>
      <c r="C99" s="86"/>
      <c r="D99" s="14"/>
      <c r="E99" s="87"/>
      <c r="H99" s="79"/>
    </row>
    <row r="100" spans="1:8" ht="15">
      <c r="A100" s="87"/>
      <c r="B100" s="86"/>
      <c r="C100" s="86"/>
      <c r="D100" s="14"/>
      <c r="E100" s="87"/>
      <c r="H100" s="79"/>
    </row>
    <row r="101" spans="1:8" ht="15">
      <c r="A101" s="87"/>
      <c r="B101" s="86"/>
      <c r="C101" s="86"/>
      <c r="D101" s="14"/>
      <c r="E101" s="87"/>
      <c r="H101" s="79"/>
    </row>
    <row r="102" spans="1:8" ht="15">
      <c r="A102" s="87"/>
      <c r="B102" s="86"/>
      <c r="C102" s="86"/>
      <c r="D102" s="14"/>
      <c r="E102" s="87"/>
      <c r="G102" s="80"/>
      <c r="H102" s="79"/>
    </row>
    <row r="103" spans="1:8" ht="15">
      <c r="A103" s="15"/>
      <c r="B103" s="15"/>
      <c r="C103" s="15"/>
      <c r="D103" s="43"/>
      <c r="E103" s="15"/>
      <c r="G103" s="313"/>
      <c r="H103" s="47"/>
    </row>
    <row r="104" spans="1:8" ht="15">
      <c r="A104" s="15"/>
      <c r="B104" s="15"/>
      <c r="C104" s="15"/>
      <c r="D104" s="43"/>
      <c r="E104" s="15"/>
      <c r="G104" s="314"/>
      <c r="H104" s="47"/>
    </row>
  </sheetData>
  <mergeCells count="10">
    <mergeCell ref="A7:H7"/>
    <mergeCell ref="A8:F8"/>
    <mergeCell ref="G8:G9"/>
    <mergeCell ref="H8:H9"/>
    <mergeCell ref="A35:G35"/>
    <mergeCell ref="A1:H1"/>
    <mergeCell ref="A2:H2"/>
    <mergeCell ref="A3:H3"/>
    <mergeCell ref="A4:H4"/>
    <mergeCell ref="A5:H6"/>
  </mergeCells>
  <phoneticPr fontId="11" type="noConversion"/>
  <pageMargins left="0.96" right="0.12" top="0.28999999999999998" bottom="1" header="0" footer="0"/>
  <pageSetup orientation="portrait"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96"/>
  <sheetViews>
    <sheetView topLeftCell="A7" workbookViewId="0">
      <selection activeCell="N27" sqref="N27"/>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62" customWidth="1"/>
    <col min="7" max="7" width="42.85546875" style="17" customWidth="1"/>
    <col min="8" max="8" width="16.7109375" customWidth="1"/>
  </cols>
  <sheetData>
    <row r="1" spans="1:15" ht="27" customHeight="1">
      <c r="A1" s="1492" t="s">
        <v>84</v>
      </c>
      <c r="B1" s="1492"/>
      <c r="C1" s="1492"/>
      <c r="D1" s="1492"/>
      <c r="E1" s="1492"/>
      <c r="F1" s="1492"/>
      <c r="G1" s="1492"/>
      <c r="H1" s="1492"/>
    </row>
    <row r="2" spans="1:15" ht="27" customHeight="1">
      <c r="A2" s="1492" t="s">
        <v>83</v>
      </c>
      <c r="B2" s="1492"/>
      <c r="C2" s="1492"/>
      <c r="D2" s="1492"/>
      <c r="E2" s="1492"/>
      <c r="F2" s="1492"/>
      <c r="G2" s="1492"/>
      <c r="H2" s="1492"/>
    </row>
    <row r="3" spans="1:15" ht="27" customHeight="1">
      <c r="A3" s="1470" t="s">
        <v>687</v>
      </c>
      <c r="B3" s="1470"/>
      <c r="C3" s="1470"/>
      <c r="D3" s="1470"/>
      <c r="E3" s="1470"/>
      <c r="F3" s="1470"/>
      <c r="G3" s="1470"/>
      <c r="H3" s="1470"/>
    </row>
    <row r="4" spans="1:15" ht="27" customHeight="1">
      <c r="A4" s="1470" t="s">
        <v>14</v>
      </c>
      <c r="B4" s="1470"/>
      <c r="C4" s="1470"/>
      <c r="D4" s="1470"/>
      <c r="E4" s="1470"/>
      <c r="F4" s="1470"/>
      <c r="G4" s="1470"/>
      <c r="H4" s="1470"/>
    </row>
    <row r="5" spans="1:15">
      <c r="A5" s="1493" t="s">
        <v>26</v>
      </c>
      <c r="B5" s="1493"/>
      <c r="C5" s="1493"/>
      <c r="D5" s="1493"/>
      <c r="E5" s="1493"/>
      <c r="F5" s="1493"/>
      <c r="G5" s="1493"/>
      <c r="H5" s="1493"/>
    </row>
    <row r="6" spans="1:15">
      <c r="A6" s="1493"/>
      <c r="B6" s="1493"/>
      <c r="C6" s="1493"/>
      <c r="D6" s="1493"/>
      <c r="E6" s="1493"/>
      <c r="F6" s="1493"/>
      <c r="G6" s="1493"/>
      <c r="H6" s="1493"/>
    </row>
    <row r="7" spans="1:15" ht="18">
      <c r="A7" s="1494" t="s">
        <v>703</v>
      </c>
      <c r="B7" s="1495"/>
      <c r="C7" s="1495"/>
      <c r="D7" s="1495"/>
      <c r="E7" s="1495"/>
      <c r="F7" s="1495"/>
      <c r="G7" s="1495"/>
      <c r="H7" s="1495"/>
    </row>
    <row r="8" spans="1:15" ht="15">
      <c r="A8" s="1496" t="s">
        <v>11</v>
      </c>
      <c r="B8" s="1496"/>
      <c r="C8" s="1496"/>
      <c r="D8" s="1496"/>
      <c r="E8" s="1496"/>
      <c r="F8" s="1496"/>
      <c r="G8" s="1497" t="s">
        <v>23</v>
      </c>
      <c r="H8" s="1498" t="s">
        <v>30</v>
      </c>
    </row>
    <row r="9" spans="1:15" ht="106.5">
      <c r="A9" s="439" t="s">
        <v>19</v>
      </c>
      <c r="B9" s="440" t="s">
        <v>185</v>
      </c>
      <c r="C9" s="439" t="s">
        <v>20</v>
      </c>
      <c r="D9" s="439" t="s">
        <v>24</v>
      </c>
      <c r="E9" s="441" t="s">
        <v>320</v>
      </c>
      <c r="F9" s="439" t="s">
        <v>22</v>
      </c>
      <c r="G9" s="1497"/>
      <c r="H9" s="1498"/>
    </row>
    <row r="10" spans="1:15" ht="21" customHeight="1">
      <c r="A10" s="71" t="s">
        <v>313</v>
      </c>
      <c r="B10" s="71" t="s">
        <v>45</v>
      </c>
      <c r="C10" s="71" t="s">
        <v>38</v>
      </c>
      <c r="D10" s="73">
        <v>1</v>
      </c>
      <c r="E10" s="74">
        <v>111</v>
      </c>
      <c r="F10" s="61" t="s">
        <v>179</v>
      </c>
      <c r="G10" s="309" t="s">
        <v>90</v>
      </c>
      <c r="H10" s="46"/>
    </row>
    <row r="11" spans="1:15" ht="21" customHeight="1">
      <c r="A11" s="71" t="s">
        <v>313</v>
      </c>
      <c r="B11" s="71" t="s">
        <v>45</v>
      </c>
      <c r="C11" s="71" t="s">
        <v>38</v>
      </c>
      <c r="D11" s="73">
        <v>1</v>
      </c>
      <c r="E11" s="74">
        <v>111</v>
      </c>
      <c r="F11" s="60" t="s">
        <v>413</v>
      </c>
      <c r="G11" s="309" t="s">
        <v>136</v>
      </c>
      <c r="H11" s="46"/>
    </row>
    <row r="12" spans="1:15" ht="21" customHeight="1">
      <c r="A12" s="71" t="s">
        <v>313</v>
      </c>
      <c r="B12" s="71" t="s">
        <v>45</v>
      </c>
      <c r="C12" s="71" t="s">
        <v>38</v>
      </c>
      <c r="D12" s="73">
        <v>1</v>
      </c>
      <c r="E12" s="74">
        <v>111</v>
      </c>
      <c r="F12" s="75">
        <v>54111</v>
      </c>
      <c r="G12" s="309" t="s">
        <v>140</v>
      </c>
      <c r="H12" s="222"/>
    </row>
    <row r="13" spans="1:15" ht="21" customHeight="1">
      <c r="A13" s="71" t="s">
        <v>313</v>
      </c>
      <c r="B13" s="71" t="s">
        <v>45</v>
      </c>
      <c r="C13" s="71" t="s">
        <v>38</v>
      </c>
      <c r="D13" s="73">
        <v>1</v>
      </c>
      <c r="E13" s="74">
        <v>111</v>
      </c>
      <c r="F13" s="75">
        <v>54112</v>
      </c>
      <c r="G13" s="309" t="s">
        <v>141</v>
      </c>
      <c r="H13" s="46"/>
    </row>
    <row r="14" spans="1:15" ht="21" customHeight="1">
      <c r="A14" s="71" t="s">
        <v>313</v>
      </c>
      <c r="B14" s="71" t="s">
        <v>45</v>
      </c>
      <c r="C14" s="71" t="s">
        <v>38</v>
      </c>
      <c r="D14" s="73">
        <v>1</v>
      </c>
      <c r="E14" s="74">
        <v>111</v>
      </c>
      <c r="F14" s="75">
        <v>54118</v>
      </c>
      <c r="G14" s="309" t="s">
        <v>387</v>
      </c>
      <c r="H14" s="222"/>
    </row>
    <row r="15" spans="1:15" ht="21" customHeight="1">
      <c r="A15" s="71" t="s">
        <v>313</v>
      </c>
      <c r="B15" s="71" t="s">
        <v>45</v>
      </c>
      <c r="C15" s="71" t="s">
        <v>38</v>
      </c>
      <c r="D15" s="73">
        <v>1</v>
      </c>
      <c r="E15" s="74">
        <v>111</v>
      </c>
      <c r="F15" s="75">
        <v>54199</v>
      </c>
      <c r="G15" s="309" t="s">
        <v>581</v>
      </c>
      <c r="H15" s="46"/>
    </row>
    <row r="16" spans="1:15" ht="21" customHeight="1">
      <c r="A16" s="71" t="s">
        <v>313</v>
      </c>
      <c r="B16" s="71" t="s">
        <v>45</v>
      </c>
      <c r="C16" s="71" t="s">
        <v>38</v>
      </c>
      <c r="D16" s="73">
        <v>1</v>
      </c>
      <c r="E16" s="74">
        <v>111</v>
      </c>
      <c r="F16" s="75">
        <v>54304</v>
      </c>
      <c r="G16" s="310" t="s">
        <v>315</v>
      </c>
      <c r="H16" s="46"/>
      <c r="O16" s="461"/>
    </row>
    <row r="17" spans="1:8" ht="21" hidden="1" customHeight="1">
      <c r="A17" s="71" t="s">
        <v>313</v>
      </c>
      <c r="B17" s="71" t="s">
        <v>45</v>
      </c>
      <c r="C17" s="71" t="s">
        <v>708</v>
      </c>
      <c r="D17" s="73">
        <v>1</v>
      </c>
      <c r="E17" s="74">
        <v>111</v>
      </c>
      <c r="F17" s="75">
        <v>54316</v>
      </c>
      <c r="G17" s="309" t="s">
        <v>161</v>
      </c>
      <c r="H17" s="46"/>
    </row>
    <row r="18" spans="1:8" ht="21" hidden="1" customHeight="1">
      <c r="A18" s="71" t="s">
        <v>313</v>
      </c>
      <c r="B18" s="71" t="s">
        <v>45</v>
      </c>
      <c r="C18" s="71" t="s">
        <v>709</v>
      </c>
      <c r="D18" s="73">
        <v>1</v>
      </c>
      <c r="E18" s="74">
        <v>111</v>
      </c>
      <c r="F18" s="75">
        <v>54317</v>
      </c>
      <c r="G18" s="310" t="s">
        <v>162</v>
      </c>
      <c r="H18" s="46"/>
    </row>
    <row r="19" spans="1:8" ht="21" hidden="1" customHeight="1">
      <c r="A19" s="71" t="s">
        <v>313</v>
      </c>
      <c r="B19" s="71" t="s">
        <v>45</v>
      </c>
      <c r="C19" s="71" t="s">
        <v>710</v>
      </c>
      <c r="D19" s="73">
        <v>1</v>
      </c>
      <c r="E19" s="74">
        <v>111</v>
      </c>
      <c r="F19" s="75">
        <v>54599</v>
      </c>
      <c r="G19" s="310" t="s">
        <v>582</v>
      </c>
      <c r="H19" s="381"/>
    </row>
    <row r="20" spans="1:8" ht="21" hidden="1" customHeight="1">
      <c r="A20" s="71" t="s">
        <v>313</v>
      </c>
      <c r="B20" s="71" t="s">
        <v>45</v>
      </c>
      <c r="C20" s="71" t="s">
        <v>711</v>
      </c>
      <c r="D20" s="73">
        <v>1</v>
      </c>
      <c r="E20" s="74">
        <v>111</v>
      </c>
      <c r="F20" s="60" t="s">
        <v>316</v>
      </c>
      <c r="G20" s="311" t="s">
        <v>114</v>
      </c>
      <c r="H20" s="381"/>
    </row>
    <row r="21" spans="1:8" ht="21" hidden="1" customHeight="1">
      <c r="A21" s="71" t="s">
        <v>313</v>
      </c>
      <c r="B21" s="71" t="s">
        <v>45</v>
      </c>
      <c r="C21" s="71" t="s">
        <v>712</v>
      </c>
      <c r="D21" s="73">
        <v>1</v>
      </c>
      <c r="E21" s="74">
        <v>111</v>
      </c>
      <c r="F21" s="97">
        <v>61599</v>
      </c>
      <c r="G21" s="312" t="s">
        <v>124</v>
      </c>
      <c r="H21" s="381"/>
    </row>
    <row r="22" spans="1:8" ht="21" hidden="1" customHeight="1">
      <c r="A22" s="71" t="s">
        <v>313</v>
      </c>
      <c r="B22" s="71" t="s">
        <v>45</v>
      </c>
      <c r="C22" s="71" t="s">
        <v>713</v>
      </c>
      <c r="D22" s="73">
        <v>1</v>
      </c>
      <c r="E22" s="74">
        <v>111</v>
      </c>
      <c r="F22" s="62">
        <v>61201</v>
      </c>
      <c r="G22" s="308" t="s">
        <v>121</v>
      </c>
      <c r="H22" s="381"/>
    </row>
    <row r="23" spans="1:8" ht="21" customHeight="1">
      <c r="A23" s="71" t="s">
        <v>313</v>
      </c>
      <c r="B23" s="71" t="s">
        <v>45</v>
      </c>
      <c r="C23" s="71" t="s">
        <v>38</v>
      </c>
      <c r="D23" s="73">
        <v>1</v>
      </c>
      <c r="E23" s="74">
        <v>111</v>
      </c>
      <c r="F23" s="75">
        <v>61601</v>
      </c>
      <c r="G23" s="309" t="s">
        <v>125</v>
      </c>
      <c r="H23" s="46"/>
    </row>
    <row r="24" spans="1:8" ht="21" customHeight="1">
      <c r="A24" s="74" t="str">
        <f t="shared" ref="A24:E24" si="0">A23</f>
        <v>4</v>
      </c>
      <c r="B24" s="71" t="s">
        <v>45</v>
      </c>
      <c r="C24" s="71" t="s">
        <v>38</v>
      </c>
      <c r="D24" s="74">
        <f t="shared" si="0"/>
        <v>1</v>
      </c>
      <c r="E24" s="84">
        <f t="shared" si="0"/>
        <v>111</v>
      </c>
      <c r="F24" s="448">
        <v>61602</v>
      </c>
      <c r="G24" s="304" t="s">
        <v>126</v>
      </c>
      <c r="H24" s="46"/>
    </row>
    <row r="25" spans="1:8" ht="21" customHeight="1">
      <c r="A25" s="71" t="s">
        <v>313</v>
      </c>
      <c r="B25" s="71" t="s">
        <v>45</v>
      </c>
      <c r="C25" s="71" t="s">
        <v>38</v>
      </c>
      <c r="D25" s="73">
        <v>1</v>
      </c>
      <c r="E25" s="74">
        <v>111</v>
      </c>
      <c r="F25" s="75">
        <v>61606</v>
      </c>
      <c r="G25" s="309" t="s">
        <v>317</v>
      </c>
      <c r="H25" s="46"/>
    </row>
    <row r="26" spans="1:8" ht="21" customHeight="1">
      <c r="A26" s="71" t="s">
        <v>313</v>
      </c>
      <c r="B26" s="71" t="s">
        <v>45</v>
      </c>
      <c r="C26" s="71" t="s">
        <v>38</v>
      </c>
      <c r="D26" s="73">
        <v>1</v>
      </c>
      <c r="E26" s="74">
        <v>111</v>
      </c>
      <c r="F26" s="75">
        <v>61608</v>
      </c>
      <c r="G26" s="309" t="s">
        <v>129</v>
      </c>
      <c r="H26" s="222"/>
    </row>
    <row r="27" spans="1:8" ht="21" customHeight="1" thickBot="1">
      <c r="A27" s="1499" t="s">
        <v>25</v>
      </c>
      <c r="B27" s="1500"/>
      <c r="C27" s="1500"/>
      <c r="D27" s="1500"/>
      <c r="E27" s="1500"/>
      <c r="F27" s="1500"/>
      <c r="G27" s="1501"/>
      <c r="H27" s="442">
        <f>SUM(H10:H26)</f>
        <v>0</v>
      </c>
    </row>
    <row r="28" spans="1:8" ht="15.75" thickTop="1">
      <c r="A28" s="87"/>
      <c r="B28" s="87"/>
      <c r="C28" s="87"/>
      <c r="D28" s="14"/>
      <c r="E28" s="98"/>
      <c r="H28" s="79"/>
    </row>
    <row r="29" spans="1:8" ht="15">
      <c r="A29" s="87"/>
      <c r="B29" s="87"/>
      <c r="C29" s="87"/>
      <c r="D29" s="14"/>
      <c r="E29" s="98"/>
      <c r="H29" s="79"/>
    </row>
    <row r="30" spans="1:8" ht="15">
      <c r="A30" s="87"/>
      <c r="B30" s="87"/>
      <c r="C30" s="87"/>
      <c r="D30" s="14"/>
      <c r="E30" s="98"/>
      <c r="H30" s="79"/>
    </row>
    <row r="31" spans="1:8" ht="15">
      <c r="A31" s="87"/>
      <c r="B31" s="87"/>
      <c r="C31" s="87"/>
      <c r="D31" s="14"/>
      <c r="E31" s="98"/>
      <c r="H31" s="79"/>
    </row>
    <row r="32" spans="1:8" ht="15">
      <c r="A32" s="87"/>
      <c r="B32" s="87"/>
      <c r="C32" s="87"/>
      <c r="D32" s="14"/>
      <c r="E32" s="98"/>
      <c r="H32" s="79"/>
    </row>
    <row r="33" spans="1:8" ht="15">
      <c r="A33" s="87"/>
      <c r="B33" s="87"/>
      <c r="C33" s="87"/>
      <c r="D33" s="14"/>
      <c r="E33" s="98"/>
      <c r="H33" s="79"/>
    </row>
    <row r="34" spans="1:8" ht="15">
      <c r="A34" s="87"/>
      <c r="B34" s="87"/>
      <c r="C34" s="87"/>
      <c r="D34" s="14"/>
      <c r="E34" s="98"/>
      <c r="H34" s="79"/>
    </row>
    <row r="35" spans="1:8" ht="15">
      <c r="A35" s="87"/>
      <c r="B35" s="87"/>
      <c r="C35" s="87"/>
      <c r="D35" s="14"/>
      <c r="E35" s="98"/>
      <c r="H35" s="79"/>
    </row>
    <row r="36" spans="1:8" ht="15">
      <c r="A36" s="87"/>
      <c r="B36" s="87"/>
      <c r="C36" s="87"/>
      <c r="D36" s="14"/>
      <c r="E36" s="98"/>
      <c r="H36" s="79"/>
    </row>
    <row r="37" spans="1:8" ht="15">
      <c r="A37" s="87"/>
      <c r="B37" s="87"/>
      <c r="C37" s="87"/>
      <c r="D37" s="14"/>
      <c r="E37" s="98"/>
      <c r="H37" s="79"/>
    </row>
    <row r="38" spans="1:8" ht="15">
      <c r="A38" s="87"/>
      <c r="B38" s="87"/>
      <c r="C38" s="87"/>
      <c r="D38" s="14"/>
      <c r="E38" s="98"/>
      <c r="H38" s="79"/>
    </row>
    <row r="39" spans="1:8" ht="15">
      <c r="A39" s="87"/>
      <c r="B39" s="87"/>
      <c r="C39" s="87"/>
      <c r="D39" s="14"/>
      <c r="E39" s="98"/>
    </row>
    <row r="40" spans="1:8" ht="15">
      <c r="A40" s="87"/>
      <c r="B40" s="87"/>
      <c r="C40" s="87"/>
      <c r="D40" s="14"/>
      <c r="E40" s="98"/>
    </row>
    <row r="41" spans="1:8" ht="15">
      <c r="A41" s="87"/>
      <c r="B41" s="87"/>
      <c r="C41" s="87"/>
      <c r="D41" s="14"/>
      <c r="E41" s="98"/>
      <c r="H41" s="79"/>
    </row>
    <row r="42" spans="1:8" ht="15">
      <c r="A42" s="87"/>
      <c r="B42" s="87"/>
      <c r="C42" s="87"/>
      <c r="D42" s="14"/>
      <c r="E42" s="98"/>
      <c r="H42" s="79"/>
    </row>
    <row r="43" spans="1:8" ht="15">
      <c r="A43" s="87"/>
      <c r="B43" s="87"/>
      <c r="C43" s="87"/>
      <c r="D43" s="14"/>
      <c r="E43" s="98"/>
      <c r="H43" s="79"/>
    </row>
    <row r="44" spans="1:8" ht="15">
      <c r="A44" s="87"/>
      <c r="B44" s="87"/>
      <c r="C44" s="87"/>
      <c r="D44" s="14"/>
      <c r="E44" s="98"/>
      <c r="H44" s="79"/>
    </row>
    <row r="45" spans="1:8" ht="15">
      <c r="A45" s="87"/>
      <c r="B45" s="87"/>
      <c r="C45" s="87"/>
      <c r="D45" s="14"/>
      <c r="E45" s="98"/>
      <c r="H45" s="79"/>
    </row>
    <row r="46" spans="1:8" ht="15">
      <c r="A46" s="87"/>
      <c r="B46" s="87"/>
      <c r="C46" s="87"/>
      <c r="D46" s="14"/>
      <c r="E46" s="98"/>
      <c r="H46" s="79"/>
    </row>
    <row r="47" spans="1:8" ht="15">
      <c r="A47" s="87"/>
      <c r="B47" s="87"/>
      <c r="C47" s="87"/>
      <c r="D47" s="14"/>
      <c r="E47" s="98"/>
      <c r="H47" s="79"/>
    </row>
    <row r="48" spans="1:8" ht="15">
      <c r="A48" s="87"/>
      <c r="B48" s="87"/>
      <c r="C48" s="87"/>
      <c r="D48" s="14"/>
      <c r="E48" s="98"/>
      <c r="H48" s="79"/>
    </row>
    <row r="49" spans="1:8" ht="15">
      <c r="A49" s="87"/>
      <c r="B49" s="87"/>
      <c r="C49" s="87"/>
      <c r="D49" s="14"/>
      <c r="E49" s="98"/>
      <c r="H49" s="79"/>
    </row>
    <row r="50" spans="1:8" ht="15">
      <c r="A50" s="87"/>
      <c r="B50" s="87"/>
      <c r="C50" s="87"/>
      <c r="D50" s="14"/>
      <c r="E50" s="98"/>
      <c r="H50" s="79"/>
    </row>
    <row r="51" spans="1:8" ht="15">
      <c r="A51" s="87"/>
      <c r="B51" s="87"/>
      <c r="C51" s="87"/>
      <c r="D51" s="14"/>
      <c r="E51" s="98"/>
      <c r="H51" s="79"/>
    </row>
    <row r="52" spans="1:8" ht="15">
      <c r="A52" s="87"/>
      <c r="B52" s="87"/>
      <c r="C52" s="87"/>
      <c r="D52" s="14"/>
      <c r="E52" s="98"/>
      <c r="H52" s="79"/>
    </row>
    <row r="53" spans="1:8" ht="15">
      <c r="A53" s="87"/>
      <c r="B53" s="87"/>
      <c r="C53" s="87"/>
      <c r="D53" s="14"/>
      <c r="E53" s="98"/>
      <c r="H53" s="79"/>
    </row>
    <row r="54" spans="1:8" ht="15">
      <c r="A54" s="87"/>
      <c r="B54" s="87"/>
      <c r="C54" s="87"/>
      <c r="D54" s="14"/>
      <c r="E54" s="98"/>
      <c r="H54" s="79"/>
    </row>
    <row r="55" spans="1:8" ht="15">
      <c r="A55" s="87"/>
      <c r="B55" s="87"/>
      <c r="C55" s="87"/>
      <c r="D55" s="14"/>
      <c r="E55" s="98"/>
      <c r="H55" s="79"/>
    </row>
    <row r="56" spans="1:8" ht="15">
      <c r="A56" s="87"/>
      <c r="B56" s="87"/>
      <c r="C56" s="87"/>
      <c r="D56" s="14"/>
      <c r="E56" s="98"/>
      <c r="H56" s="79"/>
    </row>
    <row r="57" spans="1:8" ht="15">
      <c r="A57" s="87"/>
      <c r="B57" s="87"/>
      <c r="C57" s="87"/>
      <c r="D57" s="14"/>
      <c r="E57" s="98"/>
      <c r="H57" s="79"/>
    </row>
    <row r="58" spans="1:8" ht="15">
      <c r="A58" s="87"/>
      <c r="B58" s="87"/>
      <c r="C58" s="87"/>
      <c r="D58" s="14"/>
      <c r="E58" s="98"/>
      <c r="H58" s="79"/>
    </row>
    <row r="59" spans="1:8" ht="15">
      <c r="A59" s="87"/>
      <c r="B59" s="87"/>
      <c r="C59" s="87"/>
      <c r="D59" s="14"/>
      <c r="E59" s="98"/>
      <c r="H59" s="79"/>
    </row>
    <row r="60" spans="1:8" ht="15">
      <c r="A60" s="15"/>
      <c r="B60" s="15"/>
      <c r="C60" s="15"/>
      <c r="D60" s="14"/>
      <c r="E60" s="15"/>
      <c r="G60" s="313"/>
      <c r="H60" s="47"/>
    </row>
    <row r="61" spans="1:8" ht="15">
      <c r="A61" s="87"/>
      <c r="B61" s="87"/>
      <c r="C61" s="86"/>
      <c r="D61" s="14"/>
      <c r="E61" s="87"/>
      <c r="F61" s="63"/>
      <c r="G61" s="308"/>
      <c r="H61" s="79"/>
    </row>
    <row r="62" spans="1:8" ht="15">
      <c r="A62" s="87"/>
      <c r="B62" s="87"/>
      <c r="C62" s="86"/>
      <c r="D62" s="14"/>
      <c r="E62" s="87"/>
      <c r="F62" s="63"/>
      <c r="G62" s="308"/>
      <c r="H62" s="79"/>
    </row>
    <row r="63" spans="1:8" ht="15">
      <c r="A63" s="87"/>
      <c r="B63" s="87"/>
      <c r="C63" s="86"/>
      <c r="D63" s="14"/>
      <c r="E63" s="87"/>
      <c r="G63" s="80"/>
      <c r="H63" s="79"/>
    </row>
    <row r="64" spans="1:8" ht="15">
      <c r="A64" s="87"/>
      <c r="B64" s="87"/>
      <c r="C64" s="86"/>
      <c r="D64" s="14"/>
      <c r="E64" s="87"/>
      <c r="F64" s="63"/>
      <c r="G64" s="308"/>
      <c r="H64" s="79"/>
    </row>
    <row r="65" spans="1:8" ht="15">
      <c r="A65" s="87"/>
      <c r="B65" s="87"/>
      <c r="C65" s="86"/>
      <c r="D65" s="14"/>
      <c r="E65" s="87"/>
      <c r="F65" s="63"/>
      <c r="G65" s="308"/>
      <c r="H65" s="79"/>
    </row>
    <row r="66" spans="1:8" ht="15">
      <c r="A66" s="87"/>
      <c r="B66" s="87"/>
      <c r="C66" s="86"/>
      <c r="D66" s="14"/>
      <c r="E66" s="87"/>
      <c r="F66" s="63"/>
      <c r="G66" s="308"/>
      <c r="H66" s="79"/>
    </row>
    <row r="67" spans="1:8" ht="15">
      <c r="A67" s="87"/>
      <c r="B67" s="87"/>
      <c r="C67" s="86"/>
      <c r="D67" s="14"/>
      <c r="E67" s="87"/>
      <c r="H67" s="79"/>
    </row>
    <row r="68" spans="1:8" ht="15">
      <c r="A68" s="87"/>
      <c r="B68" s="87"/>
      <c r="C68" s="86"/>
      <c r="D68" s="14"/>
      <c r="E68" s="87"/>
      <c r="H68" s="79"/>
    </row>
    <row r="69" spans="1:8" ht="15">
      <c r="A69" s="87"/>
      <c r="B69" s="87"/>
      <c r="C69" s="86"/>
      <c r="D69" s="14"/>
      <c r="E69" s="87"/>
      <c r="H69" s="79"/>
    </row>
    <row r="70" spans="1:8" ht="15">
      <c r="A70" s="87"/>
      <c r="B70" s="87"/>
      <c r="C70" s="86"/>
      <c r="D70" s="14"/>
      <c r="E70" s="87"/>
      <c r="H70" s="79"/>
    </row>
    <row r="71" spans="1:8" ht="15">
      <c r="A71" s="15"/>
      <c r="B71" s="15"/>
      <c r="C71" s="15"/>
      <c r="D71" s="14"/>
      <c r="E71" s="15"/>
      <c r="G71" s="313"/>
      <c r="H71" s="47"/>
    </row>
    <row r="72" spans="1:8" ht="15">
      <c r="A72" s="87"/>
      <c r="B72" s="86"/>
      <c r="C72" s="86"/>
      <c r="D72" s="14"/>
      <c r="E72" s="87"/>
      <c r="F72" s="63"/>
      <c r="G72" s="308"/>
      <c r="H72" s="79"/>
    </row>
    <row r="73" spans="1:8" ht="15">
      <c r="A73" s="87"/>
      <c r="B73" s="86"/>
      <c r="C73" s="86"/>
      <c r="D73" s="14"/>
      <c r="E73" s="87"/>
      <c r="F73" s="63"/>
      <c r="G73" s="308"/>
      <c r="H73" s="79"/>
    </row>
    <row r="74" spans="1:8" ht="15">
      <c r="A74" s="87"/>
      <c r="B74" s="86"/>
      <c r="C74" s="86"/>
      <c r="D74" s="14"/>
      <c r="E74" s="87"/>
      <c r="F74" s="63"/>
      <c r="G74" s="308"/>
      <c r="H74" s="79"/>
    </row>
    <row r="75" spans="1:8" ht="15">
      <c r="A75" s="87"/>
      <c r="B75" s="86"/>
      <c r="C75" s="86"/>
      <c r="D75" s="14"/>
      <c r="E75" s="87"/>
      <c r="F75" s="63"/>
      <c r="G75" s="308"/>
      <c r="H75" s="79"/>
    </row>
    <row r="76" spans="1:8" ht="15">
      <c r="A76" s="87"/>
      <c r="B76" s="86"/>
      <c r="C76" s="86"/>
      <c r="D76" s="14"/>
      <c r="E76" s="87"/>
      <c r="H76" s="79"/>
    </row>
    <row r="77" spans="1:8" ht="15">
      <c r="A77" s="87"/>
      <c r="B77" s="86"/>
      <c r="C77" s="86"/>
      <c r="D77" s="14"/>
      <c r="E77" s="87"/>
      <c r="H77" s="79"/>
    </row>
    <row r="78" spans="1:8" ht="15">
      <c r="A78" s="15"/>
      <c r="B78" s="15"/>
      <c r="C78" s="15"/>
      <c r="D78" s="14"/>
      <c r="E78" s="15"/>
      <c r="G78" s="313"/>
      <c r="H78" s="47"/>
    </row>
    <row r="79" spans="1:8" ht="15">
      <c r="A79" s="87"/>
      <c r="B79" s="86"/>
      <c r="C79" s="86"/>
      <c r="D79" s="14"/>
      <c r="E79" s="87"/>
      <c r="F79" s="63"/>
      <c r="G79" s="308"/>
      <c r="H79" s="79"/>
    </row>
    <row r="80" spans="1:8" ht="15">
      <c r="A80" s="87"/>
      <c r="B80" s="86"/>
      <c r="C80" s="86"/>
      <c r="D80" s="14"/>
      <c r="E80" s="87"/>
      <c r="F80" s="63"/>
      <c r="G80" s="308"/>
      <c r="H80" s="79"/>
    </row>
    <row r="81" spans="1:8" ht="15">
      <c r="A81" s="87"/>
      <c r="B81" s="86"/>
      <c r="C81" s="86"/>
      <c r="D81" s="14"/>
      <c r="E81" s="87"/>
      <c r="H81" s="79"/>
    </row>
    <row r="82" spans="1:8" ht="15">
      <c r="A82" s="87"/>
      <c r="B82" s="86"/>
      <c r="C82" s="86"/>
      <c r="D82" s="14"/>
      <c r="E82" s="87"/>
      <c r="F82" s="63"/>
      <c r="G82" s="308"/>
      <c r="H82" s="79"/>
    </row>
    <row r="83" spans="1:8" ht="15">
      <c r="A83" s="87"/>
      <c r="B83" s="86"/>
      <c r="C83" s="86"/>
      <c r="D83" s="14"/>
      <c r="E83" s="87"/>
      <c r="F83" s="63"/>
      <c r="G83" s="308"/>
      <c r="H83" s="79"/>
    </row>
    <row r="84" spans="1:8" ht="15">
      <c r="A84" s="87"/>
      <c r="B84" s="86"/>
      <c r="C84" s="86"/>
      <c r="D84" s="14"/>
      <c r="E84" s="87"/>
      <c r="H84" s="79"/>
    </row>
    <row r="85" spans="1:8" ht="15">
      <c r="A85" s="87"/>
      <c r="B85" s="86"/>
      <c r="C85" s="86"/>
      <c r="D85" s="14"/>
      <c r="E85" s="87"/>
      <c r="H85" s="79"/>
    </row>
    <row r="86" spans="1:8" ht="15">
      <c r="A86" s="87"/>
      <c r="B86" s="86"/>
      <c r="C86" s="86"/>
      <c r="D86" s="14"/>
      <c r="E86" s="87"/>
      <c r="H86" s="79"/>
    </row>
    <row r="87" spans="1:8" ht="15">
      <c r="A87" s="87"/>
      <c r="B87" s="86"/>
      <c r="C87" s="86"/>
      <c r="D87" s="14"/>
      <c r="E87" s="87"/>
      <c r="H87" s="79"/>
    </row>
    <row r="88" spans="1:8" ht="15">
      <c r="A88" s="87"/>
      <c r="B88" s="86"/>
      <c r="C88" s="86"/>
      <c r="D88" s="14"/>
      <c r="E88" s="87"/>
      <c r="H88" s="79"/>
    </row>
    <row r="89" spans="1:8" ht="15">
      <c r="A89" s="87"/>
      <c r="B89" s="86"/>
      <c r="C89" s="86"/>
      <c r="D89" s="14"/>
      <c r="E89" s="87"/>
      <c r="H89" s="79"/>
    </row>
    <row r="90" spans="1:8" ht="15">
      <c r="A90" s="87"/>
      <c r="B90" s="86"/>
      <c r="C90" s="86"/>
      <c r="D90" s="14"/>
      <c r="E90" s="87"/>
      <c r="H90" s="79"/>
    </row>
    <row r="91" spans="1:8" ht="15">
      <c r="A91" s="87"/>
      <c r="B91" s="86"/>
      <c r="C91" s="86"/>
      <c r="D91" s="14"/>
      <c r="E91" s="87"/>
      <c r="H91" s="79"/>
    </row>
    <row r="92" spans="1:8" ht="15">
      <c r="A92" s="87"/>
      <c r="B92" s="86"/>
      <c r="C92" s="86"/>
      <c r="D92" s="14"/>
      <c r="E92" s="87"/>
      <c r="H92" s="79"/>
    </row>
    <row r="93" spans="1:8" ht="15">
      <c r="A93" s="87"/>
      <c r="B93" s="86"/>
      <c r="C93" s="86"/>
      <c r="D93" s="14"/>
      <c r="E93" s="87"/>
      <c r="H93" s="79"/>
    </row>
    <row r="94" spans="1:8" ht="15">
      <c r="A94" s="87"/>
      <c r="B94" s="86"/>
      <c r="C94" s="86"/>
      <c r="D94" s="14"/>
      <c r="E94" s="87"/>
      <c r="G94" s="80"/>
      <c r="H94" s="79"/>
    </row>
    <row r="95" spans="1:8" ht="15">
      <c r="A95" s="15"/>
      <c r="B95" s="15"/>
      <c r="C95" s="15"/>
      <c r="D95" s="43"/>
      <c r="E95" s="15"/>
      <c r="G95" s="313"/>
      <c r="H95" s="47"/>
    </row>
    <row r="96" spans="1:8" ht="15">
      <c r="A96" s="15"/>
      <c r="B96" s="15"/>
      <c r="C96" s="15"/>
      <c r="D96" s="43"/>
      <c r="E96" s="15"/>
      <c r="G96" s="314"/>
      <c r="H96" s="47"/>
    </row>
  </sheetData>
  <mergeCells count="10">
    <mergeCell ref="A8:F8"/>
    <mergeCell ref="G8:G9"/>
    <mergeCell ref="H8:H9"/>
    <mergeCell ref="A27:G27"/>
    <mergeCell ref="A1:H1"/>
    <mergeCell ref="A2:H2"/>
    <mergeCell ref="A3:H3"/>
    <mergeCell ref="A4:H4"/>
    <mergeCell ref="A5:H6"/>
    <mergeCell ref="A7:H7"/>
  </mergeCells>
  <pageMargins left="0.83" right="0.12" top="0.75" bottom="0.75" header="0.3" footer="0.3"/>
  <pageSetup paperSize="9" orientation="portrait" horizontalDpi="0"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32"/>
  <sheetViews>
    <sheetView workbookViewId="0">
      <selection activeCell="K22" sqref="K22"/>
    </sheetView>
  </sheetViews>
  <sheetFormatPr baseColWidth="10" defaultRowHeight="12.75"/>
  <cols>
    <col min="1" max="1" width="4.5703125" customWidth="1"/>
    <col min="2" max="2" width="6.28515625" customWidth="1"/>
    <col min="3" max="3" width="5.140625" customWidth="1"/>
    <col min="4" max="4" width="6.28515625" customWidth="1"/>
    <col min="5" max="5" width="8" customWidth="1"/>
    <col min="6" max="6" width="9" customWidth="1"/>
    <col min="7" max="7" width="43.42578125" customWidth="1"/>
    <col min="8" max="8" width="16.7109375" customWidth="1"/>
    <col min="9" max="9" width="11.85546875" bestFit="1" customWidth="1"/>
  </cols>
  <sheetData>
    <row r="1" spans="1:19" ht="18">
      <c r="A1" s="7"/>
      <c r="B1" s="99"/>
      <c r="C1" s="69"/>
      <c r="D1" s="69"/>
      <c r="E1" s="69"/>
      <c r="F1" s="69"/>
      <c r="G1" s="69"/>
      <c r="H1" s="100"/>
    </row>
    <row r="2" spans="1:19" ht="18.75">
      <c r="A2" s="1492" t="s">
        <v>84</v>
      </c>
      <c r="B2" s="1492"/>
      <c r="C2" s="1492"/>
      <c r="D2" s="1492"/>
      <c r="E2" s="1492"/>
      <c r="F2" s="1492"/>
      <c r="G2" s="1492"/>
      <c r="H2" s="1492"/>
      <c r="I2" s="16"/>
      <c r="J2" s="16"/>
      <c r="K2" s="16"/>
    </row>
    <row r="3" spans="1:19" ht="18.75">
      <c r="A3" s="1492" t="s">
        <v>83</v>
      </c>
      <c r="B3" s="1492"/>
      <c r="C3" s="1492"/>
      <c r="D3" s="1492"/>
      <c r="E3" s="1492"/>
      <c r="F3" s="1492"/>
      <c r="G3" s="1492"/>
      <c r="H3" s="1492"/>
      <c r="I3" s="16"/>
      <c r="J3" s="16"/>
      <c r="K3" s="16"/>
    </row>
    <row r="4" spans="1:19" ht="18.75">
      <c r="A4" s="1470" t="s">
        <v>674</v>
      </c>
      <c r="B4" s="1492"/>
      <c r="C4" s="1492"/>
      <c r="D4" s="1492"/>
      <c r="E4" s="1492"/>
      <c r="F4" s="1492"/>
      <c r="G4" s="1492"/>
      <c r="H4" s="1492"/>
    </row>
    <row r="5" spans="1:19" ht="18.75">
      <c r="A5" s="1470" t="s">
        <v>14</v>
      </c>
      <c r="B5" s="1462"/>
      <c r="C5" s="1462"/>
      <c r="D5" s="1462"/>
      <c r="E5" s="1462"/>
      <c r="F5" s="1462"/>
      <c r="G5" s="1462"/>
      <c r="H5" s="1462"/>
    </row>
    <row r="6" spans="1:19" ht="18.75" customHeight="1">
      <c r="A6" s="1503" t="s">
        <v>29</v>
      </c>
      <c r="B6" s="1503"/>
      <c r="C6" s="1503"/>
      <c r="D6" s="1503"/>
      <c r="E6" s="1503"/>
      <c r="F6" s="1503"/>
      <c r="G6" s="1503"/>
      <c r="H6" s="1503"/>
    </row>
    <row r="7" spans="1:19" ht="15">
      <c r="A7" s="1507" t="s">
        <v>441</v>
      </c>
      <c r="B7" s="1507"/>
      <c r="C7" s="1507"/>
      <c r="D7" s="1507"/>
      <c r="E7" s="1507"/>
      <c r="F7" s="1507"/>
      <c r="G7" s="1507"/>
      <c r="H7" s="1507"/>
    </row>
    <row r="8" spans="1:19" ht="15.75" customHeight="1">
      <c r="A8" s="1507" t="s">
        <v>440</v>
      </c>
      <c r="B8" s="1507"/>
      <c r="C8" s="1507"/>
      <c r="D8" s="1507"/>
      <c r="E8" s="1507"/>
      <c r="F8" s="1507"/>
      <c r="G8" s="1507"/>
      <c r="H8" s="1507"/>
    </row>
    <row r="9" spans="1:19" ht="24" customHeight="1">
      <c r="A9" s="1504" t="s">
        <v>11</v>
      </c>
      <c r="B9" s="1504"/>
      <c r="C9" s="1504"/>
      <c r="D9" s="1504"/>
      <c r="E9" s="1504"/>
      <c r="F9" s="1504"/>
      <c r="G9" s="1505" t="s">
        <v>23</v>
      </c>
      <c r="H9" s="1506" t="s">
        <v>30</v>
      </c>
    </row>
    <row r="10" spans="1:19" ht="59.25" customHeight="1">
      <c r="A10" s="475" t="s">
        <v>19</v>
      </c>
      <c r="B10" s="476" t="s">
        <v>185</v>
      </c>
      <c r="C10" s="475" t="s">
        <v>20</v>
      </c>
      <c r="D10" s="475" t="s">
        <v>24</v>
      </c>
      <c r="E10" s="475" t="s">
        <v>21</v>
      </c>
      <c r="F10" s="475" t="s">
        <v>22</v>
      </c>
      <c r="G10" s="1505"/>
      <c r="H10" s="1506"/>
      <c r="S10" s="320"/>
    </row>
    <row r="11" spans="1:19" ht="20.25" customHeight="1" thickBot="1">
      <c r="A11" s="477">
        <v>5</v>
      </c>
      <c r="B11" s="478" t="s">
        <v>44</v>
      </c>
      <c r="C11" s="478" t="s">
        <v>36</v>
      </c>
      <c r="D11" s="478" t="s">
        <v>39</v>
      </c>
      <c r="E11" s="478" t="s">
        <v>41</v>
      </c>
      <c r="F11" s="479" t="s">
        <v>78</v>
      </c>
      <c r="G11" s="480" t="s">
        <v>81</v>
      </c>
      <c r="H11" s="481"/>
    </row>
    <row r="12" spans="1:19" ht="20.25" customHeight="1">
      <c r="A12" s="482">
        <v>5</v>
      </c>
      <c r="B12" s="483" t="s">
        <v>44</v>
      </c>
      <c r="C12" s="483" t="s">
        <v>36</v>
      </c>
      <c r="D12" s="483" t="s">
        <v>39</v>
      </c>
      <c r="E12" s="483" t="s">
        <v>41</v>
      </c>
      <c r="F12" s="484" t="s">
        <v>80</v>
      </c>
      <c r="G12" s="485" t="s">
        <v>82</v>
      </c>
      <c r="H12" s="486"/>
      <c r="I12" s="221"/>
    </row>
    <row r="13" spans="1:19" ht="20.25" customHeight="1">
      <c r="A13" s="482">
        <v>5</v>
      </c>
      <c r="B13" s="483" t="s">
        <v>44</v>
      </c>
      <c r="C13" s="483" t="s">
        <v>36</v>
      </c>
      <c r="D13" s="483" t="s">
        <v>39</v>
      </c>
      <c r="E13" s="483" t="s">
        <v>41</v>
      </c>
      <c r="F13" s="484" t="s">
        <v>79</v>
      </c>
      <c r="G13" s="487" t="s">
        <v>82</v>
      </c>
      <c r="H13" s="488"/>
      <c r="I13" s="221"/>
    </row>
    <row r="14" spans="1:19" ht="19.5" customHeight="1" thickBot="1">
      <c r="A14" s="1509" t="s">
        <v>628</v>
      </c>
      <c r="B14" s="1510"/>
      <c r="C14" s="1510"/>
      <c r="D14" s="1510"/>
      <c r="E14" s="1510"/>
      <c r="F14" s="1510"/>
      <c r="G14" s="1511"/>
      <c r="H14" s="489">
        <f>SUM(H11:H13)</f>
        <v>0</v>
      </c>
    </row>
    <row r="15" spans="1:19" ht="24" customHeight="1">
      <c r="A15" s="319"/>
      <c r="B15" s="101"/>
      <c r="C15" s="102"/>
      <c r="D15" s="103"/>
      <c r="E15" s="103"/>
      <c r="F15" s="103"/>
      <c r="G15" s="7"/>
      <c r="H15" s="104"/>
    </row>
    <row r="16" spans="1:19" ht="18">
      <c r="A16" s="1508"/>
      <c r="B16" s="1508"/>
      <c r="C16" s="1508"/>
      <c r="D16" s="1508"/>
      <c r="E16" s="1508"/>
      <c r="F16" s="1508"/>
      <c r="G16" s="7"/>
      <c r="H16" s="104"/>
    </row>
    <row r="17" spans="1:8" ht="15">
      <c r="A17" s="1502"/>
      <c r="B17" s="1502"/>
      <c r="C17" s="1502"/>
      <c r="D17" s="1502"/>
      <c r="E17" s="1502"/>
      <c r="F17" s="1502"/>
      <c r="G17" s="1502"/>
      <c r="H17" s="104"/>
    </row>
    <row r="18" spans="1:8" ht="15">
      <c r="A18" s="1502"/>
      <c r="B18" s="1502"/>
      <c r="C18" s="1502"/>
      <c r="D18" s="1502"/>
      <c r="E18" s="1502"/>
      <c r="F18" s="1502"/>
      <c r="G18" s="1502"/>
      <c r="H18" s="104"/>
    </row>
    <row r="19" spans="1:8" ht="15">
      <c r="A19" s="101"/>
      <c r="B19" s="101"/>
      <c r="C19" s="102"/>
      <c r="D19" s="103"/>
      <c r="E19" s="103"/>
      <c r="F19" s="103"/>
      <c r="G19" s="7"/>
      <c r="H19" s="104"/>
    </row>
    <row r="20" spans="1:8" ht="15">
      <c r="A20" s="101"/>
      <c r="B20" s="101"/>
      <c r="C20" s="102"/>
      <c r="D20" s="103"/>
      <c r="E20" s="103"/>
      <c r="F20" s="103"/>
      <c r="G20" s="7"/>
      <c r="H20" s="104"/>
    </row>
    <row r="21" spans="1:8" ht="18">
      <c r="A21" s="105"/>
      <c r="B21" s="106"/>
      <c r="C21" s="102"/>
      <c r="D21" s="103"/>
      <c r="E21" s="103"/>
      <c r="F21" s="103"/>
      <c r="G21" s="7"/>
      <c r="H21" s="104"/>
    </row>
    <row r="22" spans="1:8" ht="18">
      <c r="A22" s="105"/>
      <c r="B22" s="106"/>
      <c r="C22" s="102"/>
      <c r="D22" s="103"/>
      <c r="E22" s="103"/>
      <c r="F22" s="103"/>
      <c r="G22" s="7"/>
      <c r="H22" s="104"/>
    </row>
    <row r="23" spans="1:8" ht="15">
      <c r="A23" s="107"/>
      <c r="B23" s="68"/>
      <c r="C23" s="102"/>
      <c r="D23" s="103"/>
      <c r="E23" s="103"/>
      <c r="F23" s="103"/>
      <c r="G23" s="7"/>
      <c r="H23" s="104"/>
    </row>
    <row r="24" spans="1:8" ht="15">
      <c r="A24" s="107"/>
      <c r="B24" s="101"/>
      <c r="C24" s="102"/>
      <c r="D24" s="103"/>
      <c r="E24" s="103"/>
      <c r="F24" s="103"/>
      <c r="G24" s="7"/>
      <c r="H24" s="104"/>
    </row>
    <row r="25" spans="1:8" ht="15">
      <c r="A25" s="107"/>
      <c r="B25" s="101"/>
      <c r="C25" s="102"/>
      <c r="D25" s="103"/>
      <c r="E25" s="103"/>
      <c r="F25" s="103"/>
      <c r="G25" s="7"/>
      <c r="H25" s="104"/>
    </row>
    <row r="26" spans="1:8" ht="15">
      <c r="A26" s="107"/>
      <c r="B26" s="101"/>
      <c r="C26" s="102"/>
      <c r="D26" s="103"/>
      <c r="E26" s="103"/>
      <c r="F26" s="103"/>
      <c r="G26" s="7"/>
      <c r="H26" s="104"/>
    </row>
    <row r="27" spans="1:8" ht="15">
      <c r="A27" s="107"/>
      <c r="B27" s="101"/>
      <c r="C27" s="102"/>
      <c r="D27" s="103"/>
      <c r="E27" s="103"/>
      <c r="F27" s="103"/>
      <c r="G27" s="7"/>
      <c r="H27" s="104"/>
    </row>
    <row r="28" spans="1:8" ht="15">
      <c r="A28" s="107"/>
      <c r="B28" s="101"/>
      <c r="C28" s="102"/>
      <c r="D28" s="103"/>
      <c r="E28" s="103"/>
      <c r="F28" s="103"/>
      <c r="G28" s="7"/>
      <c r="H28" s="104"/>
    </row>
    <row r="29" spans="1:8" ht="15">
      <c r="A29" s="107"/>
      <c r="B29" s="101"/>
      <c r="C29" s="102"/>
      <c r="D29" s="103"/>
      <c r="E29" s="103"/>
      <c r="F29" s="103"/>
      <c r="G29" s="7"/>
      <c r="H29" s="104"/>
    </row>
    <row r="30" spans="1:8" ht="15">
      <c r="A30" s="108"/>
      <c r="B30" s="101"/>
      <c r="C30" s="102"/>
      <c r="D30" s="103"/>
      <c r="E30" s="103"/>
      <c r="F30" s="103"/>
      <c r="G30" s="7"/>
      <c r="H30" s="104"/>
    </row>
    <row r="31" spans="1:8" ht="15">
      <c r="A31" s="108"/>
      <c r="B31" s="101"/>
      <c r="C31" s="102"/>
      <c r="D31" s="103"/>
      <c r="E31" s="103"/>
      <c r="F31" s="103"/>
      <c r="G31" s="7"/>
      <c r="H31" s="104"/>
    </row>
    <row r="32" spans="1:8" ht="15">
      <c r="A32" s="30"/>
      <c r="B32" s="101"/>
      <c r="C32" s="102"/>
      <c r="D32" s="103"/>
      <c r="E32" s="103"/>
      <c r="F32" s="103"/>
      <c r="G32" s="7"/>
      <c r="H32" s="104"/>
    </row>
  </sheetData>
  <mergeCells count="14">
    <mergeCell ref="A18:G18"/>
    <mergeCell ref="A2:H2"/>
    <mergeCell ref="A3:H3"/>
    <mergeCell ref="A5:H5"/>
    <mergeCell ref="A6:H6"/>
    <mergeCell ref="A9:F9"/>
    <mergeCell ref="G9:G10"/>
    <mergeCell ref="H9:H10"/>
    <mergeCell ref="A4:H4"/>
    <mergeCell ref="A8:H8"/>
    <mergeCell ref="A16:F16"/>
    <mergeCell ref="A17:G17"/>
    <mergeCell ref="A7:H7"/>
    <mergeCell ref="A14:G14"/>
  </mergeCells>
  <phoneticPr fontId="11" type="noConversion"/>
  <pageMargins left="0.85" right="0.11811023622047245" top="1.1399999999999999" bottom="0.27559055118110237" header="0.11811023622047245" footer="0"/>
  <pageSetup scale="95" orientation="portrait"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99"/>
  <sheetViews>
    <sheetView workbookViewId="0">
      <selection activeCell="Q32" sqref="Q32"/>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62" customWidth="1"/>
    <col min="7" max="7" width="42.85546875" style="17" customWidth="1"/>
    <col min="8" max="8" width="16.7109375" customWidth="1"/>
  </cols>
  <sheetData>
    <row r="1" spans="1:8" ht="24" customHeight="1">
      <c r="A1" s="1492" t="s">
        <v>84</v>
      </c>
      <c r="B1" s="1492"/>
      <c r="C1" s="1492"/>
      <c r="D1" s="1492"/>
      <c r="E1" s="1492"/>
      <c r="F1" s="1492"/>
      <c r="G1" s="1492"/>
      <c r="H1" s="1492"/>
    </row>
    <row r="2" spans="1:8" ht="24" customHeight="1">
      <c r="A2" s="1492" t="s">
        <v>83</v>
      </c>
      <c r="B2" s="1492"/>
      <c r="C2" s="1492"/>
      <c r="D2" s="1492"/>
      <c r="E2" s="1492"/>
      <c r="F2" s="1492"/>
      <c r="G2" s="1492"/>
      <c r="H2" s="1492"/>
    </row>
    <row r="3" spans="1:8" ht="24" customHeight="1">
      <c r="A3" s="1470" t="s">
        <v>687</v>
      </c>
      <c r="B3" s="1470"/>
      <c r="C3" s="1470"/>
      <c r="D3" s="1470"/>
      <c r="E3" s="1470"/>
      <c r="F3" s="1470"/>
      <c r="G3" s="1470"/>
      <c r="H3" s="1470"/>
    </row>
    <row r="4" spans="1:8" ht="24" customHeight="1">
      <c r="A4" s="1470" t="s">
        <v>14</v>
      </c>
      <c r="B4" s="1470"/>
      <c r="C4" s="1470"/>
      <c r="D4" s="1470"/>
      <c r="E4" s="1470"/>
      <c r="F4" s="1470"/>
      <c r="G4" s="1470"/>
      <c r="H4" s="1470"/>
    </row>
    <row r="5" spans="1:8">
      <c r="A5" s="1493" t="s">
        <v>26</v>
      </c>
      <c r="B5" s="1493"/>
      <c r="C5" s="1493"/>
      <c r="D5" s="1493"/>
      <c r="E5" s="1493"/>
      <c r="F5" s="1493"/>
      <c r="G5" s="1493"/>
      <c r="H5" s="1493"/>
    </row>
    <row r="6" spans="1:8">
      <c r="A6" s="1493"/>
      <c r="B6" s="1493"/>
      <c r="C6" s="1493"/>
      <c r="D6" s="1493"/>
      <c r="E6" s="1493"/>
      <c r="F6" s="1493"/>
      <c r="G6" s="1493"/>
      <c r="H6" s="1493"/>
    </row>
    <row r="7" spans="1:8" ht="18">
      <c r="A7" s="1494" t="s">
        <v>697</v>
      </c>
      <c r="B7" s="1495"/>
      <c r="C7" s="1495"/>
      <c r="D7" s="1495"/>
      <c r="E7" s="1495"/>
      <c r="F7" s="1495"/>
      <c r="G7" s="1495"/>
      <c r="H7" s="1495"/>
    </row>
    <row r="8" spans="1:8" ht="15">
      <c r="A8" s="1496" t="s">
        <v>11</v>
      </c>
      <c r="B8" s="1496"/>
      <c r="C8" s="1496"/>
      <c r="D8" s="1496"/>
      <c r="E8" s="1496"/>
      <c r="F8" s="1496"/>
      <c r="G8" s="1497" t="s">
        <v>23</v>
      </c>
      <c r="H8" s="1498" t="s">
        <v>30</v>
      </c>
    </row>
    <row r="9" spans="1:8" ht="106.5">
      <c r="A9" s="439" t="s">
        <v>19</v>
      </c>
      <c r="B9" s="440" t="s">
        <v>185</v>
      </c>
      <c r="C9" s="439" t="s">
        <v>20</v>
      </c>
      <c r="D9" s="439" t="s">
        <v>24</v>
      </c>
      <c r="E9" s="441" t="s">
        <v>320</v>
      </c>
      <c r="F9" s="439" t="s">
        <v>22</v>
      </c>
      <c r="G9" s="1497"/>
      <c r="H9" s="1498"/>
    </row>
    <row r="10" spans="1:8" ht="24" customHeight="1">
      <c r="A10" s="71" t="s">
        <v>704</v>
      </c>
      <c r="B10" s="71" t="s">
        <v>45</v>
      </c>
      <c r="C10" s="71" t="s">
        <v>36</v>
      </c>
      <c r="D10" s="73">
        <v>1</v>
      </c>
      <c r="E10" s="74">
        <v>109</v>
      </c>
      <c r="F10" s="61" t="s">
        <v>179</v>
      </c>
      <c r="G10" s="309" t="s">
        <v>90</v>
      </c>
      <c r="H10" s="46"/>
    </row>
    <row r="11" spans="1:8" ht="24" hidden="1" customHeight="1">
      <c r="A11" s="71" t="s">
        <v>313</v>
      </c>
      <c r="B11" s="71" t="s">
        <v>45</v>
      </c>
      <c r="C11" s="71" t="s">
        <v>36</v>
      </c>
      <c r="D11" s="73">
        <v>1</v>
      </c>
      <c r="E11" s="74">
        <v>111</v>
      </c>
      <c r="F11" s="252" t="s">
        <v>431</v>
      </c>
      <c r="G11" s="309" t="s">
        <v>579</v>
      </c>
      <c r="H11" s="46"/>
    </row>
    <row r="12" spans="1:8" ht="24" hidden="1" customHeight="1">
      <c r="A12" s="71" t="s">
        <v>313</v>
      </c>
      <c r="B12" s="71" t="s">
        <v>45</v>
      </c>
      <c r="C12" s="71" t="s">
        <v>36</v>
      </c>
      <c r="D12" s="73">
        <v>1</v>
      </c>
      <c r="E12" s="74">
        <v>111</v>
      </c>
      <c r="F12" s="252" t="s">
        <v>456</v>
      </c>
      <c r="G12" s="309" t="s">
        <v>457</v>
      </c>
      <c r="H12" s="46"/>
    </row>
    <row r="13" spans="1:8" ht="24" hidden="1" customHeight="1">
      <c r="A13" s="71" t="s">
        <v>313</v>
      </c>
      <c r="B13" s="71" t="s">
        <v>45</v>
      </c>
      <c r="C13" s="71" t="s">
        <v>36</v>
      </c>
      <c r="D13" s="73">
        <v>1</v>
      </c>
      <c r="E13" s="74">
        <v>111</v>
      </c>
      <c r="F13" s="60" t="s">
        <v>413</v>
      </c>
      <c r="G13" s="309" t="s">
        <v>136</v>
      </c>
      <c r="H13" s="46"/>
    </row>
    <row r="14" spans="1:8" ht="24" hidden="1" customHeight="1">
      <c r="A14" s="71" t="s">
        <v>313</v>
      </c>
      <c r="B14" s="71" t="s">
        <v>45</v>
      </c>
      <c r="C14" s="71" t="s">
        <v>36</v>
      </c>
      <c r="D14" s="73">
        <v>1</v>
      </c>
      <c r="E14" s="74">
        <v>111</v>
      </c>
      <c r="F14" s="253" t="s">
        <v>519</v>
      </c>
      <c r="G14" s="309" t="s">
        <v>580</v>
      </c>
      <c r="H14" s="46"/>
    </row>
    <row r="15" spans="1:8" ht="24" hidden="1" customHeight="1">
      <c r="A15" s="71" t="s">
        <v>313</v>
      </c>
      <c r="B15" s="71" t="s">
        <v>45</v>
      </c>
      <c r="C15" s="71" t="s">
        <v>36</v>
      </c>
      <c r="D15" s="73">
        <v>1</v>
      </c>
      <c r="E15" s="74">
        <v>111</v>
      </c>
      <c r="F15" s="75">
        <v>54111</v>
      </c>
      <c r="G15" s="309" t="s">
        <v>140</v>
      </c>
      <c r="H15" s="222"/>
    </row>
    <row r="16" spans="1:8" ht="24" hidden="1" customHeight="1">
      <c r="A16" s="71" t="s">
        <v>313</v>
      </c>
      <c r="B16" s="71" t="s">
        <v>45</v>
      </c>
      <c r="C16" s="71" t="s">
        <v>36</v>
      </c>
      <c r="D16" s="73">
        <v>1</v>
      </c>
      <c r="E16" s="74">
        <v>111</v>
      </c>
      <c r="F16" s="75">
        <v>54112</v>
      </c>
      <c r="G16" s="309" t="s">
        <v>141</v>
      </c>
      <c r="H16" s="46"/>
    </row>
    <row r="17" spans="1:8" ht="24" hidden="1" customHeight="1">
      <c r="A17" s="71" t="s">
        <v>313</v>
      </c>
      <c r="B17" s="71" t="s">
        <v>45</v>
      </c>
      <c r="C17" s="71" t="s">
        <v>36</v>
      </c>
      <c r="D17" s="73">
        <v>1</v>
      </c>
      <c r="E17" s="74">
        <v>111</v>
      </c>
      <c r="F17" s="75">
        <v>54118</v>
      </c>
      <c r="G17" s="309" t="s">
        <v>387</v>
      </c>
      <c r="H17" s="222"/>
    </row>
    <row r="18" spans="1:8" ht="24" hidden="1" customHeight="1">
      <c r="A18" s="71" t="s">
        <v>313</v>
      </c>
      <c r="B18" s="71" t="s">
        <v>45</v>
      </c>
      <c r="C18" s="71" t="s">
        <v>36</v>
      </c>
      <c r="D18" s="73">
        <v>1</v>
      </c>
      <c r="E18" s="74">
        <v>111</v>
      </c>
      <c r="F18" s="75">
        <v>54199</v>
      </c>
      <c r="G18" s="309" t="s">
        <v>581</v>
      </c>
      <c r="H18" s="46"/>
    </row>
    <row r="19" spans="1:8" ht="24" hidden="1" customHeight="1">
      <c r="A19" s="71" t="s">
        <v>313</v>
      </c>
      <c r="B19" s="71" t="s">
        <v>45</v>
      </c>
      <c r="C19" s="71" t="s">
        <v>36</v>
      </c>
      <c r="D19" s="73">
        <v>1</v>
      </c>
      <c r="E19" s="74">
        <v>111</v>
      </c>
      <c r="F19" s="75">
        <v>54304</v>
      </c>
      <c r="G19" s="310" t="s">
        <v>315</v>
      </c>
      <c r="H19" s="46"/>
    </row>
    <row r="20" spans="1:8" ht="24" hidden="1" customHeight="1">
      <c r="A20" s="71" t="s">
        <v>313</v>
      </c>
      <c r="B20" s="71" t="s">
        <v>45</v>
      </c>
      <c r="C20" s="71" t="s">
        <v>36</v>
      </c>
      <c r="D20" s="73">
        <v>1</v>
      </c>
      <c r="E20" s="74">
        <v>111</v>
      </c>
      <c r="F20" s="75">
        <v>54316</v>
      </c>
      <c r="G20" s="309" t="s">
        <v>161</v>
      </c>
      <c r="H20" s="46"/>
    </row>
    <row r="21" spans="1:8" ht="24" hidden="1" customHeight="1">
      <c r="A21" s="71" t="s">
        <v>313</v>
      </c>
      <c r="B21" s="71" t="s">
        <v>45</v>
      </c>
      <c r="C21" s="71" t="s">
        <v>36</v>
      </c>
      <c r="D21" s="73">
        <v>1</v>
      </c>
      <c r="E21" s="74">
        <v>111</v>
      </c>
      <c r="F21" s="75">
        <v>54317</v>
      </c>
      <c r="G21" s="310" t="s">
        <v>162</v>
      </c>
      <c r="H21" s="46"/>
    </row>
    <row r="22" spans="1:8" ht="24" hidden="1" customHeight="1">
      <c r="A22" s="71" t="s">
        <v>313</v>
      </c>
      <c r="B22" s="71" t="s">
        <v>45</v>
      </c>
      <c r="C22" s="71" t="s">
        <v>36</v>
      </c>
      <c r="D22" s="73">
        <v>1</v>
      </c>
      <c r="E22" s="74">
        <v>111</v>
      </c>
      <c r="F22" s="75">
        <v>54599</v>
      </c>
      <c r="G22" s="310" t="s">
        <v>582</v>
      </c>
      <c r="H22" s="381"/>
    </row>
    <row r="23" spans="1:8" ht="24" customHeight="1">
      <c r="A23" s="71" t="s">
        <v>704</v>
      </c>
      <c r="B23" s="71" t="s">
        <v>45</v>
      </c>
      <c r="C23" s="71" t="s">
        <v>36</v>
      </c>
      <c r="D23" s="73">
        <v>1</v>
      </c>
      <c r="E23" s="74">
        <v>109</v>
      </c>
      <c r="F23" s="60" t="s">
        <v>316</v>
      </c>
      <c r="G23" s="311" t="s">
        <v>114</v>
      </c>
      <c r="H23" s="381"/>
    </row>
    <row r="24" spans="1:8" ht="24" hidden="1" customHeight="1">
      <c r="A24" s="71" t="s">
        <v>313</v>
      </c>
      <c r="B24" s="71" t="s">
        <v>45</v>
      </c>
      <c r="C24" s="71" t="s">
        <v>36</v>
      </c>
      <c r="D24" s="73">
        <v>1</v>
      </c>
      <c r="E24" s="74">
        <v>111</v>
      </c>
      <c r="F24" s="97">
        <v>61599</v>
      </c>
      <c r="G24" s="312" t="s">
        <v>124</v>
      </c>
      <c r="H24" s="381"/>
    </row>
    <row r="25" spans="1:8" ht="24" hidden="1" customHeight="1">
      <c r="A25" s="71" t="s">
        <v>313</v>
      </c>
      <c r="B25" s="71" t="s">
        <v>45</v>
      </c>
      <c r="C25" s="71" t="s">
        <v>36</v>
      </c>
      <c r="D25" s="73">
        <v>1</v>
      </c>
      <c r="E25" s="74">
        <v>111</v>
      </c>
      <c r="F25" s="62">
        <v>61201</v>
      </c>
      <c r="G25" s="308" t="s">
        <v>121</v>
      </c>
      <c r="H25" s="381"/>
    </row>
    <row r="26" spans="1:8" ht="24" customHeight="1">
      <c r="A26" s="71" t="s">
        <v>696</v>
      </c>
      <c r="B26" s="71" t="s">
        <v>45</v>
      </c>
      <c r="C26" s="71" t="s">
        <v>36</v>
      </c>
      <c r="D26" s="73">
        <v>1</v>
      </c>
      <c r="E26" s="74">
        <v>109</v>
      </c>
      <c r="F26" s="75">
        <v>61601</v>
      </c>
      <c r="G26" s="309" t="s">
        <v>125</v>
      </c>
      <c r="H26" s="46"/>
    </row>
    <row r="27" spans="1:8" ht="15" hidden="1">
      <c r="A27" s="71" t="s">
        <v>313</v>
      </c>
      <c r="B27" s="71" t="s">
        <v>45</v>
      </c>
      <c r="C27" s="71" t="s">
        <v>36</v>
      </c>
      <c r="D27" s="73">
        <v>1</v>
      </c>
      <c r="E27" s="74">
        <v>111</v>
      </c>
      <c r="F27" s="75">
        <v>61606</v>
      </c>
      <c r="G27" s="309" t="s">
        <v>317</v>
      </c>
      <c r="H27" s="46"/>
    </row>
    <row r="28" spans="1:8" ht="15" hidden="1">
      <c r="A28" s="71" t="s">
        <v>313</v>
      </c>
      <c r="B28" s="71" t="s">
        <v>45</v>
      </c>
      <c r="C28" s="71" t="s">
        <v>36</v>
      </c>
      <c r="D28" s="73">
        <v>1</v>
      </c>
      <c r="E28" s="74">
        <v>111</v>
      </c>
      <c r="F28" s="75">
        <v>61608</v>
      </c>
      <c r="G28" s="309" t="s">
        <v>129</v>
      </c>
      <c r="H28" s="222"/>
    </row>
    <row r="29" spans="1:8" ht="15" hidden="1">
      <c r="A29" s="71" t="s">
        <v>313</v>
      </c>
      <c r="B29" s="71" t="s">
        <v>45</v>
      </c>
      <c r="C29" s="71" t="s">
        <v>36</v>
      </c>
      <c r="D29" s="73">
        <v>1</v>
      </c>
      <c r="E29" s="74">
        <v>111</v>
      </c>
      <c r="F29" s="75">
        <v>61699</v>
      </c>
      <c r="G29" s="309" t="s">
        <v>318</v>
      </c>
      <c r="H29" s="46"/>
    </row>
    <row r="30" spans="1:8" ht="21.75" customHeight="1" thickBot="1">
      <c r="A30" s="1499" t="s">
        <v>706</v>
      </c>
      <c r="B30" s="1500"/>
      <c r="C30" s="1500"/>
      <c r="D30" s="1500"/>
      <c r="E30" s="1500"/>
      <c r="F30" s="1500"/>
      <c r="G30" s="1501"/>
      <c r="H30" s="442">
        <f>SUM(H10:H29)</f>
        <v>0</v>
      </c>
    </row>
    <row r="31" spans="1:8" ht="15.75" thickTop="1">
      <c r="A31" s="87"/>
      <c r="B31" s="87"/>
      <c r="C31" s="87"/>
      <c r="D31" s="14"/>
      <c r="E31" s="98"/>
      <c r="H31" s="79"/>
    </row>
    <row r="32" spans="1:8" ht="15">
      <c r="A32" s="87"/>
      <c r="B32" s="87"/>
      <c r="C32" s="87"/>
      <c r="D32" s="14"/>
      <c r="E32" s="98"/>
      <c r="H32" s="79"/>
    </row>
    <row r="33" spans="1:8" ht="15">
      <c r="A33" s="87"/>
      <c r="B33" s="87"/>
      <c r="C33" s="87"/>
      <c r="D33" s="14"/>
      <c r="E33" s="98"/>
      <c r="H33" s="79"/>
    </row>
    <row r="34" spans="1:8" ht="15">
      <c r="A34" s="87"/>
      <c r="B34" s="87"/>
      <c r="C34" s="87"/>
      <c r="D34" s="14"/>
      <c r="E34" s="98"/>
      <c r="H34" s="79"/>
    </row>
    <row r="35" spans="1:8" ht="15">
      <c r="A35" s="87"/>
      <c r="B35" s="87"/>
      <c r="C35" s="87"/>
      <c r="D35" s="14"/>
      <c r="E35" s="98"/>
      <c r="H35" s="79"/>
    </row>
    <row r="36" spans="1:8" ht="15">
      <c r="A36" s="87"/>
      <c r="B36" s="87"/>
      <c r="C36" s="87"/>
      <c r="D36" s="14"/>
      <c r="E36" s="98"/>
      <c r="H36" s="79"/>
    </row>
    <row r="37" spans="1:8" ht="15">
      <c r="A37" s="87"/>
      <c r="B37" s="87"/>
      <c r="C37" s="87"/>
      <c r="D37" s="14"/>
      <c r="E37" s="98"/>
      <c r="H37" s="79"/>
    </row>
    <row r="38" spans="1:8" ht="15">
      <c r="A38" s="87"/>
      <c r="B38" s="87"/>
      <c r="C38" s="87"/>
      <c r="D38" s="14"/>
      <c r="E38" s="98"/>
      <c r="H38" s="79"/>
    </row>
    <row r="39" spans="1:8" ht="15">
      <c r="A39" s="87"/>
      <c r="B39" s="87"/>
      <c r="C39" s="87"/>
      <c r="D39" s="14"/>
      <c r="E39" s="98"/>
      <c r="H39" s="79"/>
    </row>
    <row r="40" spans="1:8" ht="15">
      <c r="A40" s="87"/>
      <c r="B40" s="87"/>
      <c r="C40" s="87"/>
      <c r="D40" s="14"/>
      <c r="E40" s="98"/>
      <c r="H40" s="79"/>
    </row>
    <row r="41" spans="1:8" ht="15">
      <c r="A41" s="87"/>
      <c r="B41" s="87"/>
      <c r="C41" s="87"/>
      <c r="D41" s="14"/>
      <c r="E41" s="98"/>
      <c r="H41" s="79"/>
    </row>
    <row r="42" spans="1:8" ht="15">
      <c r="A42" s="87"/>
      <c r="B42" s="87"/>
      <c r="C42" s="87"/>
      <c r="D42" s="14"/>
      <c r="E42" s="98"/>
    </row>
    <row r="43" spans="1:8" ht="15">
      <c r="A43" s="87"/>
      <c r="B43" s="87"/>
      <c r="C43" s="87"/>
      <c r="D43" s="14"/>
      <c r="E43" s="98"/>
    </row>
    <row r="44" spans="1:8" ht="15">
      <c r="A44" s="87"/>
      <c r="B44" s="87"/>
      <c r="C44" s="87"/>
      <c r="D44" s="14"/>
      <c r="E44" s="98"/>
      <c r="H44" s="79"/>
    </row>
    <row r="45" spans="1:8" ht="15">
      <c r="A45" s="87"/>
      <c r="B45" s="87"/>
      <c r="C45" s="87"/>
      <c r="D45" s="14"/>
      <c r="E45" s="98"/>
      <c r="H45" s="79"/>
    </row>
    <row r="46" spans="1:8" ht="15">
      <c r="A46" s="87"/>
      <c r="B46" s="87"/>
      <c r="C46" s="87"/>
      <c r="D46" s="14"/>
      <c r="E46" s="98"/>
      <c r="H46" s="79"/>
    </row>
    <row r="47" spans="1:8" ht="15">
      <c r="A47" s="87"/>
      <c r="B47" s="87"/>
      <c r="C47" s="87"/>
      <c r="D47" s="14"/>
      <c r="E47" s="98"/>
      <c r="H47" s="79"/>
    </row>
    <row r="48" spans="1:8" ht="15">
      <c r="A48" s="87"/>
      <c r="B48" s="87"/>
      <c r="C48" s="87"/>
      <c r="D48" s="14"/>
      <c r="E48" s="98"/>
      <c r="H48" s="79"/>
    </row>
    <row r="49" spans="1:8" ht="15">
      <c r="A49" s="87"/>
      <c r="B49" s="87"/>
      <c r="C49" s="87"/>
      <c r="D49" s="14"/>
      <c r="E49" s="98"/>
      <c r="H49" s="79"/>
    </row>
    <row r="50" spans="1:8" ht="15">
      <c r="A50" s="87"/>
      <c r="B50" s="87"/>
      <c r="C50" s="87"/>
      <c r="D50" s="14"/>
      <c r="E50" s="98"/>
      <c r="H50" s="79"/>
    </row>
    <row r="51" spans="1:8" ht="15">
      <c r="A51" s="87"/>
      <c r="B51" s="87"/>
      <c r="C51" s="87"/>
      <c r="D51" s="14"/>
      <c r="E51" s="98"/>
      <c r="H51" s="79"/>
    </row>
    <row r="52" spans="1:8" ht="15">
      <c r="A52" s="87"/>
      <c r="B52" s="87"/>
      <c r="C52" s="87"/>
      <c r="D52" s="14"/>
      <c r="E52" s="98"/>
      <c r="H52" s="79"/>
    </row>
    <row r="53" spans="1:8" ht="15">
      <c r="A53" s="87"/>
      <c r="B53" s="87"/>
      <c r="C53" s="87"/>
      <c r="D53" s="14"/>
      <c r="E53" s="98"/>
      <c r="H53" s="79"/>
    </row>
    <row r="54" spans="1:8" ht="15">
      <c r="A54" s="87"/>
      <c r="B54" s="87"/>
      <c r="C54" s="87"/>
      <c r="D54" s="14"/>
      <c r="E54" s="98"/>
      <c r="H54" s="79"/>
    </row>
    <row r="55" spans="1:8" ht="15">
      <c r="A55" s="87"/>
      <c r="B55" s="87"/>
      <c r="C55" s="87"/>
      <c r="D55" s="14"/>
      <c r="E55" s="98"/>
      <c r="H55" s="79"/>
    </row>
    <row r="56" spans="1:8" ht="15">
      <c r="A56" s="87"/>
      <c r="B56" s="87"/>
      <c r="C56" s="87"/>
      <c r="D56" s="14"/>
      <c r="E56" s="98"/>
      <c r="H56" s="79"/>
    </row>
    <row r="57" spans="1:8" ht="15">
      <c r="A57" s="87"/>
      <c r="B57" s="87"/>
      <c r="C57" s="87"/>
      <c r="D57" s="14"/>
      <c r="E57" s="98"/>
      <c r="H57" s="79"/>
    </row>
    <row r="58" spans="1:8" ht="15">
      <c r="A58" s="87"/>
      <c r="B58" s="87"/>
      <c r="C58" s="87"/>
      <c r="D58" s="14"/>
      <c r="E58" s="98"/>
      <c r="H58" s="79"/>
    </row>
    <row r="59" spans="1:8" ht="15">
      <c r="A59" s="87"/>
      <c r="B59" s="87"/>
      <c r="C59" s="87"/>
      <c r="D59" s="14"/>
      <c r="E59" s="98"/>
      <c r="H59" s="79"/>
    </row>
    <row r="60" spans="1:8" ht="15">
      <c r="A60" s="87"/>
      <c r="B60" s="87"/>
      <c r="C60" s="87"/>
      <c r="D60" s="14"/>
      <c r="E60" s="98"/>
      <c r="H60" s="79"/>
    </row>
    <row r="61" spans="1:8" ht="15">
      <c r="A61" s="87"/>
      <c r="B61" s="87"/>
      <c r="C61" s="87"/>
      <c r="D61" s="14"/>
      <c r="E61" s="98"/>
      <c r="H61" s="79"/>
    </row>
    <row r="62" spans="1:8" ht="15">
      <c r="A62" s="87"/>
      <c r="B62" s="87"/>
      <c r="C62" s="87"/>
      <c r="D62" s="14"/>
      <c r="E62" s="98"/>
      <c r="H62" s="79"/>
    </row>
    <row r="63" spans="1:8" ht="15">
      <c r="A63" s="15"/>
      <c r="B63" s="15"/>
      <c r="C63" s="15"/>
      <c r="D63" s="14"/>
      <c r="E63" s="15"/>
      <c r="G63" s="313"/>
      <c r="H63" s="47"/>
    </row>
    <row r="64" spans="1:8" ht="15">
      <c r="A64" s="87"/>
      <c r="B64" s="87"/>
      <c r="C64" s="86"/>
      <c r="D64" s="14"/>
      <c r="E64" s="87"/>
      <c r="F64" s="63"/>
      <c r="G64" s="308"/>
      <c r="H64" s="79"/>
    </row>
    <row r="65" spans="1:8" ht="15">
      <c r="A65" s="87"/>
      <c r="B65" s="87"/>
      <c r="C65" s="86"/>
      <c r="D65" s="14"/>
      <c r="E65" s="87"/>
      <c r="F65" s="63"/>
      <c r="G65" s="308"/>
      <c r="H65" s="79"/>
    </row>
    <row r="66" spans="1:8" ht="15">
      <c r="A66" s="87"/>
      <c r="B66" s="87"/>
      <c r="C66" s="86"/>
      <c r="D66" s="14"/>
      <c r="E66" s="87"/>
      <c r="G66" s="80"/>
      <c r="H66" s="79"/>
    </row>
    <row r="67" spans="1:8" ht="15">
      <c r="A67" s="87"/>
      <c r="B67" s="87"/>
      <c r="C67" s="86"/>
      <c r="D67" s="14"/>
      <c r="E67" s="87"/>
      <c r="F67" s="63"/>
      <c r="G67" s="308"/>
      <c r="H67" s="79"/>
    </row>
    <row r="68" spans="1:8" ht="15">
      <c r="A68" s="87"/>
      <c r="B68" s="87"/>
      <c r="C68" s="86"/>
      <c r="D68" s="14"/>
      <c r="E68" s="87"/>
      <c r="F68" s="63"/>
      <c r="G68" s="308"/>
      <c r="H68" s="79"/>
    </row>
    <row r="69" spans="1:8" ht="15">
      <c r="A69" s="87"/>
      <c r="B69" s="87"/>
      <c r="C69" s="86"/>
      <c r="D69" s="14"/>
      <c r="E69" s="87"/>
      <c r="F69" s="63"/>
      <c r="G69" s="308"/>
      <c r="H69" s="79"/>
    </row>
    <row r="70" spans="1:8" ht="15">
      <c r="A70" s="87"/>
      <c r="B70" s="87"/>
      <c r="C70" s="86"/>
      <c r="D70" s="14"/>
      <c r="E70" s="87"/>
      <c r="H70" s="79"/>
    </row>
    <row r="71" spans="1:8" ht="15">
      <c r="A71" s="87"/>
      <c r="B71" s="87"/>
      <c r="C71" s="86"/>
      <c r="D71" s="14"/>
      <c r="E71" s="87"/>
      <c r="H71" s="79"/>
    </row>
    <row r="72" spans="1:8" ht="15">
      <c r="A72" s="87"/>
      <c r="B72" s="87"/>
      <c r="C72" s="86"/>
      <c r="D72" s="14"/>
      <c r="E72" s="87"/>
      <c r="H72" s="79"/>
    </row>
    <row r="73" spans="1:8" ht="15">
      <c r="A73" s="87"/>
      <c r="B73" s="87"/>
      <c r="C73" s="86"/>
      <c r="D73" s="14"/>
      <c r="E73" s="87"/>
      <c r="H73" s="79"/>
    </row>
    <row r="74" spans="1:8" ht="15">
      <c r="A74" s="15"/>
      <c r="B74" s="15"/>
      <c r="C74" s="15"/>
      <c r="D74" s="14"/>
      <c r="E74" s="15"/>
      <c r="G74" s="313"/>
      <c r="H74" s="47"/>
    </row>
    <row r="75" spans="1:8" ht="15">
      <c r="A75" s="87"/>
      <c r="B75" s="86"/>
      <c r="C75" s="86"/>
      <c r="D75" s="14"/>
      <c r="E75" s="87"/>
      <c r="F75" s="63"/>
      <c r="G75" s="308"/>
      <c r="H75" s="79"/>
    </row>
    <row r="76" spans="1:8" ht="15">
      <c r="A76" s="87"/>
      <c r="B76" s="86"/>
      <c r="C76" s="86"/>
      <c r="D76" s="14"/>
      <c r="E76" s="87"/>
      <c r="F76" s="63"/>
      <c r="G76" s="308"/>
      <c r="H76" s="79"/>
    </row>
    <row r="77" spans="1:8" ht="15">
      <c r="A77" s="87"/>
      <c r="B77" s="86"/>
      <c r="C77" s="86"/>
      <c r="D77" s="14"/>
      <c r="E77" s="87"/>
      <c r="F77" s="63"/>
      <c r="G77" s="308"/>
      <c r="H77" s="79"/>
    </row>
    <row r="78" spans="1:8" ht="15">
      <c r="A78" s="87"/>
      <c r="B78" s="86"/>
      <c r="C78" s="86"/>
      <c r="D78" s="14"/>
      <c r="E78" s="87"/>
      <c r="F78" s="63"/>
      <c r="G78" s="308"/>
      <c r="H78" s="79"/>
    </row>
    <row r="79" spans="1:8" ht="15">
      <c r="A79" s="87"/>
      <c r="B79" s="86"/>
      <c r="C79" s="86"/>
      <c r="D79" s="14"/>
      <c r="E79" s="87"/>
      <c r="H79" s="79"/>
    </row>
    <row r="80" spans="1:8" ht="15">
      <c r="A80" s="87"/>
      <c r="B80" s="86"/>
      <c r="C80" s="86"/>
      <c r="D80" s="14"/>
      <c r="E80" s="87"/>
      <c r="H80" s="79"/>
    </row>
    <row r="81" spans="1:8" ht="15">
      <c r="A81" s="15"/>
      <c r="B81" s="15"/>
      <c r="C81" s="15"/>
      <c r="D81" s="14"/>
      <c r="E81" s="15"/>
      <c r="G81" s="313"/>
      <c r="H81" s="47"/>
    </row>
    <row r="82" spans="1:8" ht="15">
      <c r="A82" s="87"/>
      <c r="B82" s="86"/>
      <c r="C82" s="86"/>
      <c r="D82" s="14"/>
      <c r="E82" s="87"/>
      <c r="F82" s="63"/>
      <c r="G82" s="308"/>
      <c r="H82" s="79"/>
    </row>
    <row r="83" spans="1:8" ht="15">
      <c r="A83" s="87"/>
      <c r="B83" s="86"/>
      <c r="C83" s="86"/>
      <c r="D83" s="14"/>
      <c r="E83" s="87"/>
      <c r="F83" s="63"/>
      <c r="G83" s="308"/>
      <c r="H83" s="79"/>
    </row>
    <row r="84" spans="1:8" ht="15">
      <c r="A84" s="87"/>
      <c r="B84" s="86"/>
      <c r="C84" s="86"/>
      <c r="D84" s="14"/>
      <c r="E84" s="87"/>
      <c r="H84" s="79"/>
    </row>
    <row r="85" spans="1:8" ht="15">
      <c r="A85" s="87"/>
      <c r="B85" s="86"/>
      <c r="C85" s="86"/>
      <c r="D85" s="14"/>
      <c r="E85" s="87"/>
      <c r="F85" s="63"/>
      <c r="G85" s="308"/>
      <c r="H85" s="79"/>
    </row>
    <row r="86" spans="1:8" ht="15">
      <c r="A86" s="87"/>
      <c r="B86" s="86"/>
      <c r="C86" s="86"/>
      <c r="D86" s="14"/>
      <c r="E86" s="87"/>
      <c r="F86" s="63"/>
      <c r="G86" s="308"/>
      <c r="H86" s="79"/>
    </row>
    <row r="87" spans="1:8" ht="15">
      <c r="A87" s="87"/>
      <c r="B87" s="86"/>
      <c r="C87" s="86"/>
      <c r="D87" s="14"/>
      <c r="E87" s="87"/>
      <c r="H87" s="79"/>
    </row>
    <row r="88" spans="1:8" ht="15">
      <c r="A88" s="87"/>
      <c r="B88" s="86"/>
      <c r="C88" s="86"/>
      <c r="D88" s="14"/>
      <c r="E88" s="87"/>
      <c r="H88" s="79"/>
    </row>
    <row r="89" spans="1:8" ht="15">
      <c r="A89" s="87"/>
      <c r="B89" s="86"/>
      <c r="C89" s="86"/>
      <c r="D89" s="14"/>
      <c r="E89" s="87"/>
      <c r="H89" s="79"/>
    </row>
    <row r="90" spans="1:8" ht="15">
      <c r="A90" s="87"/>
      <c r="B90" s="86"/>
      <c r="C90" s="86"/>
      <c r="D90" s="14"/>
      <c r="E90" s="87"/>
      <c r="H90" s="79"/>
    </row>
    <row r="91" spans="1:8" ht="15">
      <c r="A91" s="87"/>
      <c r="B91" s="86"/>
      <c r="C91" s="86"/>
      <c r="D91" s="14"/>
      <c r="E91" s="87"/>
      <c r="H91" s="79"/>
    </row>
    <row r="92" spans="1:8" ht="15">
      <c r="A92" s="87"/>
      <c r="B92" s="86"/>
      <c r="C92" s="86"/>
      <c r="D92" s="14"/>
      <c r="E92" s="87"/>
      <c r="H92" s="79"/>
    </row>
    <row r="93" spans="1:8" ht="15">
      <c r="A93" s="87"/>
      <c r="B93" s="86"/>
      <c r="C93" s="86"/>
      <c r="D93" s="14"/>
      <c r="E93" s="87"/>
      <c r="H93" s="79"/>
    </row>
    <row r="94" spans="1:8" ht="15">
      <c r="A94" s="87"/>
      <c r="B94" s="86"/>
      <c r="C94" s="86"/>
      <c r="D94" s="14"/>
      <c r="E94" s="87"/>
      <c r="H94" s="79"/>
    </row>
    <row r="95" spans="1:8" ht="15">
      <c r="A95" s="87"/>
      <c r="B95" s="86"/>
      <c r="C95" s="86"/>
      <c r="D95" s="14"/>
      <c r="E95" s="87"/>
      <c r="H95" s="79"/>
    </row>
    <row r="96" spans="1:8" ht="15">
      <c r="A96" s="87"/>
      <c r="B96" s="86"/>
      <c r="C96" s="86"/>
      <c r="D96" s="14"/>
      <c r="E96" s="87"/>
      <c r="H96" s="79"/>
    </row>
    <row r="97" spans="1:8" ht="15">
      <c r="A97" s="87"/>
      <c r="B97" s="86"/>
      <c r="C97" s="86"/>
      <c r="D97" s="14"/>
      <c r="E97" s="87"/>
      <c r="G97" s="80"/>
      <c r="H97" s="79"/>
    </row>
    <row r="98" spans="1:8" ht="15">
      <c r="A98" s="15"/>
      <c r="B98" s="15"/>
      <c r="C98" s="15"/>
      <c r="D98" s="43"/>
      <c r="E98" s="15"/>
      <c r="G98" s="313"/>
      <c r="H98" s="47"/>
    </row>
    <row r="99" spans="1:8" ht="15">
      <c r="A99" s="15"/>
      <c r="B99" s="15"/>
      <c r="C99" s="15"/>
      <c r="D99" s="43"/>
      <c r="E99" s="15"/>
      <c r="G99" s="314"/>
      <c r="H99" s="47"/>
    </row>
  </sheetData>
  <mergeCells count="10">
    <mergeCell ref="A8:F8"/>
    <mergeCell ref="G8:G9"/>
    <mergeCell ref="H8:H9"/>
    <mergeCell ref="A30:G30"/>
    <mergeCell ref="A1:H1"/>
    <mergeCell ref="A2:H2"/>
    <mergeCell ref="A3:H3"/>
    <mergeCell ref="A4:H4"/>
    <mergeCell ref="A5:H6"/>
    <mergeCell ref="A7:H7"/>
  </mergeCells>
  <pageMargins left="0.86" right="0.12" top="1.1200000000000001" bottom="0.75" header="0.3" footer="0.3"/>
  <pageSetup paperSize="9" orientation="portrait" horizontalDpi="0" verticalDpi="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80"/>
  <sheetViews>
    <sheetView workbookViewId="0">
      <selection activeCell="I1" sqref="I1"/>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817" customWidth="1"/>
    <col min="7" max="7" width="42.85546875" style="17" customWidth="1"/>
    <col min="8" max="8" width="16.7109375" customWidth="1"/>
  </cols>
  <sheetData>
    <row r="1" spans="1:8" ht="18">
      <c r="A1" s="1468" t="s">
        <v>84</v>
      </c>
      <c r="B1" s="1468"/>
      <c r="C1" s="1468"/>
      <c r="D1" s="1468"/>
      <c r="E1" s="1468"/>
      <c r="F1" s="1468"/>
      <c r="G1" s="1468"/>
      <c r="H1" s="1468"/>
    </row>
    <row r="2" spans="1:8" ht="18">
      <c r="A2" s="1468" t="s">
        <v>83</v>
      </c>
      <c r="B2" s="1468"/>
      <c r="C2" s="1468"/>
      <c r="D2" s="1468"/>
      <c r="E2" s="1468"/>
      <c r="F2" s="1468"/>
      <c r="G2" s="1468"/>
      <c r="H2" s="1468"/>
    </row>
    <row r="3" spans="1:8" ht="18">
      <c r="A3" s="1469" t="s">
        <v>758</v>
      </c>
      <c r="B3" s="1469"/>
      <c r="C3" s="1469"/>
      <c r="D3" s="1469"/>
      <c r="E3" s="1469"/>
      <c r="F3" s="1469"/>
      <c r="G3" s="1469"/>
      <c r="H3" s="1469"/>
    </row>
    <row r="4" spans="1:8" ht="18.75">
      <c r="A4" s="1470" t="s">
        <v>14</v>
      </c>
      <c r="B4" s="1470"/>
      <c r="C4" s="1470"/>
      <c r="D4" s="1470"/>
      <c r="E4" s="1470"/>
      <c r="F4" s="1470"/>
      <c r="G4" s="1470"/>
      <c r="H4" s="1470"/>
    </row>
    <row r="5" spans="1:8" ht="12.75" customHeight="1">
      <c r="A5" s="1471" t="s">
        <v>26</v>
      </c>
      <c r="B5" s="1471"/>
      <c r="C5" s="1471"/>
      <c r="D5" s="1471"/>
      <c r="E5" s="1471"/>
      <c r="F5" s="1471"/>
      <c r="G5" s="1471"/>
      <c r="H5" s="1471"/>
    </row>
    <row r="6" spans="1:8" ht="12.75" customHeight="1">
      <c r="A6" s="1471"/>
      <c r="B6" s="1471"/>
      <c r="C6" s="1471"/>
      <c r="D6" s="1471"/>
      <c r="E6" s="1471"/>
      <c r="F6" s="1471"/>
      <c r="G6" s="1471"/>
      <c r="H6" s="1471"/>
    </row>
    <row r="7" spans="1:8" ht="15.75">
      <c r="A7" s="1472" t="s">
        <v>1157</v>
      </c>
      <c r="B7" s="1473"/>
      <c r="C7" s="1473"/>
      <c r="D7" s="1473"/>
      <c r="E7" s="1473"/>
      <c r="F7" s="1473"/>
      <c r="G7" s="1473"/>
      <c r="H7" s="1473"/>
    </row>
    <row r="8" spans="1:8" ht="15" customHeight="1">
      <c r="A8" s="1474" t="s">
        <v>11</v>
      </c>
      <c r="B8" s="1474"/>
      <c r="C8" s="1474"/>
      <c r="D8" s="1474"/>
      <c r="E8" s="1474"/>
      <c r="F8" s="1474"/>
      <c r="G8" s="1475" t="s">
        <v>23</v>
      </c>
      <c r="H8" s="1476" t="s">
        <v>30</v>
      </c>
    </row>
    <row r="9" spans="1:8" ht="80.25">
      <c r="A9" s="634" t="s">
        <v>19</v>
      </c>
      <c r="B9" s="635" t="s">
        <v>185</v>
      </c>
      <c r="C9" s="634" t="s">
        <v>20</v>
      </c>
      <c r="D9" s="634" t="s">
        <v>24</v>
      </c>
      <c r="E9" s="636" t="s">
        <v>320</v>
      </c>
      <c r="F9" s="634" t="s">
        <v>22</v>
      </c>
      <c r="G9" s="1475"/>
      <c r="H9" s="1476"/>
    </row>
    <row r="10" spans="1:8" s="651" customFormat="1" ht="24" customHeight="1">
      <c r="A10" s="673" t="s">
        <v>871</v>
      </c>
      <c r="B10" s="673" t="s">
        <v>36</v>
      </c>
      <c r="C10" s="673" t="s">
        <v>36</v>
      </c>
      <c r="D10" s="1236">
        <v>1</v>
      </c>
      <c r="E10" s="1148">
        <v>120</v>
      </c>
      <c r="F10" s="1260" t="s">
        <v>316</v>
      </c>
      <c r="G10" s="1257" t="s">
        <v>114</v>
      </c>
      <c r="H10" s="1258">
        <v>174346.37</v>
      </c>
    </row>
    <row r="11" spans="1:8" ht="15.75" thickBot="1">
      <c r="A11" s="1512" t="s">
        <v>1144</v>
      </c>
      <c r="B11" s="1513"/>
      <c r="C11" s="1513"/>
      <c r="D11" s="1513"/>
      <c r="E11" s="1513"/>
      <c r="F11" s="1513"/>
      <c r="G11" s="1514"/>
      <c r="H11" s="1259">
        <f>SUM(H10:H10)</f>
        <v>174346.37</v>
      </c>
    </row>
    <row r="12" spans="1:8" ht="15.75" thickTop="1">
      <c r="A12" s="87"/>
      <c r="B12" s="87"/>
      <c r="C12" s="87"/>
      <c r="D12" s="14"/>
      <c r="E12" s="98"/>
      <c r="H12" s="79"/>
    </row>
    <row r="13" spans="1:8" ht="15">
      <c r="A13" s="87"/>
      <c r="B13" s="87"/>
      <c r="C13" s="87"/>
      <c r="D13" s="14"/>
      <c r="E13" s="98"/>
      <c r="H13" s="79"/>
    </row>
    <row r="14" spans="1:8" ht="15">
      <c r="A14" s="87"/>
      <c r="B14" s="87"/>
      <c r="C14" s="87"/>
      <c r="D14" s="14"/>
      <c r="E14" s="98"/>
      <c r="H14" s="79"/>
    </row>
    <row r="15" spans="1:8" ht="15">
      <c r="A15" s="87"/>
      <c r="B15" s="87"/>
      <c r="C15" s="87"/>
      <c r="D15" s="14"/>
      <c r="E15" s="98"/>
      <c r="H15" s="79"/>
    </row>
    <row r="16" spans="1:8" ht="15">
      <c r="A16" s="87"/>
      <c r="B16" s="87"/>
      <c r="C16" s="87"/>
      <c r="D16" s="14"/>
      <c r="E16" s="98"/>
      <c r="H16" s="79"/>
    </row>
    <row r="17" spans="1:8" ht="15">
      <c r="A17" s="87"/>
      <c r="B17" s="87"/>
      <c r="C17" s="87"/>
      <c r="D17" s="14"/>
      <c r="E17" s="98"/>
      <c r="H17" s="79"/>
    </row>
    <row r="18" spans="1:8" ht="15">
      <c r="A18" s="87"/>
      <c r="B18" s="87"/>
      <c r="C18" s="87"/>
      <c r="D18" s="14"/>
      <c r="E18" s="98"/>
      <c r="H18" s="79"/>
    </row>
    <row r="19" spans="1:8" ht="15">
      <c r="A19" s="87"/>
      <c r="B19" s="87"/>
      <c r="C19" s="87"/>
      <c r="D19" s="14"/>
      <c r="E19" s="98"/>
      <c r="H19" s="79"/>
    </row>
    <row r="20" spans="1:8" ht="15">
      <c r="A20" s="87"/>
      <c r="B20" s="87"/>
      <c r="C20" s="87"/>
      <c r="D20" s="14"/>
      <c r="E20" s="98"/>
      <c r="H20" s="79"/>
    </row>
    <row r="21" spans="1:8" ht="15">
      <c r="A21" s="87"/>
      <c r="B21" s="87"/>
      <c r="C21" s="87"/>
      <c r="D21" s="14"/>
      <c r="E21" s="98"/>
      <c r="H21" s="79"/>
    </row>
    <row r="22" spans="1:8" ht="15">
      <c r="A22" s="87"/>
      <c r="B22" s="87"/>
      <c r="C22" s="87"/>
      <c r="D22" s="14"/>
      <c r="E22" s="98"/>
      <c r="H22" s="79"/>
    </row>
    <row r="23" spans="1:8" ht="15">
      <c r="A23" s="87"/>
      <c r="B23" s="87"/>
      <c r="C23" s="87"/>
      <c r="D23" s="14"/>
      <c r="E23" s="98"/>
    </row>
    <row r="24" spans="1:8" ht="15">
      <c r="A24" s="87"/>
      <c r="B24" s="87"/>
      <c r="C24" s="87"/>
      <c r="D24" s="14"/>
      <c r="E24" s="98"/>
    </row>
    <row r="25" spans="1:8" ht="15">
      <c r="A25" s="87"/>
      <c r="B25" s="87"/>
      <c r="C25" s="87"/>
      <c r="D25" s="14"/>
      <c r="E25" s="98"/>
      <c r="H25" s="79"/>
    </row>
    <row r="26" spans="1:8" ht="15">
      <c r="A26" s="87"/>
      <c r="B26" s="87"/>
      <c r="C26" s="87"/>
      <c r="D26" s="14"/>
      <c r="E26" s="98"/>
      <c r="H26" s="79"/>
    </row>
    <row r="27" spans="1:8" ht="15">
      <c r="A27" s="87"/>
      <c r="B27" s="87"/>
      <c r="C27" s="87"/>
      <c r="D27" s="14"/>
      <c r="E27" s="98"/>
      <c r="H27" s="79"/>
    </row>
    <row r="28" spans="1:8" ht="15">
      <c r="A28" s="87"/>
      <c r="B28" s="87"/>
      <c r="C28" s="87"/>
      <c r="D28" s="14"/>
      <c r="E28" s="98"/>
      <c r="H28" s="79"/>
    </row>
    <row r="29" spans="1:8" ht="15">
      <c r="A29" s="87"/>
      <c r="B29" s="87"/>
      <c r="C29" s="87"/>
      <c r="D29" s="14"/>
      <c r="E29" s="98"/>
      <c r="H29" s="79"/>
    </row>
    <row r="30" spans="1:8" ht="15">
      <c r="A30" s="87"/>
      <c r="B30" s="87"/>
      <c r="C30" s="87"/>
      <c r="D30" s="14"/>
      <c r="E30" s="98"/>
      <c r="H30" s="79"/>
    </row>
    <row r="31" spans="1:8" ht="15">
      <c r="A31" s="87"/>
      <c r="B31" s="87"/>
      <c r="C31" s="87"/>
      <c r="D31" s="14"/>
      <c r="E31" s="98"/>
      <c r="H31" s="79"/>
    </row>
    <row r="32" spans="1:8" ht="15">
      <c r="A32" s="87"/>
      <c r="B32" s="87"/>
      <c r="C32" s="87"/>
      <c r="D32" s="14"/>
      <c r="E32" s="98"/>
      <c r="H32" s="79"/>
    </row>
    <row r="33" spans="1:8" ht="15">
      <c r="A33" s="87"/>
      <c r="B33" s="87"/>
      <c r="C33" s="87"/>
      <c r="D33" s="14"/>
      <c r="E33" s="98"/>
      <c r="H33" s="79"/>
    </row>
    <row r="34" spans="1:8" ht="15">
      <c r="A34" s="87"/>
      <c r="B34" s="87"/>
      <c r="C34" s="87"/>
      <c r="D34" s="14"/>
      <c r="E34" s="98"/>
      <c r="H34" s="79"/>
    </row>
    <row r="35" spans="1:8" ht="15">
      <c r="A35" s="87"/>
      <c r="B35" s="87"/>
      <c r="C35" s="87"/>
      <c r="D35" s="14"/>
      <c r="E35" s="98"/>
      <c r="H35" s="79"/>
    </row>
    <row r="36" spans="1:8" ht="15">
      <c r="A36" s="87"/>
      <c r="B36" s="87"/>
      <c r="C36" s="87"/>
      <c r="D36" s="14"/>
      <c r="E36" s="98"/>
      <c r="H36" s="79"/>
    </row>
    <row r="37" spans="1:8" ht="15">
      <c r="A37" s="87"/>
      <c r="B37" s="87"/>
      <c r="C37" s="87"/>
      <c r="D37" s="14"/>
      <c r="E37" s="98"/>
      <c r="H37" s="79"/>
    </row>
    <row r="38" spans="1:8" ht="15">
      <c r="A38" s="87"/>
      <c r="B38" s="87"/>
      <c r="C38" s="87"/>
      <c r="D38" s="14"/>
      <c r="E38" s="98"/>
      <c r="H38" s="79"/>
    </row>
    <row r="39" spans="1:8" ht="15">
      <c r="A39" s="87"/>
      <c r="B39" s="87"/>
      <c r="C39" s="87"/>
      <c r="D39" s="14"/>
      <c r="E39" s="98"/>
      <c r="H39" s="79"/>
    </row>
    <row r="40" spans="1:8" ht="15">
      <c r="A40" s="87"/>
      <c r="B40" s="87"/>
      <c r="C40" s="87"/>
      <c r="D40" s="14"/>
      <c r="E40" s="98"/>
      <c r="H40" s="79"/>
    </row>
    <row r="41" spans="1:8" ht="15">
      <c r="A41" s="87"/>
      <c r="B41" s="87"/>
      <c r="C41" s="87"/>
      <c r="D41" s="14"/>
      <c r="E41" s="98"/>
      <c r="H41" s="79"/>
    </row>
    <row r="42" spans="1:8" ht="15">
      <c r="A42" s="87"/>
      <c r="B42" s="87"/>
      <c r="C42" s="87"/>
      <c r="D42" s="14"/>
      <c r="E42" s="98"/>
      <c r="H42" s="79"/>
    </row>
    <row r="43" spans="1:8" ht="15">
      <c r="A43" s="87"/>
      <c r="B43" s="87"/>
      <c r="C43" s="87"/>
      <c r="D43" s="14"/>
      <c r="E43" s="98"/>
      <c r="H43" s="79"/>
    </row>
    <row r="44" spans="1:8" ht="15">
      <c r="A44" s="15"/>
      <c r="B44" s="15"/>
      <c r="C44" s="15"/>
      <c r="D44" s="14"/>
      <c r="E44" s="15"/>
      <c r="G44" s="313"/>
      <c r="H44" s="47"/>
    </row>
    <row r="45" spans="1:8" ht="15">
      <c r="A45" s="87"/>
      <c r="B45" s="87"/>
      <c r="C45" s="86"/>
      <c r="D45" s="14"/>
      <c r="E45" s="87"/>
      <c r="F45" s="1251"/>
      <c r="G45" s="308"/>
      <c r="H45" s="79"/>
    </row>
    <row r="46" spans="1:8" ht="15">
      <c r="A46" s="87"/>
      <c r="B46" s="87"/>
      <c r="C46" s="86"/>
      <c r="D46" s="14"/>
      <c r="E46" s="87"/>
      <c r="F46" s="1251"/>
      <c r="G46" s="308"/>
      <c r="H46" s="79"/>
    </row>
    <row r="47" spans="1:8" ht="15">
      <c r="A47" s="87"/>
      <c r="B47" s="87"/>
      <c r="C47" s="86"/>
      <c r="D47" s="14"/>
      <c r="E47" s="87"/>
      <c r="G47" s="80"/>
      <c r="H47" s="79"/>
    </row>
    <row r="48" spans="1:8" ht="15">
      <c r="A48" s="87"/>
      <c r="B48" s="87"/>
      <c r="C48" s="86"/>
      <c r="D48" s="14"/>
      <c r="E48" s="87"/>
      <c r="F48" s="1251"/>
      <c r="G48" s="308"/>
      <c r="H48" s="79"/>
    </row>
    <row r="49" spans="1:8" ht="15">
      <c r="A49" s="87"/>
      <c r="B49" s="87"/>
      <c r="C49" s="86"/>
      <c r="D49" s="14"/>
      <c r="E49" s="87"/>
      <c r="F49" s="1251"/>
      <c r="G49" s="308"/>
      <c r="H49" s="79"/>
    </row>
    <row r="50" spans="1:8" ht="15">
      <c r="A50" s="87"/>
      <c r="B50" s="87"/>
      <c r="C50" s="86"/>
      <c r="D50" s="14"/>
      <c r="E50" s="87"/>
      <c r="F50" s="1251"/>
      <c r="G50" s="308"/>
      <c r="H50" s="79"/>
    </row>
    <row r="51" spans="1:8" ht="15">
      <c r="A51" s="87"/>
      <c r="B51" s="87"/>
      <c r="C51" s="86"/>
      <c r="D51" s="14"/>
      <c r="E51" s="87"/>
      <c r="H51" s="79"/>
    </row>
    <row r="52" spans="1:8" ht="15">
      <c r="A52" s="87"/>
      <c r="B52" s="87"/>
      <c r="C52" s="86"/>
      <c r="D52" s="14"/>
      <c r="E52" s="87"/>
      <c r="H52" s="79"/>
    </row>
    <row r="53" spans="1:8" ht="15">
      <c r="A53" s="87"/>
      <c r="B53" s="87"/>
      <c r="C53" s="86"/>
      <c r="D53" s="14"/>
      <c r="E53" s="87"/>
      <c r="H53" s="79"/>
    </row>
    <row r="54" spans="1:8" ht="15">
      <c r="A54" s="87"/>
      <c r="B54" s="87"/>
      <c r="C54" s="86"/>
      <c r="D54" s="14"/>
      <c r="E54" s="87"/>
      <c r="H54" s="79"/>
    </row>
    <row r="55" spans="1:8" ht="15">
      <c r="A55" s="15"/>
      <c r="B55" s="15"/>
      <c r="C55" s="15"/>
      <c r="D55" s="14"/>
      <c r="E55" s="15"/>
      <c r="G55" s="313"/>
      <c r="H55" s="47"/>
    </row>
    <row r="56" spans="1:8" ht="15">
      <c r="A56" s="87"/>
      <c r="B56" s="86"/>
      <c r="C56" s="86"/>
      <c r="D56" s="14"/>
      <c r="E56" s="87"/>
      <c r="F56" s="1251"/>
      <c r="G56" s="308"/>
      <c r="H56" s="79"/>
    </row>
    <row r="57" spans="1:8" ht="15">
      <c r="A57" s="87"/>
      <c r="B57" s="86"/>
      <c r="C57" s="86"/>
      <c r="D57" s="14"/>
      <c r="E57" s="87"/>
      <c r="F57" s="1251"/>
      <c r="G57" s="308"/>
      <c r="H57" s="79"/>
    </row>
    <row r="58" spans="1:8" ht="15">
      <c r="A58" s="87"/>
      <c r="B58" s="86"/>
      <c r="C58" s="86"/>
      <c r="D58" s="14"/>
      <c r="E58" s="87"/>
      <c r="F58" s="1251"/>
      <c r="G58" s="308"/>
      <c r="H58" s="79"/>
    </row>
    <row r="59" spans="1:8" ht="15">
      <c r="A59" s="87"/>
      <c r="B59" s="86"/>
      <c r="C59" s="86"/>
      <c r="D59" s="14"/>
      <c r="E59" s="87"/>
      <c r="F59" s="1251"/>
      <c r="G59" s="308"/>
      <c r="H59" s="79"/>
    </row>
    <row r="60" spans="1:8" ht="15">
      <c r="A60" s="87"/>
      <c r="B60" s="86"/>
      <c r="C60" s="86"/>
      <c r="D60" s="14"/>
      <c r="E60" s="87"/>
      <c r="H60" s="79"/>
    </row>
    <row r="61" spans="1:8" ht="15">
      <c r="A61" s="87"/>
      <c r="B61" s="86"/>
      <c r="C61" s="86"/>
      <c r="D61" s="14"/>
      <c r="E61" s="87"/>
      <c r="H61" s="79"/>
    </row>
    <row r="62" spans="1:8" ht="15">
      <c r="A62" s="15"/>
      <c r="B62" s="15"/>
      <c r="C62" s="15"/>
      <c r="D62" s="14"/>
      <c r="E62" s="15"/>
      <c r="G62" s="313"/>
      <c r="H62" s="47"/>
    </row>
    <row r="63" spans="1:8" ht="15">
      <c r="A63" s="87"/>
      <c r="B63" s="86"/>
      <c r="C63" s="86"/>
      <c r="D63" s="14"/>
      <c r="E63" s="87"/>
      <c r="F63" s="1251"/>
      <c r="G63" s="308"/>
      <c r="H63" s="79"/>
    </row>
    <row r="64" spans="1:8" ht="15">
      <c r="A64" s="87"/>
      <c r="B64" s="86"/>
      <c r="C64" s="86"/>
      <c r="D64" s="14"/>
      <c r="E64" s="87"/>
      <c r="F64" s="1251"/>
      <c r="G64" s="308"/>
      <c r="H64" s="79"/>
    </row>
    <row r="65" spans="1:8" ht="15">
      <c r="A65" s="87"/>
      <c r="B65" s="86"/>
      <c r="C65" s="86"/>
      <c r="D65" s="14"/>
      <c r="E65" s="87"/>
      <c r="H65" s="79"/>
    </row>
    <row r="66" spans="1:8" ht="15">
      <c r="A66" s="87"/>
      <c r="B66" s="86"/>
      <c r="C66" s="86"/>
      <c r="D66" s="14"/>
      <c r="E66" s="87"/>
      <c r="F66" s="1251"/>
      <c r="G66" s="308"/>
      <c r="H66" s="79"/>
    </row>
    <row r="67" spans="1:8" ht="15">
      <c r="A67" s="87"/>
      <c r="B67" s="86"/>
      <c r="C67" s="86"/>
      <c r="D67" s="14"/>
      <c r="E67" s="87"/>
      <c r="F67" s="1251"/>
      <c r="G67" s="308"/>
      <c r="H67" s="79"/>
    </row>
    <row r="68" spans="1:8" ht="15">
      <c r="A68" s="87"/>
      <c r="B68" s="86"/>
      <c r="C68" s="86"/>
      <c r="D68" s="14"/>
      <c r="E68" s="87"/>
      <c r="H68" s="79"/>
    </row>
    <row r="69" spans="1:8" ht="15">
      <c r="A69" s="87"/>
      <c r="B69" s="86"/>
      <c r="C69" s="86"/>
      <c r="D69" s="14"/>
      <c r="E69" s="87"/>
      <c r="H69" s="79"/>
    </row>
    <row r="70" spans="1:8" ht="15">
      <c r="A70" s="87"/>
      <c r="B70" s="86"/>
      <c r="C70" s="86"/>
      <c r="D70" s="14"/>
      <c r="E70" s="87"/>
      <c r="H70" s="79"/>
    </row>
    <row r="71" spans="1:8" ht="15">
      <c r="A71" s="87"/>
      <c r="B71" s="86"/>
      <c r="C71" s="86"/>
      <c r="D71" s="14"/>
      <c r="E71" s="87"/>
      <c r="H71" s="79"/>
    </row>
    <row r="72" spans="1:8" ht="15">
      <c r="A72" s="87"/>
      <c r="B72" s="86"/>
      <c r="C72" s="86"/>
      <c r="D72" s="14"/>
      <c r="E72" s="87"/>
      <c r="H72" s="79"/>
    </row>
    <row r="73" spans="1:8" ht="15">
      <c r="A73" s="87"/>
      <c r="B73" s="86"/>
      <c r="C73" s="86"/>
      <c r="D73" s="14"/>
      <c r="E73" s="87"/>
      <c r="H73" s="79"/>
    </row>
    <row r="74" spans="1:8" ht="15">
      <c r="A74" s="87"/>
      <c r="B74" s="86"/>
      <c r="C74" s="86"/>
      <c r="D74" s="14"/>
      <c r="E74" s="87"/>
      <c r="H74" s="79"/>
    </row>
    <row r="75" spans="1:8" ht="15">
      <c r="A75" s="87"/>
      <c r="B75" s="86"/>
      <c r="C75" s="86"/>
      <c r="D75" s="14"/>
      <c r="E75" s="87"/>
      <c r="H75" s="79"/>
    </row>
    <row r="76" spans="1:8" ht="15">
      <c r="A76" s="87"/>
      <c r="B76" s="86"/>
      <c r="C76" s="86"/>
      <c r="D76" s="14"/>
      <c r="E76" s="87"/>
      <c r="H76" s="79"/>
    </row>
    <row r="77" spans="1:8" ht="15">
      <c r="A77" s="87"/>
      <c r="B77" s="86"/>
      <c r="C77" s="86"/>
      <c r="D77" s="14"/>
      <c r="E77" s="87"/>
      <c r="H77" s="79"/>
    </row>
    <row r="78" spans="1:8" ht="15">
      <c r="A78" s="87"/>
      <c r="B78" s="86"/>
      <c r="C78" s="86"/>
      <c r="D78" s="14"/>
      <c r="E78" s="87"/>
      <c r="G78" s="80"/>
      <c r="H78" s="79"/>
    </row>
    <row r="79" spans="1:8" ht="15">
      <c r="A79" s="15"/>
      <c r="B79" s="15"/>
      <c r="C79" s="15"/>
      <c r="D79" s="43"/>
      <c r="E79" s="15"/>
      <c r="G79" s="313"/>
      <c r="H79" s="47"/>
    </row>
    <row r="80" spans="1:8" ht="15">
      <c r="A80" s="15"/>
      <c r="B80" s="15"/>
      <c r="C80" s="15"/>
      <c r="D80" s="43"/>
      <c r="E80" s="15"/>
      <c r="G80" s="314"/>
      <c r="H80" s="47"/>
    </row>
  </sheetData>
  <mergeCells count="10">
    <mergeCell ref="A8:F8"/>
    <mergeCell ref="G8:G9"/>
    <mergeCell ref="H8:H9"/>
    <mergeCell ref="A11:G11"/>
    <mergeCell ref="A1:H1"/>
    <mergeCell ref="A2:H2"/>
    <mergeCell ref="A3:H3"/>
    <mergeCell ref="A4:H4"/>
    <mergeCell ref="A5:H6"/>
    <mergeCell ref="A7:H7"/>
  </mergeCells>
  <pageMargins left="0.70866141732283472" right="0.31496062992125984" top="1.1417322834645669" bottom="0.74803149606299213" header="0.31496062992125984" footer="0.31496062992125984"/>
  <pageSetup paperSize="9" orientation="portrait" horizontalDpi="0" verticalDpi="0" r:id="rId1"/>
  <ignoredErrors>
    <ignoredError sqref="B10:F1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02"/>
  <sheetViews>
    <sheetView topLeftCell="A84" zoomScale="90" zoomScaleNormal="90" zoomScaleSheetLayoutView="100" workbookViewId="0">
      <selection activeCell="A37" sqref="A37"/>
    </sheetView>
  </sheetViews>
  <sheetFormatPr baseColWidth="10" defaultRowHeight="12.75"/>
  <cols>
    <col min="1" max="1" width="11.28515625" customWidth="1"/>
    <col min="2" max="2" width="73" customWidth="1"/>
    <col min="3" max="3" width="21.140625" customWidth="1"/>
    <col min="4" max="4" width="7.85546875" style="224" bestFit="1" customWidth="1"/>
    <col min="5" max="5" width="13.42578125" customWidth="1"/>
    <col min="6" max="6" width="11.42578125" customWidth="1"/>
    <col min="7" max="7" width="18.85546875" customWidth="1"/>
    <col min="8" max="8" width="16" customWidth="1"/>
    <col min="9" max="9" width="13.42578125" customWidth="1"/>
    <col min="10" max="10" width="13.5703125" customWidth="1"/>
    <col min="11" max="11" width="15.140625" hidden="1" customWidth="1"/>
    <col min="12" max="12" width="8.42578125" hidden="1" customWidth="1"/>
    <col min="13" max="13" width="15.140625" customWidth="1"/>
    <col min="17" max="17" width="13.42578125" customWidth="1"/>
  </cols>
  <sheetData>
    <row r="1" spans="1:19" s="545" customFormat="1" ht="39.75" customHeight="1">
      <c r="A1" s="1517" t="s">
        <v>779</v>
      </c>
      <c r="B1" s="1518"/>
      <c r="C1" s="1518"/>
      <c r="D1" s="1518"/>
      <c r="E1" s="1518"/>
      <c r="F1" s="1518"/>
      <c r="G1" s="1518"/>
      <c r="H1" s="1518"/>
      <c r="I1" s="1518"/>
      <c r="J1" s="1518"/>
      <c r="K1" s="1518"/>
      <c r="L1" s="1518"/>
      <c r="M1" s="1519"/>
      <c r="N1" s="547"/>
    </row>
    <row r="2" spans="1:19" s="551" customFormat="1" ht="69" customHeight="1">
      <c r="A2" s="548" t="s">
        <v>186</v>
      </c>
      <c r="B2" s="552" t="s">
        <v>187</v>
      </c>
      <c r="C2" s="919" t="s">
        <v>188</v>
      </c>
      <c r="D2" s="988" t="s">
        <v>974</v>
      </c>
      <c r="E2" s="920" t="s">
        <v>189</v>
      </c>
      <c r="F2" s="921" t="s">
        <v>204</v>
      </c>
      <c r="G2" s="922" t="s">
        <v>771</v>
      </c>
      <c r="H2" s="899" t="s">
        <v>772</v>
      </c>
      <c r="I2" s="923" t="s">
        <v>773</v>
      </c>
      <c r="J2" s="897" t="s">
        <v>690</v>
      </c>
      <c r="K2" s="924" t="s">
        <v>691</v>
      </c>
      <c r="L2" s="923" t="s">
        <v>190</v>
      </c>
      <c r="M2" s="925" t="s">
        <v>191</v>
      </c>
      <c r="S2" s="551" t="s">
        <v>418</v>
      </c>
    </row>
    <row r="3" spans="1:19" s="987" customFormat="1" ht="22.5" customHeight="1">
      <c r="A3" s="452"/>
      <c r="B3" s="546" t="s">
        <v>192</v>
      </c>
      <c r="C3" s="926"/>
      <c r="D3" s="989" t="s">
        <v>193</v>
      </c>
      <c r="E3" s="927"/>
      <c r="F3" s="927">
        <f>C3</f>
        <v>0</v>
      </c>
      <c r="G3" s="927"/>
      <c r="H3" s="927"/>
      <c r="I3" s="928"/>
      <c r="J3" s="928"/>
      <c r="K3" s="997"/>
      <c r="L3" s="929"/>
      <c r="M3" s="927">
        <f>SUM(E3:L3)</f>
        <v>0</v>
      </c>
    </row>
    <row r="4" spans="1:19" s="987" customFormat="1" ht="22.5" customHeight="1">
      <c r="A4" s="452"/>
      <c r="B4" s="546" t="s">
        <v>194</v>
      </c>
      <c r="C4" s="927"/>
      <c r="D4" s="991" t="s">
        <v>193</v>
      </c>
      <c r="E4" s="927"/>
      <c r="F4" s="927">
        <f>C4</f>
        <v>0</v>
      </c>
      <c r="G4" s="927"/>
      <c r="H4" s="927"/>
      <c r="I4" s="929"/>
      <c r="J4" s="929"/>
      <c r="K4" s="929"/>
      <c r="L4" s="929"/>
      <c r="M4" s="927">
        <f t="shared" ref="M4:M41" si="0">SUM(E4:L4)</f>
        <v>0</v>
      </c>
    </row>
    <row r="5" spans="1:19" s="987" customFormat="1" ht="26.25" customHeight="1">
      <c r="A5" s="998"/>
      <c r="B5" s="999" t="s">
        <v>375</v>
      </c>
      <c r="C5" s="926"/>
      <c r="D5" s="991" t="s">
        <v>193</v>
      </c>
      <c r="E5" s="927"/>
      <c r="F5" s="927"/>
      <c r="G5" s="927"/>
      <c r="H5" s="927"/>
      <c r="I5" s="929"/>
      <c r="J5" s="929"/>
      <c r="K5" s="929"/>
      <c r="L5" s="929"/>
      <c r="M5" s="927">
        <f t="shared" si="0"/>
        <v>0</v>
      </c>
    </row>
    <row r="6" spans="1:19" s="987" customFormat="1" ht="34.5" customHeight="1">
      <c r="A6" s="998"/>
      <c r="B6" s="1000" t="s">
        <v>1160</v>
      </c>
      <c r="C6" s="926">
        <v>64381.58</v>
      </c>
      <c r="D6" s="991" t="s">
        <v>193</v>
      </c>
      <c r="E6" s="986">
        <f>C6</f>
        <v>64381.58</v>
      </c>
      <c r="F6" s="927"/>
      <c r="G6" s="927"/>
      <c r="H6" s="927"/>
      <c r="I6" s="929"/>
      <c r="J6" s="929"/>
      <c r="K6" s="929"/>
      <c r="L6" s="929"/>
      <c r="M6" s="927">
        <f t="shared" si="0"/>
        <v>64381.58</v>
      </c>
    </row>
    <row r="7" spans="1:19" s="987" customFormat="1" ht="26.25" customHeight="1">
      <c r="A7" s="984"/>
      <c r="B7" s="999" t="s">
        <v>195</v>
      </c>
      <c r="C7" s="926"/>
      <c r="D7" s="991"/>
      <c r="E7" s="927"/>
      <c r="F7" s="927"/>
      <c r="G7" s="927"/>
      <c r="H7" s="927"/>
      <c r="I7" s="929"/>
      <c r="J7" s="929"/>
      <c r="K7" s="929"/>
      <c r="L7" s="929"/>
      <c r="M7" s="927">
        <f t="shared" si="0"/>
        <v>0</v>
      </c>
    </row>
    <row r="8" spans="1:19" s="987" customFormat="1" ht="27" customHeight="1">
      <c r="A8" s="984"/>
      <c r="B8" s="985" t="s">
        <v>1161</v>
      </c>
      <c r="C8" s="927">
        <v>68.05</v>
      </c>
      <c r="D8" s="991" t="s">
        <v>193</v>
      </c>
      <c r="E8" s="927"/>
      <c r="F8" s="986">
        <f>C8</f>
        <v>68.05</v>
      </c>
      <c r="G8" s="986"/>
      <c r="H8" s="986"/>
      <c r="I8" s="929"/>
      <c r="J8" s="929"/>
      <c r="K8" s="929"/>
      <c r="L8" s="929"/>
      <c r="M8" s="927">
        <f t="shared" si="0"/>
        <v>68.05</v>
      </c>
    </row>
    <row r="9" spans="1:19" s="987" customFormat="1" ht="26.25" customHeight="1">
      <c r="A9" s="984"/>
      <c r="B9" s="985" t="s">
        <v>1162</v>
      </c>
      <c r="C9" s="927">
        <v>2674.48</v>
      </c>
      <c r="D9" s="991"/>
      <c r="E9" s="927"/>
      <c r="F9" s="927"/>
      <c r="G9" s="927">
        <f>C9</f>
        <v>2674.48</v>
      </c>
      <c r="H9" s="927"/>
      <c r="I9" s="927"/>
      <c r="J9" s="927"/>
      <c r="K9" s="927"/>
      <c r="L9" s="929"/>
      <c r="M9" s="927">
        <f t="shared" si="0"/>
        <v>2674.48</v>
      </c>
    </row>
    <row r="10" spans="1:19" s="987" customFormat="1" ht="28.5" customHeight="1">
      <c r="A10" s="984"/>
      <c r="B10" s="985" t="s">
        <v>1163</v>
      </c>
      <c r="C10" s="927">
        <v>230489.9</v>
      </c>
      <c r="D10" s="991"/>
      <c r="E10" s="927"/>
      <c r="F10" s="927"/>
      <c r="G10" s="927"/>
      <c r="H10" s="927">
        <f>SUM(C17:C37)+C10</f>
        <v>385618.3</v>
      </c>
      <c r="I10" s="927"/>
      <c r="J10" s="927"/>
      <c r="K10" s="927"/>
      <c r="L10" s="929"/>
      <c r="M10" s="927"/>
    </row>
    <row r="11" spans="1:19" s="987" customFormat="1" ht="24.75" customHeight="1">
      <c r="A11" s="984"/>
      <c r="B11" s="999" t="s">
        <v>196</v>
      </c>
      <c r="C11" s="927"/>
      <c r="D11" s="991"/>
      <c r="E11" s="927"/>
      <c r="F11" s="927"/>
      <c r="G11" s="927"/>
      <c r="H11" s="927"/>
      <c r="I11" s="927"/>
      <c r="J11" s="927"/>
      <c r="K11" s="927"/>
      <c r="L11" s="929"/>
      <c r="M11" s="927">
        <f t="shared" si="0"/>
        <v>0</v>
      </c>
    </row>
    <row r="12" spans="1:19" s="987" customFormat="1" ht="26.25" customHeight="1">
      <c r="A12" s="984"/>
      <c r="B12" s="985" t="s">
        <v>1164</v>
      </c>
      <c r="C12" s="927">
        <v>634.87</v>
      </c>
      <c r="D12" s="991"/>
      <c r="E12" s="927"/>
      <c r="F12" s="929"/>
      <c r="G12" s="929"/>
      <c r="H12" s="929"/>
      <c r="I12" s="986">
        <f>SUM(C12:C13)</f>
        <v>270308.05</v>
      </c>
      <c r="J12" s="986"/>
      <c r="K12" s="929"/>
      <c r="L12" s="929"/>
      <c r="M12" s="927">
        <f t="shared" si="0"/>
        <v>270308.05</v>
      </c>
    </row>
    <row r="13" spans="1:19" s="987" customFormat="1" ht="28.5" customHeight="1">
      <c r="A13" s="984"/>
      <c r="B13" s="985" t="s">
        <v>1165</v>
      </c>
      <c r="C13" s="927">
        <v>269673.18</v>
      </c>
      <c r="D13" s="991"/>
      <c r="E13" s="927"/>
      <c r="F13" s="929"/>
      <c r="G13" s="929"/>
      <c r="H13" s="929"/>
      <c r="I13" s="986"/>
      <c r="J13" s="986"/>
      <c r="K13" s="929"/>
      <c r="L13" s="929"/>
      <c r="M13" s="927">
        <f t="shared" si="0"/>
        <v>0</v>
      </c>
    </row>
    <row r="14" spans="1:19" s="987" customFormat="1" ht="27" customHeight="1">
      <c r="A14" s="984"/>
      <c r="B14" s="1001" t="s">
        <v>689</v>
      </c>
      <c r="C14" s="927"/>
      <c r="D14" s="991"/>
      <c r="E14" s="927"/>
      <c r="F14" s="929"/>
      <c r="G14" s="929"/>
      <c r="H14" s="929"/>
      <c r="I14" s="986"/>
      <c r="J14" s="986"/>
      <c r="K14" s="929"/>
      <c r="L14" s="929"/>
      <c r="M14" s="927">
        <f t="shared" si="0"/>
        <v>0</v>
      </c>
    </row>
    <row r="15" spans="1:19" s="987" customFormat="1" ht="27" customHeight="1">
      <c r="A15" s="984"/>
      <c r="B15" s="1002" t="s">
        <v>1166</v>
      </c>
      <c r="C15" s="1003">
        <v>174346.37</v>
      </c>
      <c r="D15" s="991"/>
      <c r="E15" s="927"/>
      <c r="F15" s="929"/>
      <c r="G15" s="929"/>
      <c r="H15" s="929"/>
      <c r="I15" s="986"/>
      <c r="J15" s="986">
        <f>SUM(C15)</f>
        <v>174346.37</v>
      </c>
      <c r="K15" s="929"/>
      <c r="L15" s="929"/>
      <c r="M15" s="927">
        <f t="shared" si="0"/>
        <v>174346.37</v>
      </c>
      <c r="Q15" s="987">
        <v>49</v>
      </c>
    </row>
    <row r="16" spans="1:19" s="330" customFormat="1" ht="23.25" customHeight="1">
      <c r="A16" s="393"/>
      <c r="B16" s="455"/>
      <c r="C16" s="342"/>
      <c r="D16" s="990"/>
      <c r="E16" s="342"/>
      <c r="F16" s="459"/>
      <c r="G16" s="459"/>
      <c r="H16" s="459"/>
      <c r="I16" s="460"/>
      <c r="J16" s="460"/>
      <c r="K16" s="459"/>
      <c r="L16" s="459"/>
      <c r="M16" s="342"/>
      <c r="R16" s="330">
        <f>Q15*0.1</f>
        <v>4.9000000000000004</v>
      </c>
    </row>
    <row r="17" spans="1:18" s="330" customFormat="1" ht="27.75" customHeight="1">
      <c r="A17" s="979"/>
      <c r="B17" s="980" t="s">
        <v>851</v>
      </c>
      <c r="C17" s="342">
        <v>71.98</v>
      </c>
      <c r="D17" s="990"/>
      <c r="E17" s="342"/>
      <c r="F17" s="459"/>
      <c r="G17" s="459"/>
      <c r="H17" s="459"/>
      <c r="I17" s="460"/>
      <c r="J17" s="460"/>
      <c r="K17" s="459"/>
      <c r="L17" s="459"/>
      <c r="M17" s="342"/>
      <c r="P17" s="330">
        <v>27.78</v>
      </c>
      <c r="Q17" s="330">
        <f>P17*10%</f>
        <v>2.7780000000000005</v>
      </c>
      <c r="R17" s="330">
        <f>P17-Q17</f>
        <v>25.002000000000002</v>
      </c>
    </row>
    <row r="18" spans="1:18" s="330" customFormat="1" ht="36" customHeight="1">
      <c r="A18" s="979"/>
      <c r="B18" s="981" t="s">
        <v>852</v>
      </c>
      <c r="C18" s="342">
        <v>7.23</v>
      </c>
      <c r="D18" s="990"/>
      <c r="E18" s="342"/>
      <c r="F18" s="459"/>
      <c r="G18" s="459"/>
      <c r="H18" s="459"/>
      <c r="I18" s="460"/>
      <c r="J18" s="460"/>
      <c r="K18" s="459"/>
      <c r="L18" s="459"/>
      <c r="M18" s="342"/>
      <c r="P18" s="330">
        <v>26.67</v>
      </c>
      <c r="Q18" s="330">
        <f>P18*10%</f>
        <v>2.6670000000000003</v>
      </c>
      <c r="R18" s="330">
        <f>P18-Q18</f>
        <v>24.003</v>
      </c>
    </row>
    <row r="19" spans="1:18" s="330" customFormat="1" ht="33" customHeight="1">
      <c r="A19" s="979"/>
      <c r="B19" s="981" t="s">
        <v>853</v>
      </c>
      <c r="C19" s="342">
        <v>302.02999999999997</v>
      </c>
      <c r="D19" s="990"/>
      <c r="E19" s="342"/>
      <c r="F19" s="459"/>
      <c r="G19" s="459"/>
      <c r="H19" s="459"/>
      <c r="I19" s="460"/>
      <c r="J19" s="460"/>
      <c r="K19" s="460"/>
      <c r="L19" s="459"/>
      <c r="M19" s="342"/>
    </row>
    <row r="20" spans="1:18" s="330" customFormat="1" ht="27" customHeight="1">
      <c r="A20" s="979"/>
      <c r="B20" s="981" t="s">
        <v>855</v>
      </c>
      <c r="C20" s="342">
        <v>1937.66</v>
      </c>
      <c r="D20" s="990"/>
      <c r="E20" s="342"/>
      <c r="F20" s="459"/>
      <c r="G20" s="459"/>
      <c r="H20" s="459"/>
      <c r="I20" s="460"/>
      <c r="J20" s="460"/>
      <c r="K20" s="460"/>
      <c r="L20" s="459"/>
      <c r="M20" s="342"/>
    </row>
    <row r="21" spans="1:18" s="330" customFormat="1" ht="28.5" customHeight="1">
      <c r="A21" s="979"/>
      <c r="B21" s="981" t="s">
        <v>854</v>
      </c>
      <c r="C21" s="342">
        <v>135.51</v>
      </c>
      <c r="D21" s="990"/>
      <c r="E21" s="342"/>
      <c r="F21" s="459"/>
      <c r="G21" s="459"/>
      <c r="H21" s="459"/>
      <c r="I21" s="460"/>
      <c r="J21" s="460"/>
      <c r="K21" s="460"/>
      <c r="L21" s="459"/>
      <c r="M21" s="342"/>
      <c r="Q21" s="458"/>
    </row>
    <row r="22" spans="1:18" s="330" customFormat="1" ht="24.75" customHeight="1">
      <c r="A22" s="979"/>
      <c r="B22" s="981" t="s">
        <v>856</v>
      </c>
      <c r="C22" s="342">
        <v>559.24</v>
      </c>
      <c r="D22" s="990"/>
      <c r="E22" s="342"/>
      <c r="F22" s="459"/>
      <c r="G22" s="459"/>
      <c r="H22" s="459"/>
      <c r="I22" s="460"/>
      <c r="J22" s="460"/>
      <c r="K22" s="460"/>
      <c r="L22" s="459"/>
      <c r="M22" s="342"/>
    </row>
    <row r="23" spans="1:18" s="330" customFormat="1" ht="24" customHeight="1">
      <c r="A23" s="979"/>
      <c r="B23" s="981" t="s">
        <v>857</v>
      </c>
      <c r="C23" s="342">
        <v>50837.54</v>
      </c>
      <c r="D23" s="990"/>
      <c r="E23" s="342"/>
      <c r="F23" s="459"/>
      <c r="G23" s="459"/>
      <c r="H23" s="459"/>
      <c r="I23" s="460"/>
      <c r="J23" s="460"/>
      <c r="K23" s="460"/>
      <c r="L23" s="459"/>
      <c r="M23" s="342"/>
    </row>
    <row r="24" spans="1:18" s="330" customFormat="1" ht="23.25" customHeight="1">
      <c r="A24" s="979"/>
      <c r="B24" s="981" t="s">
        <v>858</v>
      </c>
      <c r="C24" s="342">
        <v>9163.5400000000009</v>
      </c>
      <c r="D24" s="990"/>
      <c r="E24" s="342"/>
      <c r="F24" s="459"/>
      <c r="G24" s="459"/>
      <c r="H24" s="459"/>
      <c r="I24" s="460"/>
      <c r="J24" s="460"/>
      <c r="K24" s="460"/>
      <c r="L24" s="459"/>
      <c r="M24" s="342"/>
    </row>
    <row r="25" spans="1:18" s="330" customFormat="1" ht="21" customHeight="1">
      <c r="A25" s="979"/>
      <c r="B25" s="981" t="s">
        <v>859</v>
      </c>
      <c r="C25" s="342">
        <v>18975.05</v>
      </c>
      <c r="D25" s="990"/>
      <c r="E25" s="342"/>
      <c r="F25" s="459"/>
      <c r="G25" s="459"/>
      <c r="H25" s="459"/>
      <c r="I25" s="460"/>
      <c r="J25" s="460"/>
      <c r="K25" s="459"/>
      <c r="L25" s="459"/>
      <c r="M25" s="342"/>
    </row>
    <row r="26" spans="1:18" s="330" customFormat="1" ht="23.25" customHeight="1">
      <c r="A26" s="979"/>
      <c r="B26" s="981" t="s">
        <v>860</v>
      </c>
      <c r="C26" s="342">
        <v>584.04999999999995</v>
      </c>
      <c r="D26" s="990"/>
      <c r="E26" s="342"/>
      <c r="F26" s="459"/>
      <c r="G26" s="459"/>
      <c r="H26" s="459"/>
      <c r="I26" s="460"/>
      <c r="J26" s="460"/>
      <c r="K26" s="459"/>
      <c r="L26" s="459"/>
      <c r="M26" s="342"/>
      <c r="P26" s="456"/>
    </row>
    <row r="27" spans="1:18" s="330" customFormat="1" ht="26.25" customHeight="1">
      <c r="A27" s="979"/>
      <c r="B27" s="981" t="s">
        <v>861</v>
      </c>
      <c r="C27" s="342">
        <v>15982.72</v>
      </c>
      <c r="D27" s="990"/>
      <c r="E27" s="342"/>
      <c r="F27" s="459"/>
      <c r="G27" s="459"/>
      <c r="H27" s="459"/>
      <c r="I27" s="460"/>
      <c r="J27" s="460"/>
      <c r="K27" s="459"/>
      <c r="L27" s="459"/>
      <c r="M27" s="342"/>
    </row>
    <row r="28" spans="1:18" s="330" customFormat="1" ht="21.75" customHeight="1">
      <c r="A28" s="979"/>
      <c r="B28" s="981" t="s">
        <v>862</v>
      </c>
      <c r="C28" s="342">
        <v>6336.87</v>
      </c>
      <c r="D28" s="990"/>
      <c r="E28" s="342"/>
      <c r="F28" s="459"/>
      <c r="G28" s="459"/>
      <c r="H28" s="459"/>
      <c r="I28" s="460"/>
      <c r="J28" s="460"/>
      <c r="K28" s="459"/>
      <c r="L28" s="459"/>
      <c r="M28" s="342"/>
    </row>
    <row r="29" spans="1:18" s="330" customFormat="1" ht="21.75" customHeight="1">
      <c r="A29" s="979"/>
      <c r="B29" s="981" t="s">
        <v>1158</v>
      </c>
      <c r="C29" s="342">
        <v>5291.25</v>
      </c>
      <c r="D29" s="990"/>
      <c r="E29" s="342"/>
      <c r="F29" s="459"/>
      <c r="G29" s="459"/>
      <c r="H29" s="459"/>
      <c r="I29" s="460"/>
      <c r="J29" s="460"/>
      <c r="K29" s="459"/>
      <c r="L29" s="459"/>
      <c r="M29" s="342"/>
    </row>
    <row r="30" spans="1:18" s="330" customFormat="1" ht="22.5" customHeight="1">
      <c r="A30" s="979"/>
      <c r="B30" s="981" t="s">
        <v>1084</v>
      </c>
      <c r="C30" s="342">
        <v>3201.65</v>
      </c>
      <c r="D30" s="990"/>
      <c r="E30" s="342"/>
      <c r="F30" s="459"/>
      <c r="G30" s="459"/>
      <c r="H30" s="459"/>
      <c r="I30" s="460"/>
      <c r="J30" s="460"/>
      <c r="K30" s="459"/>
      <c r="L30" s="459"/>
      <c r="M30" s="342"/>
    </row>
    <row r="31" spans="1:18" s="330" customFormat="1" ht="23.25" customHeight="1">
      <c r="A31" s="979"/>
      <c r="B31" s="981" t="s">
        <v>1085</v>
      </c>
      <c r="C31" s="342">
        <v>10286.5</v>
      </c>
      <c r="D31" s="990"/>
      <c r="E31" s="342"/>
      <c r="F31" s="459"/>
      <c r="G31" s="459"/>
      <c r="H31" s="459"/>
      <c r="I31" s="460"/>
      <c r="J31" s="460"/>
      <c r="K31" s="459"/>
      <c r="L31" s="459"/>
      <c r="M31" s="342"/>
      <c r="N31" s="462"/>
    </row>
    <row r="32" spans="1:18" s="330" customFormat="1" ht="24.75" customHeight="1">
      <c r="A32" s="979"/>
      <c r="B32" s="982" t="s">
        <v>863</v>
      </c>
      <c r="C32" s="342">
        <v>239.27</v>
      </c>
      <c r="D32" s="990"/>
      <c r="E32" s="342"/>
      <c r="F32" s="459"/>
      <c r="G32" s="459"/>
      <c r="H32" s="459"/>
      <c r="I32" s="460"/>
      <c r="J32" s="460"/>
      <c r="K32" s="459"/>
      <c r="L32" s="459"/>
      <c r="M32" s="342"/>
    </row>
    <row r="33" spans="1:14" s="330" customFormat="1" ht="21.75" customHeight="1">
      <c r="A33" s="979"/>
      <c r="B33" s="982" t="s">
        <v>1083</v>
      </c>
      <c r="C33" s="342">
        <v>132.93</v>
      </c>
      <c r="D33" s="990"/>
      <c r="E33" s="342"/>
      <c r="F33" s="459"/>
      <c r="G33" s="459"/>
      <c r="H33" s="459"/>
      <c r="I33" s="460"/>
      <c r="J33" s="460"/>
      <c r="K33" s="459"/>
      <c r="L33" s="459"/>
      <c r="M33" s="342"/>
    </row>
    <row r="34" spans="1:14" s="330" customFormat="1" ht="25.5" customHeight="1">
      <c r="A34" s="979"/>
      <c r="B34" s="981" t="s">
        <v>864</v>
      </c>
      <c r="C34" s="342">
        <v>68.849999999999994</v>
      </c>
      <c r="D34" s="990"/>
      <c r="E34" s="342"/>
      <c r="F34" s="459"/>
      <c r="G34" s="459"/>
      <c r="H34" s="459"/>
      <c r="I34" s="460"/>
      <c r="J34" s="460"/>
      <c r="K34" s="459"/>
      <c r="L34" s="459"/>
      <c r="M34" s="342"/>
    </row>
    <row r="35" spans="1:14" s="330" customFormat="1" ht="42.75" customHeight="1">
      <c r="A35" s="979"/>
      <c r="B35" s="983" t="s">
        <v>865</v>
      </c>
      <c r="C35" s="342">
        <v>4112.59</v>
      </c>
      <c r="D35" s="990"/>
      <c r="E35" s="342"/>
      <c r="F35" s="342"/>
      <c r="G35" s="342"/>
      <c r="H35" s="342"/>
      <c r="I35" s="342"/>
      <c r="J35" s="342"/>
      <c r="K35" s="342"/>
      <c r="L35" s="459"/>
      <c r="M35" s="342"/>
    </row>
    <row r="36" spans="1:14" s="330" customFormat="1" ht="22.5" customHeight="1">
      <c r="A36" s="979"/>
      <c r="B36" s="981" t="s">
        <v>1082</v>
      </c>
      <c r="C36" s="342">
        <v>5399.4</v>
      </c>
      <c r="D36" s="990"/>
      <c r="E36" s="342"/>
      <c r="F36" s="342"/>
      <c r="G36" s="342"/>
      <c r="H36" s="342"/>
      <c r="I36" s="342"/>
      <c r="J36" s="342"/>
      <c r="K36" s="342"/>
      <c r="L36" s="459"/>
      <c r="M36" s="342"/>
    </row>
    <row r="37" spans="1:14" s="330" customFormat="1" ht="22.5" customHeight="1">
      <c r="A37" s="979"/>
      <c r="B37" s="981" t="s">
        <v>866</v>
      </c>
      <c r="C37" s="342">
        <v>21502.54</v>
      </c>
      <c r="D37" s="990"/>
      <c r="E37" s="342"/>
      <c r="F37" s="342"/>
      <c r="G37" s="342"/>
      <c r="H37" s="342"/>
      <c r="I37" s="342"/>
      <c r="J37" s="342"/>
      <c r="K37" s="342"/>
      <c r="L37" s="459"/>
      <c r="M37" s="342"/>
    </row>
    <row r="38" spans="1:14" s="330" customFormat="1" ht="20.25" hidden="1" customHeight="1" thickBot="1">
      <c r="A38" s="393"/>
      <c r="B38" s="454"/>
      <c r="C38" s="342"/>
      <c r="D38" s="990"/>
      <c r="E38" s="342"/>
      <c r="F38" s="459"/>
      <c r="G38" s="459"/>
      <c r="H38" s="459"/>
      <c r="I38" s="342"/>
      <c r="J38" s="342"/>
      <c r="K38" s="342"/>
      <c r="L38" s="459"/>
      <c r="M38" s="342"/>
    </row>
    <row r="39" spans="1:14" s="330" customFormat="1" ht="20.25" hidden="1" customHeight="1" thickBot="1">
      <c r="A39" s="393"/>
      <c r="B39" s="454"/>
      <c r="C39" s="342"/>
      <c r="D39" s="990"/>
      <c r="E39" s="459"/>
      <c r="F39" s="459"/>
      <c r="G39" s="459"/>
      <c r="H39" s="459"/>
      <c r="I39" s="342"/>
      <c r="J39" s="342"/>
      <c r="K39" s="342"/>
      <c r="L39" s="459"/>
      <c r="M39" s="342"/>
    </row>
    <row r="40" spans="1:14" s="330" customFormat="1" ht="20.25" hidden="1" customHeight="1" thickBot="1">
      <c r="A40" s="393"/>
      <c r="B40" s="453"/>
      <c r="C40" s="342"/>
      <c r="D40" s="992"/>
      <c r="E40" s="342"/>
      <c r="F40" s="459"/>
      <c r="G40" s="459"/>
      <c r="H40" s="459"/>
      <c r="I40" s="342"/>
      <c r="J40" s="342"/>
      <c r="K40" s="342"/>
      <c r="L40" s="459"/>
      <c r="M40" s="342">
        <f t="shared" si="0"/>
        <v>0</v>
      </c>
    </row>
    <row r="41" spans="1:14" s="330" customFormat="1" ht="20.25" hidden="1" customHeight="1" thickBot="1">
      <c r="A41" s="338"/>
      <c r="B41" s="453"/>
      <c r="C41" s="342"/>
      <c r="D41" s="992"/>
      <c r="E41" s="342"/>
      <c r="F41" s="459"/>
      <c r="G41" s="459"/>
      <c r="H41" s="459"/>
      <c r="I41" s="342"/>
      <c r="J41" s="342"/>
      <c r="K41" s="342"/>
      <c r="L41" s="459"/>
      <c r="M41" s="342">
        <f t="shared" si="0"/>
        <v>0</v>
      </c>
    </row>
    <row r="42" spans="1:14" s="330" customFormat="1" ht="20.25" customHeight="1" thickBot="1">
      <c r="A42" s="338"/>
      <c r="B42" s="457" t="s">
        <v>197</v>
      </c>
      <c r="C42" s="342"/>
      <c r="D42" s="992"/>
      <c r="E42" s="459"/>
      <c r="F42" s="459"/>
      <c r="G42" s="459"/>
      <c r="H42" s="459"/>
      <c r="I42" s="342"/>
      <c r="J42" s="342"/>
      <c r="K42" s="342"/>
      <c r="L42" s="459"/>
      <c r="M42" s="342" t="s">
        <v>429</v>
      </c>
    </row>
    <row r="43" spans="1:14" s="987" customFormat="1" ht="24.75" customHeight="1" thickBot="1">
      <c r="A43" s="1004"/>
      <c r="B43" s="1005" t="s">
        <v>170</v>
      </c>
      <c r="C43" s="1006">
        <f>SUM(C3:C42)</f>
        <v>897396.83000000031</v>
      </c>
      <c r="D43" s="1007">
        <f t="shared" ref="D43:L43" si="1">SUM(D3:D42)</f>
        <v>0</v>
      </c>
      <c r="E43" s="1006">
        <f>SUM(E3:E42)</f>
        <v>64381.58</v>
      </c>
      <c r="F43" s="1006">
        <f t="shared" si="1"/>
        <v>68.05</v>
      </c>
      <c r="G43" s="1006">
        <f t="shared" si="1"/>
        <v>2674.48</v>
      </c>
      <c r="H43" s="1006">
        <f t="shared" si="1"/>
        <v>385618.3</v>
      </c>
      <c r="I43" s="1006">
        <f>SUM(I3:I42)</f>
        <v>270308.05</v>
      </c>
      <c r="J43" s="1006">
        <f t="shared" si="1"/>
        <v>174346.37</v>
      </c>
      <c r="K43" s="1006">
        <f t="shared" si="1"/>
        <v>0</v>
      </c>
      <c r="L43" s="1006">
        <f t="shared" si="1"/>
        <v>0</v>
      </c>
      <c r="M43" s="1006">
        <f>SUM(E43:L43)</f>
        <v>897396.83</v>
      </c>
      <c r="N43" s="1008"/>
    </row>
    <row r="44" spans="1:14" s="330" customFormat="1" ht="3.75" hidden="1" customHeight="1">
      <c r="C44" s="341"/>
      <c r="D44" s="993"/>
      <c r="I44" s="341"/>
      <c r="J44" s="341"/>
      <c r="K44" s="341"/>
      <c r="M44" s="341"/>
    </row>
    <row r="45" spans="1:14" s="330" customFormat="1" ht="1.5" customHeight="1" thickBot="1">
      <c r="C45" s="341"/>
      <c r="D45" s="993"/>
      <c r="I45" s="341"/>
      <c r="J45" s="341"/>
      <c r="K45" s="341"/>
    </row>
    <row r="46" spans="1:14" s="330" customFormat="1" ht="25.5" customHeight="1" thickBot="1">
      <c r="B46" s="1520" t="s">
        <v>759</v>
      </c>
      <c r="C46" s="1521"/>
      <c r="D46" s="993"/>
      <c r="F46" s="562"/>
      <c r="G46" s="562"/>
      <c r="H46" s="562"/>
      <c r="I46" s="562"/>
      <c r="J46" s="562"/>
      <c r="K46" s="562"/>
    </row>
    <row r="47" spans="1:14" s="330" customFormat="1" ht="42.75" customHeight="1">
      <c r="B47" s="1528" t="s">
        <v>198</v>
      </c>
      <c r="C47" s="1529"/>
      <c r="D47" s="993"/>
      <c r="E47" s="1531" t="s">
        <v>975</v>
      </c>
      <c r="F47" s="1531"/>
      <c r="G47" s="1531"/>
    </row>
    <row r="48" spans="1:14" s="330" customFormat="1" ht="38.25" customHeight="1">
      <c r="B48" s="334" t="s">
        <v>776</v>
      </c>
      <c r="C48" s="332">
        <f>SUM('Media Simple 5 años ingresos'!G64)</f>
        <v>276024.33</v>
      </c>
      <c r="D48" s="994"/>
      <c r="E48" s="1522" t="s">
        <v>199</v>
      </c>
      <c r="F48" s="1523"/>
      <c r="G48" s="342">
        <f>M3</f>
        <v>0</v>
      </c>
      <c r="H48" s="341"/>
      <c r="J48" s="341"/>
      <c r="K48" s="341"/>
    </row>
    <row r="49" spans="2:13" s="330" customFormat="1" ht="15" customHeight="1">
      <c r="B49" s="331" t="s">
        <v>775</v>
      </c>
      <c r="C49" s="333">
        <f>E6</f>
        <v>64381.58</v>
      </c>
      <c r="D49" s="994"/>
      <c r="E49" s="1523" t="s">
        <v>200</v>
      </c>
      <c r="F49" s="1523"/>
      <c r="G49" s="342">
        <f>E6</f>
        <v>64381.58</v>
      </c>
      <c r="H49" s="341"/>
      <c r="J49" s="341"/>
      <c r="K49" s="341"/>
    </row>
    <row r="50" spans="2:13" s="330" customFormat="1" ht="15" customHeight="1">
      <c r="B50" s="331" t="s">
        <v>587</v>
      </c>
      <c r="C50" s="333">
        <f>SUM(E3)</f>
        <v>0</v>
      </c>
      <c r="D50" s="994"/>
      <c r="E50" s="1527"/>
      <c r="F50" s="1527"/>
      <c r="G50" s="342">
        <f>E7</f>
        <v>0</v>
      </c>
      <c r="H50" s="341"/>
      <c r="J50" s="341"/>
      <c r="K50" s="341"/>
    </row>
    <row r="51" spans="2:13" s="330" customFormat="1" ht="15" customHeight="1">
      <c r="B51" s="331" t="s">
        <v>201</v>
      </c>
      <c r="C51" s="333"/>
      <c r="D51" s="994"/>
      <c r="E51" s="1524" t="s">
        <v>399</v>
      </c>
      <c r="F51" s="1525"/>
      <c r="G51" s="931">
        <f>SUM(G48:G50)</f>
        <v>64381.58</v>
      </c>
      <c r="H51" s="341"/>
      <c r="J51" s="343"/>
      <c r="K51" s="343"/>
    </row>
    <row r="52" spans="2:13" s="330" customFormat="1" ht="15" customHeight="1" thickBot="1">
      <c r="B52" s="553" t="s">
        <v>202</v>
      </c>
      <c r="C52" s="554">
        <f>SUM(C48:C51)</f>
        <v>340405.91000000003</v>
      </c>
      <c r="D52" s="994"/>
      <c r="E52" s="1526" t="s">
        <v>204</v>
      </c>
      <c r="F52" s="1526"/>
      <c r="G52" s="342">
        <f>F8</f>
        <v>68.05</v>
      </c>
      <c r="H52" s="341"/>
      <c r="J52" s="341"/>
      <c r="K52" s="341"/>
    </row>
    <row r="53" spans="2:13" s="330" customFormat="1" ht="30" customHeight="1">
      <c r="B53" s="1532" t="s">
        <v>777</v>
      </c>
      <c r="C53" s="1533"/>
      <c r="D53" s="994"/>
      <c r="E53" s="1526" t="s">
        <v>773</v>
      </c>
      <c r="F53" s="1526"/>
      <c r="G53" s="342">
        <f>I12</f>
        <v>270308.05</v>
      </c>
      <c r="H53" s="341"/>
      <c r="J53" s="341"/>
      <c r="K53" s="341"/>
    </row>
    <row r="54" spans="2:13" s="330" customFormat="1" ht="15" customHeight="1">
      <c r="B54" s="345" t="s">
        <v>778</v>
      </c>
      <c r="C54" s="333">
        <v>359385.28</v>
      </c>
      <c r="D54" s="994"/>
      <c r="E54" s="1530" t="s">
        <v>203</v>
      </c>
      <c r="F54" s="1530"/>
      <c r="G54" s="931">
        <f>SUM(G52:G53)</f>
        <v>270376.09999999998</v>
      </c>
      <c r="H54" s="341"/>
      <c r="J54" s="343"/>
      <c r="K54" s="343"/>
      <c r="L54" s="341"/>
    </row>
    <row r="55" spans="2:13" s="330" customFormat="1" ht="28.5" customHeight="1">
      <c r="B55" s="345" t="s">
        <v>781</v>
      </c>
      <c r="C55" s="333">
        <f>C9</f>
        <v>2674.48</v>
      </c>
      <c r="D55" s="993"/>
      <c r="E55" s="1536" t="s">
        <v>774</v>
      </c>
      <c r="F55" s="1536"/>
      <c r="G55" s="342">
        <f>G9</f>
        <v>2674.48</v>
      </c>
      <c r="H55" s="341"/>
      <c r="J55" s="343"/>
      <c r="K55" s="343"/>
      <c r="L55" s="341"/>
    </row>
    <row r="56" spans="2:13" s="330" customFormat="1" ht="33.75" customHeight="1" thickBot="1">
      <c r="B56" s="555" t="s">
        <v>202</v>
      </c>
      <c r="C56" s="554">
        <f>SUM(C54:C55)</f>
        <v>362059.76</v>
      </c>
      <c r="D56" s="993"/>
      <c r="E56" s="1535" t="s">
        <v>202</v>
      </c>
      <c r="F56" s="1535"/>
      <c r="G56" s="931">
        <f>G55</f>
        <v>2674.48</v>
      </c>
      <c r="H56" s="341"/>
      <c r="J56" s="341"/>
      <c r="K56" s="341"/>
      <c r="L56" s="341"/>
      <c r="M56" s="330" t="s">
        <v>698</v>
      </c>
    </row>
    <row r="57" spans="2:13" s="330" customFormat="1" ht="31.5" customHeight="1" thickTop="1">
      <c r="B57" s="345" t="s">
        <v>780</v>
      </c>
      <c r="C57" s="332">
        <f>F8</f>
        <v>68.05</v>
      </c>
      <c r="D57" s="993"/>
      <c r="E57" s="1536" t="s">
        <v>741</v>
      </c>
      <c r="F57" s="1536"/>
      <c r="G57" s="342">
        <f>H10</f>
        <v>385618.3</v>
      </c>
      <c r="H57" s="341"/>
      <c r="J57" s="343"/>
      <c r="K57" s="343"/>
    </row>
    <row r="58" spans="2:13" s="330" customFormat="1" ht="21" customHeight="1">
      <c r="B58" s="556" t="s">
        <v>202</v>
      </c>
      <c r="C58" s="930">
        <f>C57</f>
        <v>68.05</v>
      </c>
      <c r="D58" s="993"/>
      <c r="E58" s="1536" t="s">
        <v>690</v>
      </c>
      <c r="F58" s="1536"/>
      <c r="G58" s="342">
        <f>J43</f>
        <v>174346.37</v>
      </c>
      <c r="H58" s="341"/>
      <c r="J58" s="341"/>
      <c r="K58" s="341"/>
    </row>
    <row r="59" spans="2:13" s="330" customFormat="1" ht="23.25" customHeight="1">
      <c r="B59" s="1534" t="s">
        <v>750</v>
      </c>
      <c r="C59" s="1534"/>
      <c r="D59" s="993"/>
      <c r="E59" s="1535" t="s">
        <v>692</v>
      </c>
      <c r="F59" s="1535"/>
      <c r="G59" s="561">
        <f>SUM(G57:G58)</f>
        <v>559964.66999999993</v>
      </c>
      <c r="H59" s="341"/>
      <c r="J59" s="341"/>
      <c r="K59" s="341"/>
    </row>
    <row r="60" spans="2:13" s="330" customFormat="1" ht="18" customHeight="1">
      <c r="B60" s="345" t="s">
        <v>785</v>
      </c>
      <c r="C60" s="333">
        <f>H10</f>
        <v>385618.3</v>
      </c>
      <c r="D60" s="993"/>
      <c r="E60" s="1537"/>
      <c r="F60" s="1537"/>
      <c r="G60" s="445">
        <f>K43</f>
        <v>0</v>
      </c>
      <c r="H60" s="341"/>
      <c r="J60" s="343"/>
      <c r="K60" s="343"/>
    </row>
    <row r="61" spans="2:13" s="330" customFormat="1" ht="18" customHeight="1">
      <c r="B61" s="345" t="s">
        <v>867</v>
      </c>
      <c r="C61" s="333">
        <f>269670.13</f>
        <v>269670.13</v>
      </c>
      <c r="D61" s="993"/>
      <c r="E61" s="1537"/>
      <c r="F61" s="1537"/>
      <c r="G61" s="445"/>
      <c r="H61" s="341"/>
      <c r="J61" s="343"/>
      <c r="K61" s="343"/>
    </row>
    <row r="62" spans="2:13" s="330" customFormat="1" ht="18" customHeight="1">
      <c r="B62" s="556" t="s">
        <v>202</v>
      </c>
      <c r="C62" s="557">
        <f>C60</f>
        <v>385618.3</v>
      </c>
      <c r="D62" s="993"/>
      <c r="E62" s="1530" t="s">
        <v>693</v>
      </c>
      <c r="F62" s="1530"/>
      <c r="G62" s="561">
        <f>G60</f>
        <v>0</v>
      </c>
      <c r="H62" s="341"/>
      <c r="J62" s="343"/>
      <c r="K62" s="343"/>
    </row>
    <row r="63" spans="2:13" s="330" customFormat="1" ht="18.75" customHeight="1">
      <c r="B63" s="345" t="s">
        <v>673</v>
      </c>
      <c r="C63" s="333"/>
      <c r="D63" s="993"/>
      <c r="E63" s="1530" t="s">
        <v>869</v>
      </c>
      <c r="F63" s="1530"/>
      <c r="G63" s="931">
        <f>G51+G54++G56+G59+G62</f>
        <v>897396.82999999984</v>
      </c>
      <c r="H63" s="341"/>
      <c r="J63" s="343"/>
      <c r="K63" s="343"/>
    </row>
    <row r="64" spans="2:13" s="330" customFormat="1" ht="28.5" customHeight="1">
      <c r="B64" s="334" t="s">
        <v>731</v>
      </c>
      <c r="C64" s="333">
        <f>J15</f>
        <v>174346.37</v>
      </c>
      <c r="D64" s="993"/>
      <c r="E64" s="474"/>
      <c r="F64" s="474"/>
      <c r="G64" s="474"/>
      <c r="H64" s="474"/>
      <c r="I64" s="343"/>
      <c r="J64" s="343"/>
      <c r="K64" s="343"/>
    </row>
    <row r="65" spans="2:11" s="330" customFormat="1" ht="18.75" customHeight="1">
      <c r="B65" s="346"/>
      <c r="C65" s="333"/>
      <c r="D65" s="993"/>
      <c r="E65" s="474"/>
      <c r="F65" s="474"/>
      <c r="G65" s="474"/>
      <c r="H65" s="474"/>
      <c r="I65" s="343"/>
      <c r="J65" s="343"/>
      <c r="K65" s="343"/>
    </row>
    <row r="66" spans="2:11" s="330" customFormat="1" ht="32.25" customHeight="1" thickBot="1">
      <c r="B66" s="558" t="s">
        <v>202</v>
      </c>
      <c r="C66" s="554">
        <f>SUM(C63:C65)</f>
        <v>174346.37</v>
      </c>
      <c r="D66" s="993"/>
      <c r="E66" s="1516"/>
      <c r="F66" s="1516"/>
      <c r="G66" s="474"/>
      <c r="H66" s="474"/>
      <c r="I66" s="343"/>
      <c r="J66" s="341"/>
      <c r="K66" s="341"/>
    </row>
    <row r="67" spans="2:11" s="330" customFormat="1" ht="21.75" customHeight="1" thickTop="1">
      <c r="B67" s="334" t="s">
        <v>782</v>
      </c>
      <c r="C67" s="333">
        <f>I12</f>
        <v>270308.05</v>
      </c>
      <c r="D67" s="995"/>
      <c r="E67" s="446"/>
      <c r="F67" s="446" t="s">
        <v>429</v>
      </c>
      <c r="G67" s="446"/>
      <c r="H67" s="446"/>
      <c r="I67" s="446"/>
      <c r="J67" s="444"/>
      <c r="K67" s="347"/>
    </row>
    <row r="68" spans="2:11" s="330" customFormat="1" ht="21.75" customHeight="1" thickBot="1">
      <c r="B68" s="558" t="s">
        <v>202</v>
      </c>
      <c r="C68" s="554">
        <f>C67</f>
        <v>270308.05</v>
      </c>
      <c r="D68" s="995"/>
      <c r="E68" s="446"/>
      <c r="F68" s="446"/>
      <c r="G68" s="446"/>
      <c r="H68" s="446"/>
      <c r="I68" s="446"/>
      <c r="J68" s="444"/>
      <c r="K68" s="347"/>
    </row>
    <row r="69" spans="2:11" s="330" customFormat="1" ht="31.5" hidden="1" customHeight="1" thickTop="1">
      <c r="B69" s="334"/>
      <c r="C69" s="333"/>
      <c r="D69" s="995"/>
      <c r="E69" s="446"/>
      <c r="F69" s="446"/>
      <c r="G69" s="446"/>
      <c r="H69" s="446"/>
      <c r="I69" s="446"/>
      <c r="J69" s="346" t="s">
        <v>733</v>
      </c>
      <c r="K69" s="347"/>
    </row>
    <row r="70" spans="2:11" s="330" customFormat="1" ht="15" hidden="1" customHeight="1">
      <c r="B70" s="334" t="s">
        <v>732</v>
      </c>
      <c r="C70" s="335">
        <f>K19</f>
        <v>0</v>
      </c>
      <c r="D70" s="993"/>
      <c r="E70" s="446"/>
      <c r="F70" s="446"/>
      <c r="G70" s="446"/>
      <c r="H70" s="446"/>
      <c r="I70" s="446"/>
      <c r="J70" s="444"/>
      <c r="K70" s="347"/>
    </row>
    <row r="71" spans="2:11" s="330" customFormat="1" ht="15" hidden="1" customHeight="1" thickTop="1" thickBot="1">
      <c r="B71" s="558" t="s">
        <v>202</v>
      </c>
      <c r="C71" s="554"/>
      <c r="D71" s="993"/>
      <c r="E71" s="446"/>
      <c r="F71" s="446"/>
      <c r="G71" s="446"/>
      <c r="H71" s="446"/>
      <c r="I71" s="446"/>
      <c r="J71" s="444"/>
      <c r="K71" s="347"/>
    </row>
    <row r="72" spans="2:11" s="330" customFormat="1" ht="15" customHeight="1" thickTop="1">
      <c r="B72" s="344" t="s">
        <v>205</v>
      </c>
      <c r="C72" s="336"/>
      <c r="D72" s="993"/>
      <c r="E72" s="446"/>
      <c r="F72" s="446"/>
      <c r="G72" s="446"/>
      <c r="H72" s="446"/>
      <c r="I72" s="446"/>
      <c r="J72" s="444"/>
      <c r="K72" s="341"/>
    </row>
    <row r="73" spans="2:11" s="330" customFormat="1" ht="19.5" customHeight="1">
      <c r="B73" s="339" t="s">
        <v>1047</v>
      </c>
      <c r="C73" s="333"/>
      <c r="D73" s="993"/>
      <c r="I73" s="341"/>
      <c r="J73" s="341"/>
      <c r="K73" s="341"/>
    </row>
    <row r="74" spans="2:11" s="330" customFormat="1" ht="20.25" hidden="1" customHeight="1">
      <c r="B74" s="348"/>
      <c r="C74" s="335"/>
      <c r="D74" s="993"/>
      <c r="I74" s="341"/>
      <c r="J74" s="341"/>
      <c r="K74" s="341"/>
    </row>
    <row r="75" spans="2:11" s="330" customFormat="1" ht="32.25" hidden="1" customHeight="1" thickTop="1">
      <c r="B75" s="499" t="s">
        <v>202</v>
      </c>
      <c r="C75" s="500">
        <f>SUM(C73:C74)</f>
        <v>0</v>
      </c>
      <c r="D75" s="993"/>
      <c r="I75" s="341"/>
      <c r="J75" s="341"/>
      <c r="K75" s="341"/>
    </row>
    <row r="76" spans="2:11" s="330" customFormat="1" ht="21" hidden="1" customHeight="1">
      <c r="B76" s="340"/>
      <c r="C76" s="333"/>
      <c r="D76" s="993"/>
      <c r="I76" s="341"/>
      <c r="J76" s="341"/>
      <c r="K76" s="341"/>
    </row>
    <row r="77" spans="2:11" s="330" customFormat="1" ht="15" hidden="1" customHeight="1">
      <c r="B77" s="345"/>
      <c r="C77" s="333"/>
      <c r="D77" s="993"/>
      <c r="I77" s="341"/>
      <c r="J77" s="341"/>
      <c r="K77" s="341"/>
    </row>
    <row r="78" spans="2:11" s="330" customFormat="1" ht="15" hidden="1" customHeight="1">
      <c r="B78" s="345"/>
      <c r="C78" s="333"/>
      <c r="D78" s="993"/>
      <c r="I78" s="341"/>
      <c r="J78" s="341"/>
      <c r="K78" s="341"/>
    </row>
    <row r="79" spans="2:11" s="330" customFormat="1" ht="23.25" hidden="1" customHeight="1" thickBot="1">
      <c r="B79" s="348"/>
      <c r="C79" s="333"/>
      <c r="D79" s="993"/>
      <c r="I79" s="341"/>
      <c r="J79" s="341"/>
      <c r="K79" s="341"/>
    </row>
    <row r="80" spans="2:11" s="330" customFormat="1" ht="21.75" hidden="1" customHeight="1" thickBot="1">
      <c r="B80" s="349" t="s">
        <v>202</v>
      </c>
      <c r="C80" s="337"/>
      <c r="D80" s="993"/>
      <c r="I80" s="341"/>
      <c r="J80" s="341"/>
      <c r="K80" s="341"/>
    </row>
    <row r="81" spans="1:15" s="17" customFormat="1" ht="20.25" thickBot="1">
      <c r="A81" s="23"/>
      <c r="B81" s="559" t="s">
        <v>868</v>
      </c>
      <c r="C81" s="560">
        <f>C52+C56+C58+C61+C62+C66+C68+C71+C75</f>
        <v>1802476.57</v>
      </c>
      <c r="D81" s="996"/>
      <c r="E81" s="23"/>
      <c r="F81" s="451"/>
      <c r="G81" s="451"/>
      <c r="H81" s="451"/>
      <c r="I81" s="24"/>
      <c r="J81" s="24"/>
      <c r="K81" s="24"/>
      <c r="L81" s="23"/>
      <c r="M81" s="23"/>
    </row>
    <row r="82" spans="1:15" ht="15" customHeight="1">
      <c r="A82" s="127"/>
      <c r="B82" s="127"/>
      <c r="C82" s="127"/>
      <c r="D82" s="127"/>
      <c r="E82" s="127"/>
      <c r="F82" s="127"/>
      <c r="G82" s="127"/>
      <c r="H82" s="127"/>
      <c r="I82" s="127"/>
      <c r="J82" s="127"/>
      <c r="K82" s="127"/>
      <c r="L82" s="127"/>
      <c r="M82" s="127"/>
      <c r="N82" s="127"/>
    </row>
    <row r="83" spans="1:15" ht="15" customHeight="1">
      <c r="A83" s="127"/>
      <c r="B83" s="127"/>
      <c r="C83" s="127"/>
      <c r="D83" s="127"/>
      <c r="E83" s="127"/>
      <c r="F83" s="127"/>
      <c r="G83" s="127"/>
      <c r="H83" s="127"/>
      <c r="I83" s="127"/>
      <c r="J83" s="127"/>
      <c r="K83" s="127"/>
      <c r="L83" s="127"/>
      <c r="M83" s="127"/>
      <c r="N83" s="127"/>
    </row>
    <row r="84" spans="1:15" ht="15" customHeight="1">
      <c r="A84" s="127"/>
      <c r="B84" s="127" t="s">
        <v>1131</v>
      </c>
      <c r="C84" s="127"/>
      <c r="D84" s="127"/>
      <c r="E84" s="127"/>
      <c r="F84" s="127"/>
      <c r="G84" s="127"/>
      <c r="H84" s="127"/>
      <c r="I84" s="127"/>
      <c r="J84" s="127"/>
      <c r="K84" s="127"/>
      <c r="L84" s="127"/>
      <c r="M84" s="127"/>
      <c r="N84" s="127"/>
    </row>
    <row r="85" spans="1:15" ht="15" customHeight="1">
      <c r="A85" s="127"/>
      <c r="B85" s="127"/>
      <c r="C85" s="127"/>
      <c r="D85" s="127"/>
      <c r="E85" s="127"/>
      <c r="F85" s="127"/>
      <c r="G85" s="127"/>
      <c r="H85" s="127"/>
      <c r="I85" s="127"/>
      <c r="J85" s="127"/>
      <c r="K85" s="127"/>
      <c r="L85" s="127"/>
      <c r="M85" s="127"/>
      <c r="N85" s="127"/>
    </row>
    <row r="86" spans="1:15" ht="15" customHeight="1">
      <c r="E86" s="21"/>
      <c r="F86" s="21"/>
      <c r="G86" s="21"/>
      <c r="H86" s="21"/>
      <c r="I86" s="21"/>
      <c r="J86" s="21"/>
      <c r="K86" s="21"/>
      <c r="L86" s="21"/>
      <c r="M86" s="21"/>
    </row>
    <row r="87" spans="1:15" ht="15" customHeight="1">
      <c r="A87" s="21"/>
      <c r="B87" s="21"/>
      <c r="C87" s="21"/>
      <c r="E87" s="21"/>
      <c r="F87" s="21"/>
      <c r="G87" s="21"/>
      <c r="H87" s="21"/>
      <c r="I87" s="21"/>
      <c r="J87" s="21"/>
      <c r="K87" s="21"/>
      <c r="L87" s="21"/>
      <c r="M87" s="21"/>
    </row>
    <row r="88" spans="1:15" ht="15" customHeight="1">
      <c r="A88" s="21"/>
      <c r="B88" s="1515"/>
      <c r="C88" s="1515"/>
      <c r="D88" s="1515"/>
      <c r="E88" s="1515"/>
      <c r="F88" s="1515"/>
      <c r="G88" s="1515"/>
      <c r="H88" s="1515"/>
      <c r="I88" s="1515"/>
      <c r="J88" s="1515"/>
      <c r="K88" s="1515"/>
      <c r="L88" s="1515"/>
      <c r="M88" s="1515"/>
      <c r="N88" s="1515"/>
      <c r="O88" s="1515"/>
    </row>
    <row r="89" spans="1:15" ht="15" customHeight="1">
      <c r="A89" s="21"/>
      <c r="B89" s="1515"/>
      <c r="C89" s="1515"/>
      <c r="D89" s="1515"/>
      <c r="E89" s="1515"/>
      <c r="F89" s="1515"/>
      <c r="G89" s="1515"/>
      <c r="H89" s="1515"/>
      <c r="I89" s="1515"/>
      <c r="J89" s="1515"/>
      <c r="K89" s="1515"/>
      <c r="L89" s="1515"/>
      <c r="M89" s="1515"/>
      <c r="N89" s="1515"/>
      <c r="O89" s="1515"/>
    </row>
    <row r="90" spans="1:15" ht="15" customHeight="1">
      <c r="A90" s="21"/>
      <c r="B90" s="21"/>
      <c r="C90" s="21"/>
      <c r="E90" s="21"/>
      <c r="F90" s="21"/>
      <c r="G90" s="21"/>
      <c r="H90" s="21"/>
      <c r="I90" s="21"/>
      <c r="J90" s="21"/>
      <c r="K90" s="21"/>
      <c r="L90" s="21"/>
      <c r="M90" s="21"/>
    </row>
    <row r="91" spans="1:15" ht="15" customHeight="1">
      <c r="A91" s="21"/>
      <c r="B91" s="21"/>
      <c r="C91" s="21"/>
      <c r="E91" s="21"/>
      <c r="F91" s="21"/>
      <c r="G91" s="21"/>
      <c r="H91" s="21"/>
      <c r="I91" s="21"/>
      <c r="J91" s="21"/>
      <c r="K91" s="21"/>
      <c r="L91" s="21"/>
      <c r="M91" s="21"/>
    </row>
    <row r="92" spans="1:15" ht="15" customHeight="1">
      <c r="A92" s="21"/>
      <c r="B92" s="21"/>
      <c r="C92" s="21"/>
      <c r="E92" s="21"/>
      <c r="F92" s="21"/>
      <c r="G92" s="21"/>
      <c r="H92" s="21"/>
      <c r="I92" s="21"/>
      <c r="J92" s="21"/>
      <c r="K92" s="21"/>
      <c r="L92" s="21"/>
      <c r="M92" s="21"/>
    </row>
    <row r="93" spans="1:15" ht="15" customHeight="1">
      <c r="A93" s="21"/>
      <c r="B93" s="21"/>
      <c r="C93" s="21"/>
      <c r="E93" s="21"/>
      <c r="F93" s="21"/>
      <c r="G93" s="21"/>
      <c r="H93" s="21"/>
      <c r="I93" s="21"/>
      <c r="J93" s="21"/>
      <c r="K93" s="21"/>
      <c r="L93" s="21"/>
      <c r="M93" s="21"/>
    </row>
    <row r="94" spans="1:15" ht="15" customHeight="1">
      <c r="A94" s="21"/>
      <c r="B94" s="21"/>
      <c r="C94" s="21"/>
      <c r="E94" s="21"/>
      <c r="F94" s="21"/>
      <c r="G94" s="21"/>
      <c r="H94" s="21"/>
      <c r="I94" s="21"/>
      <c r="J94" s="21"/>
      <c r="K94" s="21"/>
      <c r="L94" s="21"/>
      <c r="M94" s="21"/>
    </row>
    <row r="95" spans="1:15" ht="15" customHeight="1">
      <c r="A95" s="21"/>
      <c r="B95" s="21"/>
      <c r="C95" s="21"/>
      <c r="E95" s="21"/>
      <c r="F95" s="21"/>
      <c r="G95" s="21"/>
      <c r="H95" s="21"/>
      <c r="I95" s="21"/>
      <c r="J95" s="21"/>
      <c r="K95" s="21"/>
      <c r="L95" s="21"/>
      <c r="M95" s="21"/>
    </row>
    <row r="96" spans="1:15" ht="15" customHeight="1">
      <c r="A96" s="21"/>
      <c r="B96" s="21"/>
      <c r="C96" s="21"/>
      <c r="E96" s="21"/>
      <c r="F96" s="21"/>
      <c r="G96" s="21"/>
      <c r="H96" s="21"/>
      <c r="I96" s="21"/>
      <c r="J96" s="21"/>
      <c r="K96" s="21"/>
      <c r="L96" s="21"/>
      <c r="M96" s="21"/>
    </row>
    <row r="97" spans="1:13" ht="15" customHeight="1">
      <c r="A97" s="21"/>
      <c r="B97" s="21"/>
      <c r="C97" s="21"/>
      <c r="E97" s="21"/>
      <c r="F97" s="21"/>
      <c r="G97" s="21"/>
      <c r="H97" s="21"/>
      <c r="I97" s="21"/>
      <c r="J97" s="21"/>
      <c r="K97" s="21"/>
      <c r="L97" s="21"/>
      <c r="M97" s="21"/>
    </row>
    <row r="98" spans="1:13" ht="15" customHeight="1">
      <c r="A98" s="21"/>
      <c r="B98" s="21"/>
      <c r="C98" s="21"/>
      <c r="E98" s="21"/>
      <c r="F98" s="21"/>
      <c r="G98" s="21"/>
      <c r="H98" s="21"/>
      <c r="I98" s="21"/>
      <c r="J98" s="21"/>
      <c r="K98" s="21"/>
      <c r="L98" s="21"/>
      <c r="M98" s="21"/>
    </row>
    <row r="99" spans="1:13" ht="15" customHeight="1">
      <c r="A99" s="21"/>
      <c r="B99" s="21"/>
      <c r="C99" s="21"/>
      <c r="E99" s="21"/>
      <c r="F99" s="21"/>
      <c r="G99" s="21"/>
      <c r="H99" s="21"/>
      <c r="I99" s="21"/>
      <c r="J99" s="21"/>
      <c r="K99" s="21"/>
      <c r="L99" s="21"/>
      <c r="M99" s="21"/>
    </row>
    <row r="100" spans="1:13" ht="15" customHeight="1">
      <c r="A100" s="21"/>
      <c r="B100" s="21"/>
      <c r="C100" s="21"/>
      <c r="E100" s="21"/>
      <c r="F100" s="21"/>
      <c r="G100" s="21"/>
      <c r="H100" s="21"/>
      <c r="I100" s="21"/>
      <c r="J100" s="21"/>
      <c r="K100" s="21"/>
      <c r="L100" s="21"/>
      <c r="M100" s="21"/>
    </row>
    <row r="101" spans="1:13" ht="15" customHeight="1">
      <c r="A101" s="21"/>
      <c r="B101" s="21"/>
      <c r="C101" s="21"/>
      <c r="E101" s="21"/>
      <c r="F101" s="21"/>
      <c r="G101" s="21"/>
      <c r="H101" s="21"/>
      <c r="I101" s="21"/>
      <c r="J101" s="21"/>
      <c r="K101" s="21"/>
      <c r="L101" s="21"/>
      <c r="M101" s="21"/>
    </row>
    <row r="102" spans="1:13" ht="15" customHeight="1">
      <c r="A102" s="21"/>
      <c r="B102" s="21"/>
      <c r="C102" s="21"/>
      <c r="E102" s="21"/>
      <c r="F102" s="21"/>
      <c r="G102" s="21"/>
      <c r="H102" s="21"/>
      <c r="I102" s="21"/>
      <c r="J102" s="21"/>
      <c r="K102" s="21"/>
      <c r="L102" s="21"/>
      <c r="M102" s="21"/>
    </row>
    <row r="103" spans="1:13" ht="15" customHeight="1">
      <c r="A103" s="21"/>
      <c r="B103" s="21"/>
      <c r="C103" s="21"/>
      <c r="E103" s="21"/>
      <c r="F103" s="21"/>
      <c r="G103" s="21"/>
      <c r="H103" s="21"/>
      <c r="I103" s="21"/>
      <c r="J103" s="21"/>
      <c r="K103" s="21"/>
      <c r="L103" s="21"/>
      <c r="M103" s="21"/>
    </row>
    <row r="104" spans="1:13" ht="15" customHeight="1">
      <c r="A104" s="21"/>
      <c r="B104" s="21"/>
      <c r="C104" s="21"/>
      <c r="E104" s="21"/>
      <c r="F104" s="21"/>
      <c r="G104" s="21"/>
      <c r="H104" s="21"/>
      <c r="I104" s="21"/>
      <c r="J104" s="21"/>
      <c r="K104" s="21"/>
      <c r="L104" s="21"/>
      <c r="M104" s="21"/>
    </row>
    <row r="105" spans="1:13" ht="15" customHeight="1">
      <c r="A105" s="21"/>
      <c r="B105" s="21"/>
      <c r="C105" s="21"/>
      <c r="E105" s="21"/>
      <c r="F105" s="21"/>
      <c r="G105" s="21"/>
      <c r="H105" s="21"/>
      <c r="I105" s="21"/>
      <c r="J105" s="21"/>
      <c r="K105" s="21"/>
      <c r="L105" s="21"/>
      <c r="M105" s="21"/>
    </row>
    <row r="106" spans="1:13" ht="15" customHeight="1">
      <c r="A106" s="21"/>
      <c r="B106" s="21"/>
      <c r="C106" s="21"/>
      <c r="E106" s="21"/>
      <c r="F106" s="21"/>
      <c r="G106" s="21"/>
      <c r="H106" s="21"/>
      <c r="I106" s="21"/>
      <c r="J106" s="21"/>
      <c r="K106" s="21"/>
      <c r="L106" s="21"/>
      <c r="M106" s="21"/>
    </row>
    <row r="107" spans="1:13" ht="15" customHeight="1">
      <c r="A107" s="21"/>
      <c r="B107" s="21"/>
      <c r="C107" s="21"/>
      <c r="E107" s="21"/>
      <c r="F107" s="21"/>
      <c r="G107" s="21"/>
      <c r="H107" s="21"/>
      <c r="I107" s="21"/>
      <c r="J107" s="21"/>
      <c r="K107" s="21"/>
      <c r="L107" s="21"/>
      <c r="M107" s="21"/>
    </row>
    <row r="108" spans="1:13" ht="15" customHeight="1">
      <c r="A108" s="21"/>
      <c r="B108" s="21"/>
      <c r="C108" s="21"/>
      <c r="E108" s="21"/>
      <c r="F108" s="21"/>
      <c r="G108" s="21"/>
      <c r="H108" s="21"/>
      <c r="I108" s="21"/>
      <c r="J108" s="21"/>
      <c r="K108" s="21"/>
      <c r="L108" s="21"/>
      <c r="M108" s="21"/>
    </row>
    <row r="109" spans="1:13" ht="15" customHeight="1">
      <c r="A109" s="21"/>
      <c r="B109" s="21"/>
      <c r="C109" s="21"/>
      <c r="E109" s="21"/>
      <c r="F109" s="21"/>
      <c r="G109" s="21"/>
      <c r="H109" s="21"/>
      <c r="I109" s="21"/>
      <c r="J109" s="21"/>
      <c r="K109" s="21"/>
      <c r="L109" s="21"/>
      <c r="M109" s="21"/>
    </row>
    <row r="110" spans="1:13" ht="15" customHeight="1">
      <c r="A110" s="21"/>
      <c r="B110" s="21"/>
      <c r="C110" s="21"/>
      <c r="E110" s="21"/>
      <c r="F110" s="21"/>
      <c r="G110" s="21"/>
      <c r="H110" s="21"/>
      <c r="I110" s="21"/>
      <c r="J110" s="21"/>
      <c r="K110" s="21"/>
      <c r="L110" s="21"/>
      <c r="M110" s="21"/>
    </row>
    <row r="111" spans="1:13" ht="15" customHeight="1">
      <c r="A111" s="21"/>
      <c r="B111" s="21"/>
      <c r="C111" s="21"/>
      <c r="E111" s="21"/>
      <c r="F111" s="21"/>
      <c r="G111" s="21"/>
      <c r="H111" s="21"/>
      <c r="I111" s="21"/>
      <c r="J111" s="21"/>
      <c r="K111" s="21"/>
      <c r="L111" s="21"/>
      <c r="M111" s="21"/>
    </row>
    <row r="112" spans="1:13" ht="15" customHeight="1">
      <c r="A112" s="21"/>
      <c r="B112" s="21"/>
      <c r="C112" s="21"/>
      <c r="E112" s="21"/>
      <c r="F112" s="21"/>
      <c r="G112" s="21"/>
      <c r="H112" s="21"/>
      <c r="I112" s="21"/>
      <c r="J112" s="21"/>
      <c r="K112" s="21"/>
      <c r="L112" s="21"/>
      <c r="M112" s="21"/>
    </row>
    <row r="113" spans="1:13" ht="15" customHeight="1">
      <c r="A113" s="21"/>
      <c r="B113" s="21"/>
      <c r="C113" s="21"/>
      <c r="E113" s="21"/>
      <c r="F113" s="21"/>
      <c r="G113" s="21"/>
      <c r="H113" s="21"/>
      <c r="I113" s="21"/>
      <c r="J113" s="21"/>
      <c r="K113" s="21"/>
      <c r="L113" s="21"/>
      <c r="M113" s="21"/>
    </row>
    <row r="114" spans="1:13" ht="15" customHeight="1">
      <c r="A114" s="21"/>
      <c r="B114" s="21"/>
      <c r="C114" s="21"/>
      <c r="E114" s="21"/>
      <c r="F114" s="21"/>
      <c r="G114" s="21"/>
      <c r="H114" s="21"/>
      <c r="I114" s="21"/>
      <c r="J114" s="21"/>
      <c r="K114" s="21"/>
      <c r="L114" s="21"/>
      <c r="M114" s="21"/>
    </row>
    <row r="115" spans="1:13" ht="15" customHeight="1">
      <c r="A115" s="21"/>
      <c r="B115" s="21"/>
      <c r="C115" s="21"/>
      <c r="E115" s="21"/>
      <c r="F115" s="21"/>
      <c r="G115" s="21"/>
      <c r="H115" s="21"/>
      <c r="I115" s="21"/>
      <c r="J115" s="21"/>
      <c r="K115" s="21"/>
      <c r="L115" s="21"/>
      <c r="M115" s="21"/>
    </row>
    <row r="116" spans="1:13" ht="15" customHeight="1">
      <c r="A116" s="21"/>
      <c r="B116" s="21"/>
      <c r="C116" s="21"/>
      <c r="E116" s="21"/>
      <c r="F116" s="21"/>
      <c r="G116" s="21"/>
      <c r="H116" s="21"/>
      <c r="I116" s="21"/>
      <c r="J116" s="21"/>
      <c r="K116" s="21"/>
      <c r="L116" s="21"/>
      <c r="M116" s="21"/>
    </row>
    <row r="117" spans="1:13" ht="15" customHeight="1">
      <c r="A117" s="21"/>
      <c r="B117" s="21"/>
      <c r="C117" s="21"/>
      <c r="E117" s="21"/>
      <c r="F117" s="21"/>
      <c r="G117" s="21"/>
      <c r="H117" s="21"/>
      <c r="I117" s="21"/>
      <c r="J117" s="21"/>
      <c r="K117" s="21"/>
      <c r="L117" s="21"/>
      <c r="M117" s="21"/>
    </row>
    <row r="118" spans="1:13" ht="15" customHeight="1">
      <c r="A118" s="21"/>
      <c r="B118" s="21"/>
      <c r="C118" s="21"/>
      <c r="E118" s="21"/>
      <c r="F118" s="21"/>
      <c r="G118" s="21"/>
      <c r="H118" s="21"/>
      <c r="I118" s="21"/>
      <c r="J118" s="21"/>
      <c r="K118" s="21"/>
      <c r="L118" s="21"/>
      <c r="M118" s="21"/>
    </row>
    <row r="119" spans="1:13" ht="15" customHeight="1">
      <c r="A119" s="21"/>
      <c r="B119" s="21"/>
      <c r="C119" s="21"/>
      <c r="E119" s="21"/>
      <c r="F119" s="21"/>
      <c r="G119" s="21"/>
      <c r="H119" s="21"/>
      <c r="I119" s="21"/>
      <c r="J119" s="21"/>
      <c r="K119" s="21"/>
      <c r="L119" s="21"/>
      <c r="M119" s="21"/>
    </row>
    <row r="120" spans="1:13" ht="15" customHeight="1">
      <c r="A120" s="21"/>
      <c r="B120" s="21"/>
      <c r="C120" s="21"/>
      <c r="E120" s="21"/>
      <c r="F120" s="21"/>
      <c r="G120" s="21"/>
      <c r="H120" s="21"/>
      <c r="I120" s="21"/>
      <c r="J120" s="21"/>
      <c r="K120" s="21"/>
      <c r="L120" s="21"/>
      <c r="M120" s="21"/>
    </row>
    <row r="121" spans="1:13" ht="15" customHeight="1">
      <c r="A121" s="21"/>
      <c r="B121" s="21"/>
      <c r="C121" s="21"/>
      <c r="E121" s="21"/>
      <c r="F121" s="21"/>
      <c r="G121" s="21"/>
      <c r="H121" s="21"/>
      <c r="I121" s="21"/>
      <c r="J121" s="21"/>
      <c r="K121" s="21"/>
      <c r="L121" s="21"/>
      <c r="M121" s="21"/>
    </row>
    <row r="122" spans="1:13" ht="15" customHeight="1">
      <c r="A122" s="21"/>
      <c r="B122" s="21"/>
      <c r="C122" s="21"/>
      <c r="E122" s="21"/>
      <c r="F122" s="21"/>
      <c r="G122" s="21"/>
      <c r="H122" s="21"/>
      <c r="I122" s="21"/>
      <c r="J122" s="21"/>
      <c r="K122" s="21"/>
      <c r="L122" s="21"/>
      <c r="M122" s="21"/>
    </row>
    <row r="123" spans="1:13" ht="15" customHeight="1">
      <c r="A123" s="21"/>
      <c r="B123" s="21"/>
      <c r="C123" s="21"/>
      <c r="E123" s="21"/>
      <c r="F123" s="21"/>
      <c r="G123" s="21"/>
      <c r="H123" s="21"/>
      <c r="I123" s="21"/>
      <c r="J123" s="21"/>
      <c r="K123" s="21"/>
      <c r="L123" s="21"/>
      <c r="M123" s="21"/>
    </row>
    <row r="124" spans="1:13" ht="15" customHeight="1">
      <c r="A124" s="21"/>
      <c r="B124" s="21"/>
      <c r="C124" s="21"/>
      <c r="E124" s="21"/>
      <c r="F124" s="21"/>
      <c r="G124" s="21"/>
      <c r="H124" s="21"/>
      <c r="I124" s="21"/>
      <c r="J124" s="21"/>
      <c r="K124" s="21"/>
      <c r="L124" s="21"/>
      <c r="M124" s="21"/>
    </row>
    <row r="125" spans="1:13" ht="15" customHeight="1">
      <c r="A125" s="21"/>
      <c r="B125" s="21"/>
      <c r="C125" s="21"/>
      <c r="E125" s="21"/>
      <c r="F125" s="21"/>
      <c r="G125" s="21"/>
      <c r="H125" s="21"/>
      <c r="I125" s="21"/>
      <c r="J125" s="21"/>
      <c r="K125" s="21"/>
      <c r="L125" s="21"/>
      <c r="M125" s="21"/>
    </row>
    <row r="126" spans="1:13" ht="15" customHeight="1">
      <c r="A126" s="21"/>
      <c r="B126" s="21"/>
      <c r="C126" s="21"/>
      <c r="E126" s="21"/>
      <c r="F126" s="21"/>
      <c r="G126" s="21"/>
      <c r="H126" s="21"/>
      <c r="I126" s="21"/>
      <c r="J126" s="21"/>
      <c r="K126" s="21"/>
      <c r="L126" s="21"/>
      <c r="M126" s="21"/>
    </row>
    <row r="127" spans="1:13" ht="15" customHeight="1">
      <c r="A127" s="21"/>
      <c r="B127" s="21"/>
      <c r="C127" s="21"/>
      <c r="E127" s="21"/>
      <c r="F127" s="21"/>
      <c r="G127" s="21"/>
      <c r="H127" s="21"/>
      <c r="I127" s="21"/>
      <c r="J127" s="21"/>
      <c r="K127" s="21"/>
      <c r="L127" s="21"/>
      <c r="M127" s="21"/>
    </row>
    <row r="128" spans="1:13" ht="15" customHeight="1">
      <c r="A128" s="21"/>
      <c r="B128" s="21"/>
      <c r="C128" s="21"/>
      <c r="E128" s="21"/>
      <c r="F128" s="21"/>
      <c r="G128" s="21"/>
      <c r="H128" s="21"/>
      <c r="I128" s="21"/>
      <c r="J128" s="21"/>
      <c r="K128" s="21"/>
      <c r="L128" s="21"/>
      <c r="M128" s="21"/>
    </row>
    <row r="129" spans="1:13" ht="15" customHeight="1">
      <c r="A129" s="21"/>
      <c r="B129" s="21"/>
      <c r="C129" s="21"/>
      <c r="E129" s="21"/>
      <c r="F129" s="21"/>
      <c r="G129" s="21"/>
      <c r="H129" s="21"/>
      <c r="I129" s="21"/>
      <c r="J129" s="21"/>
      <c r="K129" s="21"/>
      <c r="L129" s="21"/>
      <c r="M129" s="21"/>
    </row>
    <row r="130" spans="1:13" ht="15" customHeight="1">
      <c r="A130" s="21"/>
      <c r="B130" s="21"/>
      <c r="C130" s="21"/>
      <c r="E130" s="21"/>
      <c r="F130" s="21"/>
      <c r="G130" s="21"/>
      <c r="H130" s="21"/>
      <c r="I130" s="21"/>
      <c r="J130" s="21"/>
      <c r="K130" s="21"/>
      <c r="L130" s="21"/>
      <c r="M130" s="21"/>
    </row>
    <row r="131" spans="1:13" ht="15" customHeight="1">
      <c r="A131" s="21"/>
      <c r="B131" s="21"/>
      <c r="C131" s="21"/>
      <c r="E131" s="21"/>
      <c r="F131" s="21"/>
      <c r="G131" s="21"/>
      <c r="H131" s="21"/>
      <c r="I131" s="21"/>
      <c r="J131" s="21"/>
      <c r="K131" s="21"/>
      <c r="L131" s="21"/>
      <c r="M131" s="21"/>
    </row>
    <row r="132" spans="1:13" ht="15" customHeight="1">
      <c r="A132" s="21"/>
      <c r="B132" s="21"/>
      <c r="C132" s="21"/>
      <c r="E132" s="21"/>
      <c r="F132" s="21"/>
      <c r="G132" s="21"/>
      <c r="H132" s="21"/>
      <c r="I132" s="21"/>
      <c r="J132" s="21"/>
      <c r="K132" s="21"/>
      <c r="L132" s="21"/>
      <c r="M132" s="21"/>
    </row>
    <row r="133" spans="1:13" ht="15" customHeight="1">
      <c r="A133" s="21"/>
      <c r="B133" s="21"/>
      <c r="C133" s="21"/>
      <c r="E133" s="21"/>
      <c r="F133" s="21"/>
      <c r="G133" s="21"/>
      <c r="H133" s="21"/>
      <c r="I133" s="21"/>
      <c r="J133" s="21"/>
      <c r="K133" s="21"/>
      <c r="L133" s="21"/>
      <c r="M133" s="21"/>
    </row>
    <row r="134" spans="1:13" ht="15" customHeight="1">
      <c r="A134" s="21"/>
      <c r="B134" s="21"/>
      <c r="C134" s="21"/>
      <c r="E134" s="21"/>
      <c r="F134" s="21"/>
      <c r="G134" s="21"/>
      <c r="H134" s="21"/>
      <c r="I134" s="21"/>
      <c r="J134" s="21"/>
      <c r="K134" s="21"/>
      <c r="L134" s="21"/>
      <c r="M134" s="21"/>
    </row>
    <row r="135" spans="1:13" ht="15" customHeight="1">
      <c r="A135" s="21"/>
      <c r="B135" s="21"/>
      <c r="C135" s="21"/>
      <c r="E135" s="21"/>
      <c r="F135" s="21"/>
      <c r="G135" s="21"/>
      <c r="H135" s="21"/>
      <c r="I135" s="21"/>
      <c r="J135" s="21"/>
      <c r="K135" s="21"/>
      <c r="L135" s="21"/>
      <c r="M135" s="21"/>
    </row>
    <row r="136" spans="1:13" ht="15" customHeight="1">
      <c r="A136" s="21"/>
      <c r="B136" s="21"/>
      <c r="C136" s="21"/>
      <c r="E136" s="21"/>
      <c r="F136" s="21"/>
      <c r="G136" s="21"/>
      <c r="H136" s="21"/>
      <c r="I136" s="21"/>
      <c r="J136" s="21"/>
      <c r="K136" s="21"/>
      <c r="L136" s="21"/>
      <c r="M136" s="21"/>
    </row>
    <row r="137" spans="1:13" ht="15" customHeight="1">
      <c r="A137" s="21"/>
      <c r="B137" s="21"/>
      <c r="C137" s="21"/>
      <c r="E137" s="21"/>
      <c r="F137" s="21"/>
      <c r="G137" s="21"/>
      <c r="H137" s="21"/>
      <c r="I137" s="21"/>
      <c r="J137" s="21"/>
      <c r="K137" s="21"/>
      <c r="L137" s="21"/>
      <c r="M137" s="21"/>
    </row>
    <row r="138" spans="1:13" ht="15" customHeight="1">
      <c r="A138" s="21"/>
      <c r="B138" s="21"/>
      <c r="C138" s="21"/>
      <c r="E138" s="21"/>
      <c r="F138" s="21"/>
      <c r="G138" s="21"/>
      <c r="H138" s="21"/>
      <c r="I138" s="21"/>
      <c r="J138" s="21"/>
      <c r="K138" s="21"/>
      <c r="L138" s="21"/>
      <c r="M138" s="21"/>
    </row>
    <row r="139" spans="1:13" ht="15" customHeight="1">
      <c r="A139" s="21"/>
      <c r="B139" s="21"/>
      <c r="C139" s="21"/>
      <c r="E139" s="21"/>
      <c r="F139" s="21"/>
      <c r="G139" s="21"/>
      <c r="H139" s="21"/>
      <c r="I139" s="21"/>
      <c r="J139" s="21"/>
      <c r="K139" s="21"/>
      <c r="L139" s="21"/>
      <c r="M139" s="21"/>
    </row>
    <row r="140" spans="1:13" ht="15" customHeight="1">
      <c r="A140" s="21"/>
      <c r="B140" s="21"/>
      <c r="C140" s="21"/>
      <c r="E140" s="21"/>
      <c r="F140" s="21"/>
      <c r="G140" s="21"/>
      <c r="H140" s="21"/>
      <c r="I140" s="21"/>
      <c r="J140" s="21"/>
      <c r="K140" s="21"/>
      <c r="L140" s="21"/>
      <c r="M140" s="21"/>
    </row>
    <row r="141" spans="1:13" ht="15" customHeight="1">
      <c r="A141" s="21"/>
      <c r="B141" s="21"/>
      <c r="C141" s="21"/>
      <c r="E141" s="21"/>
      <c r="F141" s="21"/>
      <c r="G141" s="21"/>
      <c r="H141" s="21"/>
      <c r="I141" s="21"/>
      <c r="J141" s="21"/>
      <c r="K141" s="21"/>
      <c r="L141" s="21"/>
      <c r="M141" s="21"/>
    </row>
    <row r="142" spans="1:13" ht="15" customHeight="1">
      <c r="A142" s="21"/>
      <c r="B142" s="21"/>
      <c r="C142" s="21"/>
      <c r="E142" s="21"/>
      <c r="F142" s="21"/>
      <c r="G142" s="21"/>
      <c r="H142" s="21"/>
      <c r="I142" s="21"/>
      <c r="J142" s="21"/>
      <c r="K142" s="21"/>
      <c r="L142" s="21"/>
      <c r="M142" s="21"/>
    </row>
    <row r="143" spans="1:13" ht="15" customHeight="1">
      <c r="A143" s="21"/>
      <c r="B143" s="21"/>
      <c r="C143" s="21"/>
      <c r="E143" s="21"/>
      <c r="F143" s="21"/>
      <c r="G143" s="21"/>
      <c r="H143" s="21"/>
      <c r="I143" s="21"/>
      <c r="J143" s="21"/>
      <c r="K143" s="21"/>
      <c r="L143" s="21"/>
      <c r="M143" s="21"/>
    </row>
    <row r="144" spans="1:13" ht="15" customHeight="1">
      <c r="A144" s="21"/>
      <c r="B144" s="21"/>
      <c r="C144" s="21"/>
      <c r="E144" s="21"/>
      <c r="F144" s="21"/>
      <c r="G144" s="21"/>
      <c r="H144" s="21"/>
      <c r="I144" s="21"/>
      <c r="J144" s="21"/>
      <c r="K144" s="21"/>
      <c r="L144" s="21"/>
      <c r="M144" s="21"/>
    </row>
    <row r="145" spans="1:13" ht="15" customHeight="1">
      <c r="A145" s="21"/>
      <c r="B145" s="21"/>
      <c r="C145" s="21"/>
      <c r="E145" s="21"/>
      <c r="F145" s="21"/>
      <c r="G145" s="21"/>
      <c r="H145" s="21"/>
      <c r="I145" s="21"/>
      <c r="J145" s="21"/>
      <c r="K145" s="21"/>
      <c r="L145" s="21"/>
      <c r="M145" s="21"/>
    </row>
    <row r="146" spans="1:13" ht="15" customHeight="1">
      <c r="A146" s="21"/>
      <c r="B146" s="21"/>
      <c r="C146" s="21"/>
      <c r="E146" s="21"/>
      <c r="F146" s="21"/>
      <c r="G146" s="21"/>
      <c r="H146" s="21"/>
      <c r="I146" s="21"/>
      <c r="J146" s="21"/>
      <c r="K146" s="21"/>
      <c r="L146" s="21"/>
      <c r="M146" s="21"/>
    </row>
    <row r="147" spans="1:13">
      <c r="A147" s="21"/>
      <c r="B147" s="21"/>
      <c r="C147" s="21"/>
      <c r="E147" s="21"/>
      <c r="F147" s="21"/>
      <c r="G147" s="21"/>
      <c r="H147" s="21"/>
      <c r="I147" s="21"/>
      <c r="J147" s="21"/>
      <c r="K147" s="21"/>
      <c r="L147" s="21"/>
      <c r="M147" s="21"/>
    </row>
    <row r="148" spans="1:13">
      <c r="A148" s="21"/>
      <c r="B148" s="21"/>
      <c r="C148" s="21"/>
      <c r="E148" s="21"/>
      <c r="F148" s="21"/>
      <c r="G148" s="21"/>
      <c r="H148" s="21"/>
      <c r="I148" s="21"/>
      <c r="J148" s="21"/>
      <c r="K148" s="21"/>
      <c r="L148" s="21"/>
      <c r="M148" s="21"/>
    </row>
    <row r="149" spans="1:13">
      <c r="A149" s="21"/>
      <c r="B149" s="21"/>
      <c r="C149" s="21"/>
      <c r="E149" s="21"/>
      <c r="F149" s="21"/>
      <c r="G149" s="21"/>
      <c r="H149" s="21"/>
      <c r="I149" s="21"/>
      <c r="J149" s="21"/>
      <c r="K149" s="21"/>
      <c r="L149" s="21"/>
      <c r="M149" s="21"/>
    </row>
    <row r="150" spans="1:13">
      <c r="A150" s="21"/>
      <c r="B150" s="21"/>
      <c r="C150" s="21"/>
      <c r="E150" s="21"/>
      <c r="F150" s="21"/>
      <c r="G150" s="21"/>
      <c r="H150" s="21"/>
      <c r="I150" s="21"/>
      <c r="J150" s="21"/>
      <c r="K150" s="21"/>
      <c r="L150" s="21"/>
      <c r="M150" s="21"/>
    </row>
    <row r="151" spans="1:13">
      <c r="A151" s="21"/>
      <c r="B151" s="21"/>
      <c r="C151" s="21"/>
      <c r="E151" s="21"/>
      <c r="F151" s="21"/>
      <c r="G151" s="21"/>
      <c r="H151" s="21"/>
      <c r="I151" s="21"/>
      <c r="J151" s="21"/>
      <c r="K151" s="21"/>
      <c r="L151" s="21"/>
      <c r="M151" s="21"/>
    </row>
    <row r="152" spans="1:13">
      <c r="A152" s="21"/>
      <c r="B152" s="21"/>
      <c r="C152" s="21"/>
      <c r="E152" s="21"/>
      <c r="F152" s="21"/>
      <c r="G152" s="21"/>
      <c r="H152" s="21"/>
      <c r="I152" s="21"/>
      <c r="J152" s="21"/>
      <c r="K152" s="21"/>
      <c r="L152" s="21"/>
      <c r="M152" s="21"/>
    </row>
    <row r="153" spans="1:13">
      <c r="A153" s="21"/>
      <c r="B153" s="21"/>
      <c r="C153" s="21"/>
      <c r="E153" s="21"/>
      <c r="F153" s="21"/>
      <c r="G153" s="21"/>
      <c r="H153" s="21"/>
      <c r="I153" s="21"/>
      <c r="J153" s="21"/>
      <c r="K153" s="21"/>
      <c r="L153" s="21"/>
      <c r="M153" s="21"/>
    </row>
    <row r="154" spans="1:13">
      <c r="A154" s="21"/>
      <c r="B154" s="21"/>
      <c r="C154" s="21"/>
      <c r="E154" s="21"/>
      <c r="F154" s="21"/>
      <c r="G154" s="21"/>
      <c r="H154" s="21"/>
      <c r="I154" s="21"/>
      <c r="J154" s="21"/>
      <c r="K154" s="21"/>
      <c r="L154" s="21"/>
      <c r="M154" s="21"/>
    </row>
    <row r="155" spans="1:13">
      <c r="A155" s="21"/>
      <c r="B155" s="21"/>
      <c r="C155" s="21"/>
      <c r="E155" s="21"/>
      <c r="F155" s="21"/>
      <c r="G155" s="21"/>
      <c r="H155" s="21"/>
      <c r="I155" s="21"/>
      <c r="J155" s="21"/>
      <c r="K155" s="21"/>
      <c r="L155" s="21"/>
      <c r="M155" s="21"/>
    </row>
    <row r="156" spans="1:13">
      <c r="A156" s="21"/>
      <c r="B156" s="21"/>
      <c r="C156" s="21"/>
      <c r="E156" s="21"/>
      <c r="F156" s="21"/>
      <c r="G156" s="21"/>
      <c r="H156" s="21"/>
      <c r="I156" s="21"/>
      <c r="J156" s="21"/>
      <c r="K156" s="21"/>
      <c r="L156" s="21"/>
      <c r="M156" s="21"/>
    </row>
    <row r="157" spans="1:13">
      <c r="A157" s="21"/>
      <c r="B157" s="21"/>
      <c r="C157" s="21"/>
      <c r="E157" s="21"/>
      <c r="F157" s="21"/>
      <c r="G157" s="21"/>
      <c r="H157" s="21"/>
      <c r="I157" s="21"/>
      <c r="J157" s="21"/>
      <c r="K157" s="21"/>
      <c r="L157" s="21"/>
      <c r="M157" s="21"/>
    </row>
    <row r="158" spans="1:13">
      <c r="A158" s="21"/>
      <c r="B158" s="21"/>
      <c r="C158" s="21"/>
      <c r="E158" s="21"/>
      <c r="F158" s="21"/>
      <c r="G158" s="21"/>
      <c r="H158" s="21"/>
      <c r="I158" s="21"/>
      <c r="J158" s="21"/>
      <c r="K158" s="21"/>
      <c r="L158" s="21"/>
      <c r="M158" s="21"/>
    </row>
    <row r="159" spans="1:13">
      <c r="A159" s="21"/>
      <c r="B159" s="21"/>
      <c r="C159" s="21"/>
      <c r="E159" s="21"/>
      <c r="F159" s="21"/>
      <c r="G159" s="21"/>
      <c r="H159" s="21"/>
      <c r="I159" s="21"/>
      <c r="J159" s="21"/>
      <c r="K159" s="21"/>
      <c r="L159" s="21"/>
      <c r="M159" s="21"/>
    </row>
    <row r="160" spans="1:13">
      <c r="A160" s="21"/>
      <c r="B160" s="21"/>
      <c r="C160" s="21"/>
      <c r="E160" s="21"/>
      <c r="F160" s="21"/>
      <c r="G160" s="21"/>
      <c r="H160" s="21"/>
      <c r="I160" s="21"/>
      <c r="J160" s="21"/>
      <c r="K160" s="21"/>
      <c r="L160" s="21"/>
      <c r="M160" s="21"/>
    </row>
    <row r="161" spans="1:13">
      <c r="A161" s="21"/>
      <c r="B161" s="21"/>
      <c r="C161" s="21"/>
      <c r="E161" s="21"/>
      <c r="F161" s="21"/>
      <c r="G161" s="21"/>
      <c r="H161" s="21"/>
      <c r="I161" s="21"/>
      <c r="J161" s="21"/>
      <c r="K161" s="21"/>
      <c r="L161" s="21"/>
      <c r="M161" s="21"/>
    </row>
    <row r="162" spans="1:13">
      <c r="A162" s="21"/>
      <c r="B162" s="21"/>
      <c r="C162" s="21"/>
      <c r="E162" s="21"/>
      <c r="F162" s="21"/>
      <c r="G162" s="21"/>
      <c r="H162" s="21"/>
      <c r="I162" s="21"/>
      <c r="J162" s="21"/>
      <c r="K162" s="21"/>
      <c r="L162" s="21"/>
      <c r="M162" s="21"/>
    </row>
    <row r="163" spans="1:13">
      <c r="A163" s="21"/>
      <c r="B163" s="21"/>
      <c r="C163" s="21"/>
      <c r="E163" s="21"/>
      <c r="F163" s="21"/>
      <c r="G163" s="21"/>
      <c r="H163" s="21"/>
      <c r="I163" s="21"/>
      <c r="J163" s="21"/>
      <c r="K163" s="21"/>
      <c r="L163" s="21"/>
      <c r="M163" s="21"/>
    </row>
    <row r="164" spans="1:13">
      <c r="A164" s="21"/>
      <c r="B164" s="21"/>
      <c r="C164" s="21"/>
      <c r="E164" s="21"/>
      <c r="F164" s="21"/>
      <c r="G164" s="21"/>
      <c r="H164" s="21"/>
      <c r="I164" s="21"/>
      <c r="J164" s="21"/>
      <c r="K164" s="21"/>
      <c r="L164" s="21"/>
      <c r="M164" s="21"/>
    </row>
    <row r="165" spans="1:13">
      <c r="A165" s="21"/>
      <c r="B165" s="21"/>
      <c r="C165" s="21"/>
      <c r="E165" s="21"/>
      <c r="F165" s="21"/>
      <c r="G165" s="21"/>
      <c r="H165" s="21"/>
      <c r="I165" s="21"/>
      <c r="J165" s="21"/>
      <c r="K165" s="21"/>
      <c r="L165" s="21"/>
      <c r="M165" s="21"/>
    </row>
    <row r="166" spans="1:13">
      <c r="A166" s="21"/>
      <c r="B166" s="21"/>
      <c r="C166" s="21"/>
      <c r="E166" s="21"/>
      <c r="F166" s="21"/>
      <c r="G166" s="21"/>
      <c r="H166" s="21"/>
      <c r="I166" s="21"/>
      <c r="J166" s="21"/>
      <c r="K166" s="21"/>
      <c r="L166" s="21"/>
      <c r="M166" s="21"/>
    </row>
    <row r="167" spans="1:13">
      <c r="A167" s="21"/>
      <c r="B167" s="21"/>
      <c r="C167" s="21"/>
      <c r="E167" s="21"/>
      <c r="F167" s="21"/>
      <c r="G167" s="21"/>
      <c r="H167" s="21"/>
      <c r="I167" s="21"/>
      <c r="J167" s="21"/>
      <c r="K167" s="21"/>
      <c r="L167" s="21"/>
      <c r="M167" s="21"/>
    </row>
    <row r="168" spans="1:13">
      <c r="A168" s="21"/>
      <c r="B168" s="21"/>
      <c r="C168" s="21"/>
      <c r="E168" s="21"/>
      <c r="F168" s="21"/>
      <c r="G168" s="21"/>
      <c r="H168" s="21"/>
      <c r="I168" s="21"/>
      <c r="J168" s="21"/>
      <c r="K168" s="21"/>
      <c r="L168" s="21"/>
      <c r="M168" s="21"/>
    </row>
    <row r="169" spans="1:13">
      <c r="A169" s="21"/>
      <c r="B169" s="21"/>
      <c r="C169" s="21"/>
      <c r="E169" s="21"/>
      <c r="F169" s="21"/>
      <c r="G169" s="21"/>
      <c r="H169" s="21"/>
      <c r="I169" s="21"/>
      <c r="J169" s="21"/>
      <c r="K169" s="21"/>
      <c r="L169" s="21"/>
      <c r="M169" s="21"/>
    </row>
    <row r="170" spans="1:13">
      <c r="A170" s="21"/>
      <c r="B170" s="21"/>
      <c r="C170" s="21"/>
      <c r="E170" s="21"/>
      <c r="F170" s="21"/>
      <c r="G170" s="21"/>
      <c r="H170" s="21"/>
      <c r="I170" s="21"/>
      <c r="J170" s="21"/>
      <c r="K170" s="21"/>
      <c r="L170" s="21"/>
      <c r="M170" s="21"/>
    </row>
    <row r="171" spans="1:13">
      <c r="A171" s="21"/>
      <c r="B171" s="21"/>
      <c r="C171" s="21"/>
      <c r="E171" s="21"/>
      <c r="F171" s="21"/>
      <c r="G171" s="21"/>
      <c r="H171" s="21"/>
      <c r="I171" s="21"/>
      <c r="J171" s="21"/>
      <c r="K171" s="21"/>
      <c r="L171" s="21"/>
      <c r="M171" s="21"/>
    </row>
    <row r="172" spans="1:13">
      <c r="A172" s="21"/>
      <c r="B172" s="21"/>
      <c r="C172" s="21"/>
      <c r="E172" s="21"/>
      <c r="F172" s="21"/>
      <c r="G172" s="21"/>
      <c r="H172" s="21"/>
      <c r="I172" s="21"/>
      <c r="J172" s="21"/>
      <c r="K172" s="21"/>
      <c r="L172" s="21"/>
      <c r="M172" s="21"/>
    </row>
    <row r="173" spans="1:13">
      <c r="A173" s="21"/>
      <c r="B173" s="21"/>
      <c r="C173" s="21"/>
      <c r="E173" s="21"/>
      <c r="F173" s="21"/>
      <c r="G173" s="21"/>
      <c r="H173" s="21"/>
      <c r="I173" s="21"/>
      <c r="J173" s="21"/>
      <c r="K173" s="21"/>
      <c r="L173" s="21"/>
      <c r="M173" s="21"/>
    </row>
    <row r="174" spans="1:13">
      <c r="A174" s="21"/>
      <c r="B174" s="21"/>
      <c r="C174" s="21"/>
      <c r="E174" s="21"/>
      <c r="F174" s="21"/>
      <c r="G174" s="21"/>
      <c r="H174" s="21"/>
      <c r="I174" s="21"/>
      <c r="J174" s="21"/>
      <c r="K174" s="21"/>
      <c r="L174" s="21"/>
      <c r="M174" s="21"/>
    </row>
    <row r="175" spans="1:13">
      <c r="A175" s="21"/>
      <c r="B175" s="21"/>
      <c r="C175" s="21"/>
      <c r="E175" s="21"/>
      <c r="F175" s="21"/>
      <c r="G175" s="21"/>
      <c r="H175" s="21"/>
      <c r="I175" s="21"/>
      <c r="J175" s="21"/>
      <c r="K175" s="21"/>
      <c r="L175" s="21"/>
      <c r="M175" s="21"/>
    </row>
    <row r="176" spans="1:13">
      <c r="A176" s="21"/>
      <c r="B176" s="21"/>
      <c r="C176" s="21"/>
      <c r="E176" s="21"/>
      <c r="F176" s="21"/>
      <c r="G176" s="21"/>
      <c r="H176" s="21"/>
      <c r="I176" s="21"/>
      <c r="J176" s="21"/>
      <c r="K176" s="21"/>
      <c r="L176" s="21"/>
      <c r="M176" s="21"/>
    </row>
    <row r="177" spans="1:13">
      <c r="A177" s="21"/>
      <c r="B177" s="21"/>
      <c r="C177" s="21"/>
      <c r="E177" s="21"/>
      <c r="F177" s="21"/>
      <c r="G177" s="21"/>
      <c r="H177" s="21"/>
      <c r="I177" s="21"/>
      <c r="J177" s="21"/>
      <c r="K177" s="21"/>
      <c r="L177" s="21"/>
      <c r="M177" s="21"/>
    </row>
    <row r="178" spans="1:13">
      <c r="A178" s="21"/>
      <c r="B178" s="21"/>
      <c r="C178" s="21"/>
      <c r="E178" s="21"/>
      <c r="F178" s="21"/>
      <c r="G178" s="21"/>
      <c r="H178" s="21"/>
      <c r="I178" s="21"/>
      <c r="J178" s="21"/>
      <c r="K178" s="21"/>
      <c r="L178" s="21"/>
      <c r="M178" s="21"/>
    </row>
    <row r="179" spans="1:13">
      <c r="A179" s="21"/>
      <c r="B179" s="21"/>
      <c r="C179" s="21"/>
      <c r="E179" s="21"/>
      <c r="F179" s="21"/>
      <c r="G179" s="21"/>
      <c r="H179" s="21"/>
      <c r="I179" s="21"/>
      <c r="J179" s="21"/>
      <c r="K179" s="21"/>
      <c r="L179" s="21"/>
      <c r="M179" s="21"/>
    </row>
    <row r="180" spans="1:13">
      <c r="A180" s="21"/>
      <c r="B180" s="21"/>
      <c r="C180" s="21"/>
      <c r="E180" s="21"/>
      <c r="F180" s="21"/>
      <c r="G180" s="21"/>
      <c r="H180" s="21"/>
      <c r="I180" s="21"/>
      <c r="J180" s="21"/>
      <c r="K180" s="21"/>
      <c r="L180" s="21"/>
      <c r="M180" s="21"/>
    </row>
    <row r="181" spans="1:13">
      <c r="A181" s="21"/>
      <c r="B181" s="21"/>
      <c r="C181" s="21"/>
      <c r="E181" s="21"/>
      <c r="F181" s="21"/>
      <c r="G181" s="21"/>
      <c r="H181" s="21"/>
      <c r="I181" s="21"/>
      <c r="J181" s="21"/>
      <c r="K181" s="21"/>
      <c r="L181" s="21"/>
      <c r="M181" s="21"/>
    </row>
    <row r="182" spans="1:13">
      <c r="A182" s="21"/>
      <c r="B182" s="21"/>
      <c r="C182" s="21"/>
      <c r="E182" s="21"/>
      <c r="F182" s="21"/>
      <c r="G182" s="21"/>
      <c r="H182" s="21"/>
      <c r="I182" s="21"/>
      <c r="J182" s="21"/>
      <c r="K182" s="21"/>
      <c r="L182" s="21"/>
      <c r="M182" s="21"/>
    </row>
    <row r="183" spans="1:13">
      <c r="A183" s="21"/>
      <c r="B183" s="21"/>
      <c r="C183" s="21"/>
      <c r="E183" s="21"/>
      <c r="F183" s="21"/>
      <c r="G183" s="21"/>
      <c r="H183" s="21"/>
      <c r="I183" s="21"/>
      <c r="J183" s="21"/>
      <c r="K183" s="21"/>
      <c r="L183" s="21"/>
      <c r="M183" s="21"/>
    </row>
    <row r="184" spans="1:13">
      <c r="A184" s="21"/>
      <c r="B184" s="21"/>
      <c r="C184" s="21"/>
      <c r="E184" s="21"/>
      <c r="F184" s="21"/>
      <c r="G184" s="21"/>
      <c r="H184" s="21"/>
      <c r="I184" s="21"/>
      <c r="J184" s="21"/>
      <c r="K184" s="21"/>
      <c r="L184" s="21"/>
      <c r="M184" s="21"/>
    </row>
    <row r="185" spans="1:13">
      <c r="A185" s="21"/>
      <c r="B185" s="21"/>
      <c r="C185" s="21"/>
      <c r="E185" s="21"/>
      <c r="F185" s="21"/>
      <c r="G185" s="21"/>
      <c r="H185" s="21"/>
      <c r="I185" s="21"/>
      <c r="J185" s="21"/>
      <c r="K185" s="21"/>
      <c r="L185" s="21"/>
      <c r="M185" s="21"/>
    </row>
    <row r="186" spans="1:13">
      <c r="A186" s="21"/>
      <c r="B186" s="21"/>
      <c r="C186" s="21"/>
      <c r="E186" s="21"/>
      <c r="F186" s="21"/>
      <c r="G186" s="21"/>
      <c r="H186" s="21"/>
      <c r="I186" s="21"/>
      <c r="J186" s="21"/>
      <c r="K186" s="21"/>
      <c r="L186" s="21"/>
      <c r="M186" s="21"/>
    </row>
    <row r="187" spans="1:13">
      <c r="A187" s="21"/>
      <c r="B187" s="21"/>
      <c r="C187" s="21"/>
      <c r="E187" s="21"/>
      <c r="F187" s="21"/>
      <c r="G187" s="21"/>
      <c r="H187" s="21"/>
      <c r="I187" s="21"/>
      <c r="J187" s="21"/>
      <c r="K187" s="21"/>
      <c r="L187" s="21"/>
      <c r="M187" s="21"/>
    </row>
    <row r="188" spans="1:13">
      <c r="A188" s="21"/>
      <c r="B188" s="21"/>
      <c r="C188" s="21"/>
      <c r="E188" s="21"/>
      <c r="F188" s="21"/>
      <c r="G188" s="21"/>
      <c r="H188" s="21"/>
      <c r="I188" s="21"/>
      <c r="J188" s="21"/>
      <c r="K188" s="21"/>
      <c r="L188" s="21"/>
      <c r="M188" s="21"/>
    </row>
    <row r="189" spans="1:13">
      <c r="A189" s="21"/>
      <c r="B189" s="21"/>
      <c r="C189" s="21"/>
      <c r="E189" s="21"/>
      <c r="F189" s="21"/>
      <c r="G189" s="21"/>
      <c r="H189" s="21"/>
      <c r="I189" s="21"/>
      <c r="J189" s="21"/>
      <c r="K189" s="21"/>
      <c r="L189" s="21"/>
      <c r="M189" s="21"/>
    </row>
    <row r="190" spans="1:13">
      <c r="A190" s="21"/>
      <c r="B190" s="21"/>
      <c r="C190" s="21"/>
      <c r="E190" s="21"/>
      <c r="F190" s="21"/>
      <c r="G190" s="21"/>
      <c r="H190" s="21"/>
      <c r="I190" s="21"/>
      <c r="J190" s="21"/>
      <c r="K190" s="21"/>
      <c r="L190" s="21"/>
      <c r="M190" s="21"/>
    </row>
    <row r="191" spans="1:13">
      <c r="A191" s="21"/>
      <c r="B191" s="21"/>
      <c r="C191" s="21"/>
      <c r="E191" s="21"/>
      <c r="F191" s="21"/>
      <c r="G191" s="21"/>
      <c r="H191" s="21"/>
      <c r="I191" s="21"/>
      <c r="J191" s="21"/>
      <c r="K191" s="21"/>
      <c r="L191" s="21"/>
      <c r="M191" s="21"/>
    </row>
    <row r="192" spans="1:13">
      <c r="A192" s="21"/>
      <c r="B192" s="21"/>
      <c r="C192" s="21"/>
      <c r="E192" s="21"/>
      <c r="F192" s="21"/>
      <c r="G192" s="21"/>
      <c r="H192" s="21"/>
      <c r="I192" s="21"/>
      <c r="J192" s="21"/>
      <c r="K192" s="21"/>
      <c r="L192" s="21"/>
      <c r="M192" s="21"/>
    </row>
    <row r="193" spans="1:13">
      <c r="A193" s="21"/>
      <c r="B193" s="21"/>
      <c r="C193" s="21"/>
      <c r="E193" s="21"/>
      <c r="F193" s="21"/>
      <c r="G193" s="21"/>
      <c r="H193" s="21"/>
      <c r="I193" s="21"/>
      <c r="J193" s="21"/>
      <c r="K193" s="21"/>
      <c r="L193" s="21"/>
      <c r="M193" s="21"/>
    </row>
    <row r="194" spans="1:13">
      <c r="A194" s="21"/>
      <c r="B194" s="21"/>
      <c r="C194" s="21"/>
      <c r="E194" s="21"/>
      <c r="F194" s="21"/>
      <c r="G194" s="21"/>
      <c r="H194" s="21"/>
      <c r="I194" s="21"/>
      <c r="J194" s="21"/>
      <c r="K194" s="21"/>
      <c r="L194" s="21"/>
      <c r="M194" s="21"/>
    </row>
    <row r="195" spans="1:13">
      <c r="A195" s="21"/>
      <c r="B195" s="21"/>
      <c r="C195" s="21"/>
      <c r="E195" s="21"/>
      <c r="F195" s="21"/>
      <c r="G195" s="21"/>
      <c r="H195" s="21"/>
      <c r="I195" s="21"/>
      <c r="J195" s="21"/>
      <c r="K195" s="21"/>
      <c r="L195" s="21"/>
      <c r="M195" s="21"/>
    </row>
    <row r="196" spans="1:13">
      <c r="A196" s="21"/>
      <c r="B196" s="21"/>
      <c r="C196" s="21"/>
      <c r="E196" s="21"/>
      <c r="F196" s="21"/>
      <c r="G196" s="21"/>
      <c r="H196" s="21"/>
      <c r="I196" s="21"/>
      <c r="J196" s="21"/>
      <c r="K196" s="21"/>
      <c r="L196" s="21"/>
      <c r="M196" s="21"/>
    </row>
    <row r="197" spans="1:13">
      <c r="A197" s="21"/>
      <c r="B197" s="21"/>
      <c r="C197" s="21"/>
      <c r="E197" s="21"/>
      <c r="F197" s="21"/>
      <c r="G197" s="21"/>
      <c r="H197" s="21"/>
      <c r="I197" s="21"/>
      <c r="J197" s="21"/>
      <c r="K197" s="21"/>
      <c r="L197" s="21"/>
      <c r="M197" s="21"/>
    </row>
    <row r="198" spans="1:13">
      <c r="A198" s="21"/>
      <c r="B198" s="21"/>
      <c r="C198" s="21"/>
      <c r="E198" s="21"/>
      <c r="F198" s="21"/>
      <c r="G198" s="21"/>
      <c r="H198" s="21"/>
      <c r="I198" s="21"/>
      <c r="J198" s="21"/>
      <c r="K198" s="21"/>
      <c r="L198" s="21"/>
      <c r="M198" s="21"/>
    </row>
    <row r="199" spans="1:13">
      <c r="A199" s="21"/>
      <c r="B199" s="21"/>
      <c r="C199" s="21"/>
      <c r="E199" s="21"/>
      <c r="F199" s="21"/>
      <c r="G199" s="21"/>
      <c r="H199" s="21"/>
      <c r="I199" s="21"/>
      <c r="J199" s="21"/>
      <c r="K199" s="21"/>
      <c r="L199" s="21"/>
      <c r="M199" s="21"/>
    </row>
    <row r="200" spans="1:13">
      <c r="A200" s="21"/>
      <c r="B200" s="21"/>
      <c r="C200" s="21"/>
      <c r="E200" s="21"/>
      <c r="F200" s="21"/>
      <c r="G200" s="21"/>
      <c r="H200" s="21"/>
      <c r="I200" s="21"/>
      <c r="J200" s="21"/>
      <c r="K200" s="21"/>
      <c r="L200" s="21"/>
      <c r="M200" s="21"/>
    </row>
    <row r="201" spans="1:13">
      <c r="A201" s="21"/>
      <c r="B201" s="21"/>
      <c r="C201" s="21"/>
      <c r="E201" s="21"/>
      <c r="F201" s="21"/>
      <c r="G201" s="21"/>
      <c r="H201" s="21"/>
      <c r="I201" s="21"/>
      <c r="J201" s="21"/>
      <c r="K201" s="21"/>
      <c r="L201" s="21"/>
      <c r="M201" s="21"/>
    </row>
    <row r="202" spans="1:13">
      <c r="A202" s="21"/>
      <c r="B202" s="21"/>
      <c r="C202" s="21"/>
      <c r="E202" s="21"/>
      <c r="F202" s="21"/>
      <c r="G202" s="21"/>
      <c r="H202" s="21"/>
      <c r="I202" s="21"/>
      <c r="J202" s="21"/>
      <c r="K202" s="21"/>
      <c r="L202" s="21"/>
      <c r="M202" s="21"/>
    </row>
  </sheetData>
  <mergeCells count="24">
    <mergeCell ref="E56:F56"/>
    <mergeCell ref="E59:F59"/>
    <mergeCell ref="E62:F62"/>
    <mergeCell ref="E57:F57"/>
    <mergeCell ref="E55:F55"/>
    <mergeCell ref="E58:F58"/>
    <mergeCell ref="E60:F60"/>
    <mergeCell ref="E61:F61"/>
    <mergeCell ref="B88:O89"/>
    <mergeCell ref="E66:F66"/>
    <mergeCell ref="A1:M1"/>
    <mergeCell ref="B46:C46"/>
    <mergeCell ref="E48:F48"/>
    <mergeCell ref="E49:F49"/>
    <mergeCell ref="E51:F51"/>
    <mergeCell ref="E52:F52"/>
    <mergeCell ref="E53:F53"/>
    <mergeCell ref="E50:F50"/>
    <mergeCell ref="B47:C47"/>
    <mergeCell ref="E63:F63"/>
    <mergeCell ref="E47:G47"/>
    <mergeCell ref="B53:C53"/>
    <mergeCell ref="B59:C59"/>
    <mergeCell ref="E54:F54"/>
  </mergeCells>
  <phoneticPr fontId="11" type="noConversion"/>
  <pageMargins left="0" right="0.19685039370078741" top="1.1023622047244095" bottom="0.19685039370078741" header="0.11811023622047245" footer="0"/>
  <pageSetup scale="60" orientation="landscape" verticalDpi="300" r:id="rId1"/>
  <headerFooter alignWithMargins="0"/>
  <rowBreaks count="2" manualBreakCount="2">
    <brk id="16" max="22" man="1"/>
    <brk id="44" max="22" man="1"/>
  </rowBreaks>
  <colBreaks count="1" manualBreakCount="1">
    <brk id="13" max="80"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71"/>
  <sheetViews>
    <sheetView topLeftCell="A64" workbookViewId="0">
      <selection activeCell="K1" sqref="K1"/>
    </sheetView>
  </sheetViews>
  <sheetFormatPr baseColWidth="10" defaultRowHeight="12.75"/>
  <cols>
    <col min="1" max="1" width="8.42578125" style="109" customWidth="1"/>
    <col min="2" max="2" width="32" style="51" bestFit="1" customWidth="1"/>
    <col min="3" max="3" width="14.7109375" style="224" customWidth="1"/>
    <col min="4" max="4" width="15" style="224" customWidth="1"/>
    <col min="5" max="5" width="14.28515625" style="224" customWidth="1"/>
    <col min="6" max="6" width="13.85546875" style="224" customWidth="1"/>
    <col min="7" max="7" width="14" style="224" customWidth="1"/>
    <col min="8" max="8" width="14.28515625" style="224" customWidth="1"/>
    <col min="9" max="9" width="15" style="224" customWidth="1"/>
    <col min="10" max="10" width="15.28515625" style="224" customWidth="1"/>
    <col min="11" max="11" width="3.42578125" customWidth="1"/>
    <col min="12" max="12" width="2.5703125" customWidth="1"/>
  </cols>
  <sheetData>
    <row r="1" spans="1:16" ht="15.75">
      <c r="B1" s="1538" t="s">
        <v>84</v>
      </c>
      <c r="C1" s="1539"/>
      <c r="D1" s="1539"/>
      <c r="E1" s="1539"/>
      <c r="F1" s="1539"/>
      <c r="G1" s="1539"/>
      <c r="H1" s="1539"/>
      <c r="I1" s="1539"/>
      <c r="J1" s="1539"/>
    </row>
    <row r="2" spans="1:16" ht="15.75">
      <c r="B2" s="1540" t="s">
        <v>321</v>
      </c>
      <c r="C2" s="1538"/>
      <c r="D2" s="1538"/>
      <c r="E2" s="1538"/>
      <c r="F2" s="1538"/>
      <c r="G2" s="1538"/>
      <c r="H2" s="1538"/>
      <c r="I2" s="1538"/>
      <c r="J2" s="1538"/>
    </row>
    <row r="3" spans="1:16" ht="15.75">
      <c r="A3" s="1541" t="s">
        <v>206</v>
      </c>
      <c r="B3" s="1541"/>
      <c r="C3" s="1541"/>
      <c r="D3" s="1541"/>
      <c r="E3" s="1541"/>
      <c r="F3" s="1541"/>
      <c r="G3" s="1541"/>
      <c r="H3" s="1541"/>
      <c r="I3" s="1541"/>
      <c r="J3" s="1541"/>
    </row>
    <row r="4" spans="1:16" ht="15.75">
      <c r="A4" s="1542" t="s">
        <v>760</v>
      </c>
      <c r="B4" s="1542"/>
      <c r="C4" s="1542"/>
      <c r="D4" s="1542"/>
      <c r="E4" s="1542"/>
      <c r="F4" s="1542"/>
      <c r="G4" s="1542"/>
      <c r="H4" s="1542"/>
      <c r="I4" s="1542"/>
      <c r="J4" s="1542"/>
    </row>
    <row r="5" spans="1:16" s="38" customFormat="1" ht="38.25">
      <c r="A5" s="896"/>
      <c r="B5" s="897" t="s">
        <v>207</v>
      </c>
      <c r="C5" s="897">
        <v>2017</v>
      </c>
      <c r="D5" s="898">
        <v>2018</v>
      </c>
      <c r="E5" s="898">
        <v>2019</v>
      </c>
      <c r="F5" s="897">
        <v>2020</v>
      </c>
      <c r="G5" s="897">
        <v>2021</v>
      </c>
      <c r="H5" s="897" t="s">
        <v>170</v>
      </c>
      <c r="I5" s="899" t="s">
        <v>208</v>
      </c>
      <c r="J5" s="900" t="s">
        <v>209</v>
      </c>
    </row>
    <row r="6" spans="1:16" s="56" customFormat="1" ht="15" customHeight="1">
      <c r="A6" s="892">
        <v>11</v>
      </c>
      <c r="B6" s="901" t="s">
        <v>210</v>
      </c>
      <c r="C6" s="902">
        <f t="shared" ref="C6:I6" si="0">C7</f>
        <v>6044.1299999999992</v>
      </c>
      <c r="D6" s="902">
        <f t="shared" si="0"/>
        <v>12379.31</v>
      </c>
      <c r="E6" s="902">
        <f t="shared" si="0"/>
        <v>48858.18</v>
      </c>
      <c r="F6" s="903">
        <f t="shared" si="0"/>
        <v>48858.18</v>
      </c>
      <c r="G6" s="903">
        <f t="shared" si="0"/>
        <v>34750.300000000003</v>
      </c>
      <c r="H6" s="902">
        <f t="shared" si="0"/>
        <v>150890.09999999998</v>
      </c>
      <c r="I6" s="902">
        <f t="shared" si="0"/>
        <v>30178.019999999997</v>
      </c>
      <c r="J6" s="902">
        <f>J7</f>
        <v>38052.685644557998</v>
      </c>
    </row>
    <row r="7" spans="1:16" s="52" customFormat="1" ht="15" customHeight="1">
      <c r="A7" s="892">
        <v>118</v>
      </c>
      <c r="B7" s="904" t="s">
        <v>211</v>
      </c>
      <c r="C7" s="902">
        <f>SUM(C8:C16)</f>
        <v>6044.1299999999992</v>
      </c>
      <c r="D7" s="902">
        <f>SUM(D8:D16)</f>
        <v>12379.31</v>
      </c>
      <c r="E7" s="902">
        <f>SUM(E8:E16)</f>
        <v>48858.18</v>
      </c>
      <c r="F7" s="902">
        <f>SUM(F8:F16)</f>
        <v>48858.18</v>
      </c>
      <c r="G7" s="902">
        <f>SUM(G8:G16)</f>
        <v>34750.300000000003</v>
      </c>
      <c r="H7" s="902">
        <f>SUM(C7:G7)</f>
        <v>150890.09999999998</v>
      </c>
      <c r="I7" s="902">
        <f>H7/5</f>
        <v>30178.019999999997</v>
      </c>
      <c r="J7" s="902">
        <f>SUM(J8:J16)</f>
        <v>38052.685644557998</v>
      </c>
    </row>
    <row r="8" spans="1:16" s="17" customFormat="1" ht="15" customHeight="1">
      <c r="A8" s="905">
        <v>11801</v>
      </c>
      <c r="B8" s="906" t="s">
        <v>46</v>
      </c>
      <c r="C8" s="907">
        <v>268.25</v>
      </c>
      <c r="D8" s="907">
        <v>350</v>
      </c>
      <c r="E8" s="907"/>
      <c r="F8" s="907"/>
      <c r="G8" s="907">
        <v>909.89</v>
      </c>
      <c r="H8" s="908">
        <f>SUM(C8:G8)</f>
        <v>1528.1399999999999</v>
      </c>
      <c r="I8" s="908">
        <f>H8/5</f>
        <v>305.62799999999999</v>
      </c>
      <c r="J8" s="908">
        <f>G8*9.503186%+G8</f>
        <v>996.35853909539992</v>
      </c>
      <c r="P8" s="425"/>
    </row>
    <row r="9" spans="1:16" s="17" customFormat="1" ht="15" hidden="1" customHeight="1">
      <c r="A9" s="905">
        <v>11802</v>
      </c>
      <c r="B9" s="906" t="s">
        <v>47</v>
      </c>
      <c r="C9" s="907"/>
      <c r="D9" s="907"/>
      <c r="E9" s="907"/>
      <c r="F9" s="907"/>
      <c r="G9" s="907"/>
      <c r="H9" s="908">
        <f>SUM(C9:G9)</f>
        <v>0</v>
      </c>
      <c r="I9" s="908">
        <f t="shared" ref="I9:I63" si="1">H9/5</f>
        <v>0</v>
      </c>
      <c r="J9" s="908">
        <f t="shared" ref="J9:J16" si="2">G9*9.503186%+G9</f>
        <v>0</v>
      </c>
    </row>
    <row r="10" spans="1:16" s="17" customFormat="1" ht="15" hidden="1" customHeight="1">
      <c r="A10" s="905">
        <v>11803</v>
      </c>
      <c r="B10" s="906" t="s">
        <v>212</v>
      </c>
      <c r="C10" s="907"/>
      <c r="D10" s="907"/>
      <c r="E10" s="907"/>
      <c r="F10" s="907"/>
      <c r="G10" s="907"/>
      <c r="H10" s="908">
        <f>SUM(C10:F10)</f>
        <v>0</v>
      </c>
      <c r="I10" s="908">
        <f t="shared" si="1"/>
        <v>0</v>
      </c>
      <c r="J10" s="908">
        <f t="shared" si="2"/>
        <v>0</v>
      </c>
    </row>
    <row r="11" spans="1:16" s="17" customFormat="1" ht="15" hidden="1" customHeight="1">
      <c r="A11" s="905">
        <v>11804</v>
      </c>
      <c r="B11" s="909" t="s">
        <v>48</v>
      </c>
      <c r="C11" s="907"/>
      <c r="D11" s="907"/>
      <c r="E11" s="907"/>
      <c r="F11" s="907"/>
      <c r="G11" s="907"/>
      <c r="H11" s="908">
        <f>SUM(C11:G11)</f>
        <v>0</v>
      </c>
      <c r="I11" s="908">
        <f t="shared" si="1"/>
        <v>0</v>
      </c>
      <c r="J11" s="908">
        <f t="shared" si="2"/>
        <v>0</v>
      </c>
    </row>
    <row r="12" spans="1:16" s="17" customFormat="1" ht="15" hidden="1" customHeight="1">
      <c r="A12" s="905">
        <v>11806</v>
      </c>
      <c r="B12" s="906" t="s">
        <v>213</v>
      </c>
      <c r="C12" s="907"/>
      <c r="D12" s="907"/>
      <c r="E12" s="907"/>
      <c r="F12" s="907"/>
      <c r="G12" s="907"/>
      <c r="H12" s="908">
        <f>SUM(C12:G12)</f>
        <v>0</v>
      </c>
      <c r="I12" s="908">
        <f t="shared" si="1"/>
        <v>0</v>
      </c>
      <c r="J12" s="908">
        <f t="shared" si="2"/>
        <v>0</v>
      </c>
    </row>
    <row r="13" spans="1:16" s="17" customFormat="1" ht="15" hidden="1" customHeight="1">
      <c r="A13" s="905">
        <v>11816</v>
      </c>
      <c r="B13" s="910" t="s">
        <v>50</v>
      </c>
      <c r="C13" s="907"/>
      <c r="D13" s="907"/>
      <c r="E13" s="907"/>
      <c r="F13" s="907"/>
      <c r="G13" s="907"/>
      <c r="H13" s="908">
        <f>SUM(C13:G13)</f>
        <v>0</v>
      </c>
      <c r="I13" s="908">
        <f t="shared" si="1"/>
        <v>0</v>
      </c>
      <c r="J13" s="908">
        <f t="shared" si="2"/>
        <v>0</v>
      </c>
    </row>
    <row r="14" spans="1:16" s="17" customFormat="1" ht="15" hidden="1" customHeight="1">
      <c r="A14" s="905">
        <v>11817</v>
      </c>
      <c r="B14" s="909" t="s">
        <v>397</v>
      </c>
      <c r="C14" s="907"/>
      <c r="D14" s="907"/>
      <c r="E14" s="907"/>
      <c r="F14" s="907"/>
      <c r="G14" s="907"/>
      <c r="H14" s="908"/>
      <c r="I14" s="908"/>
      <c r="J14" s="908">
        <f t="shared" si="2"/>
        <v>0</v>
      </c>
    </row>
    <row r="15" spans="1:16" s="17" customFormat="1" ht="15" customHeight="1">
      <c r="A15" s="905">
        <v>11818</v>
      </c>
      <c r="B15" s="906" t="s">
        <v>214</v>
      </c>
      <c r="C15" s="907">
        <v>1022.18</v>
      </c>
      <c r="D15" s="907">
        <v>1037.6500000000001</v>
      </c>
      <c r="E15" s="907">
        <v>1132.4100000000001</v>
      </c>
      <c r="F15" s="907">
        <v>1132.4100000000001</v>
      </c>
      <c r="G15" s="907">
        <v>987.87</v>
      </c>
      <c r="H15" s="908">
        <f>SUM(C15:G15)</f>
        <v>5312.5199999999995</v>
      </c>
      <c r="I15" s="908">
        <f t="shared" si="1"/>
        <v>1062.5039999999999</v>
      </c>
      <c r="J15" s="908">
        <f t="shared" si="2"/>
        <v>1081.7491235381999</v>
      </c>
    </row>
    <row r="16" spans="1:16" s="17" customFormat="1" ht="13.5" customHeight="1">
      <c r="A16" s="905">
        <v>11899</v>
      </c>
      <c r="B16" s="906" t="s">
        <v>51</v>
      </c>
      <c r="C16" s="907">
        <v>4753.7</v>
      </c>
      <c r="D16" s="907">
        <v>10991.66</v>
      </c>
      <c r="E16" s="907">
        <v>47725.77</v>
      </c>
      <c r="F16" s="907">
        <v>47725.77</v>
      </c>
      <c r="G16" s="907">
        <v>32852.54</v>
      </c>
      <c r="H16" s="908">
        <f>SUM(C16:G16)</f>
        <v>144049.44</v>
      </c>
      <c r="I16" s="908">
        <f t="shared" si="1"/>
        <v>28809.887999999999</v>
      </c>
      <c r="J16" s="908">
        <f t="shared" si="2"/>
        <v>35974.577981924398</v>
      </c>
    </row>
    <row r="17" spans="1:14" s="56" customFormat="1" ht="15" customHeight="1">
      <c r="A17" s="892">
        <v>12</v>
      </c>
      <c r="B17" s="901" t="s">
        <v>215</v>
      </c>
      <c r="C17" s="902">
        <f>C18+C32</f>
        <v>141786.08999999997</v>
      </c>
      <c r="D17" s="902">
        <f>D18+D32</f>
        <v>148883.41</v>
      </c>
      <c r="E17" s="902">
        <f>E18+E32</f>
        <v>135970.01</v>
      </c>
      <c r="F17" s="903">
        <f>F18</f>
        <v>112353.45</v>
      </c>
      <c r="G17" s="903">
        <f>G18</f>
        <v>126902.56999999998</v>
      </c>
      <c r="H17" s="903">
        <f>H18+H32</f>
        <v>727741.37999999989</v>
      </c>
      <c r="I17" s="902">
        <f>I18+I32</f>
        <v>145548.27599999998</v>
      </c>
      <c r="J17" s="902">
        <f>J18+J32</f>
        <v>180824.64780105962</v>
      </c>
    </row>
    <row r="18" spans="1:14" s="52" customFormat="1" ht="15" customHeight="1">
      <c r="A18" s="892">
        <v>121</v>
      </c>
      <c r="B18" s="901" t="s">
        <v>216</v>
      </c>
      <c r="C18" s="902">
        <f>SUM(C19:C31)</f>
        <v>113707.88999999998</v>
      </c>
      <c r="D18" s="902">
        <f>SUM(D19:D31)</f>
        <v>110115.34</v>
      </c>
      <c r="E18" s="902">
        <f>SUM(E19:E31)</f>
        <v>112353.45</v>
      </c>
      <c r="F18" s="902">
        <f>SUM(F19:F31)</f>
        <v>112353.45</v>
      </c>
      <c r="G18" s="902">
        <f>SUM(G19:G31)</f>
        <v>126902.56999999998</v>
      </c>
      <c r="H18" s="902">
        <f>SUM(C18:G18)</f>
        <v>575432.69999999995</v>
      </c>
      <c r="I18" s="902">
        <f t="shared" si="1"/>
        <v>115086.54</v>
      </c>
      <c r="J18" s="902">
        <f>SUM(J19:J31)</f>
        <v>138962.35726588021</v>
      </c>
    </row>
    <row r="19" spans="1:14" s="17" customFormat="1" ht="15" customHeight="1">
      <c r="A19" s="911">
        <v>12105</v>
      </c>
      <c r="B19" s="906" t="s">
        <v>52</v>
      </c>
      <c r="C19" s="907">
        <v>8017.73</v>
      </c>
      <c r="D19" s="907">
        <v>7206.46</v>
      </c>
      <c r="E19" s="907">
        <v>8417.1200000000008</v>
      </c>
      <c r="F19" s="907">
        <v>8417.1200000000008</v>
      </c>
      <c r="G19" s="907">
        <v>15126.71</v>
      </c>
      <c r="H19" s="908">
        <f>SUM(C19:G19)</f>
        <v>47185.14</v>
      </c>
      <c r="I19" s="908">
        <f t="shared" si="1"/>
        <v>9437.0280000000002</v>
      </c>
      <c r="J19" s="908">
        <f t="shared" ref="J19:J35" si="3">G19*9.503186%+G19</f>
        <v>16564.229386980598</v>
      </c>
    </row>
    <row r="20" spans="1:14" s="17" customFormat="1" ht="15" customHeight="1">
      <c r="A20" s="911">
        <v>12106</v>
      </c>
      <c r="B20" s="906" t="s">
        <v>217</v>
      </c>
      <c r="C20" s="907">
        <v>537.15</v>
      </c>
      <c r="D20" s="907">
        <v>344</v>
      </c>
      <c r="E20" s="907">
        <v>232</v>
      </c>
      <c r="F20" s="907">
        <v>232</v>
      </c>
      <c r="G20" s="907">
        <v>217</v>
      </c>
      <c r="H20" s="908">
        <f>SUM(C20:G20)</f>
        <v>1562.15</v>
      </c>
      <c r="I20" s="908">
        <f t="shared" si="1"/>
        <v>312.43</v>
      </c>
      <c r="J20" s="908">
        <f t="shared" si="3"/>
        <v>237.62191361999999</v>
      </c>
    </row>
    <row r="21" spans="1:14" s="17" customFormat="1" ht="15" customHeight="1">
      <c r="A21" s="911">
        <v>12108</v>
      </c>
      <c r="B21" s="906" t="s">
        <v>31</v>
      </c>
      <c r="C21" s="907">
        <v>16578.28</v>
      </c>
      <c r="D21" s="907">
        <v>14868.16</v>
      </c>
      <c r="E21" s="907">
        <v>12794.7</v>
      </c>
      <c r="F21" s="907">
        <v>12794.7</v>
      </c>
      <c r="G21" s="907">
        <v>14411.21</v>
      </c>
      <c r="H21" s="908">
        <f>SUM(C21:G21)</f>
        <v>71447.049999999988</v>
      </c>
      <c r="I21" s="908">
        <f t="shared" si="1"/>
        <v>14289.409999999998</v>
      </c>
      <c r="J21" s="908">
        <f t="shared" si="3"/>
        <v>15780.7340911506</v>
      </c>
    </row>
    <row r="22" spans="1:14" s="17" customFormat="1" ht="15" hidden="1" customHeight="1">
      <c r="A22" s="911">
        <v>12110</v>
      </c>
      <c r="B22" s="906" t="s">
        <v>799</v>
      </c>
      <c r="C22" s="907"/>
      <c r="D22" s="907"/>
      <c r="E22" s="907"/>
      <c r="F22" s="907"/>
      <c r="G22" s="907"/>
      <c r="H22" s="908">
        <f>SUM(C22:F22)</f>
        <v>0</v>
      </c>
      <c r="I22" s="908">
        <f t="shared" si="1"/>
        <v>0</v>
      </c>
      <c r="J22" s="908">
        <f t="shared" si="3"/>
        <v>0</v>
      </c>
      <c r="N22" s="443"/>
    </row>
    <row r="23" spans="1:14" s="17" customFormat="1" ht="15" customHeight="1">
      <c r="A23" s="911">
        <v>12111</v>
      </c>
      <c r="B23" s="906" t="s">
        <v>53</v>
      </c>
      <c r="C23" s="907">
        <v>1040.55</v>
      </c>
      <c r="D23" s="907">
        <v>1618</v>
      </c>
      <c r="E23" s="907">
        <v>1500</v>
      </c>
      <c r="F23" s="907">
        <v>1500</v>
      </c>
      <c r="G23" s="907">
        <v>1250</v>
      </c>
      <c r="H23" s="908">
        <f t="shared" ref="H23:H35" si="4">SUM(C23:G23)</f>
        <v>6908.55</v>
      </c>
      <c r="I23" s="908">
        <f t="shared" si="1"/>
        <v>1381.71</v>
      </c>
      <c r="J23" s="908">
        <f t="shared" si="3"/>
        <v>1368.7898250000001</v>
      </c>
    </row>
    <row r="24" spans="1:14" s="17" customFormat="1" ht="15" customHeight="1">
      <c r="A24" s="911">
        <v>12112</v>
      </c>
      <c r="B24" s="906" t="s">
        <v>54</v>
      </c>
      <c r="C24" s="907">
        <v>27531.27</v>
      </c>
      <c r="D24" s="907">
        <v>23301.360000000001</v>
      </c>
      <c r="E24" s="907">
        <v>20465.62</v>
      </c>
      <c r="F24" s="907">
        <v>20465.62</v>
      </c>
      <c r="G24" s="907">
        <v>22973.279999999999</v>
      </c>
      <c r="H24" s="908">
        <f t="shared" si="4"/>
        <v>114737.15</v>
      </c>
      <c r="I24" s="908">
        <f t="shared" si="1"/>
        <v>22947.43</v>
      </c>
      <c r="J24" s="908">
        <f t="shared" si="3"/>
        <v>25156.473528700801</v>
      </c>
    </row>
    <row r="25" spans="1:14" s="17" customFormat="1" ht="15" customHeight="1">
      <c r="A25" s="911">
        <v>12114</v>
      </c>
      <c r="B25" s="906" t="s">
        <v>55</v>
      </c>
      <c r="C25" s="907">
        <v>9488.2099999999991</v>
      </c>
      <c r="D25" s="907">
        <v>10218.299999999999</v>
      </c>
      <c r="E25" s="907">
        <v>10067.709999999999</v>
      </c>
      <c r="F25" s="907">
        <v>10067.709999999999</v>
      </c>
      <c r="G25" s="907">
        <v>11310.25</v>
      </c>
      <c r="H25" s="908">
        <f t="shared" si="4"/>
        <v>51152.179999999993</v>
      </c>
      <c r="I25" s="908">
        <f t="shared" si="1"/>
        <v>10230.435999999998</v>
      </c>
      <c r="J25" s="908">
        <f t="shared" si="3"/>
        <v>12385.084094565</v>
      </c>
    </row>
    <row r="26" spans="1:14" s="17" customFormat="1" ht="15" customHeight="1">
      <c r="A26" s="911">
        <v>12115</v>
      </c>
      <c r="B26" s="906" t="s">
        <v>56</v>
      </c>
      <c r="C26" s="907">
        <v>1867.45</v>
      </c>
      <c r="D26" s="907">
        <v>1245.8499999999999</v>
      </c>
      <c r="E26" s="907">
        <v>844.76</v>
      </c>
      <c r="F26" s="907">
        <v>844.76</v>
      </c>
      <c r="G26" s="907">
        <v>424.8</v>
      </c>
      <c r="H26" s="908">
        <f t="shared" si="4"/>
        <v>5227.6200000000008</v>
      </c>
      <c r="I26" s="908">
        <f t="shared" si="1"/>
        <v>1045.5240000000001</v>
      </c>
      <c r="J26" s="908">
        <f t="shared" si="3"/>
        <v>465.16953412800001</v>
      </c>
    </row>
    <row r="27" spans="1:14" s="17" customFormat="1" ht="15" customHeight="1">
      <c r="A27" s="911">
        <v>12117</v>
      </c>
      <c r="B27" s="906" t="s">
        <v>57</v>
      </c>
      <c r="C27" s="907">
        <v>6453.98</v>
      </c>
      <c r="D27" s="907">
        <v>4422.76</v>
      </c>
      <c r="E27" s="907">
        <v>3351.15</v>
      </c>
      <c r="F27" s="907">
        <v>3351.15</v>
      </c>
      <c r="G27" s="907">
        <v>3404.37</v>
      </c>
      <c r="H27" s="908">
        <f t="shared" si="4"/>
        <v>20983.41</v>
      </c>
      <c r="I27" s="908">
        <f t="shared" si="1"/>
        <v>4196.6819999999998</v>
      </c>
      <c r="J27" s="908">
        <f t="shared" si="3"/>
        <v>3727.8936132281997</v>
      </c>
    </row>
    <row r="28" spans="1:14" s="17" customFormat="1" ht="15" customHeight="1">
      <c r="A28" s="911">
        <v>12118</v>
      </c>
      <c r="B28" s="906" t="s">
        <v>58</v>
      </c>
      <c r="C28" s="907">
        <v>40378</v>
      </c>
      <c r="D28" s="907">
        <v>45507</v>
      </c>
      <c r="E28" s="907">
        <v>53162</v>
      </c>
      <c r="F28" s="907">
        <v>53162</v>
      </c>
      <c r="G28" s="907">
        <v>56023.37</v>
      </c>
      <c r="H28" s="908">
        <f t="shared" si="4"/>
        <v>248232.37</v>
      </c>
      <c r="I28" s="908">
        <f t="shared" si="1"/>
        <v>49646.474000000002</v>
      </c>
      <c r="J28" s="908">
        <f t="shared" si="3"/>
        <v>61347.375054568205</v>
      </c>
    </row>
    <row r="29" spans="1:14" s="17" customFormat="1" ht="15" customHeight="1">
      <c r="A29" s="911">
        <v>12119</v>
      </c>
      <c r="B29" s="906" t="s">
        <v>59</v>
      </c>
      <c r="C29" s="907">
        <v>1529.54</v>
      </c>
      <c r="D29" s="907">
        <v>997.5</v>
      </c>
      <c r="E29" s="907">
        <v>1124.3900000000001</v>
      </c>
      <c r="F29" s="907">
        <v>1124.3900000000001</v>
      </c>
      <c r="G29" s="907">
        <v>985.18</v>
      </c>
      <c r="H29" s="908">
        <f t="shared" si="4"/>
        <v>5761.0000000000009</v>
      </c>
      <c r="I29" s="908">
        <f t="shared" si="1"/>
        <v>1152.2000000000003</v>
      </c>
      <c r="J29" s="908">
        <f t="shared" si="3"/>
        <v>1078.8034878347999</v>
      </c>
    </row>
    <row r="30" spans="1:14" s="17" customFormat="1" ht="15" hidden="1" customHeight="1">
      <c r="A30" s="911">
        <v>12122</v>
      </c>
      <c r="B30" s="906" t="s">
        <v>218</v>
      </c>
      <c r="C30" s="907"/>
      <c r="D30" s="907"/>
      <c r="E30" s="907"/>
      <c r="F30" s="907"/>
      <c r="G30" s="907"/>
      <c r="H30" s="908">
        <f t="shared" si="4"/>
        <v>0</v>
      </c>
      <c r="I30" s="908">
        <f t="shared" si="1"/>
        <v>0</v>
      </c>
      <c r="J30" s="908">
        <f t="shared" si="3"/>
        <v>0</v>
      </c>
    </row>
    <row r="31" spans="1:14" s="17" customFormat="1" ht="15" customHeight="1">
      <c r="A31" s="911">
        <v>12199</v>
      </c>
      <c r="B31" s="906" t="s">
        <v>60</v>
      </c>
      <c r="C31" s="907">
        <v>285.73</v>
      </c>
      <c r="D31" s="907">
        <v>385.95</v>
      </c>
      <c r="E31" s="907">
        <v>394</v>
      </c>
      <c r="F31" s="907">
        <v>394</v>
      </c>
      <c r="G31" s="907">
        <v>776.4</v>
      </c>
      <c r="H31" s="908">
        <f t="shared" si="4"/>
        <v>2236.08</v>
      </c>
      <c r="I31" s="908">
        <f t="shared" si="1"/>
        <v>447.21600000000001</v>
      </c>
      <c r="J31" s="908">
        <f t="shared" si="3"/>
        <v>850.18273610400001</v>
      </c>
    </row>
    <row r="32" spans="1:14" s="52" customFormat="1" ht="15" customHeight="1">
      <c r="A32" s="892">
        <v>122</v>
      </c>
      <c r="B32" s="901" t="s">
        <v>219</v>
      </c>
      <c r="C32" s="902">
        <f>SUM(C33:C35)</f>
        <v>28078.199999999997</v>
      </c>
      <c r="D32" s="902">
        <f>SUM(D33:D35)</f>
        <v>38768.07</v>
      </c>
      <c r="E32" s="902">
        <f>SUM(E33:E35)</f>
        <v>23616.560000000001</v>
      </c>
      <c r="F32" s="902">
        <f>SUM(F33:F35)</f>
        <v>23616.560000000001</v>
      </c>
      <c r="G32" s="902">
        <f>SUM(G33:G35)</f>
        <v>38229.29</v>
      </c>
      <c r="H32" s="902">
        <f t="shared" si="4"/>
        <v>152308.68</v>
      </c>
      <c r="I32" s="902">
        <f t="shared" si="1"/>
        <v>30461.735999999997</v>
      </c>
      <c r="J32" s="902">
        <f>SUM(J33:J35)</f>
        <v>41862.290535179396</v>
      </c>
    </row>
    <row r="33" spans="1:10" s="51" customFormat="1" ht="15" customHeight="1">
      <c r="A33" s="905">
        <v>12210</v>
      </c>
      <c r="B33" s="906" t="s">
        <v>32</v>
      </c>
      <c r="C33" s="907">
        <v>27301.279999999999</v>
      </c>
      <c r="D33" s="907">
        <v>37338.97</v>
      </c>
      <c r="E33" s="907">
        <v>21843.59</v>
      </c>
      <c r="F33" s="907">
        <v>21843.59</v>
      </c>
      <c r="G33" s="907">
        <v>36871.58</v>
      </c>
      <c r="H33" s="902">
        <f t="shared" si="4"/>
        <v>145199.01</v>
      </c>
      <c r="I33" s="908">
        <f t="shared" si="1"/>
        <v>29039.802000000003</v>
      </c>
      <c r="J33" s="908">
        <f t="shared" si="3"/>
        <v>40375.554828538799</v>
      </c>
    </row>
    <row r="34" spans="1:10" s="17" customFormat="1" ht="15" customHeight="1">
      <c r="A34" s="911">
        <v>12211</v>
      </c>
      <c r="B34" s="906" t="s">
        <v>33</v>
      </c>
      <c r="C34" s="907">
        <v>16.920000000000002</v>
      </c>
      <c r="D34" s="907">
        <v>14.1</v>
      </c>
      <c r="E34" s="907">
        <v>22.97</v>
      </c>
      <c r="F34" s="907">
        <v>22.97</v>
      </c>
      <c r="G34" s="907">
        <v>22.71</v>
      </c>
      <c r="H34" s="902">
        <f t="shared" si="4"/>
        <v>99.670000000000016</v>
      </c>
      <c r="I34" s="908">
        <f t="shared" si="1"/>
        <v>19.934000000000005</v>
      </c>
      <c r="J34" s="908">
        <f t="shared" si="3"/>
        <v>24.868173540600001</v>
      </c>
    </row>
    <row r="35" spans="1:10" s="17" customFormat="1" ht="15" customHeight="1">
      <c r="A35" s="911">
        <v>12299</v>
      </c>
      <c r="B35" s="906" t="s">
        <v>61</v>
      </c>
      <c r="C35" s="907">
        <v>760</v>
      </c>
      <c r="D35" s="907">
        <v>1415</v>
      </c>
      <c r="E35" s="907">
        <v>1750</v>
      </c>
      <c r="F35" s="907">
        <v>1750</v>
      </c>
      <c r="G35" s="907">
        <v>1335</v>
      </c>
      <c r="H35" s="902">
        <f t="shared" si="4"/>
        <v>7010</v>
      </c>
      <c r="I35" s="908">
        <f t="shared" si="1"/>
        <v>1402</v>
      </c>
      <c r="J35" s="908">
        <f t="shared" si="3"/>
        <v>1461.8675330999999</v>
      </c>
    </row>
    <row r="36" spans="1:10" s="56" customFormat="1" ht="15" customHeight="1">
      <c r="A36" s="892">
        <v>14</v>
      </c>
      <c r="B36" s="901" t="s">
        <v>220</v>
      </c>
      <c r="C36" s="902">
        <f t="shared" ref="C36:J36" si="5">C37</f>
        <v>13276.3</v>
      </c>
      <c r="D36" s="902">
        <f t="shared" si="5"/>
        <v>12080.49</v>
      </c>
      <c r="E36" s="902">
        <f t="shared" si="5"/>
        <v>10494.92</v>
      </c>
      <c r="F36" s="903">
        <f t="shared" si="5"/>
        <v>10494.92</v>
      </c>
      <c r="G36" s="903">
        <f t="shared" si="5"/>
        <v>13465.24</v>
      </c>
      <c r="H36" s="902">
        <f t="shared" si="5"/>
        <v>59811.869999999995</v>
      </c>
      <c r="I36" s="902">
        <f t="shared" si="5"/>
        <v>11962.374</v>
      </c>
      <c r="J36" s="902">
        <f t="shared" si="5"/>
        <v>14744.866802546399</v>
      </c>
    </row>
    <row r="37" spans="1:10" s="52" customFormat="1" ht="15" customHeight="1">
      <c r="A37" s="892">
        <v>142</v>
      </c>
      <c r="B37" s="901" t="s">
        <v>221</v>
      </c>
      <c r="C37" s="902">
        <f>SUM(C38:C40)</f>
        <v>13276.3</v>
      </c>
      <c r="D37" s="902">
        <f>SUM(D38:D40)</f>
        <v>12080.49</v>
      </c>
      <c r="E37" s="902">
        <f>SUM(E38:E40)</f>
        <v>10494.92</v>
      </c>
      <c r="F37" s="903">
        <f>SUM(F38:F40)</f>
        <v>10494.92</v>
      </c>
      <c r="G37" s="903">
        <f>SUM(G38:G40)</f>
        <v>13465.24</v>
      </c>
      <c r="H37" s="902">
        <f>SUM(C37:G37)</f>
        <v>59811.869999999995</v>
      </c>
      <c r="I37" s="902">
        <f t="shared" si="1"/>
        <v>11962.374</v>
      </c>
      <c r="J37" s="902">
        <f>SUM(J38:J40)</f>
        <v>14744.866802546399</v>
      </c>
    </row>
    <row r="38" spans="1:10" s="17" customFormat="1" ht="15" customHeight="1">
      <c r="A38" s="911">
        <v>14201</v>
      </c>
      <c r="B38" s="910" t="s">
        <v>222</v>
      </c>
      <c r="C38" s="907">
        <v>13273.3</v>
      </c>
      <c r="D38" s="907">
        <v>11720.49</v>
      </c>
      <c r="E38" s="907">
        <v>9894.86</v>
      </c>
      <c r="F38" s="907">
        <v>9894.86</v>
      </c>
      <c r="G38" s="907">
        <v>12659.24</v>
      </c>
      <c r="H38" s="908">
        <f>SUM(C38:G38)</f>
        <v>57442.75</v>
      </c>
      <c r="I38" s="908">
        <f t="shared" si="1"/>
        <v>11488.55</v>
      </c>
      <c r="J38" s="908">
        <f t="shared" ref="J38:J40" si="6">G38*9.503186%+G38</f>
        <v>13862.271123386399</v>
      </c>
    </row>
    <row r="39" spans="1:10" s="17" customFormat="1" ht="15" customHeight="1">
      <c r="A39" s="911">
        <v>14299</v>
      </c>
      <c r="B39" s="906" t="s">
        <v>63</v>
      </c>
      <c r="C39" s="907">
        <v>3</v>
      </c>
      <c r="D39" s="907">
        <v>360</v>
      </c>
      <c r="E39" s="907">
        <v>600.05999999999995</v>
      </c>
      <c r="F39" s="907">
        <v>600.05999999999995</v>
      </c>
      <c r="G39" s="907">
        <v>806</v>
      </c>
      <c r="H39" s="908">
        <f>SUM(C39:G39)</f>
        <v>2369.12</v>
      </c>
      <c r="I39" s="908">
        <f t="shared" si="1"/>
        <v>473.82399999999996</v>
      </c>
      <c r="J39" s="908">
        <f t="shared" si="6"/>
        <v>882.59567916000003</v>
      </c>
    </row>
    <row r="40" spans="1:10" s="17" customFormat="1" ht="15" hidden="1" customHeight="1">
      <c r="A40" s="911"/>
      <c r="B40" s="906"/>
      <c r="C40" s="907"/>
      <c r="D40" s="907"/>
      <c r="E40" s="907"/>
      <c r="F40" s="907"/>
      <c r="G40" s="907"/>
      <c r="H40" s="908">
        <f>SUM(C40:G40)</f>
        <v>0</v>
      </c>
      <c r="I40" s="908">
        <f t="shared" si="1"/>
        <v>0</v>
      </c>
      <c r="J40" s="908">
        <f t="shared" si="6"/>
        <v>0</v>
      </c>
    </row>
    <row r="41" spans="1:10" s="56" customFormat="1" ht="15" customHeight="1">
      <c r="A41" s="912">
        <v>15</v>
      </c>
      <c r="B41" s="913" t="s">
        <v>223</v>
      </c>
      <c r="C41" s="914">
        <f t="shared" ref="C41:J41" si="7">C42+C47+C49</f>
        <v>36610.200000000004</v>
      </c>
      <c r="D41" s="914">
        <f>D42+D47+D49</f>
        <v>47005.069999999992</v>
      </c>
      <c r="E41" s="914">
        <f t="shared" si="7"/>
        <v>38026.449999999997</v>
      </c>
      <c r="F41" s="914">
        <f t="shared" si="7"/>
        <v>38027.46</v>
      </c>
      <c r="G41" s="914">
        <f t="shared" si="7"/>
        <v>5144.91</v>
      </c>
      <c r="H41" s="915">
        <f t="shared" si="7"/>
        <v>164814.09</v>
      </c>
      <c r="I41" s="914">
        <f t="shared" si="7"/>
        <v>32962.817999999999</v>
      </c>
      <c r="J41" s="914">
        <f t="shared" si="7"/>
        <v>5633.8403668325991</v>
      </c>
    </row>
    <row r="42" spans="1:10" s="52" customFormat="1" ht="15" customHeight="1">
      <c r="A42" s="912">
        <v>153</v>
      </c>
      <c r="B42" s="913" t="s">
        <v>224</v>
      </c>
      <c r="C42" s="914">
        <f t="shared" ref="C42:J42" si="8">SUM(C43:C46)</f>
        <v>4446.8</v>
      </c>
      <c r="D42" s="914">
        <f t="shared" si="8"/>
        <v>4221.5499999999993</v>
      </c>
      <c r="E42" s="914">
        <f t="shared" si="8"/>
        <v>17867.82</v>
      </c>
      <c r="F42" s="914">
        <f t="shared" si="8"/>
        <v>17867.82</v>
      </c>
      <c r="G42" s="914">
        <f t="shared" si="8"/>
        <v>355.52000000000004</v>
      </c>
      <c r="H42" s="914">
        <f t="shared" si="8"/>
        <v>44759.509999999995</v>
      </c>
      <c r="I42" s="914">
        <f t="shared" si="8"/>
        <v>8951.902</v>
      </c>
      <c r="J42" s="914">
        <f t="shared" si="8"/>
        <v>389.30572686720001</v>
      </c>
    </row>
    <row r="43" spans="1:10" s="17" customFormat="1" ht="15" customHeight="1">
      <c r="A43" s="911">
        <v>15301</v>
      </c>
      <c r="B43" s="906" t="s">
        <v>225</v>
      </c>
      <c r="C43" s="907">
        <v>1720.51</v>
      </c>
      <c r="D43" s="907">
        <v>2615.9699999999998</v>
      </c>
      <c r="E43" s="907">
        <v>6896.9</v>
      </c>
      <c r="F43" s="907">
        <v>6896.9</v>
      </c>
      <c r="G43" s="907">
        <v>310.97000000000003</v>
      </c>
      <c r="H43" s="908">
        <f t="shared" ref="H43:H50" si="9">SUM(C43:G43)</f>
        <v>18441.25</v>
      </c>
      <c r="I43" s="908">
        <f>H43/5</f>
        <v>3688.25</v>
      </c>
      <c r="J43" s="908">
        <f t="shared" ref="J43:J48" si="10">G43*9.503186%+G43</f>
        <v>340.52205750420001</v>
      </c>
    </row>
    <row r="44" spans="1:10" s="17" customFormat="1" ht="15" customHeight="1">
      <c r="A44" s="911">
        <v>15302</v>
      </c>
      <c r="B44" s="906" t="s">
        <v>65</v>
      </c>
      <c r="C44" s="907">
        <v>2526.29</v>
      </c>
      <c r="D44" s="907">
        <v>1602.72</v>
      </c>
      <c r="E44" s="907">
        <v>10968.06</v>
      </c>
      <c r="F44" s="907">
        <v>10968.06</v>
      </c>
      <c r="G44" s="907">
        <v>44.55</v>
      </c>
      <c r="H44" s="908">
        <f t="shared" si="9"/>
        <v>26109.679999999997</v>
      </c>
      <c r="I44" s="908">
        <f>H44/5</f>
        <v>5221.9359999999997</v>
      </c>
      <c r="J44" s="908">
        <f t="shared" si="10"/>
        <v>48.783669362999994</v>
      </c>
    </row>
    <row r="45" spans="1:10" s="17" customFormat="1" ht="15" customHeight="1">
      <c r="A45" s="911">
        <v>15312</v>
      </c>
      <c r="B45" s="910" t="s">
        <v>941</v>
      </c>
      <c r="C45" s="907"/>
      <c r="D45" s="907">
        <v>2.86</v>
      </c>
      <c r="E45" s="907">
        <v>2.86</v>
      </c>
      <c r="F45" s="907">
        <v>2.86</v>
      </c>
      <c r="G45" s="907"/>
      <c r="H45" s="908">
        <f t="shared" si="9"/>
        <v>8.58</v>
      </c>
      <c r="I45" s="908">
        <f>H45/5</f>
        <v>1.716</v>
      </c>
      <c r="J45" s="908">
        <f t="shared" si="10"/>
        <v>0</v>
      </c>
    </row>
    <row r="46" spans="1:10" s="17" customFormat="1" ht="15" customHeight="1">
      <c r="A46" s="911">
        <v>15314</v>
      </c>
      <c r="B46" s="909" t="s">
        <v>226</v>
      </c>
      <c r="C46" s="907">
        <f>200</f>
        <v>200</v>
      </c>
      <c r="D46" s="907"/>
      <c r="E46" s="907"/>
      <c r="F46" s="907"/>
      <c r="G46" s="907"/>
      <c r="H46" s="908">
        <f t="shared" si="9"/>
        <v>200</v>
      </c>
      <c r="I46" s="908">
        <f>H46/5</f>
        <v>40</v>
      </c>
      <c r="J46" s="908">
        <f t="shared" si="10"/>
        <v>0</v>
      </c>
    </row>
    <row r="47" spans="1:10" s="17" customFormat="1" ht="15" hidden="1" customHeight="1">
      <c r="A47" s="916">
        <v>154</v>
      </c>
      <c r="B47" s="901" t="s">
        <v>227</v>
      </c>
      <c r="C47" s="903">
        <f>SUM(C48:C48)</f>
        <v>0</v>
      </c>
      <c r="D47" s="903"/>
      <c r="E47" s="903"/>
      <c r="F47" s="903"/>
      <c r="G47" s="903"/>
      <c r="H47" s="908">
        <f t="shared" si="9"/>
        <v>0</v>
      </c>
      <c r="I47" s="908">
        <f t="shared" si="1"/>
        <v>0</v>
      </c>
      <c r="J47" s="908">
        <f t="shared" si="10"/>
        <v>0</v>
      </c>
    </row>
    <row r="48" spans="1:10" s="17" customFormat="1" ht="15" hidden="1" customHeight="1">
      <c r="A48" s="911">
        <v>15499</v>
      </c>
      <c r="B48" s="906" t="s">
        <v>228</v>
      </c>
      <c r="C48" s="907"/>
      <c r="D48" s="907"/>
      <c r="E48" s="907"/>
      <c r="F48" s="907"/>
      <c r="G48" s="907"/>
      <c r="H48" s="908">
        <f t="shared" si="9"/>
        <v>0</v>
      </c>
      <c r="I48" s="908">
        <f t="shared" si="1"/>
        <v>0</v>
      </c>
      <c r="J48" s="908">
        <f t="shared" si="10"/>
        <v>0</v>
      </c>
    </row>
    <row r="49" spans="1:10" s="52" customFormat="1" ht="15" customHeight="1">
      <c r="A49" s="912">
        <v>157</v>
      </c>
      <c r="B49" s="913" t="s">
        <v>229</v>
      </c>
      <c r="C49" s="914">
        <f>SUM(C50:C52)</f>
        <v>32163.4</v>
      </c>
      <c r="D49" s="914">
        <f>SUM(D50:D52)</f>
        <v>42783.519999999997</v>
      </c>
      <c r="E49" s="914">
        <f>SUM(E50:E52)</f>
        <v>20158.63</v>
      </c>
      <c r="F49" s="917">
        <f>SUM(F50:F52)</f>
        <v>20159.64</v>
      </c>
      <c r="G49" s="917">
        <f>SUM(G50:G52)</f>
        <v>4789.3899999999994</v>
      </c>
      <c r="H49" s="914">
        <f t="shared" si="9"/>
        <v>120054.58</v>
      </c>
      <c r="I49" s="914">
        <f t="shared" si="1"/>
        <v>24010.916000000001</v>
      </c>
      <c r="J49" s="914">
        <f>SUM(J50:J53)</f>
        <v>5244.534639965399</v>
      </c>
    </row>
    <row r="50" spans="1:10" s="17" customFormat="1" ht="15" hidden="1" customHeight="1">
      <c r="A50" s="911">
        <v>15701</v>
      </c>
      <c r="B50" s="906" t="s">
        <v>230</v>
      </c>
      <c r="C50" s="907"/>
      <c r="D50" s="907"/>
      <c r="E50" s="907"/>
      <c r="F50" s="907"/>
      <c r="G50" s="907"/>
      <c r="H50" s="908">
        <f t="shared" si="9"/>
        <v>0</v>
      </c>
      <c r="I50" s="908">
        <f t="shared" si="1"/>
        <v>0</v>
      </c>
      <c r="J50" s="908">
        <f t="shared" ref="J50:J63" si="11">G50*9.503186%+G50</f>
        <v>0</v>
      </c>
    </row>
    <row r="51" spans="1:10" s="17" customFormat="1" ht="15" customHeight="1">
      <c r="A51" s="911">
        <v>15703</v>
      </c>
      <c r="B51" s="906" t="s">
        <v>67</v>
      </c>
      <c r="C51" s="907">
        <v>1498.43</v>
      </c>
      <c r="D51" s="907"/>
      <c r="E51" s="907"/>
      <c r="F51" s="907"/>
      <c r="G51" s="907">
        <v>346.7</v>
      </c>
      <c r="H51" s="908">
        <f>SUM(D51:G51)</f>
        <v>346.7</v>
      </c>
      <c r="I51" s="908">
        <f t="shared" si="1"/>
        <v>69.34</v>
      </c>
      <c r="J51" s="908">
        <f t="shared" si="11"/>
        <v>379.64754586200002</v>
      </c>
    </row>
    <row r="52" spans="1:10" s="17" customFormat="1" ht="15" customHeight="1">
      <c r="A52" s="911">
        <v>15799</v>
      </c>
      <c r="B52" s="906" t="s">
        <v>68</v>
      </c>
      <c r="C52" s="907">
        <v>30664.97</v>
      </c>
      <c r="D52" s="907">
        <v>42783.519999999997</v>
      </c>
      <c r="E52" s="907">
        <v>20158.63</v>
      </c>
      <c r="F52" s="907">
        <v>20159.64</v>
      </c>
      <c r="G52" s="907">
        <v>4442.6899999999996</v>
      </c>
      <c r="H52" s="908">
        <f>SUM(D52:G52)</f>
        <v>87544.48</v>
      </c>
      <c r="I52" s="908">
        <f t="shared" si="1"/>
        <v>17508.896000000001</v>
      </c>
      <c r="J52" s="908">
        <f t="shared" si="11"/>
        <v>4864.8870941033992</v>
      </c>
    </row>
    <row r="53" spans="1:10" s="17" customFormat="1" ht="15" hidden="1" customHeight="1">
      <c r="A53" s="911"/>
      <c r="B53" s="906"/>
      <c r="C53" s="907"/>
      <c r="D53" s="907"/>
      <c r="E53" s="907"/>
      <c r="F53" s="907"/>
      <c r="G53" s="907"/>
      <c r="H53" s="908">
        <f t="shared" ref="H53:H60" si="12">SUM(C53:G53)</f>
        <v>0</v>
      </c>
      <c r="I53" s="908">
        <f t="shared" si="1"/>
        <v>0</v>
      </c>
      <c r="J53" s="908">
        <f t="shared" si="11"/>
        <v>0</v>
      </c>
    </row>
    <row r="54" spans="1:10" s="17" customFormat="1" ht="15" hidden="1" customHeight="1">
      <c r="A54" s="916">
        <v>16</v>
      </c>
      <c r="B54" s="901" t="s">
        <v>231</v>
      </c>
      <c r="C54" s="908"/>
      <c r="D54" s="908"/>
      <c r="E54" s="906"/>
      <c r="F54" s="907"/>
      <c r="G54" s="907"/>
      <c r="H54" s="902">
        <f t="shared" si="12"/>
        <v>0</v>
      </c>
      <c r="I54" s="908">
        <f t="shared" si="1"/>
        <v>0</v>
      </c>
      <c r="J54" s="908">
        <f t="shared" si="11"/>
        <v>0</v>
      </c>
    </row>
    <row r="55" spans="1:10" s="17" customFormat="1" ht="15" hidden="1" customHeight="1">
      <c r="A55" s="916">
        <v>162</v>
      </c>
      <c r="B55" s="901" t="s">
        <v>232</v>
      </c>
      <c r="C55" s="908"/>
      <c r="D55" s="908"/>
      <c r="E55" s="906"/>
      <c r="F55" s="907"/>
      <c r="G55" s="907"/>
      <c r="H55" s="902">
        <f t="shared" si="12"/>
        <v>0</v>
      </c>
      <c r="I55" s="908">
        <f t="shared" si="1"/>
        <v>0</v>
      </c>
      <c r="J55" s="908">
        <f t="shared" si="11"/>
        <v>0</v>
      </c>
    </row>
    <row r="56" spans="1:10" s="17" customFormat="1" ht="15" hidden="1" customHeight="1">
      <c r="A56" s="911">
        <v>16201</v>
      </c>
      <c r="B56" s="906" t="s">
        <v>69</v>
      </c>
      <c r="C56" s="908"/>
      <c r="D56" s="908"/>
      <c r="E56" s="906"/>
      <c r="F56" s="907"/>
      <c r="G56" s="907"/>
      <c r="H56" s="902">
        <f t="shared" si="12"/>
        <v>0</v>
      </c>
      <c r="I56" s="908">
        <f t="shared" si="1"/>
        <v>0</v>
      </c>
      <c r="J56" s="908">
        <f t="shared" si="11"/>
        <v>0</v>
      </c>
    </row>
    <row r="57" spans="1:10" s="17" customFormat="1" ht="15" hidden="1" customHeight="1">
      <c r="A57" s="911"/>
      <c r="B57" s="906"/>
      <c r="C57" s="908"/>
      <c r="D57" s="908"/>
      <c r="E57" s="906"/>
      <c r="F57" s="907"/>
      <c r="G57" s="907"/>
      <c r="H57" s="902">
        <f t="shared" si="12"/>
        <v>0</v>
      </c>
      <c r="I57" s="908">
        <f t="shared" si="1"/>
        <v>0</v>
      </c>
      <c r="J57" s="908">
        <f t="shared" si="11"/>
        <v>0</v>
      </c>
    </row>
    <row r="58" spans="1:10" s="17" customFormat="1" ht="15" hidden="1" customHeight="1">
      <c r="A58" s="916">
        <v>22</v>
      </c>
      <c r="B58" s="901" t="s">
        <v>233</v>
      </c>
      <c r="C58" s="908"/>
      <c r="D58" s="908"/>
      <c r="E58" s="906"/>
      <c r="F58" s="907"/>
      <c r="G58" s="907"/>
      <c r="H58" s="902">
        <f t="shared" si="12"/>
        <v>0</v>
      </c>
      <c r="I58" s="908">
        <f t="shared" si="1"/>
        <v>0</v>
      </c>
      <c r="J58" s="908">
        <f t="shared" si="11"/>
        <v>0</v>
      </c>
    </row>
    <row r="59" spans="1:10" s="17" customFormat="1" ht="15" hidden="1" customHeight="1">
      <c r="A59" s="916">
        <v>222</v>
      </c>
      <c r="B59" s="901" t="s">
        <v>234</v>
      </c>
      <c r="C59" s="908"/>
      <c r="D59" s="908"/>
      <c r="E59" s="906"/>
      <c r="F59" s="903">
        <f>SUM(F60:F60)</f>
        <v>0</v>
      </c>
      <c r="G59" s="903">
        <f>SUM(G60:G60)</f>
        <v>0</v>
      </c>
      <c r="H59" s="902">
        <f t="shared" si="12"/>
        <v>0</v>
      </c>
      <c r="I59" s="908">
        <f t="shared" si="1"/>
        <v>0</v>
      </c>
      <c r="J59" s="908">
        <f t="shared" si="11"/>
        <v>0</v>
      </c>
    </row>
    <row r="60" spans="1:10" s="17" customFormat="1" ht="15" hidden="1" customHeight="1">
      <c r="A60" s="911">
        <v>22201</v>
      </c>
      <c r="B60" s="906" t="s">
        <v>70</v>
      </c>
      <c r="C60" s="908"/>
      <c r="D60" s="908"/>
      <c r="E60" s="906"/>
      <c r="F60" s="907"/>
      <c r="G60" s="907"/>
      <c r="H60" s="902">
        <f t="shared" si="12"/>
        <v>0</v>
      </c>
      <c r="I60" s="908">
        <f t="shared" si="1"/>
        <v>0</v>
      </c>
      <c r="J60" s="908">
        <f t="shared" si="11"/>
        <v>0</v>
      </c>
    </row>
    <row r="61" spans="1:10" s="51" customFormat="1" ht="15" customHeight="1">
      <c r="A61" s="892">
        <v>32</v>
      </c>
      <c r="B61" s="901" t="s">
        <v>235</v>
      </c>
      <c r="C61" s="903">
        <f t="shared" ref="C61:H61" si="13">C62</f>
        <v>45840.25</v>
      </c>
      <c r="D61" s="903">
        <f t="shared" si="13"/>
        <v>42687.869999999995</v>
      </c>
      <c r="E61" s="903">
        <f t="shared" si="13"/>
        <v>40545.629999999997</v>
      </c>
      <c r="F61" s="903">
        <f t="shared" si="13"/>
        <v>40546.629999999997</v>
      </c>
      <c r="G61" s="903">
        <f t="shared" si="13"/>
        <v>57532.020000000004</v>
      </c>
      <c r="H61" s="902">
        <f t="shared" si="13"/>
        <v>227152.40000000002</v>
      </c>
      <c r="I61" s="902">
        <f t="shared" si="1"/>
        <v>45430.48</v>
      </c>
      <c r="J61" s="908">
        <f t="shared" si="11"/>
        <v>62999.394870157208</v>
      </c>
    </row>
    <row r="62" spans="1:10" s="52" customFormat="1" ht="15" customHeight="1">
      <c r="A62" s="892">
        <v>322</v>
      </c>
      <c r="B62" s="901" t="s">
        <v>236</v>
      </c>
      <c r="C62" s="903">
        <f>SUM(C63:C63)</f>
        <v>45840.25</v>
      </c>
      <c r="D62" s="903">
        <f>SUM(D63:D63)</f>
        <v>42687.869999999995</v>
      </c>
      <c r="E62" s="903">
        <f>SUM(E63:E63)</f>
        <v>40545.629999999997</v>
      </c>
      <c r="F62" s="903">
        <f>SUM(F63:F63)</f>
        <v>40546.629999999997</v>
      </c>
      <c r="G62" s="903">
        <f>SUM(G63:G63)</f>
        <v>57532.020000000004</v>
      </c>
      <c r="H62" s="902">
        <f>SUM(C62:G62)</f>
        <v>227152.40000000002</v>
      </c>
      <c r="I62" s="902">
        <f t="shared" si="1"/>
        <v>45430.48</v>
      </c>
      <c r="J62" s="908">
        <f t="shared" si="11"/>
        <v>62999.394870157208</v>
      </c>
    </row>
    <row r="63" spans="1:10" s="17" customFormat="1" ht="15" customHeight="1">
      <c r="A63" s="911">
        <v>32201</v>
      </c>
      <c r="B63" s="906" t="s">
        <v>1159</v>
      </c>
      <c r="C63" s="907">
        <v>45840.25</v>
      </c>
      <c r="D63" s="907">
        <f>8171.85+34516.02</f>
        <v>42687.869999999995</v>
      </c>
      <c r="E63" s="907">
        <v>40545.629999999997</v>
      </c>
      <c r="F63" s="907">
        <v>40546.629999999997</v>
      </c>
      <c r="G63" s="907">
        <f>12465.16+45066.86</f>
        <v>57532.020000000004</v>
      </c>
      <c r="H63" s="908">
        <f>SUM(C63:G63)</f>
        <v>227152.40000000002</v>
      </c>
      <c r="I63" s="908">
        <f t="shared" si="1"/>
        <v>45430.48</v>
      </c>
      <c r="J63" s="908">
        <f t="shared" si="11"/>
        <v>62999.394870157208</v>
      </c>
    </row>
    <row r="64" spans="1:10" s="51" customFormat="1" ht="15" customHeight="1">
      <c r="A64" s="918"/>
      <c r="B64" s="913" t="s">
        <v>77</v>
      </c>
      <c r="C64" s="914">
        <f>C7+C18+C32+C37+C42+C47+C49+C55+C59+C62</f>
        <v>243556.96999999994</v>
      </c>
      <c r="D64" s="914">
        <f t="shared" ref="D64:I64" si="14">D7+D18+D32+D37+D42+D47+D49+D55+D59+D62</f>
        <v>263036.14999999997</v>
      </c>
      <c r="E64" s="914">
        <f t="shared" si="14"/>
        <v>273895.19</v>
      </c>
      <c r="F64" s="917">
        <f t="shared" si="14"/>
        <v>273897.2</v>
      </c>
      <c r="G64" s="917">
        <f>G7+G18+G32+G37+G42+G47+G49+G55+G59+G62</f>
        <v>276024.33</v>
      </c>
      <c r="H64" s="914">
        <f t="shared" si="14"/>
        <v>1330409.8399999999</v>
      </c>
      <c r="I64" s="914">
        <f t="shared" si="14"/>
        <v>266081.96799999999</v>
      </c>
      <c r="J64" s="914">
        <f>J7+J18+J32+J37+J42+J47+J49+J55+J59+J63</f>
        <v>302255.43548515381</v>
      </c>
    </row>
    <row r="65" spans="1:10" s="17" customFormat="1" ht="15" customHeight="1">
      <c r="A65" s="41"/>
      <c r="B65" s="894"/>
      <c r="C65" s="27"/>
      <c r="D65" s="7"/>
      <c r="E65" s="27"/>
      <c r="F65" s="49"/>
      <c r="G65" s="49"/>
      <c r="H65" s="7"/>
      <c r="I65" s="7"/>
      <c r="J65" s="7"/>
    </row>
    <row r="66" spans="1:10" s="17" customFormat="1" ht="5.25" customHeight="1">
      <c r="A66" s="41"/>
      <c r="B66" s="894"/>
      <c r="C66" s="27"/>
      <c r="D66" s="27"/>
      <c r="E66" s="27"/>
      <c r="F66" s="49"/>
      <c r="G66" s="49"/>
      <c r="H66" s="7"/>
      <c r="I66" s="7"/>
      <c r="J66" s="7"/>
    </row>
    <row r="67" spans="1:10" s="17" customFormat="1" ht="33" customHeight="1">
      <c r="A67" s="1543" t="s">
        <v>1046</v>
      </c>
      <c r="B67" s="1543"/>
      <c r="C67" s="1543"/>
      <c r="D67" s="1543"/>
      <c r="E67" s="1543"/>
      <c r="F67" s="1543"/>
      <c r="G67" s="1543"/>
      <c r="H67" s="1543"/>
      <c r="I67" s="1543"/>
      <c r="J67" s="1543"/>
    </row>
    <row r="70" spans="1:10">
      <c r="B70" s="51" t="s">
        <v>1130</v>
      </c>
    </row>
    <row r="71" spans="1:10" ht="15.75">
      <c r="B71" s="895"/>
      <c r="C71" s="893"/>
      <c r="D71" s="893"/>
      <c r="E71" s="893"/>
      <c r="F71" s="893"/>
      <c r="G71" s="893"/>
      <c r="H71" s="893"/>
      <c r="I71" s="893"/>
    </row>
  </sheetData>
  <mergeCells count="5">
    <mergeCell ref="B1:J1"/>
    <mergeCell ref="B2:J2"/>
    <mergeCell ref="A3:J3"/>
    <mergeCell ref="A4:J4"/>
    <mergeCell ref="A67:J67"/>
  </mergeCells>
  <phoneticPr fontId="11" type="noConversion"/>
  <pageMargins left="0.94488188976377963" right="0" top="0.78740157480314965" bottom="0.19685039370078741" header="7.874015748031496E-2" footer="0"/>
  <pageSetup scale="7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H35"/>
  <sheetViews>
    <sheetView topLeftCell="A34" workbookViewId="0">
      <selection activeCell="E1" sqref="E1"/>
    </sheetView>
  </sheetViews>
  <sheetFormatPr baseColWidth="10" defaultRowHeight="12.75"/>
  <cols>
    <col min="2" max="2" width="18.28515625" customWidth="1"/>
    <col min="3" max="3" width="25.140625" customWidth="1"/>
    <col min="4" max="4" width="24.5703125" customWidth="1"/>
  </cols>
  <sheetData>
    <row r="1" spans="1:4" ht="18">
      <c r="A1" s="1469" t="s">
        <v>1135</v>
      </c>
      <c r="B1" s="1469"/>
      <c r="C1" s="1469"/>
      <c r="D1" s="1469"/>
    </row>
    <row r="2" spans="1:4" ht="18">
      <c r="A2" s="1468" t="s">
        <v>1136</v>
      </c>
      <c r="B2" s="1469"/>
      <c r="C2" s="1469"/>
      <c r="D2" s="1469"/>
    </row>
    <row r="3" spans="1:4" ht="18">
      <c r="A3" s="1468" t="s">
        <v>1137</v>
      </c>
      <c r="B3" s="1469"/>
      <c r="C3" s="1469"/>
      <c r="D3" s="1469"/>
    </row>
    <row r="4" spans="1:4" ht="15">
      <c r="A4" s="25"/>
      <c r="B4" s="25"/>
      <c r="C4" s="7"/>
      <c r="D4" s="7"/>
    </row>
    <row r="5" spans="1:4" ht="36">
      <c r="A5" s="639" t="s">
        <v>207</v>
      </c>
      <c r="B5" s="639" t="s">
        <v>237</v>
      </c>
      <c r="C5" s="640" t="s">
        <v>238</v>
      </c>
      <c r="D5" s="639" t="s">
        <v>239</v>
      </c>
    </row>
    <row r="6" spans="1:4" ht="15">
      <c r="A6" s="637">
        <v>2017</v>
      </c>
      <c r="B6" s="637">
        <v>-2</v>
      </c>
      <c r="C6" s="638">
        <f>SUM('Media Simple 5 años ingresos'!C64)</f>
        <v>243556.96999999994</v>
      </c>
      <c r="D6" s="638">
        <f>C6*B6</f>
        <v>-487113.93999999989</v>
      </c>
    </row>
    <row r="7" spans="1:4" ht="15">
      <c r="A7" s="436">
        <v>2018</v>
      </c>
      <c r="B7" s="436">
        <v>-1</v>
      </c>
      <c r="C7" s="437">
        <f>SUM('Media Simple 5 años ingresos'!D64)</f>
        <v>263036.14999999997</v>
      </c>
      <c r="D7" s="437">
        <f>C7*B7</f>
        <v>-263036.14999999997</v>
      </c>
    </row>
    <row r="8" spans="1:4" ht="15">
      <c r="A8" s="436">
        <v>2019</v>
      </c>
      <c r="B8" s="436">
        <v>0</v>
      </c>
      <c r="C8" s="437">
        <f>SUM('Media Simple 5 años ingresos'!E64)</f>
        <v>273895.19</v>
      </c>
      <c r="D8" s="437">
        <f>C8*B8</f>
        <v>0</v>
      </c>
    </row>
    <row r="9" spans="1:4" ht="15">
      <c r="A9" s="436">
        <v>2020</v>
      </c>
      <c r="B9" s="436">
        <v>1</v>
      </c>
      <c r="C9" s="437">
        <f>SUM('Media Simple 5 años ingresos'!F64)</f>
        <v>273897.2</v>
      </c>
      <c r="D9" s="437">
        <f>C9*B9</f>
        <v>273897.2</v>
      </c>
    </row>
    <row r="10" spans="1:4" ht="15">
      <c r="A10" s="436">
        <v>2021</v>
      </c>
      <c r="B10" s="436">
        <v>2</v>
      </c>
      <c r="C10" s="437">
        <f>SUM('Media Simple 5 años ingresos'!G64)</f>
        <v>276024.33</v>
      </c>
      <c r="D10" s="437">
        <f>C10*B10</f>
        <v>552048.66</v>
      </c>
    </row>
    <row r="11" spans="1:4" ht="15.75" thickBot="1">
      <c r="A11" s="641" t="s">
        <v>77</v>
      </c>
      <c r="B11" s="641"/>
      <c r="C11" s="642">
        <f>SUM(C6:C10)</f>
        <v>1330409.8399999999</v>
      </c>
      <c r="D11" s="642">
        <f>SUM(D6:D10)</f>
        <v>75795.770000000193</v>
      </c>
    </row>
    <row r="12" spans="1:4" ht="15.75" thickTop="1">
      <c r="A12" s="25"/>
      <c r="B12" s="25"/>
      <c r="C12" s="7"/>
      <c r="D12" s="7"/>
    </row>
    <row r="13" spans="1:4" ht="15">
      <c r="A13" s="25"/>
      <c r="B13" s="25"/>
      <c r="C13" s="7"/>
      <c r="D13" s="7"/>
    </row>
    <row r="14" spans="1:4" ht="15">
      <c r="A14" s="1544" t="s">
        <v>1045</v>
      </c>
      <c r="B14" s="1544"/>
      <c r="C14" s="1544"/>
      <c r="D14" s="1544"/>
    </row>
    <row r="15" spans="1:4" ht="15">
      <c r="A15" s="1549" t="s">
        <v>1043</v>
      </c>
      <c r="B15" s="1544"/>
      <c r="C15" s="1544"/>
      <c r="D15" s="1544"/>
    </row>
    <row r="16" spans="1:4" ht="15">
      <c r="A16" s="7"/>
      <c r="B16" s="7"/>
      <c r="C16" s="7"/>
      <c r="D16" s="7"/>
    </row>
    <row r="17" spans="1:8" ht="15">
      <c r="A17" s="25" t="s">
        <v>240</v>
      </c>
      <c r="B17" s="26" t="s">
        <v>401</v>
      </c>
      <c r="C17" s="27">
        <f>C11/5</f>
        <v>266081.96799999999</v>
      </c>
      <c r="D17" s="1550" t="s">
        <v>1040</v>
      </c>
    </row>
    <row r="18" spans="1:8" ht="15">
      <c r="A18" s="25"/>
      <c r="B18" s="25" t="s">
        <v>241</v>
      </c>
      <c r="C18" s="7"/>
      <c r="D18" s="1551"/>
    </row>
    <row r="19" spans="1:8" ht="15">
      <c r="A19" s="25"/>
      <c r="B19" s="7"/>
      <c r="C19" s="7"/>
      <c r="D19" s="7"/>
    </row>
    <row r="20" spans="1:8" ht="15">
      <c r="A20" s="25" t="s">
        <v>242</v>
      </c>
      <c r="B20" s="26" t="s">
        <v>402</v>
      </c>
      <c r="C20" s="27">
        <f>D11/10</f>
        <v>7579.5770000000193</v>
      </c>
      <c r="D20" s="1552" t="s">
        <v>1041</v>
      </c>
    </row>
    <row r="21" spans="1:8" ht="15">
      <c r="A21" s="25"/>
      <c r="B21" s="25">
        <v>10</v>
      </c>
      <c r="C21" s="7"/>
      <c r="D21" s="1553"/>
    </row>
    <row r="22" spans="1:8" ht="15">
      <c r="A22" s="25"/>
      <c r="B22" s="7"/>
      <c r="C22" s="7"/>
      <c r="D22" s="1553"/>
    </row>
    <row r="23" spans="1:8" ht="15">
      <c r="A23" s="28" t="s">
        <v>243</v>
      </c>
      <c r="B23" s="1554" t="s">
        <v>1044</v>
      </c>
      <c r="C23" s="1554"/>
      <c r="D23" s="7"/>
    </row>
    <row r="24" spans="1:8" ht="15">
      <c r="A24" s="25"/>
      <c r="B24" s="25"/>
      <c r="C24" s="7"/>
      <c r="D24" s="7"/>
      <c r="H24" s="224" t="s">
        <v>429</v>
      </c>
    </row>
    <row r="25" spans="1:8" ht="15">
      <c r="A25" s="25" t="s">
        <v>244</v>
      </c>
      <c r="B25" s="29">
        <f>C17</f>
        <v>266081.96799999999</v>
      </c>
      <c r="C25" s="27">
        <f>C20</f>
        <v>7579.5770000000193</v>
      </c>
      <c r="D25" s="30" t="s">
        <v>245</v>
      </c>
    </row>
    <row r="26" spans="1:8" ht="15">
      <c r="A26" s="25" t="s">
        <v>244</v>
      </c>
      <c r="B26" s="29">
        <f>B25</f>
        <v>266081.96799999999</v>
      </c>
      <c r="C26" s="27">
        <f>C25*3</f>
        <v>22738.731000000058</v>
      </c>
      <c r="D26" s="7"/>
    </row>
    <row r="27" spans="1:8" ht="15">
      <c r="A27" s="25" t="s">
        <v>244</v>
      </c>
      <c r="B27" s="31">
        <f>B26+C26</f>
        <v>288820.69900000002</v>
      </c>
      <c r="C27" s="1545" t="s">
        <v>942</v>
      </c>
      <c r="D27" s="1545"/>
    </row>
    <row r="28" spans="1:8" ht="15">
      <c r="A28" s="25"/>
      <c r="B28" s="25"/>
      <c r="C28" s="7"/>
      <c r="D28" s="7"/>
    </row>
    <row r="29" spans="1:8" ht="15">
      <c r="A29" s="32" t="s">
        <v>246</v>
      </c>
      <c r="B29" s="33">
        <f>B27</f>
        <v>288820.69900000002</v>
      </c>
      <c r="C29" s="34">
        <f>C10</f>
        <v>276024.33</v>
      </c>
      <c r="D29" s="34">
        <f>B29-C29</f>
        <v>12796.369000000006</v>
      </c>
    </row>
    <row r="30" spans="1:8" ht="15">
      <c r="A30" s="32"/>
      <c r="B30" s="1546">
        <f>C10</f>
        <v>276024.33</v>
      </c>
      <c r="C30" s="1546"/>
      <c r="D30" s="27">
        <f>B30</f>
        <v>276024.33</v>
      </c>
    </row>
    <row r="31" spans="1:8" ht="15">
      <c r="A31" s="25"/>
      <c r="B31" s="25"/>
      <c r="C31" s="7"/>
      <c r="D31" s="7"/>
    </row>
    <row r="32" spans="1:8" ht="15">
      <c r="A32" s="32" t="s">
        <v>247</v>
      </c>
      <c r="B32" s="35">
        <f>D29/D30</f>
        <v>4.6359569100303602E-2</v>
      </c>
      <c r="C32" s="7"/>
      <c r="D32" s="7"/>
    </row>
    <row r="33" spans="1:4" ht="34.5" customHeight="1">
      <c r="A33" s="36" t="s">
        <v>247</v>
      </c>
      <c r="B33" s="37">
        <f>B32*1</f>
        <v>4.6359569100303602E-2</v>
      </c>
      <c r="C33" s="1547" t="s">
        <v>1042</v>
      </c>
      <c r="D33" s="1548"/>
    </row>
    <row r="34" spans="1:4">
      <c r="A34" s="14"/>
      <c r="B34" s="14"/>
    </row>
    <row r="35" spans="1:4">
      <c r="A35" s="224" t="s">
        <v>1129</v>
      </c>
    </row>
  </sheetData>
  <mergeCells count="11">
    <mergeCell ref="B30:C30"/>
    <mergeCell ref="C33:D33"/>
    <mergeCell ref="A15:D15"/>
    <mergeCell ref="D17:D18"/>
    <mergeCell ref="D20:D22"/>
    <mergeCell ref="B23:C23"/>
    <mergeCell ref="A1:D1"/>
    <mergeCell ref="A2:D2"/>
    <mergeCell ref="A3:D3"/>
    <mergeCell ref="A14:D14"/>
    <mergeCell ref="C27:D27"/>
  </mergeCells>
  <phoneticPr fontId="11" type="noConversion"/>
  <pageMargins left="1.34" right="0.75" top="0.72" bottom="1" header="0" footer="0"/>
  <pageSetup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T113"/>
  <sheetViews>
    <sheetView topLeftCell="A106" zoomScaleNormal="100" zoomScaleSheetLayoutView="95" workbookViewId="0">
      <selection activeCell="B58" sqref="B58"/>
    </sheetView>
  </sheetViews>
  <sheetFormatPr baseColWidth="10" defaultRowHeight="12.75"/>
  <cols>
    <col min="1" max="1" width="4.42578125" style="787" customWidth="1"/>
    <col min="2" max="2" width="28.140625" style="651" customWidth="1"/>
    <col min="3" max="3" width="19.28515625" customWidth="1"/>
    <col min="4" max="4" width="18.5703125" customWidth="1"/>
    <col min="5" max="5" width="5.140625" customWidth="1"/>
    <col min="6" max="6" width="12.7109375" customWidth="1"/>
    <col min="7" max="7" width="12.140625" customWidth="1"/>
    <col min="8" max="8" width="14.7109375" customWidth="1"/>
    <col min="9" max="9" width="13.5703125" bestFit="1" customWidth="1"/>
    <col min="10" max="10" width="11.28515625" customWidth="1"/>
    <col min="11" max="11" width="11.5703125" customWidth="1"/>
    <col min="12" max="12" width="5.7109375" customWidth="1"/>
    <col min="13" max="13" width="12" customWidth="1"/>
    <col min="14" max="14" width="8.85546875" customWidth="1"/>
    <col min="15" max="15" width="10.28515625" customWidth="1"/>
    <col min="16" max="16" width="12.28515625" customWidth="1"/>
    <col min="17" max="17" width="12.7109375" customWidth="1"/>
  </cols>
  <sheetData>
    <row r="1" spans="1:18" s="51" customFormat="1" ht="18.75" customHeight="1">
      <c r="A1" s="783"/>
      <c r="B1" s="244"/>
    </row>
    <row r="2" spans="1:18" s="51" customFormat="1" ht="24" customHeight="1">
      <c r="A2" s="1633" t="s">
        <v>1138</v>
      </c>
      <c r="B2" s="1633"/>
      <c r="C2" s="1633"/>
      <c r="D2" s="1633"/>
      <c r="E2" s="1633"/>
      <c r="F2" s="1633"/>
      <c r="G2" s="1633"/>
      <c r="H2" s="1633"/>
      <c r="I2" s="1633"/>
      <c r="J2" s="1633"/>
      <c r="K2" s="1633"/>
      <c r="L2" s="1633"/>
      <c r="M2" s="1633"/>
      <c r="N2" s="1633"/>
      <c r="O2" s="1633"/>
      <c r="P2" s="1633"/>
      <c r="Q2" s="1633"/>
    </row>
    <row r="3" spans="1:18" s="51" customFormat="1" ht="30" customHeight="1">
      <c r="A3" s="1634" t="s">
        <v>751</v>
      </c>
      <c r="B3" s="1633"/>
      <c r="C3" s="1633"/>
      <c r="D3" s="1633"/>
      <c r="E3" s="1633"/>
      <c r="F3" s="1633"/>
      <c r="G3" s="1633"/>
      <c r="H3" s="1633"/>
      <c r="I3" s="1633"/>
      <c r="J3" s="1633"/>
      <c r="K3" s="1633"/>
      <c r="L3" s="1633"/>
      <c r="M3" s="1633"/>
      <c r="N3" s="1633"/>
      <c r="O3" s="1633"/>
      <c r="P3" s="1633"/>
      <c r="Q3" s="1633"/>
    </row>
    <row r="4" spans="1:18" s="51" customFormat="1" ht="30" customHeight="1" thickBot="1">
      <c r="A4" s="1633" t="s">
        <v>1139</v>
      </c>
      <c r="B4" s="1633"/>
      <c r="C4" s="1633"/>
      <c r="D4" s="1633"/>
      <c r="E4" s="1633"/>
      <c r="F4" s="1633"/>
      <c r="G4" s="1633"/>
      <c r="H4" s="1633"/>
      <c r="I4" s="1633"/>
      <c r="J4" s="1633"/>
      <c r="K4" s="1633"/>
      <c r="L4" s="1633"/>
      <c r="M4" s="1633"/>
      <c r="N4" s="1633"/>
      <c r="O4" s="1633"/>
      <c r="P4" s="1633"/>
      <c r="Q4" s="1633"/>
    </row>
    <row r="5" spans="1:18" s="244" customFormat="1" ht="15.75">
      <c r="A5" s="1635" t="s">
        <v>248</v>
      </c>
      <c r="B5" s="1638" t="s">
        <v>249</v>
      </c>
      <c r="C5" s="1639" t="s">
        <v>250</v>
      </c>
      <c r="D5" s="1638" t="s">
        <v>251</v>
      </c>
      <c r="E5" s="1639" t="s">
        <v>252</v>
      </c>
      <c r="F5" s="1639" t="s">
        <v>253</v>
      </c>
      <c r="G5" s="1639" t="s">
        <v>254</v>
      </c>
      <c r="H5" s="1639"/>
      <c r="I5" s="1639" t="s">
        <v>419</v>
      </c>
      <c r="J5" s="1639"/>
      <c r="K5" s="1638" t="s">
        <v>255</v>
      </c>
      <c r="L5" s="1638"/>
      <c r="M5" s="1638"/>
      <c r="N5" s="1638"/>
      <c r="O5" s="1638"/>
      <c r="P5" s="1638"/>
      <c r="Q5" s="1638" t="s">
        <v>170</v>
      </c>
      <c r="R5" s="729"/>
    </row>
    <row r="6" spans="1:18" s="244" customFormat="1" ht="15.75">
      <c r="A6" s="1636"/>
      <c r="B6" s="1638"/>
      <c r="C6" s="1640"/>
      <c r="D6" s="1641"/>
      <c r="E6" s="1640"/>
      <c r="F6" s="1639"/>
      <c r="G6" s="1639"/>
      <c r="H6" s="1639"/>
      <c r="I6" s="1639"/>
      <c r="J6" s="1639"/>
      <c r="K6" s="1246" t="s">
        <v>1141</v>
      </c>
      <c r="L6" s="1644" t="s">
        <v>1140</v>
      </c>
      <c r="M6" s="1644"/>
      <c r="N6" s="1644"/>
      <c r="O6" s="1644"/>
      <c r="P6" s="1639" t="s">
        <v>420</v>
      </c>
      <c r="Q6" s="1638"/>
      <c r="R6" s="729"/>
    </row>
    <row r="7" spans="1:18" s="244" customFormat="1" ht="44.25" customHeight="1" thickBot="1">
      <c r="A7" s="1637"/>
      <c r="B7" s="1638"/>
      <c r="C7" s="1640"/>
      <c r="D7" s="1641"/>
      <c r="E7" s="1642"/>
      <c r="F7" s="1643"/>
      <c r="G7" s="728" t="s">
        <v>256</v>
      </c>
      <c r="H7" s="728" t="s">
        <v>257</v>
      </c>
      <c r="I7" s="707" t="s">
        <v>688</v>
      </c>
      <c r="J7" s="728" t="s">
        <v>258</v>
      </c>
      <c r="K7" s="728" t="s">
        <v>443</v>
      </c>
      <c r="L7" s="1247" t="s">
        <v>453</v>
      </c>
      <c r="M7" s="707" t="s">
        <v>259</v>
      </c>
      <c r="N7" s="707" t="s">
        <v>452</v>
      </c>
      <c r="O7" s="707" t="s">
        <v>260</v>
      </c>
      <c r="P7" s="1639"/>
      <c r="Q7" s="1638"/>
      <c r="R7" s="729"/>
    </row>
    <row r="8" spans="1:18" s="739" customFormat="1" ht="18" customHeight="1">
      <c r="A8" s="776">
        <v>1</v>
      </c>
      <c r="B8" s="1043" t="s">
        <v>718</v>
      </c>
      <c r="C8" s="732" t="s">
        <v>262</v>
      </c>
      <c r="D8" s="732" t="s">
        <v>263</v>
      </c>
      <c r="E8" s="733" t="s">
        <v>264</v>
      </c>
      <c r="F8" s="734" t="s">
        <v>265</v>
      </c>
      <c r="G8" s="735">
        <f>3820</f>
        <v>3820</v>
      </c>
      <c r="H8" s="736">
        <f>G8*12</f>
        <v>45840</v>
      </c>
      <c r="I8" s="736">
        <f>G8</f>
        <v>3820</v>
      </c>
      <c r="J8" s="736">
        <f>G8</f>
        <v>3820</v>
      </c>
      <c r="K8" s="736">
        <f>H8*7.75%</f>
        <v>3552.6</v>
      </c>
      <c r="L8" s="736"/>
      <c r="M8" s="736">
        <f t="shared" ref="M8:M25" si="0">IF(G8&gt;1000,1000*7.5%*12,G8*7.5%*12)</f>
        <v>900</v>
      </c>
      <c r="N8" s="736"/>
      <c r="O8" s="736">
        <f>IF(G8&gt;1000,1000*1%*12,G8*1%*12)</f>
        <v>120</v>
      </c>
      <c r="P8" s="736">
        <f>SUM(I8:O8)</f>
        <v>12212.6</v>
      </c>
      <c r="Q8" s="737">
        <f>SUM(H8+P8)</f>
        <v>58052.6</v>
      </c>
      <c r="R8" s="738"/>
    </row>
    <row r="9" spans="1:18" s="739" customFormat="1" ht="17.25" customHeight="1">
      <c r="A9" s="776">
        <v>2</v>
      </c>
      <c r="B9" s="753" t="s">
        <v>720</v>
      </c>
      <c r="C9" s="732" t="s">
        <v>719</v>
      </c>
      <c r="D9" s="732" t="s">
        <v>719</v>
      </c>
      <c r="E9" s="741" t="s">
        <v>264</v>
      </c>
      <c r="F9" s="734" t="s">
        <v>265</v>
      </c>
      <c r="G9" s="735">
        <v>2000</v>
      </c>
      <c r="H9" s="736">
        <f>G9*12</f>
        <v>24000</v>
      </c>
      <c r="I9" s="736">
        <f t="shared" ref="I9:I28" si="1">G9</f>
        <v>2000</v>
      </c>
      <c r="J9" s="736">
        <f>G9</f>
        <v>2000</v>
      </c>
      <c r="K9" s="736">
        <f>H9*7.75%</f>
        <v>1860</v>
      </c>
      <c r="L9" s="736"/>
      <c r="M9" s="736">
        <f t="shared" si="0"/>
        <v>900</v>
      </c>
      <c r="N9" s="736"/>
      <c r="O9" s="736">
        <f>IF(G9&gt;1000,1000*1%*12,G9*1%*12)</f>
        <v>120</v>
      </c>
      <c r="P9" s="736">
        <f>SUM(I9:O9)</f>
        <v>6880</v>
      </c>
      <c r="Q9" s="737">
        <f>SUM(H9+P9)</f>
        <v>30880</v>
      </c>
      <c r="R9" s="742"/>
    </row>
    <row r="10" spans="1:18" s="739" customFormat="1" ht="17.25" customHeight="1">
      <c r="A10" s="776">
        <v>3</v>
      </c>
      <c r="B10" s="753"/>
      <c r="C10" s="732" t="s">
        <v>266</v>
      </c>
      <c r="D10" s="743" t="s">
        <v>266</v>
      </c>
      <c r="E10" s="741"/>
      <c r="F10" s="734" t="s">
        <v>265</v>
      </c>
      <c r="G10" s="735">
        <v>750</v>
      </c>
      <c r="H10" s="736">
        <f>G10*12</f>
        <v>9000</v>
      </c>
      <c r="I10" s="736">
        <f t="shared" ref="I10" si="2">G10</f>
        <v>750</v>
      </c>
      <c r="J10" s="736">
        <f>G10</f>
        <v>750</v>
      </c>
      <c r="K10" s="736">
        <f>H10*7.75%</f>
        <v>697.5</v>
      </c>
      <c r="L10" s="736"/>
      <c r="M10" s="736">
        <f t="shared" ref="M10" si="3">IF(G10&gt;1000,1000*7.5%*12,G10*7.5%*12)</f>
        <v>675</v>
      </c>
      <c r="N10" s="736"/>
      <c r="O10" s="736">
        <f>IF(G10&gt;1000,1000*1%*12,G10*1%*12)</f>
        <v>90</v>
      </c>
      <c r="P10" s="736">
        <f>SUM(I10:O10)</f>
        <v>2962.5</v>
      </c>
      <c r="Q10" s="737">
        <f>SUM(H10+P10)</f>
        <v>11962.5</v>
      </c>
      <c r="R10" s="742"/>
    </row>
    <row r="11" spans="1:18" s="750" customFormat="1">
      <c r="A11" s="777"/>
      <c r="B11" s="1019" t="s">
        <v>267</v>
      </c>
      <c r="C11" s="745"/>
      <c r="D11" s="746"/>
      <c r="E11" s="747"/>
      <c r="F11" s="748"/>
      <c r="G11" s="749"/>
      <c r="H11" s="749"/>
      <c r="I11" s="749"/>
      <c r="J11" s="749"/>
      <c r="K11" s="749"/>
      <c r="L11" s="749">
        <f>SUM(L8:L10)</f>
        <v>0</v>
      </c>
      <c r="M11" s="749"/>
      <c r="N11" s="749">
        <f>SUM(N8:N10)</f>
        <v>0</v>
      </c>
      <c r="O11" s="749"/>
      <c r="P11" s="749"/>
      <c r="Q11" s="749"/>
      <c r="R11" s="744"/>
    </row>
    <row r="12" spans="1:18" s="739" customFormat="1" ht="15.75" customHeight="1">
      <c r="A12" s="776">
        <v>4</v>
      </c>
      <c r="B12" s="753"/>
      <c r="C12" s="751" t="s">
        <v>797</v>
      </c>
      <c r="D12" s="751" t="s">
        <v>797</v>
      </c>
      <c r="E12" s="733" t="s">
        <v>264</v>
      </c>
      <c r="F12" s="734" t="s">
        <v>265</v>
      </c>
      <c r="G12" s="752">
        <v>1500</v>
      </c>
      <c r="H12" s="736">
        <f t="shared" ref="H12:H13" si="4">G12*12</f>
        <v>18000</v>
      </c>
      <c r="I12" s="736">
        <f t="shared" ref="I12:I13" si="5">G12</f>
        <v>1500</v>
      </c>
      <c r="J12" s="736">
        <f t="shared" ref="J12:J13" si="6">G12</f>
        <v>1500</v>
      </c>
      <c r="K12" s="736">
        <f t="shared" ref="K12:K13" si="7">H12*7.75%</f>
        <v>1395</v>
      </c>
      <c r="L12" s="736"/>
      <c r="M12" s="736">
        <f t="shared" ref="M12:M13" si="8">IF(G12&gt;1000,1000*7.5%*12,G12*7.5%*12)</f>
        <v>900</v>
      </c>
      <c r="N12" s="736"/>
      <c r="O12" s="736">
        <f t="shared" ref="O12:O13" si="9">IF(G12&gt;1000,1000*1%*12,G12*1%*9)</f>
        <v>120</v>
      </c>
      <c r="P12" s="736">
        <f t="shared" ref="P12:P13" si="10">SUM(I12:O12)</f>
        <v>5415</v>
      </c>
      <c r="Q12" s="737">
        <f t="shared" ref="Q12:Q13" si="11">SUM(H12+P12)</f>
        <v>23415</v>
      </c>
      <c r="R12" s="740"/>
    </row>
    <row r="13" spans="1:18" s="739" customFormat="1" ht="15" customHeight="1">
      <c r="A13" s="776">
        <v>5</v>
      </c>
      <c r="B13" s="753"/>
      <c r="C13" s="740" t="s">
        <v>272</v>
      </c>
      <c r="D13" s="740" t="s">
        <v>273</v>
      </c>
      <c r="E13" s="733" t="s">
        <v>264</v>
      </c>
      <c r="F13" s="734" t="s">
        <v>265</v>
      </c>
      <c r="G13" s="752">
        <v>750</v>
      </c>
      <c r="H13" s="736">
        <f t="shared" si="4"/>
        <v>9000</v>
      </c>
      <c r="I13" s="736">
        <f t="shared" si="5"/>
        <v>750</v>
      </c>
      <c r="J13" s="736">
        <f t="shared" si="6"/>
        <v>750</v>
      </c>
      <c r="K13" s="736">
        <f t="shared" si="7"/>
        <v>697.5</v>
      </c>
      <c r="L13" s="736"/>
      <c r="M13" s="736">
        <f t="shared" si="8"/>
        <v>675</v>
      </c>
      <c r="N13" s="736"/>
      <c r="O13" s="736">
        <f t="shared" si="9"/>
        <v>67.5</v>
      </c>
      <c r="P13" s="736">
        <f t="shared" si="10"/>
        <v>2940</v>
      </c>
      <c r="Q13" s="737">
        <f t="shared" si="11"/>
        <v>11940</v>
      </c>
      <c r="R13" s="740"/>
    </row>
    <row r="14" spans="1:18" s="739" customFormat="1" ht="16.5" customHeight="1">
      <c r="A14" s="776">
        <v>6</v>
      </c>
      <c r="B14" s="753"/>
      <c r="C14" s="740" t="s">
        <v>721</v>
      </c>
      <c r="D14" s="740" t="s">
        <v>722</v>
      </c>
      <c r="E14" s="733" t="s">
        <v>264</v>
      </c>
      <c r="F14" s="734" t="s">
        <v>265</v>
      </c>
      <c r="G14" s="735">
        <v>1000</v>
      </c>
      <c r="H14" s="736">
        <f t="shared" ref="H14:H19" si="12">G14*12</f>
        <v>12000</v>
      </c>
      <c r="I14" s="736">
        <f t="shared" ref="I14:I19" si="13">G14</f>
        <v>1000</v>
      </c>
      <c r="J14" s="736">
        <f t="shared" ref="J14:J19" si="14">G14</f>
        <v>1000</v>
      </c>
      <c r="K14" s="736"/>
      <c r="L14" s="736"/>
      <c r="M14" s="736"/>
      <c r="N14" s="736"/>
      <c r="O14" s="736"/>
      <c r="P14" s="736">
        <f>SUM(I14:O14)</f>
        <v>2000</v>
      </c>
      <c r="Q14" s="737">
        <f t="shared" ref="Q14:Q19" si="15">SUM(H14+P14)</f>
        <v>14000</v>
      </c>
      <c r="R14" s="740"/>
    </row>
    <row r="15" spans="1:18" s="739" customFormat="1" ht="15.75" customHeight="1">
      <c r="A15" s="776">
        <v>7</v>
      </c>
      <c r="B15" s="753"/>
      <c r="C15" s="740" t="s">
        <v>721</v>
      </c>
      <c r="D15" s="740" t="s">
        <v>800</v>
      </c>
      <c r="E15" s="733" t="s">
        <v>264</v>
      </c>
      <c r="F15" s="734" t="s">
        <v>265</v>
      </c>
      <c r="G15" s="752">
        <v>850</v>
      </c>
      <c r="H15" s="736">
        <f>G15*12</f>
        <v>10200</v>
      </c>
      <c r="I15" s="736">
        <f>G15</f>
        <v>850</v>
      </c>
      <c r="J15" s="736">
        <f>G15</f>
        <v>850</v>
      </c>
      <c r="K15" s="736">
        <f>H15*7.75%</f>
        <v>790.5</v>
      </c>
      <c r="L15" s="736"/>
      <c r="M15" s="736">
        <f>IF(G15&gt;1000,1000*7.5%*12,G15*7.5%*12)</f>
        <v>765</v>
      </c>
      <c r="N15" s="736"/>
      <c r="O15" s="736">
        <f>IF(G15&gt;1000,1000*1%*12,G15*1%*9)</f>
        <v>76.5</v>
      </c>
      <c r="P15" s="736">
        <f>SUM(I15:O15)</f>
        <v>3332</v>
      </c>
      <c r="Q15" s="737">
        <f>SUM(H15+P15)</f>
        <v>13532</v>
      </c>
      <c r="R15" s="740"/>
    </row>
    <row r="16" spans="1:18" s="739" customFormat="1" ht="15.75" customHeight="1">
      <c r="A16" s="776">
        <v>8</v>
      </c>
      <c r="B16" s="753"/>
      <c r="C16" s="732" t="s">
        <v>446</v>
      </c>
      <c r="D16" s="740" t="s">
        <v>446</v>
      </c>
      <c r="E16" s="733" t="s">
        <v>264</v>
      </c>
      <c r="F16" s="734" t="s">
        <v>265</v>
      </c>
      <c r="G16" s="752">
        <v>750</v>
      </c>
      <c r="H16" s="736">
        <f t="shared" si="12"/>
        <v>9000</v>
      </c>
      <c r="I16" s="736">
        <f t="shared" si="13"/>
        <v>750</v>
      </c>
      <c r="J16" s="736">
        <f t="shared" si="14"/>
        <v>750</v>
      </c>
      <c r="K16" s="736">
        <f t="shared" ref="K16:K19" si="16">H16*7.75%</f>
        <v>697.5</v>
      </c>
      <c r="L16" s="736"/>
      <c r="M16" s="736">
        <f t="shared" ref="M16:M19" si="17">IF(G16&gt;1000,1000*7.5%*12,G16*7.5%*12)</f>
        <v>675</v>
      </c>
      <c r="N16" s="736"/>
      <c r="O16" s="736">
        <f t="shared" ref="O16:O19" si="18">IF(G16&gt;1000,1000*1%*12,G16*1%*9)</f>
        <v>67.5</v>
      </c>
      <c r="P16" s="736">
        <f t="shared" ref="P16:P19" si="19">SUM(I16:O16)</f>
        <v>2940</v>
      </c>
      <c r="Q16" s="737">
        <f t="shared" si="15"/>
        <v>11940</v>
      </c>
      <c r="R16" s="740"/>
    </row>
    <row r="17" spans="1:18" s="739" customFormat="1" ht="19.5" customHeight="1">
      <c r="A17" s="776">
        <v>9</v>
      </c>
      <c r="B17" s="753"/>
      <c r="C17" s="740" t="s">
        <v>668</v>
      </c>
      <c r="D17" s="740" t="s">
        <v>668</v>
      </c>
      <c r="E17" s="733" t="s">
        <v>264</v>
      </c>
      <c r="F17" s="734" t="s">
        <v>265</v>
      </c>
      <c r="G17" s="752">
        <v>900</v>
      </c>
      <c r="H17" s="736">
        <f t="shared" si="12"/>
        <v>10800</v>
      </c>
      <c r="I17" s="736">
        <f t="shared" si="13"/>
        <v>900</v>
      </c>
      <c r="J17" s="736">
        <f t="shared" si="14"/>
        <v>900</v>
      </c>
      <c r="K17" s="736">
        <f t="shared" si="16"/>
        <v>837</v>
      </c>
      <c r="L17" s="736"/>
      <c r="M17" s="736">
        <f t="shared" si="17"/>
        <v>810</v>
      </c>
      <c r="N17" s="736"/>
      <c r="O17" s="736">
        <f t="shared" si="18"/>
        <v>81</v>
      </c>
      <c r="P17" s="736">
        <f t="shared" si="19"/>
        <v>3528</v>
      </c>
      <c r="Q17" s="737">
        <f t="shared" si="15"/>
        <v>14328</v>
      </c>
      <c r="R17" s="740"/>
    </row>
    <row r="18" spans="1:18" s="739" customFormat="1">
      <c r="A18" s="776">
        <v>10</v>
      </c>
      <c r="B18" s="753"/>
      <c r="C18" s="740" t="s">
        <v>269</v>
      </c>
      <c r="D18" s="740" t="s">
        <v>270</v>
      </c>
      <c r="E18" s="733" t="s">
        <v>264</v>
      </c>
      <c r="F18" s="734" t="s">
        <v>265</v>
      </c>
      <c r="G18" s="752">
        <v>900</v>
      </c>
      <c r="H18" s="736">
        <f t="shared" si="12"/>
        <v>10800</v>
      </c>
      <c r="I18" s="736">
        <f t="shared" si="13"/>
        <v>900</v>
      </c>
      <c r="J18" s="736">
        <f t="shared" si="14"/>
        <v>900</v>
      </c>
      <c r="K18" s="736">
        <f t="shared" si="16"/>
        <v>837</v>
      </c>
      <c r="L18" s="736"/>
      <c r="M18" s="736">
        <f t="shared" si="17"/>
        <v>810</v>
      </c>
      <c r="N18" s="736"/>
      <c r="O18" s="736">
        <f t="shared" si="18"/>
        <v>81</v>
      </c>
      <c r="P18" s="736">
        <f t="shared" si="19"/>
        <v>3528</v>
      </c>
      <c r="Q18" s="737">
        <f t="shared" si="15"/>
        <v>14328</v>
      </c>
      <c r="R18" s="740"/>
    </row>
    <row r="19" spans="1:18" s="739" customFormat="1">
      <c r="A19" s="776">
        <v>11</v>
      </c>
      <c r="B19" s="753"/>
      <c r="C19" s="740" t="s">
        <v>445</v>
      </c>
      <c r="D19" s="740" t="s">
        <v>445</v>
      </c>
      <c r="E19" s="733" t="s">
        <v>264</v>
      </c>
      <c r="F19" s="734" t="s">
        <v>265</v>
      </c>
      <c r="G19" s="752">
        <v>700</v>
      </c>
      <c r="H19" s="736">
        <f t="shared" si="12"/>
        <v>8400</v>
      </c>
      <c r="I19" s="736">
        <f t="shared" si="13"/>
        <v>700</v>
      </c>
      <c r="J19" s="736">
        <f t="shared" si="14"/>
        <v>700</v>
      </c>
      <c r="K19" s="736">
        <f t="shared" si="16"/>
        <v>651</v>
      </c>
      <c r="L19" s="736"/>
      <c r="M19" s="736">
        <f t="shared" si="17"/>
        <v>630</v>
      </c>
      <c r="N19" s="736"/>
      <c r="O19" s="736">
        <f t="shared" si="18"/>
        <v>63</v>
      </c>
      <c r="P19" s="736">
        <f t="shared" si="19"/>
        <v>2744</v>
      </c>
      <c r="Q19" s="737">
        <f t="shared" si="15"/>
        <v>11144</v>
      </c>
      <c r="R19" s="740"/>
    </row>
    <row r="20" spans="1:18" s="760" customFormat="1" ht="39" customHeight="1">
      <c r="A20" s="776">
        <v>12</v>
      </c>
      <c r="B20" s="753"/>
      <c r="C20" s="754" t="s">
        <v>796</v>
      </c>
      <c r="D20" s="754" t="s">
        <v>793</v>
      </c>
      <c r="E20" s="755" t="s">
        <v>264</v>
      </c>
      <c r="F20" s="756" t="s">
        <v>265</v>
      </c>
      <c r="G20" s="757">
        <v>800</v>
      </c>
      <c r="H20" s="758">
        <f t="shared" ref="H20:H21" si="20">G20*12</f>
        <v>9600</v>
      </c>
      <c r="I20" s="758">
        <f t="shared" ref="I20:I21" si="21">G20</f>
        <v>800</v>
      </c>
      <c r="J20" s="758">
        <f t="shared" ref="J20:J21" si="22">G20</f>
        <v>800</v>
      </c>
      <c r="K20" s="758">
        <f t="shared" ref="K20:K21" si="23">H20*7.75%</f>
        <v>744</v>
      </c>
      <c r="L20" s="758"/>
      <c r="M20" s="758">
        <f t="shared" ref="M20:M21" si="24">IF(G20&gt;1000,1000*7.5%*12,G20*7.5%*12)</f>
        <v>720</v>
      </c>
      <c r="N20" s="758"/>
      <c r="O20" s="758">
        <f t="shared" ref="O20:O21" si="25">IF(G20&gt;1000,1000*1%*12,G20*1%*9)</f>
        <v>72</v>
      </c>
      <c r="P20" s="758">
        <f t="shared" ref="P20:P21" si="26">SUM(I20:O20)</f>
        <v>3136</v>
      </c>
      <c r="Q20" s="759">
        <f t="shared" ref="Q20:Q21" si="27">SUM(H20+P20)</f>
        <v>12736</v>
      </c>
      <c r="R20" s="753"/>
    </row>
    <row r="21" spans="1:18" s="739" customFormat="1">
      <c r="A21" s="776">
        <v>13</v>
      </c>
      <c r="B21" s="753"/>
      <c r="C21" s="740" t="s">
        <v>794</v>
      </c>
      <c r="D21" s="751" t="s">
        <v>794</v>
      </c>
      <c r="E21" s="733" t="s">
        <v>264</v>
      </c>
      <c r="F21" s="734" t="s">
        <v>265</v>
      </c>
      <c r="G21" s="752">
        <v>800</v>
      </c>
      <c r="H21" s="736">
        <f t="shared" si="20"/>
        <v>9600</v>
      </c>
      <c r="I21" s="736">
        <f t="shared" si="21"/>
        <v>800</v>
      </c>
      <c r="J21" s="736">
        <f t="shared" si="22"/>
        <v>800</v>
      </c>
      <c r="K21" s="736">
        <f t="shared" si="23"/>
        <v>744</v>
      </c>
      <c r="L21" s="736"/>
      <c r="M21" s="736">
        <f t="shared" si="24"/>
        <v>720</v>
      </c>
      <c r="N21" s="736"/>
      <c r="O21" s="736">
        <f t="shared" si="25"/>
        <v>72</v>
      </c>
      <c r="P21" s="736">
        <f t="shared" si="26"/>
        <v>3136</v>
      </c>
      <c r="Q21" s="737">
        <f t="shared" si="27"/>
        <v>12736</v>
      </c>
      <c r="R21" s="740"/>
    </row>
    <row r="22" spans="1:18" s="739" customFormat="1" ht="25.5">
      <c r="A22" s="776">
        <v>14</v>
      </c>
      <c r="B22" s="1044"/>
      <c r="C22" s="761" t="s">
        <v>400</v>
      </c>
      <c r="D22" s="740" t="s">
        <v>268</v>
      </c>
      <c r="E22" s="733" t="s">
        <v>264</v>
      </c>
      <c r="F22" s="734" t="s">
        <v>265</v>
      </c>
      <c r="G22" s="735">
        <f>600+92+69.2+38.8</f>
        <v>800</v>
      </c>
      <c r="H22" s="736">
        <f t="shared" ref="H22:H25" si="28">G22*12</f>
        <v>9600</v>
      </c>
      <c r="I22" s="736">
        <f t="shared" si="1"/>
        <v>800</v>
      </c>
      <c r="J22" s="736">
        <f t="shared" ref="J22:J25" si="29">G22</f>
        <v>800</v>
      </c>
      <c r="K22" s="736">
        <f t="shared" ref="K22:K25" si="30">H22*7.75%</f>
        <v>744</v>
      </c>
      <c r="L22" s="736"/>
      <c r="M22" s="736">
        <f t="shared" si="0"/>
        <v>720</v>
      </c>
      <c r="N22" s="736"/>
      <c r="O22" s="736">
        <f>IF(G22&gt;1000,1000*1%*12,G22*1%*9)</f>
        <v>72</v>
      </c>
      <c r="P22" s="736">
        <f t="shared" ref="P22:P25" si="31">SUM(I22:O22)</f>
        <v>3136</v>
      </c>
      <c r="Q22" s="737">
        <f t="shared" ref="Q22:Q25" si="32">SUM(H22+P22)</f>
        <v>12736</v>
      </c>
      <c r="R22" s="740"/>
    </row>
    <row r="23" spans="1:18" s="739" customFormat="1">
      <c r="A23" s="776">
        <v>15</v>
      </c>
      <c r="B23" s="753"/>
      <c r="C23" s="751" t="s">
        <v>723</v>
      </c>
      <c r="D23" s="751" t="s">
        <v>723</v>
      </c>
      <c r="E23" s="733" t="s">
        <v>264</v>
      </c>
      <c r="F23" s="734" t="s">
        <v>265</v>
      </c>
      <c r="G23" s="735">
        <v>650</v>
      </c>
      <c r="H23" s="736">
        <f t="shared" si="28"/>
        <v>7800</v>
      </c>
      <c r="I23" s="736">
        <f t="shared" si="1"/>
        <v>650</v>
      </c>
      <c r="J23" s="736">
        <f t="shared" si="29"/>
        <v>650</v>
      </c>
      <c r="K23" s="736">
        <f t="shared" si="30"/>
        <v>604.5</v>
      </c>
      <c r="L23" s="736"/>
      <c r="M23" s="736">
        <f t="shared" si="0"/>
        <v>585</v>
      </c>
      <c r="N23" s="736"/>
      <c r="O23" s="736">
        <f>IF(G23&gt;1000,1000*1%*12,G23*1%*12)</f>
        <v>78</v>
      </c>
      <c r="P23" s="736">
        <f t="shared" si="31"/>
        <v>2567.5</v>
      </c>
      <c r="Q23" s="737">
        <f t="shared" si="32"/>
        <v>10367.5</v>
      </c>
      <c r="R23" s="740"/>
    </row>
    <row r="24" spans="1:18" s="739" customFormat="1" ht="28.9" customHeight="1">
      <c r="A24" s="776">
        <v>16</v>
      </c>
      <c r="B24" s="1044"/>
      <c r="C24" s="751" t="s">
        <v>795</v>
      </c>
      <c r="D24" s="751" t="s">
        <v>795</v>
      </c>
      <c r="E24" s="733" t="s">
        <v>264</v>
      </c>
      <c r="F24" s="734" t="s">
        <v>265</v>
      </c>
      <c r="G24" s="735">
        <v>563</v>
      </c>
      <c r="H24" s="736">
        <f t="shared" ref="H24" si="33">G24*12</f>
        <v>6756</v>
      </c>
      <c r="I24" s="736">
        <f t="shared" ref="I24" si="34">G24</f>
        <v>563</v>
      </c>
      <c r="J24" s="736">
        <f t="shared" ref="J24" si="35">G24</f>
        <v>563</v>
      </c>
      <c r="K24" s="736">
        <f t="shared" ref="K24" si="36">H24*7.75%</f>
        <v>523.59</v>
      </c>
      <c r="L24" s="736"/>
      <c r="M24" s="736">
        <f t="shared" ref="M24" si="37">IF(G24&gt;1000,1000*7.5%*12,G24*7.5%*12)</f>
        <v>506.70000000000005</v>
      </c>
      <c r="N24" s="736"/>
      <c r="O24" s="736">
        <f>IF(G24&gt;1000,1000*1%*12,G24*1%*12)</f>
        <v>67.56</v>
      </c>
      <c r="P24" s="736">
        <f t="shared" ref="P24" si="38">SUM(I24:O24)</f>
        <v>2223.85</v>
      </c>
      <c r="Q24" s="737">
        <f t="shared" ref="Q24" si="39">SUM(H24+P24)</f>
        <v>8979.85</v>
      </c>
      <c r="R24" s="740"/>
    </row>
    <row r="25" spans="1:18" s="739" customFormat="1">
      <c r="A25" s="776">
        <v>17</v>
      </c>
      <c r="B25" s="753"/>
      <c r="C25" s="740" t="s">
        <v>726</v>
      </c>
      <c r="D25" s="740" t="s">
        <v>726</v>
      </c>
      <c r="E25" s="733" t="s">
        <v>264</v>
      </c>
      <c r="F25" s="734" t="s">
        <v>265</v>
      </c>
      <c r="G25" s="735">
        <v>748</v>
      </c>
      <c r="H25" s="736">
        <f t="shared" si="28"/>
        <v>8976</v>
      </c>
      <c r="I25" s="736">
        <f t="shared" si="1"/>
        <v>748</v>
      </c>
      <c r="J25" s="736">
        <f t="shared" si="29"/>
        <v>748</v>
      </c>
      <c r="K25" s="736">
        <f t="shared" si="30"/>
        <v>695.64</v>
      </c>
      <c r="L25" s="736"/>
      <c r="M25" s="736">
        <f t="shared" si="0"/>
        <v>673.2</v>
      </c>
      <c r="N25" s="736"/>
      <c r="O25" s="736">
        <f t="shared" ref="O25" si="40">IF(G25&gt;1000,1000*1%*12,G25*1%*12)</f>
        <v>89.76</v>
      </c>
      <c r="P25" s="736">
        <f t="shared" si="31"/>
        <v>2954.6000000000004</v>
      </c>
      <c r="Q25" s="737">
        <f t="shared" si="32"/>
        <v>11930.6</v>
      </c>
      <c r="R25" s="740"/>
    </row>
    <row r="26" spans="1:18" s="750" customFormat="1">
      <c r="A26" s="784"/>
      <c r="B26" s="1045" t="s">
        <v>274</v>
      </c>
      <c r="C26" s="746"/>
      <c r="D26" s="747"/>
      <c r="E26" s="747"/>
      <c r="F26" s="748"/>
      <c r="G26" s="749"/>
      <c r="H26" s="749"/>
      <c r="I26" s="749"/>
      <c r="J26" s="749"/>
      <c r="K26" s="749"/>
      <c r="L26" s="749"/>
      <c r="M26" s="749"/>
      <c r="N26" s="749"/>
      <c r="O26" s="749"/>
      <c r="P26" s="749"/>
      <c r="Q26" s="749"/>
      <c r="R26" s="744"/>
    </row>
    <row r="27" spans="1:18" s="739" customFormat="1">
      <c r="A27" s="776">
        <v>18</v>
      </c>
      <c r="B27" s="753"/>
      <c r="C27" s="740" t="s">
        <v>275</v>
      </c>
      <c r="D27" s="740" t="s">
        <v>276</v>
      </c>
      <c r="E27" s="733" t="s">
        <v>264</v>
      </c>
      <c r="F27" s="734" t="s">
        <v>265</v>
      </c>
      <c r="G27" s="735">
        <f>645+47+69.2+0.8</f>
        <v>762</v>
      </c>
      <c r="H27" s="736">
        <f>G27*12</f>
        <v>9144</v>
      </c>
      <c r="I27" s="736">
        <f t="shared" si="1"/>
        <v>762</v>
      </c>
      <c r="J27" s="736">
        <f>G27</f>
        <v>762</v>
      </c>
      <c r="K27" s="736">
        <f>H27*7.75%</f>
        <v>708.66</v>
      </c>
      <c r="L27" s="736"/>
      <c r="M27" s="736">
        <f>IF(G27&gt;1000,1000*7.5%*12,G27*7.5%*12)</f>
        <v>685.8</v>
      </c>
      <c r="N27" s="736"/>
      <c r="O27" s="736">
        <f>IF(G27&gt;1000,1000*1%*12,G27*1%*12)</f>
        <v>91.44</v>
      </c>
      <c r="P27" s="736">
        <f>SUM(I27:O27)</f>
        <v>3009.9</v>
      </c>
      <c r="Q27" s="737">
        <f>SUM(H27+P27)</f>
        <v>12153.9</v>
      </c>
      <c r="R27" s="740"/>
    </row>
    <row r="28" spans="1:18" s="739" customFormat="1" ht="33.75" customHeight="1">
      <c r="A28" s="776">
        <v>19</v>
      </c>
      <c r="B28" s="1046"/>
      <c r="C28" s="978" t="s">
        <v>735</v>
      </c>
      <c r="D28" s="978" t="s">
        <v>735</v>
      </c>
      <c r="E28" s="733" t="s">
        <v>264</v>
      </c>
      <c r="F28" s="734" t="s">
        <v>265</v>
      </c>
      <c r="G28" s="735">
        <v>600</v>
      </c>
      <c r="H28" s="736">
        <f>G28*12</f>
        <v>7200</v>
      </c>
      <c r="I28" s="736">
        <f t="shared" si="1"/>
        <v>600</v>
      </c>
      <c r="J28" s="736">
        <f>G28</f>
        <v>600</v>
      </c>
      <c r="K28" s="736">
        <f>H28*7.75%</f>
        <v>558</v>
      </c>
      <c r="L28" s="736"/>
      <c r="M28" s="736">
        <f>IF(G28&gt;1000,1000*7.5%*12,G28*7.5%*12)</f>
        <v>540</v>
      </c>
      <c r="N28" s="736"/>
      <c r="O28" s="736">
        <f>IF(G28&gt;1000,1000*1%*12,G28*1%*12)</f>
        <v>72</v>
      </c>
      <c r="P28" s="736">
        <f>SUM(I28:O28)</f>
        <v>2370</v>
      </c>
      <c r="Q28" s="737">
        <f>SUM(H28+P28)</f>
        <v>9570</v>
      </c>
      <c r="R28" s="740"/>
    </row>
    <row r="29" spans="1:18" s="750" customFormat="1">
      <c r="A29" s="777"/>
      <c r="B29" s="1045" t="s">
        <v>277</v>
      </c>
      <c r="C29" s="745"/>
      <c r="D29" s="745"/>
      <c r="E29" s="746"/>
      <c r="F29" s="762"/>
      <c r="G29" s="749"/>
      <c r="H29" s="749"/>
      <c r="I29" s="749"/>
      <c r="J29" s="749"/>
      <c r="K29" s="749"/>
      <c r="L29" s="749"/>
      <c r="M29" s="749"/>
      <c r="N29" s="749"/>
      <c r="O29" s="749"/>
      <c r="P29" s="749"/>
      <c r="Q29" s="749"/>
      <c r="R29" s="744"/>
    </row>
    <row r="30" spans="1:18" s="739" customFormat="1" ht="24" customHeight="1">
      <c r="A30" s="776">
        <v>20</v>
      </c>
      <c r="B30" s="753"/>
      <c r="C30" s="751" t="s">
        <v>724</v>
      </c>
      <c r="D30" s="751" t="s">
        <v>724</v>
      </c>
      <c r="E30" s="733" t="s">
        <v>264</v>
      </c>
      <c r="F30" s="734" t="s">
        <v>265</v>
      </c>
      <c r="G30" s="735">
        <v>900</v>
      </c>
      <c r="H30" s="736">
        <f>G30*12</f>
        <v>10800</v>
      </c>
      <c r="I30" s="736">
        <f t="shared" ref="I30:I45" si="41">G30</f>
        <v>900</v>
      </c>
      <c r="J30" s="736">
        <f>G30</f>
        <v>900</v>
      </c>
      <c r="K30" s="736">
        <f t="shared" ref="K30:K35" si="42">H30*7.75%</f>
        <v>837</v>
      </c>
      <c r="L30" s="736"/>
      <c r="M30" s="736">
        <f t="shared" ref="M30:M44" si="43">IF(G30&gt;1000,1000*7.5%*12,G30*7.5%*12)</f>
        <v>810</v>
      </c>
      <c r="N30" s="736"/>
      <c r="O30" s="736">
        <f>IF(G30&gt;1000,1000*1%*12,G30*1%*12)</f>
        <v>108</v>
      </c>
      <c r="P30" s="736">
        <f t="shared" ref="P30:P45" si="44">SUM(I30:O30)</f>
        <v>3555</v>
      </c>
      <c r="Q30" s="737">
        <f>SUM(H30+P30)</f>
        <v>14355</v>
      </c>
      <c r="R30" s="740"/>
    </row>
    <row r="31" spans="1:18" s="739" customFormat="1" ht="24" customHeight="1">
      <c r="A31" s="776">
        <v>21</v>
      </c>
      <c r="B31" s="753"/>
      <c r="C31" s="751" t="s">
        <v>725</v>
      </c>
      <c r="D31" s="751" t="s">
        <v>725</v>
      </c>
      <c r="E31" s="733" t="s">
        <v>264</v>
      </c>
      <c r="F31" s="734" t="s">
        <v>265</v>
      </c>
      <c r="G31" s="736">
        <v>553.75</v>
      </c>
      <c r="H31" s="736">
        <f>G31*12</f>
        <v>6645</v>
      </c>
      <c r="I31" s="736">
        <f t="shared" ref="I31" si="45">G31</f>
        <v>553.75</v>
      </c>
      <c r="J31" s="736">
        <f>G31</f>
        <v>553.75</v>
      </c>
      <c r="K31" s="736">
        <f t="shared" ref="K31" si="46">H31*7.75%</f>
        <v>514.98749999999995</v>
      </c>
      <c r="L31" s="736"/>
      <c r="M31" s="736">
        <f t="shared" ref="M31" si="47">IF(G31&gt;1000,1000*7.5%*12,G31*7.5%*12)</f>
        <v>498.375</v>
      </c>
      <c r="N31" s="736"/>
      <c r="O31" s="736">
        <f>IF(G31&gt;1000,1000*1%*12,G31*1%*12)</f>
        <v>66.45</v>
      </c>
      <c r="P31" s="736">
        <f t="shared" ref="P31" si="48">SUM(I31:O31)</f>
        <v>2187.3125</v>
      </c>
      <c r="Q31" s="737">
        <f>SUM(H31+P31)</f>
        <v>8832.3125</v>
      </c>
      <c r="R31" s="740"/>
    </row>
    <row r="32" spans="1:18" s="739" customFormat="1" ht="24.6" customHeight="1">
      <c r="A32" s="776">
        <v>22</v>
      </c>
      <c r="B32" s="753"/>
      <c r="C32" s="751" t="s">
        <v>667</v>
      </c>
      <c r="D32" s="751" t="s">
        <v>667</v>
      </c>
      <c r="E32" s="733" t="s">
        <v>264</v>
      </c>
      <c r="F32" s="734" t="s">
        <v>265</v>
      </c>
      <c r="G32" s="1073">
        <v>506</v>
      </c>
      <c r="H32" s="736">
        <f>G32*12</f>
        <v>6072</v>
      </c>
      <c r="I32" s="736">
        <f>G32</f>
        <v>506</v>
      </c>
      <c r="J32" s="736">
        <f>G32</f>
        <v>506</v>
      </c>
      <c r="K32" s="736">
        <f t="shared" si="42"/>
        <v>470.58</v>
      </c>
      <c r="L32" s="736"/>
      <c r="M32" s="736">
        <f>IF(G32&gt;1000,1000*7.5%*12,G32*7.5%*12)</f>
        <v>455.4</v>
      </c>
      <c r="N32" s="736"/>
      <c r="O32" s="736">
        <f t="shared" ref="O32:O35" si="49">IF(G32&gt;1000,1000*1%*12,G32*1%*12)</f>
        <v>60.720000000000006</v>
      </c>
      <c r="P32" s="736">
        <f>SUM(I32:O32)</f>
        <v>1998.7</v>
      </c>
      <c r="Q32" s="737">
        <f>SUM(H32+P32)</f>
        <v>8070.7</v>
      </c>
      <c r="R32" s="740"/>
    </row>
    <row r="33" spans="1:20" s="739" customFormat="1" ht="24" customHeight="1">
      <c r="A33" s="776">
        <v>23</v>
      </c>
      <c r="B33" s="754"/>
      <c r="C33" s="751" t="s">
        <v>994</v>
      </c>
      <c r="D33" s="751" t="s">
        <v>994</v>
      </c>
      <c r="E33" s="733" t="s">
        <v>264</v>
      </c>
      <c r="F33" s="734" t="s">
        <v>265</v>
      </c>
      <c r="G33" s="735">
        <v>600</v>
      </c>
      <c r="H33" s="736">
        <f>G33*12</f>
        <v>7200</v>
      </c>
      <c r="I33" s="736">
        <f>G33</f>
        <v>600</v>
      </c>
      <c r="J33" s="736">
        <f>G33</f>
        <v>600</v>
      </c>
      <c r="K33" s="736">
        <f t="shared" si="42"/>
        <v>558</v>
      </c>
      <c r="L33" s="736"/>
      <c r="M33" s="736">
        <f>IF(G33&gt;1000,1000*7.5%*12,G33*7.5%*12)</f>
        <v>540</v>
      </c>
      <c r="N33" s="736">
        <v>571.20000000000005</v>
      </c>
      <c r="O33" s="736">
        <f t="shared" si="49"/>
        <v>72</v>
      </c>
      <c r="P33" s="736">
        <f>SUM(I33:O33)</f>
        <v>2941.2</v>
      </c>
      <c r="Q33" s="736">
        <f>SUM(H33+P33)</f>
        <v>10141.200000000001</v>
      </c>
      <c r="R33" s="740"/>
    </row>
    <row r="34" spans="1:20" s="739" customFormat="1" ht="23.45" customHeight="1">
      <c r="A34" s="776">
        <v>24</v>
      </c>
      <c r="B34" s="1044"/>
      <c r="C34" s="740" t="s">
        <v>666</v>
      </c>
      <c r="D34" s="740" t="s">
        <v>666</v>
      </c>
      <c r="E34" s="733" t="s">
        <v>264</v>
      </c>
      <c r="F34" s="734" t="s">
        <v>265</v>
      </c>
      <c r="G34" s="736">
        <f>340+30</f>
        <v>370</v>
      </c>
      <c r="H34" s="736">
        <f t="shared" ref="H34" si="50">G34*12</f>
        <v>4440</v>
      </c>
      <c r="I34" s="736">
        <f t="shared" ref="I34" si="51">G34</f>
        <v>370</v>
      </c>
      <c r="J34" s="736">
        <f t="shared" ref="J34" si="52">G34</f>
        <v>370</v>
      </c>
      <c r="K34" s="736">
        <f t="shared" ref="K34" si="53">H34*7.75%</f>
        <v>344.1</v>
      </c>
      <c r="L34" s="737"/>
      <c r="M34" s="736">
        <f t="shared" ref="M34" si="54">IF(G34&gt;1000,1000*7.5%*12,G34*7.5%*12)</f>
        <v>333</v>
      </c>
      <c r="N34" s="737"/>
      <c r="O34" s="736">
        <f t="shared" ref="O34" si="55">IF(G34&gt;1000,1000*1%*12,G34*1%*12)</f>
        <v>44.400000000000006</v>
      </c>
      <c r="P34" s="736">
        <f t="shared" ref="P34" si="56">SUM(I34:O34)</f>
        <v>1461.5</v>
      </c>
      <c r="Q34" s="737">
        <f t="shared" ref="Q34:Q45" si="57">SUM(H34+P34)</f>
        <v>5901.5</v>
      </c>
      <c r="R34" s="740"/>
    </row>
    <row r="35" spans="1:20" s="739" customFormat="1">
      <c r="A35" s="776">
        <v>25</v>
      </c>
      <c r="B35" s="753" t="s">
        <v>1167</v>
      </c>
      <c r="C35" s="763" t="s">
        <v>727</v>
      </c>
      <c r="D35" s="763" t="s">
        <v>727</v>
      </c>
      <c r="E35" s="733" t="s">
        <v>264</v>
      </c>
      <c r="F35" s="734" t="s">
        <v>265</v>
      </c>
      <c r="G35" s="736">
        <v>553.75</v>
      </c>
      <c r="H35" s="736">
        <f t="shared" ref="H35:H45" si="58">G35*12</f>
        <v>6645</v>
      </c>
      <c r="I35" s="736">
        <f t="shared" si="41"/>
        <v>553.75</v>
      </c>
      <c r="J35" s="736">
        <f t="shared" ref="J35:J45" si="59">G35</f>
        <v>553.75</v>
      </c>
      <c r="K35" s="736">
        <f t="shared" si="42"/>
        <v>514.98749999999995</v>
      </c>
      <c r="L35" s="737"/>
      <c r="M35" s="736">
        <f t="shared" si="43"/>
        <v>498.375</v>
      </c>
      <c r="N35" s="737"/>
      <c r="O35" s="736">
        <f t="shared" si="49"/>
        <v>66.45</v>
      </c>
      <c r="P35" s="736">
        <f t="shared" si="44"/>
        <v>2187.3125</v>
      </c>
      <c r="Q35" s="737">
        <f t="shared" si="57"/>
        <v>8832.3125</v>
      </c>
      <c r="R35" s="740"/>
    </row>
    <row r="36" spans="1:20" s="750" customFormat="1" ht="24" customHeight="1">
      <c r="A36" s="777"/>
      <c r="B36" s="1609" t="s">
        <v>278</v>
      </c>
      <c r="C36" s="1609"/>
      <c r="D36" s="1609"/>
      <c r="E36" s="1609"/>
      <c r="F36" s="748"/>
      <c r="G36" s="749">
        <f t="shared" ref="G36:Q36" si="60">SUM(G8:G35)</f>
        <v>23126.5</v>
      </c>
      <c r="H36" s="749">
        <f t="shared" si="60"/>
        <v>277518</v>
      </c>
      <c r="I36" s="749">
        <f t="shared" si="60"/>
        <v>23126.5</v>
      </c>
      <c r="J36" s="749">
        <f t="shared" si="60"/>
        <v>23126.5</v>
      </c>
      <c r="K36" s="749">
        <f t="shared" si="60"/>
        <v>20577.645</v>
      </c>
      <c r="L36" s="749">
        <f t="shared" si="60"/>
        <v>0</v>
      </c>
      <c r="M36" s="749">
        <f>SUM(M8:M35)</f>
        <v>16025.85</v>
      </c>
      <c r="N36" s="749">
        <f t="shared" si="60"/>
        <v>571.20000000000005</v>
      </c>
      <c r="O36" s="749">
        <f t="shared" si="60"/>
        <v>1919.2800000000002</v>
      </c>
      <c r="P36" s="749">
        <f t="shared" si="60"/>
        <v>85346.974999999991</v>
      </c>
      <c r="Q36" s="749">
        <f t="shared" si="60"/>
        <v>362864.97499999998</v>
      </c>
      <c r="R36" s="744"/>
    </row>
    <row r="37" spans="1:20" s="750" customFormat="1" ht="24" hidden="1" customHeight="1">
      <c r="A37" s="777"/>
      <c r="B37" s="1609" t="s">
        <v>447</v>
      </c>
      <c r="C37" s="1609"/>
      <c r="D37" s="1609"/>
      <c r="E37" s="747"/>
      <c r="F37" s="748"/>
      <c r="G37" s="749"/>
      <c r="H37" s="749"/>
      <c r="I37" s="749"/>
      <c r="J37" s="749"/>
      <c r="K37" s="749"/>
      <c r="L37" s="749">
        <f>L11+L26+L29+L36</f>
        <v>0</v>
      </c>
      <c r="M37" s="749"/>
      <c r="N37" s="749"/>
      <c r="O37" s="749"/>
      <c r="P37" s="749"/>
      <c r="Q37" s="749"/>
      <c r="R37" s="744"/>
    </row>
    <row r="38" spans="1:20" s="710" customFormat="1" ht="20.25" customHeight="1">
      <c r="A38" s="1667" t="s">
        <v>743</v>
      </c>
      <c r="B38" s="1667"/>
      <c r="C38" s="1667"/>
      <c r="D38" s="1667"/>
      <c r="E38" s="1667"/>
      <c r="F38" s="1667"/>
      <c r="G38" s="1667"/>
      <c r="H38" s="1667"/>
      <c r="I38" s="1667"/>
      <c r="J38" s="1667"/>
      <c r="K38" s="1667"/>
      <c r="L38" s="1667"/>
      <c r="M38" s="1667"/>
      <c r="N38" s="1667"/>
      <c r="O38" s="1667"/>
      <c r="P38" s="1667"/>
      <c r="Q38" s="1667"/>
      <c r="R38" s="712"/>
    </row>
    <row r="39" spans="1:20" s="739" customFormat="1">
      <c r="A39" s="776">
        <v>1</v>
      </c>
      <c r="B39" s="753"/>
      <c r="C39" s="734" t="s">
        <v>444</v>
      </c>
      <c r="D39" s="734" t="s">
        <v>444</v>
      </c>
      <c r="E39" s="733" t="s">
        <v>264</v>
      </c>
      <c r="F39" s="774" t="s">
        <v>271</v>
      </c>
      <c r="G39" s="775">
        <v>370</v>
      </c>
      <c r="H39" s="736">
        <f t="shared" si="58"/>
        <v>4440</v>
      </c>
      <c r="I39" s="736">
        <f>G39</f>
        <v>370</v>
      </c>
      <c r="J39" s="736">
        <f>G39</f>
        <v>370</v>
      </c>
      <c r="K39" s="736">
        <f t="shared" ref="K39:K45" si="61">H39*7.75%</f>
        <v>344.1</v>
      </c>
      <c r="L39" s="736"/>
      <c r="M39" s="736">
        <f>IF(G39&gt;1000,1000*7.5%*12,G39*7.5%*12)</f>
        <v>333</v>
      </c>
      <c r="N39" s="736"/>
      <c r="O39" s="736">
        <f>IF(G39&gt;1000,1000*1%*12,G39*1%*12)</f>
        <v>44.400000000000006</v>
      </c>
      <c r="P39" s="736">
        <f t="shared" si="44"/>
        <v>1461.5</v>
      </c>
      <c r="Q39" s="737">
        <f t="shared" si="57"/>
        <v>5901.5</v>
      </c>
      <c r="R39" s="740"/>
    </row>
    <row r="40" spans="1:20" s="739" customFormat="1">
      <c r="A40" s="776">
        <v>2</v>
      </c>
      <c r="B40" s="753"/>
      <c r="C40" s="734" t="s">
        <v>670</v>
      </c>
      <c r="D40" s="734" t="s">
        <v>670</v>
      </c>
      <c r="E40" s="733" t="s">
        <v>264</v>
      </c>
      <c r="F40" s="774" t="s">
        <v>271</v>
      </c>
      <c r="G40" s="775">
        <v>500</v>
      </c>
      <c r="H40" s="736">
        <f>G40*12</f>
        <v>6000</v>
      </c>
      <c r="I40" s="736">
        <f>G40</f>
        <v>500</v>
      </c>
      <c r="J40" s="736">
        <f>G40</f>
        <v>500</v>
      </c>
      <c r="K40" s="736">
        <f>H40*7.75%</f>
        <v>465</v>
      </c>
      <c r="L40" s="736"/>
      <c r="M40" s="736">
        <f>IF(G40&gt;1000,1000*7.5%*12,G40*7.5%*12)</f>
        <v>450</v>
      </c>
      <c r="N40" s="736"/>
      <c r="O40" s="736">
        <f>IF(G40&gt;1000,1000*1%*12,G40*1%*12)</f>
        <v>60</v>
      </c>
      <c r="P40" s="736">
        <f>SUM(I40:O40)</f>
        <v>1975</v>
      </c>
      <c r="Q40" s="737">
        <f>SUM(H40+P40)</f>
        <v>7975</v>
      </c>
      <c r="R40" s="740"/>
    </row>
    <row r="41" spans="1:20" s="739" customFormat="1">
      <c r="A41" s="776">
        <v>3</v>
      </c>
      <c r="B41" s="753"/>
      <c r="C41" s="740" t="s">
        <v>1052</v>
      </c>
      <c r="D41" s="740" t="s">
        <v>1052</v>
      </c>
      <c r="E41" s="733" t="s">
        <v>264</v>
      </c>
      <c r="F41" s="774" t="s">
        <v>271</v>
      </c>
      <c r="G41" s="775">
        <v>467</v>
      </c>
      <c r="H41" s="736">
        <f t="shared" si="58"/>
        <v>5604</v>
      </c>
      <c r="I41" s="736">
        <f t="shared" si="41"/>
        <v>467</v>
      </c>
      <c r="J41" s="736">
        <f t="shared" si="59"/>
        <v>467</v>
      </c>
      <c r="K41" s="736">
        <f t="shared" si="61"/>
        <v>434.31</v>
      </c>
      <c r="L41" s="736"/>
      <c r="M41" s="736">
        <f t="shared" si="43"/>
        <v>420.29999999999995</v>
      </c>
      <c r="N41" s="736"/>
      <c r="O41" s="736">
        <f t="shared" ref="O41:O45" si="62">IF(G41&gt;1000,1000*1%*12,G41*1%*12)</f>
        <v>56.04</v>
      </c>
      <c r="P41" s="736">
        <f t="shared" si="44"/>
        <v>1844.6499999999999</v>
      </c>
      <c r="Q41" s="737">
        <f>SUM(H41+P41)</f>
        <v>7448.65</v>
      </c>
      <c r="R41" s="740"/>
      <c r="T41" s="736"/>
    </row>
    <row r="42" spans="1:20" s="739" customFormat="1">
      <c r="A42" s="776">
        <v>4</v>
      </c>
      <c r="B42" s="753"/>
      <c r="C42" s="740" t="s">
        <v>1052</v>
      </c>
      <c r="D42" s="740" t="s">
        <v>1052</v>
      </c>
      <c r="E42" s="733" t="s">
        <v>264</v>
      </c>
      <c r="F42" s="774" t="s">
        <v>271</v>
      </c>
      <c r="G42" s="775">
        <v>467</v>
      </c>
      <c r="H42" s="736">
        <f t="shared" si="58"/>
        <v>5604</v>
      </c>
      <c r="I42" s="736">
        <f t="shared" si="41"/>
        <v>467</v>
      </c>
      <c r="J42" s="736">
        <f t="shared" si="59"/>
        <v>467</v>
      </c>
      <c r="K42" s="736">
        <f t="shared" si="61"/>
        <v>434.31</v>
      </c>
      <c r="L42" s="736"/>
      <c r="M42" s="736">
        <f t="shared" si="43"/>
        <v>420.29999999999995</v>
      </c>
      <c r="N42" s="736"/>
      <c r="O42" s="736">
        <f t="shared" si="62"/>
        <v>56.04</v>
      </c>
      <c r="P42" s="736">
        <f t="shared" si="44"/>
        <v>1844.6499999999999</v>
      </c>
      <c r="Q42" s="737">
        <f t="shared" si="57"/>
        <v>7448.65</v>
      </c>
      <c r="R42" s="740"/>
    </row>
    <row r="43" spans="1:20" s="739" customFormat="1">
      <c r="A43" s="776">
        <v>5</v>
      </c>
      <c r="B43" s="753"/>
      <c r="C43" s="740" t="s">
        <v>1052</v>
      </c>
      <c r="D43" s="740" t="s">
        <v>1052</v>
      </c>
      <c r="E43" s="733" t="s">
        <v>264</v>
      </c>
      <c r="F43" s="774" t="s">
        <v>271</v>
      </c>
      <c r="G43" s="775">
        <v>533</v>
      </c>
      <c r="H43" s="736">
        <f t="shared" si="58"/>
        <v>6396</v>
      </c>
      <c r="I43" s="736">
        <f t="shared" si="41"/>
        <v>533</v>
      </c>
      <c r="J43" s="736">
        <f t="shared" si="59"/>
        <v>533</v>
      </c>
      <c r="K43" s="736">
        <f t="shared" si="61"/>
        <v>495.69</v>
      </c>
      <c r="L43" s="736"/>
      <c r="M43" s="736">
        <f t="shared" si="43"/>
        <v>479.70000000000005</v>
      </c>
      <c r="N43" s="736"/>
      <c r="O43" s="736">
        <f t="shared" si="62"/>
        <v>63.96</v>
      </c>
      <c r="P43" s="736">
        <f t="shared" si="44"/>
        <v>2105.35</v>
      </c>
      <c r="Q43" s="737">
        <f t="shared" si="57"/>
        <v>8501.35</v>
      </c>
      <c r="R43" s="740"/>
    </row>
    <row r="44" spans="1:20" s="739" customFormat="1">
      <c r="A44" s="776">
        <v>6</v>
      </c>
      <c r="B44" s="753"/>
      <c r="C44" s="740" t="s">
        <v>1052</v>
      </c>
      <c r="D44" s="740" t="s">
        <v>1052</v>
      </c>
      <c r="E44" s="733" t="s">
        <v>264</v>
      </c>
      <c r="F44" s="774" t="s">
        <v>271</v>
      </c>
      <c r="G44" s="775">
        <v>533</v>
      </c>
      <c r="H44" s="736">
        <f t="shared" si="58"/>
        <v>6396</v>
      </c>
      <c r="I44" s="736">
        <f t="shared" si="41"/>
        <v>533</v>
      </c>
      <c r="J44" s="736">
        <f t="shared" si="59"/>
        <v>533</v>
      </c>
      <c r="K44" s="736">
        <f t="shared" si="61"/>
        <v>495.69</v>
      </c>
      <c r="L44" s="736"/>
      <c r="M44" s="736">
        <f t="shared" si="43"/>
        <v>479.70000000000005</v>
      </c>
      <c r="N44" s="736"/>
      <c r="O44" s="736">
        <f t="shared" si="62"/>
        <v>63.96</v>
      </c>
      <c r="P44" s="736">
        <f t="shared" si="44"/>
        <v>2105.35</v>
      </c>
      <c r="Q44" s="737">
        <f t="shared" si="57"/>
        <v>8501.35</v>
      </c>
      <c r="R44" s="740"/>
    </row>
    <row r="45" spans="1:20" s="739" customFormat="1">
      <c r="A45" s="776">
        <v>7</v>
      </c>
      <c r="B45" s="753"/>
      <c r="C45" s="740" t="s">
        <v>1052</v>
      </c>
      <c r="D45" s="740" t="s">
        <v>1052</v>
      </c>
      <c r="E45" s="733" t="s">
        <v>264</v>
      </c>
      <c r="F45" s="774" t="s">
        <v>271</v>
      </c>
      <c r="G45" s="775">
        <v>467</v>
      </c>
      <c r="H45" s="736">
        <f t="shared" si="58"/>
        <v>5604</v>
      </c>
      <c r="I45" s="736">
        <f t="shared" si="41"/>
        <v>467</v>
      </c>
      <c r="J45" s="736">
        <f t="shared" si="59"/>
        <v>467</v>
      </c>
      <c r="K45" s="736">
        <f t="shared" si="61"/>
        <v>434.31</v>
      </c>
      <c r="L45" s="736"/>
      <c r="M45" s="736">
        <f>IF(G45&gt;1000,1000*7.5%*12,G45*7.5%*12)</f>
        <v>420.29999999999995</v>
      </c>
      <c r="N45" s="736"/>
      <c r="O45" s="736">
        <f t="shared" si="62"/>
        <v>56.04</v>
      </c>
      <c r="P45" s="736">
        <f t="shared" si="44"/>
        <v>1844.6499999999999</v>
      </c>
      <c r="Q45" s="737">
        <f t="shared" si="57"/>
        <v>7448.65</v>
      </c>
      <c r="R45" s="740"/>
    </row>
    <row r="46" spans="1:20" s="770" customFormat="1" ht="22.5" customHeight="1">
      <c r="A46" s="785"/>
      <c r="B46" s="1047" t="s">
        <v>448</v>
      </c>
      <c r="C46" s="766"/>
      <c r="D46" s="767"/>
      <c r="E46" s="767"/>
      <c r="F46" s="768"/>
      <c r="G46" s="769">
        <f t="shared" ref="G46:Q46" si="63">SUM(G39:G45)</f>
        <v>3337</v>
      </c>
      <c r="H46" s="769">
        <f t="shared" si="63"/>
        <v>40044</v>
      </c>
      <c r="I46" s="769">
        <f t="shared" si="63"/>
        <v>3337</v>
      </c>
      <c r="J46" s="769">
        <f t="shared" si="63"/>
        <v>3337</v>
      </c>
      <c r="K46" s="769">
        <f t="shared" si="63"/>
        <v>3103.41</v>
      </c>
      <c r="L46" s="1250">
        <f t="shared" si="63"/>
        <v>0</v>
      </c>
      <c r="M46" s="769">
        <f t="shared" si="63"/>
        <v>3003.3</v>
      </c>
      <c r="N46" s="769">
        <f t="shared" si="63"/>
        <v>0</v>
      </c>
      <c r="O46" s="769">
        <f t="shared" si="63"/>
        <v>400.44</v>
      </c>
      <c r="P46" s="769">
        <f t="shared" si="63"/>
        <v>13181.15</v>
      </c>
      <c r="Q46" s="769">
        <f t="shared" si="63"/>
        <v>53225.15</v>
      </c>
      <c r="R46" s="765"/>
    </row>
    <row r="47" spans="1:20" s="730" customFormat="1" ht="22.5" customHeight="1">
      <c r="A47" s="778"/>
      <c r="B47" s="1048" t="s">
        <v>449</v>
      </c>
      <c r="C47" s="771"/>
      <c r="D47" s="771"/>
      <c r="E47" s="771"/>
      <c r="F47" s="772"/>
      <c r="G47" s="764">
        <f t="shared" ref="G47:Q47" si="64">G11+G26+G29+G36+G46</f>
        <v>26463.5</v>
      </c>
      <c r="H47" s="764">
        <f t="shared" si="64"/>
        <v>317562</v>
      </c>
      <c r="I47" s="764">
        <f t="shared" si="64"/>
        <v>26463.5</v>
      </c>
      <c r="J47" s="764">
        <f t="shared" si="64"/>
        <v>26463.5</v>
      </c>
      <c r="K47" s="764">
        <f t="shared" si="64"/>
        <v>23681.055</v>
      </c>
      <c r="L47" s="1249">
        <f t="shared" si="64"/>
        <v>0</v>
      </c>
      <c r="M47" s="764">
        <f t="shared" si="64"/>
        <v>19029.150000000001</v>
      </c>
      <c r="N47" s="764">
        <f t="shared" si="64"/>
        <v>571.20000000000005</v>
      </c>
      <c r="O47" s="764">
        <f t="shared" si="64"/>
        <v>2319.7200000000003</v>
      </c>
      <c r="P47" s="764">
        <f t="shared" si="64"/>
        <v>98528.124999999985</v>
      </c>
      <c r="Q47" s="764">
        <f t="shared" si="64"/>
        <v>416090.125</v>
      </c>
      <c r="R47" s="731"/>
    </row>
    <row r="48" spans="1:20" s="710" customFormat="1" ht="22.5" hidden="1" customHeight="1">
      <c r="A48" s="1668" t="s">
        <v>654</v>
      </c>
      <c r="B48" s="1668"/>
      <c r="C48" s="1668"/>
      <c r="D48" s="1668"/>
      <c r="E48" s="1668"/>
      <c r="F48" s="1668"/>
      <c r="G48" s="1668"/>
      <c r="H48" s="1668"/>
      <c r="I48" s="1668"/>
      <c r="J48" s="1668"/>
      <c r="K48" s="1668"/>
      <c r="L48" s="1668"/>
      <c r="M48" s="1668"/>
      <c r="N48" s="1668"/>
      <c r="O48" s="1668"/>
      <c r="P48" s="1668"/>
      <c r="Q48" s="1668"/>
      <c r="R48" s="712"/>
    </row>
    <row r="49" spans="1:18" s="710" customFormat="1" ht="31.5" hidden="1" customHeight="1" thickBot="1">
      <c r="A49" s="779">
        <v>1</v>
      </c>
      <c r="B49" s="1049"/>
      <c r="C49" s="714" t="s">
        <v>700</v>
      </c>
      <c r="D49" s="716" t="s">
        <v>700</v>
      </c>
      <c r="E49" s="705" t="s">
        <v>701</v>
      </c>
      <c r="F49" s="715" t="s">
        <v>271</v>
      </c>
      <c r="G49" s="713"/>
      <c r="H49" s="708">
        <f t="shared" ref="H49" si="65">G49*12</f>
        <v>0</v>
      </c>
      <c r="I49" s="708">
        <f t="shared" ref="I49" si="66">G49</f>
        <v>0</v>
      </c>
      <c r="J49" s="708">
        <f t="shared" ref="J49" si="67">G49</f>
        <v>0</v>
      </c>
      <c r="K49" s="708">
        <f t="shared" ref="K49" si="68">H49*7.75%</f>
        <v>0</v>
      </c>
      <c r="L49" s="708"/>
      <c r="M49" s="708">
        <f t="shared" ref="M49" si="69">IF(G49&gt;1000,1000*7.5%*12,G49*7.5%*12)</f>
        <v>0</v>
      </c>
      <c r="N49" s="708"/>
      <c r="O49" s="708">
        <f t="shared" ref="O49" si="70">IF(G49&gt;1000,1000*1%*12,G49*1%*12)</f>
        <v>0</v>
      </c>
      <c r="P49" s="708">
        <f t="shared" ref="P49" si="71">SUM(I49:O49)</f>
        <v>0</v>
      </c>
      <c r="Q49" s="709">
        <f t="shared" ref="Q49" si="72">SUM(H49+P49)</f>
        <v>0</v>
      </c>
      <c r="R49" s="712"/>
    </row>
    <row r="50" spans="1:18" s="710" customFormat="1" ht="15.6" hidden="1" customHeight="1">
      <c r="A50" s="780"/>
      <c r="B50" s="1050" t="s">
        <v>448</v>
      </c>
      <c r="C50" s="717"/>
      <c r="D50" s="718"/>
      <c r="E50" s="718"/>
      <c r="F50" s="719"/>
      <c r="G50" s="720">
        <f>SUM(G49)</f>
        <v>0</v>
      </c>
      <c r="H50" s="720">
        <f t="shared" ref="H50:Q50" si="73">SUM(H49)</f>
        <v>0</v>
      </c>
      <c r="I50" s="720">
        <f t="shared" si="73"/>
        <v>0</v>
      </c>
      <c r="J50" s="720">
        <f t="shared" si="73"/>
        <v>0</v>
      </c>
      <c r="K50" s="720">
        <f t="shared" si="73"/>
        <v>0</v>
      </c>
      <c r="L50" s="720">
        <f t="shared" si="73"/>
        <v>0</v>
      </c>
      <c r="M50" s="720">
        <f t="shared" si="73"/>
        <v>0</v>
      </c>
      <c r="N50" s="720">
        <f t="shared" si="73"/>
        <v>0</v>
      </c>
      <c r="O50" s="720">
        <f t="shared" si="73"/>
        <v>0</v>
      </c>
      <c r="P50" s="720">
        <f t="shared" si="73"/>
        <v>0</v>
      </c>
      <c r="Q50" s="720">
        <f t="shared" si="73"/>
        <v>0</v>
      </c>
      <c r="R50" s="712"/>
    </row>
    <row r="51" spans="1:18" s="710" customFormat="1" ht="24" customHeight="1">
      <c r="A51" s="1670" t="s">
        <v>651</v>
      </c>
      <c r="B51" s="1670"/>
      <c r="C51" s="1669" t="s">
        <v>655</v>
      </c>
      <c r="D51" s="1669"/>
      <c r="E51" s="1669"/>
      <c r="F51" s="1669"/>
      <c r="G51" s="1669"/>
      <c r="H51" s="1669"/>
      <c r="I51" s="1669"/>
      <c r="J51" s="1669"/>
      <c r="K51" s="1669"/>
      <c r="L51" s="1669"/>
      <c r="M51" s="1669"/>
      <c r="N51" s="1669"/>
      <c r="O51" s="1669"/>
      <c r="P51" s="1669"/>
      <c r="Q51" s="1669"/>
      <c r="R51" s="712"/>
    </row>
    <row r="52" spans="1:18" s="710" customFormat="1" ht="17.25" customHeight="1">
      <c r="A52" s="780"/>
      <c r="B52" s="1051"/>
      <c r="C52" s="711"/>
      <c r="D52" s="711"/>
      <c r="E52" s="705" t="s">
        <v>264</v>
      </c>
      <c r="F52" s="706" t="s">
        <v>513</v>
      </c>
      <c r="G52" s="721"/>
      <c r="H52" s="708">
        <f>G52*12</f>
        <v>0</v>
      </c>
      <c r="I52" s="708">
        <f>G52</f>
        <v>0</v>
      </c>
      <c r="J52" s="708">
        <f>G52</f>
        <v>0</v>
      </c>
      <c r="K52" s="708">
        <f>H52*7.75%</f>
        <v>0</v>
      </c>
      <c r="L52" s="708"/>
      <c r="M52" s="708">
        <f>H52*7.5%</f>
        <v>0</v>
      </c>
      <c r="N52" s="708"/>
      <c r="O52" s="708">
        <f>H52*1%</f>
        <v>0</v>
      </c>
      <c r="P52" s="708">
        <f>SUM(I52:O52)</f>
        <v>0</v>
      </c>
      <c r="Q52" s="709">
        <f>SUM(H52+P52)</f>
        <v>0</v>
      </c>
      <c r="R52" s="712"/>
    </row>
    <row r="53" spans="1:18" s="710" customFormat="1" ht="0.75" customHeight="1">
      <c r="A53" s="780"/>
      <c r="B53" s="1051"/>
      <c r="C53" s="711"/>
      <c r="D53" s="711"/>
      <c r="E53" s="705"/>
      <c r="F53" s="706"/>
      <c r="G53" s="721"/>
      <c r="H53" s="708">
        <f>G53*12</f>
        <v>0</v>
      </c>
      <c r="I53" s="708">
        <f>G53</f>
        <v>0</v>
      </c>
      <c r="J53" s="708">
        <f>G53</f>
        <v>0</v>
      </c>
      <c r="K53" s="708">
        <f>H53*7.75%</f>
        <v>0</v>
      </c>
      <c r="L53" s="708"/>
      <c r="M53" s="708">
        <f>H53*7.5%</f>
        <v>0</v>
      </c>
      <c r="N53" s="708"/>
      <c r="O53" s="708">
        <f>H53*1%</f>
        <v>0</v>
      </c>
      <c r="P53" s="708">
        <f>SUM(I53:O53)</f>
        <v>0</v>
      </c>
      <c r="Q53" s="709">
        <f>SUM(H53+P53)</f>
        <v>0</v>
      </c>
      <c r="R53" s="712"/>
    </row>
    <row r="54" spans="1:18" s="727" customFormat="1" ht="17.25" customHeight="1">
      <c r="A54" s="781"/>
      <c r="B54" s="1665" t="s">
        <v>656</v>
      </c>
      <c r="C54" s="1665"/>
      <c r="D54" s="722"/>
      <c r="E54" s="723"/>
      <c r="F54" s="724"/>
      <c r="G54" s="725">
        <f>SUM(G52:G53)</f>
        <v>0</v>
      </c>
      <c r="H54" s="725">
        <f t="shared" ref="H54:Q54" si="74">SUM(H52:H53)</f>
        <v>0</v>
      </c>
      <c r="I54" s="725">
        <f t="shared" si="74"/>
        <v>0</v>
      </c>
      <c r="J54" s="725">
        <f t="shared" si="74"/>
        <v>0</v>
      </c>
      <c r="K54" s="725">
        <f t="shared" si="74"/>
        <v>0</v>
      </c>
      <c r="L54" s="1248">
        <f t="shared" si="74"/>
        <v>0</v>
      </c>
      <c r="M54" s="725">
        <f t="shared" si="74"/>
        <v>0</v>
      </c>
      <c r="N54" s="725">
        <f t="shared" si="74"/>
        <v>0</v>
      </c>
      <c r="O54" s="725">
        <f t="shared" si="74"/>
        <v>0</v>
      </c>
      <c r="P54" s="725">
        <f t="shared" si="74"/>
        <v>0</v>
      </c>
      <c r="Q54" s="725">
        <f t="shared" si="74"/>
        <v>0</v>
      </c>
      <c r="R54" s="726"/>
    </row>
    <row r="55" spans="1:18" s="739" customFormat="1" ht="19.5" customHeight="1">
      <c r="A55" s="776">
        <v>1</v>
      </c>
      <c r="B55" s="756"/>
      <c r="C55" s="734" t="s">
        <v>376</v>
      </c>
      <c r="D55" s="734" t="s">
        <v>280</v>
      </c>
      <c r="E55" s="733" t="s">
        <v>264</v>
      </c>
      <c r="F55" s="734" t="s">
        <v>271</v>
      </c>
      <c r="G55" s="773">
        <v>1309</v>
      </c>
      <c r="H55" s="736">
        <f>G55*12</f>
        <v>15708</v>
      </c>
      <c r="I55" s="736">
        <f>G55</f>
        <v>1309</v>
      </c>
      <c r="J55" s="736">
        <f>G55</f>
        <v>1309</v>
      </c>
      <c r="K55" s="736">
        <f>H55*7.75%</f>
        <v>1217.3699999999999</v>
      </c>
      <c r="L55" s="736"/>
      <c r="M55" s="736">
        <f>H55*7.5%</f>
        <v>1178.0999999999999</v>
      </c>
      <c r="N55" s="736"/>
      <c r="O55" s="736">
        <f>H55*1%</f>
        <v>157.08000000000001</v>
      </c>
      <c r="P55" s="736">
        <f>SUM(I55:O55)</f>
        <v>5170.5499999999993</v>
      </c>
      <c r="Q55" s="737">
        <f>SUM(H55+P55)</f>
        <v>20878.55</v>
      </c>
      <c r="R55" s="740"/>
    </row>
    <row r="56" spans="1:18" s="739" customFormat="1" ht="18" customHeight="1">
      <c r="A56" s="776">
        <v>2</v>
      </c>
      <c r="B56" s="756"/>
      <c r="C56" s="734" t="s">
        <v>744</v>
      </c>
      <c r="D56" s="734" t="s">
        <v>744</v>
      </c>
      <c r="E56" s="733" t="s">
        <v>264</v>
      </c>
      <c r="F56" s="734" t="s">
        <v>271</v>
      </c>
      <c r="G56" s="773">
        <v>400</v>
      </c>
      <c r="H56" s="736">
        <f>G56*12</f>
        <v>4800</v>
      </c>
      <c r="I56" s="736">
        <f>G56</f>
        <v>400</v>
      </c>
      <c r="J56" s="736">
        <f>G56</f>
        <v>400</v>
      </c>
      <c r="K56" s="736">
        <f>H56*7.75%</f>
        <v>372</v>
      </c>
      <c r="L56" s="736"/>
      <c r="M56" s="736">
        <f>H56*7.5%</f>
        <v>360</v>
      </c>
      <c r="N56" s="736"/>
      <c r="O56" s="736">
        <f>H56*1%</f>
        <v>48</v>
      </c>
      <c r="P56" s="736">
        <f>SUM(I56:O56)</f>
        <v>1580</v>
      </c>
      <c r="Q56" s="737">
        <f>SUM(H56+P56)</f>
        <v>6380</v>
      </c>
      <c r="R56" s="740"/>
    </row>
    <row r="57" spans="1:18" s="760" customFormat="1" ht="18.600000000000001" customHeight="1">
      <c r="A57" s="776">
        <v>3</v>
      </c>
      <c r="B57" s="756"/>
      <c r="C57" s="756" t="s">
        <v>745</v>
      </c>
      <c r="D57" s="756" t="s">
        <v>745</v>
      </c>
      <c r="E57" s="755" t="s">
        <v>264</v>
      </c>
      <c r="F57" s="756" t="s">
        <v>271</v>
      </c>
      <c r="G57" s="1221">
        <v>450</v>
      </c>
      <c r="H57" s="758">
        <f>G57*12</f>
        <v>5400</v>
      </c>
      <c r="I57" s="758">
        <f>G57</f>
        <v>450</v>
      </c>
      <c r="J57" s="758">
        <f>G57</f>
        <v>450</v>
      </c>
      <c r="K57" s="758">
        <f>H57*7.75%</f>
        <v>418.5</v>
      </c>
      <c r="L57" s="758"/>
      <c r="M57" s="758">
        <f>H57*7.5%</f>
        <v>405</v>
      </c>
      <c r="N57" s="758"/>
      <c r="O57" s="758">
        <f>H57*1%</f>
        <v>54</v>
      </c>
      <c r="P57" s="758">
        <f>SUM(I57:O57)</f>
        <v>1777.5</v>
      </c>
      <c r="Q57" s="759">
        <f>SUM(H57+P57)</f>
        <v>7177.5</v>
      </c>
      <c r="R57" s="753"/>
    </row>
    <row r="58" spans="1:18" s="739" customFormat="1" ht="25.5" customHeight="1">
      <c r="A58" s="776">
        <v>4</v>
      </c>
      <c r="B58" s="756"/>
      <c r="C58" s="734" t="s">
        <v>736</v>
      </c>
      <c r="D58" s="734" t="s">
        <v>736</v>
      </c>
      <c r="E58" s="733" t="s">
        <v>264</v>
      </c>
      <c r="F58" s="734" t="s">
        <v>265</v>
      </c>
      <c r="G58" s="773">
        <v>500</v>
      </c>
      <c r="H58" s="736">
        <f>G58*12</f>
        <v>6000</v>
      </c>
      <c r="I58" s="736">
        <f>G58</f>
        <v>500</v>
      </c>
      <c r="J58" s="736">
        <f>G58</f>
        <v>500</v>
      </c>
      <c r="K58" s="736">
        <f>H58*7.75%</f>
        <v>465</v>
      </c>
      <c r="L58" s="736"/>
      <c r="M58" s="736">
        <f>H58*7.5%</f>
        <v>450</v>
      </c>
      <c r="N58" s="736"/>
      <c r="O58" s="736">
        <f>H58*1%</f>
        <v>60</v>
      </c>
      <c r="P58" s="736">
        <f>SUM(I58:O58)</f>
        <v>1975</v>
      </c>
      <c r="Q58" s="737">
        <f>SUM(H58+P58)</f>
        <v>7975</v>
      </c>
      <c r="R58" s="740"/>
    </row>
    <row r="59" spans="1:18" s="793" customFormat="1" ht="17.25" customHeight="1">
      <c r="A59" s="788"/>
      <c r="B59" s="1661" t="s">
        <v>656</v>
      </c>
      <c r="C59" s="1661"/>
      <c r="D59" s="789"/>
      <c r="E59" s="790"/>
      <c r="F59" s="791"/>
      <c r="G59" s="792">
        <f>SUM(G55:G58)</f>
        <v>2659</v>
      </c>
      <c r="H59" s="792">
        <f t="shared" ref="H59:Q59" si="75">SUM(H55:H58)</f>
        <v>31908</v>
      </c>
      <c r="I59" s="792">
        <f t="shared" si="75"/>
        <v>2659</v>
      </c>
      <c r="J59" s="792">
        <f t="shared" si="75"/>
        <v>2659</v>
      </c>
      <c r="K59" s="792">
        <f t="shared" si="75"/>
        <v>2472.87</v>
      </c>
      <c r="L59" s="792">
        <f t="shared" si="75"/>
        <v>0</v>
      </c>
      <c r="M59" s="792">
        <f t="shared" si="75"/>
        <v>2393.1</v>
      </c>
      <c r="N59" s="792">
        <f t="shared" si="75"/>
        <v>0</v>
      </c>
      <c r="O59" s="792">
        <f t="shared" si="75"/>
        <v>319.08000000000004</v>
      </c>
      <c r="P59" s="792">
        <f t="shared" si="75"/>
        <v>10503.05</v>
      </c>
      <c r="Q59" s="792">
        <f t="shared" si="75"/>
        <v>42411.05</v>
      </c>
      <c r="R59" s="789"/>
    </row>
    <row r="60" spans="1:18" s="793" customFormat="1" ht="17.25" customHeight="1">
      <c r="A60" s="788"/>
      <c r="B60" s="1052"/>
      <c r="C60" s="794"/>
      <c r="D60" s="789"/>
      <c r="E60" s="790"/>
      <c r="F60" s="791"/>
      <c r="G60" s="795">
        <f>G54+G59</f>
        <v>2659</v>
      </c>
      <c r="H60" s="795">
        <f t="shared" ref="H60:Q60" si="76">H54+H59</f>
        <v>31908</v>
      </c>
      <c r="I60" s="795">
        <f t="shared" si="76"/>
        <v>2659</v>
      </c>
      <c r="J60" s="795">
        <f t="shared" si="76"/>
        <v>2659</v>
      </c>
      <c r="K60" s="795">
        <f t="shared" si="76"/>
        <v>2472.87</v>
      </c>
      <c r="L60" s="795">
        <f t="shared" si="76"/>
        <v>0</v>
      </c>
      <c r="M60" s="795">
        <f t="shared" si="76"/>
        <v>2393.1</v>
      </c>
      <c r="N60" s="795">
        <f t="shared" si="76"/>
        <v>0</v>
      </c>
      <c r="O60" s="795">
        <f t="shared" si="76"/>
        <v>319.08000000000004</v>
      </c>
      <c r="P60" s="795">
        <f t="shared" si="76"/>
        <v>10503.05</v>
      </c>
      <c r="Q60" s="795">
        <f t="shared" si="76"/>
        <v>42411.05</v>
      </c>
      <c r="R60" s="789"/>
    </row>
    <row r="61" spans="1:18" s="802" customFormat="1" ht="17.25" customHeight="1">
      <c r="A61" s="796"/>
      <c r="B61" s="1053" t="s">
        <v>652</v>
      </c>
      <c r="C61" s="797"/>
      <c r="D61" s="798"/>
      <c r="E61" s="799"/>
      <c r="F61" s="800"/>
      <c r="G61" s="801"/>
      <c r="H61" s="801"/>
      <c r="I61" s="801"/>
      <c r="J61" s="801"/>
      <c r="K61" s="801"/>
      <c r="L61" s="801"/>
      <c r="M61" s="801"/>
      <c r="N61" s="801"/>
      <c r="O61" s="801"/>
      <c r="P61" s="801"/>
      <c r="Q61" s="801"/>
      <c r="R61" s="798"/>
    </row>
    <row r="62" spans="1:18" s="739" customFormat="1" ht="23.25" customHeight="1">
      <c r="A62" s="776"/>
      <c r="B62" s="753" t="s">
        <v>279</v>
      </c>
      <c r="C62" s="740"/>
      <c r="D62" s="740" t="s">
        <v>377</v>
      </c>
      <c r="E62" s="733" t="s">
        <v>264</v>
      </c>
      <c r="F62" s="734"/>
      <c r="G62" s="773">
        <v>6560</v>
      </c>
      <c r="H62" s="736">
        <f>G62*13</f>
        <v>85280</v>
      </c>
      <c r="I62" s="736"/>
      <c r="J62" s="736"/>
      <c r="K62" s="736">
        <f>H62*7.75%</f>
        <v>6609.2</v>
      </c>
      <c r="L62" s="736"/>
      <c r="M62" s="736">
        <f>H62*7.5%</f>
        <v>6396</v>
      </c>
      <c r="N62" s="736"/>
      <c r="O62" s="736">
        <f>G62*1%*12</f>
        <v>787.19999999999993</v>
      </c>
      <c r="P62" s="736">
        <f>SUM(J62:O62)</f>
        <v>13792.400000000001</v>
      </c>
      <c r="Q62" s="737">
        <f>SUM(H62+P62)</f>
        <v>99072.4</v>
      </c>
      <c r="R62" s="740"/>
    </row>
    <row r="63" spans="1:18" s="793" customFormat="1" ht="23.25" customHeight="1">
      <c r="A63" s="788"/>
      <c r="B63" s="1662" t="s">
        <v>657</v>
      </c>
      <c r="C63" s="1662"/>
      <c r="D63" s="803"/>
      <c r="E63" s="790"/>
      <c r="F63" s="804"/>
      <c r="G63" s="792">
        <f>SUM(G61:G62)</f>
        <v>6560</v>
      </c>
      <c r="H63" s="805">
        <f>SUM(H61:H62)</f>
        <v>85280</v>
      </c>
      <c r="I63" s="805">
        <f>SUM(I61:I62)</f>
        <v>0</v>
      </c>
      <c r="J63" s="805">
        <f t="shared" ref="J63:Q63" si="77">SUM(J61:J62)</f>
        <v>0</v>
      </c>
      <c r="K63" s="805">
        <f t="shared" si="77"/>
        <v>6609.2</v>
      </c>
      <c r="L63" s="805">
        <f t="shared" si="77"/>
        <v>0</v>
      </c>
      <c r="M63" s="805">
        <f t="shared" si="77"/>
        <v>6396</v>
      </c>
      <c r="N63" s="805">
        <f t="shared" si="77"/>
        <v>0</v>
      </c>
      <c r="O63" s="805">
        <f t="shared" si="77"/>
        <v>787.19999999999993</v>
      </c>
      <c r="P63" s="805">
        <f t="shared" si="77"/>
        <v>13792.400000000001</v>
      </c>
      <c r="Q63" s="805">
        <f t="shared" si="77"/>
        <v>99072.4</v>
      </c>
      <c r="R63" s="789"/>
    </row>
    <row r="64" spans="1:18" s="793" customFormat="1" ht="23.25" customHeight="1">
      <c r="A64" s="788"/>
      <c r="B64" s="1661" t="s">
        <v>658</v>
      </c>
      <c r="C64" s="1661"/>
      <c r="D64" s="803"/>
      <c r="E64" s="790"/>
      <c r="F64" s="804"/>
      <c r="G64" s="792">
        <f>G59+G63</f>
        <v>9219</v>
      </c>
      <c r="H64" s="792">
        <f>H59+H63</f>
        <v>117188</v>
      </c>
      <c r="I64" s="792">
        <f>I59+I63</f>
        <v>2659</v>
      </c>
      <c r="J64" s="792">
        <f t="shared" ref="J64:Q64" si="78">J59+J63</f>
        <v>2659</v>
      </c>
      <c r="K64" s="792">
        <f t="shared" si="78"/>
        <v>9082.07</v>
      </c>
      <c r="L64" s="792">
        <f t="shared" si="78"/>
        <v>0</v>
      </c>
      <c r="M64" s="792">
        <f t="shared" si="78"/>
        <v>8789.1</v>
      </c>
      <c r="N64" s="792">
        <f t="shared" si="78"/>
        <v>0</v>
      </c>
      <c r="O64" s="792">
        <f t="shared" si="78"/>
        <v>1106.28</v>
      </c>
      <c r="P64" s="792">
        <f t="shared" si="78"/>
        <v>24295.45</v>
      </c>
      <c r="Q64" s="792">
        <f t="shared" si="78"/>
        <v>141483.45000000001</v>
      </c>
      <c r="R64" s="789"/>
    </row>
    <row r="65" spans="1:18" s="793" customFormat="1" ht="25.5" customHeight="1">
      <c r="A65" s="806"/>
      <c r="B65" s="1054" t="s">
        <v>653</v>
      </c>
      <c r="C65" s="807"/>
      <c r="D65" s="807"/>
      <c r="E65" s="808"/>
      <c r="F65" s="808"/>
      <c r="G65" s="809">
        <f t="shared" ref="G65:Q65" si="79">SUM(G37+G46+G64)</f>
        <v>12556</v>
      </c>
      <c r="H65" s="809">
        <f t="shared" si="79"/>
        <v>157232</v>
      </c>
      <c r="I65" s="809">
        <f t="shared" si="79"/>
        <v>5996</v>
      </c>
      <c r="J65" s="809">
        <f t="shared" si="79"/>
        <v>5996</v>
      </c>
      <c r="K65" s="809">
        <f t="shared" si="79"/>
        <v>12185.48</v>
      </c>
      <c r="L65" s="809">
        <f t="shared" si="79"/>
        <v>0</v>
      </c>
      <c r="M65" s="809">
        <f t="shared" si="79"/>
        <v>11792.400000000001</v>
      </c>
      <c r="N65" s="809">
        <f t="shared" si="79"/>
        <v>0</v>
      </c>
      <c r="O65" s="809">
        <f t="shared" si="79"/>
        <v>1506.72</v>
      </c>
      <c r="P65" s="809">
        <f t="shared" si="79"/>
        <v>37476.6</v>
      </c>
      <c r="Q65" s="809">
        <f t="shared" si="79"/>
        <v>194708.6</v>
      </c>
      <c r="R65" s="789"/>
    </row>
    <row r="66" spans="1:18" s="51" customFormat="1" ht="15.75" hidden="1">
      <c r="A66" s="786"/>
      <c r="B66" s="1055"/>
      <c r="C66" s="696"/>
      <c r="D66" s="696"/>
      <c r="E66" s="697"/>
      <c r="F66" s="697"/>
      <c r="G66" s="698"/>
      <c r="H66" s="698"/>
      <c r="I66" s="698"/>
      <c r="J66" s="698"/>
      <c r="K66" s="698"/>
      <c r="L66" s="698"/>
      <c r="M66" s="698"/>
      <c r="N66" s="698"/>
      <c r="O66" s="698"/>
      <c r="P66" s="698"/>
      <c r="Q66" s="698"/>
      <c r="R66" s="57"/>
    </row>
    <row r="67" spans="1:18" s="51" customFormat="1" ht="15.75">
      <c r="A67" s="786"/>
      <c r="B67" s="1055"/>
      <c r="C67" s="696"/>
      <c r="D67" s="696"/>
      <c r="E67" s="697"/>
      <c r="F67" s="697"/>
      <c r="G67" s="698"/>
      <c r="H67" s="698"/>
      <c r="I67" s="698"/>
      <c r="J67" s="698"/>
      <c r="K67" s="698"/>
      <c r="L67" s="698"/>
      <c r="M67" s="698"/>
      <c r="N67" s="698"/>
      <c r="O67" s="698"/>
      <c r="P67" s="698"/>
      <c r="Q67" s="698"/>
      <c r="R67" s="57"/>
    </row>
    <row r="68" spans="1:18" s="55" customFormat="1" ht="30" customHeight="1">
      <c r="A68" s="810"/>
      <c r="B68" s="1663" t="s">
        <v>662</v>
      </c>
      <c r="C68" s="1663"/>
      <c r="D68" s="1663"/>
      <c r="E68" s="1663"/>
      <c r="F68" s="1663"/>
      <c r="G68" s="1663"/>
      <c r="H68" s="1663"/>
      <c r="I68" s="1663"/>
      <c r="J68" s="1663"/>
      <c r="K68" s="1663"/>
      <c r="L68" s="811"/>
      <c r="M68" s="811"/>
      <c r="N68" s="811"/>
      <c r="O68" s="811"/>
      <c r="P68" s="811"/>
      <c r="Q68" s="811"/>
      <c r="R68" s="391"/>
    </row>
    <row r="69" spans="1:18" s="55" customFormat="1" ht="31.5" customHeight="1">
      <c r="A69" s="810"/>
      <c r="B69" s="878" t="s">
        <v>85</v>
      </c>
      <c r="C69" s="879" t="s">
        <v>659</v>
      </c>
      <c r="D69" s="1663" t="s">
        <v>1049</v>
      </c>
      <c r="E69" s="1663"/>
      <c r="F69" s="1664" t="s">
        <v>296</v>
      </c>
      <c r="G69" s="1664"/>
      <c r="H69" s="1666" t="s">
        <v>1050</v>
      </c>
      <c r="I69" s="1666"/>
      <c r="J69" s="880" t="s">
        <v>660</v>
      </c>
      <c r="K69" s="812" t="s">
        <v>661</v>
      </c>
      <c r="L69" s="811"/>
      <c r="M69" s="811"/>
      <c r="N69" s="811"/>
      <c r="O69" s="811"/>
      <c r="P69" s="811"/>
      <c r="Q69" s="811"/>
      <c r="R69" s="391"/>
    </row>
    <row r="70" spans="1:18" s="224" customFormat="1" ht="21.75" customHeight="1">
      <c r="A70" s="813"/>
      <c r="B70" s="1056" t="s">
        <v>285</v>
      </c>
      <c r="C70" s="881">
        <f>H62</f>
        <v>85280</v>
      </c>
      <c r="D70" s="1654">
        <f>M62</f>
        <v>6396</v>
      </c>
      <c r="E70" s="1654"/>
      <c r="F70" s="1600">
        <f>K62</f>
        <v>6609.2</v>
      </c>
      <c r="G70" s="1600"/>
      <c r="H70" s="1600">
        <f>O62</f>
        <v>787.19999999999993</v>
      </c>
      <c r="I70" s="1600"/>
      <c r="J70" s="882"/>
      <c r="K70" s="691"/>
      <c r="L70" s="134"/>
      <c r="M70" s="134"/>
      <c r="N70" s="134"/>
      <c r="O70" s="134"/>
      <c r="P70" s="134"/>
      <c r="Q70" s="134"/>
      <c r="R70" s="58"/>
    </row>
    <row r="71" spans="1:18" s="224" customFormat="1" ht="21.75" customHeight="1">
      <c r="A71" s="813"/>
      <c r="B71" s="1057" t="s">
        <v>287</v>
      </c>
      <c r="C71" s="883">
        <f>H54</f>
        <v>0</v>
      </c>
      <c r="D71" s="1585">
        <f>M54</f>
        <v>0</v>
      </c>
      <c r="E71" s="1585"/>
      <c r="F71" s="1590">
        <f>K54</f>
        <v>0</v>
      </c>
      <c r="G71" s="1590"/>
      <c r="H71" s="1590">
        <f>O54</f>
        <v>0</v>
      </c>
      <c r="I71" s="1590"/>
      <c r="J71" s="884">
        <f>I54</f>
        <v>0</v>
      </c>
      <c r="K71" s="883">
        <f>J54</f>
        <v>0</v>
      </c>
      <c r="L71" s="134"/>
      <c r="M71" s="134"/>
      <c r="N71" s="134"/>
      <c r="O71" s="134"/>
      <c r="P71" s="134"/>
      <c r="Q71" s="134"/>
      <c r="R71" s="58"/>
    </row>
    <row r="72" spans="1:18" s="224" customFormat="1" ht="21.75" customHeight="1">
      <c r="A72" s="813"/>
      <c r="B72" s="1057" t="s">
        <v>682</v>
      </c>
      <c r="C72" s="883">
        <f>H59</f>
        <v>31908</v>
      </c>
      <c r="D72" s="1657">
        <f>M59</f>
        <v>2393.1</v>
      </c>
      <c r="E72" s="1658"/>
      <c r="F72" s="1659">
        <f>K59</f>
        <v>2472.87</v>
      </c>
      <c r="G72" s="1660"/>
      <c r="H72" s="1659">
        <f>O59</f>
        <v>319.08000000000004</v>
      </c>
      <c r="I72" s="1660"/>
      <c r="J72" s="884">
        <f>I59</f>
        <v>2659</v>
      </c>
      <c r="K72" s="884">
        <f>J59</f>
        <v>2659</v>
      </c>
      <c r="L72" s="134"/>
      <c r="M72" s="134"/>
      <c r="N72" s="134"/>
      <c r="O72" s="134"/>
      <c r="P72" s="134"/>
      <c r="Q72" s="134"/>
      <c r="R72" s="58"/>
    </row>
    <row r="73" spans="1:18" s="224" customFormat="1" ht="0.75" customHeight="1">
      <c r="A73" s="813"/>
      <c r="B73" s="1057" t="s">
        <v>682</v>
      </c>
      <c r="C73" s="883"/>
      <c r="D73" s="885"/>
      <c r="E73" s="886"/>
      <c r="F73" s="887"/>
      <c r="G73" s="888"/>
      <c r="H73" s="887"/>
      <c r="I73" s="888"/>
      <c r="J73" s="884"/>
      <c r="K73" s="884"/>
      <c r="L73" s="134"/>
      <c r="M73" s="134"/>
      <c r="N73" s="134"/>
      <c r="O73" s="134"/>
      <c r="P73" s="134"/>
      <c r="Q73" s="134"/>
      <c r="R73" s="58"/>
    </row>
    <row r="74" spans="1:18" s="224" customFormat="1" ht="21.75" customHeight="1">
      <c r="A74" s="813"/>
      <c r="B74" s="889" t="s">
        <v>170</v>
      </c>
      <c r="C74" s="890">
        <f>SUM(C70:C72)</f>
        <v>117188</v>
      </c>
      <c r="D74" s="1655">
        <f>SUM(D70:D72)</f>
        <v>8789.1</v>
      </c>
      <c r="E74" s="1655"/>
      <c r="F74" s="1656">
        <f>SUM(F70:F72)</f>
        <v>9082.07</v>
      </c>
      <c r="G74" s="1656"/>
      <c r="H74" s="1656">
        <f>SUM(H70:H72)</f>
        <v>1106.28</v>
      </c>
      <c r="I74" s="1656"/>
      <c r="J74" s="891">
        <f>SUM(J71:J72)</f>
        <v>2659</v>
      </c>
      <c r="K74" s="891">
        <f>SUM(K71:K72)</f>
        <v>2659</v>
      </c>
      <c r="L74" s="134"/>
      <c r="M74" s="134"/>
      <c r="N74" s="134"/>
      <c r="O74" s="134"/>
      <c r="P74" s="134"/>
      <c r="Q74" s="134"/>
      <c r="R74" s="58"/>
    </row>
    <row r="75" spans="1:18" s="51" customFormat="1" ht="21.75" hidden="1" customHeight="1">
      <c r="A75" s="782"/>
      <c r="B75" s="1058"/>
      <c r="C75" s="695"/>
      <c r="D75" s="695"/>
      <c r="E75" s="694"/>
      <c r="F75" s="694"/>
      <c r="G75" s="700"/>
      <c r="H75" s="699"/>
      <c r="I75" s="699"/>
      <c r="J75" s="699"/>
      <c r="K75" s="699"/>
      <c r="L75" s="699"/>
      <c r="M75" s="699"/>
      <c r="N75" s="699"/>
      <c r="O75" s="699"/>
      <c r="P75" s="699"/>
      <c r="Q75" s="699"/>
      <c r="R75" s="57"/>
    </row>
    <row r="76" spans="1:18" s="51" customFormat="1" ht="21.75" customHeight="1">
      <c r="A76" s="782"/>
      <c r="B76" s="1058"/>
      <c r="C76" s="695"/>
      <c r="D76" s="695"/>
      <c r="E76" s="694"/>
      <c r="F76" s="694"/>
      <c r="G76" s="700"/>
      <c r="H76" s="699"/>
      <c r="I76" s="699"/>
      <c r="J76" s="699"/>
      <c r="K76" s="699"/>
      <c r="L76" s="699"/>
      <c r="M76" s="699"/>
      <c r="N76" s="699"/>
      <c r="O76" s="699"/>
      <c r="P76" s="699"/>
      <c r="Q76" s="699"/>
      <c r="R76" s="57"/>
    </row>
    <row r="77" spans="1:18" s="51" customFormat="1" ht="35.25" customHeight="1">
      <c r="A77" s="782"/>
      <c r="B77" s="1645" t="s">
        <v>1039</v>
      </c>
      <c r="C77" s="1645"/>
      <c r="D77" s="1645"/>
      <c r="E77" s="1645"/>
      <c r="F77" s="1645"/>
      <c r="G77" s="1645"/>
      <c r="H77" s="1645"/>
      <c r="I77" s="1645"/>
      <c r="J77" s="1645"/>
      <c r="K77" s="1645"/>
      <c r="L77" s="1645"/>
      <c r="M77" s="1645"/>
      <c r="N77" s="1645"/>
      <c r="O77" s="1645"/>
      <c r="P77" s="1645"/>
      <c r="Q77" s="701"/>
      <c r="R77" s="57"/>
    </row>
    <row r="78" spans="1:18" s="51" customFormat="1" ht="15.75">
      <c r="A78" s="782"/>
      <c r="B78" s="1646" t="s">
        <v>281</v>
      </c>
      <c r="C78" s="1646"/>
      <c r="D78" s="1646"/>
      <c r="E78" s="1646"/>
      <c r="F78" s="1646"/>
      <c r="G78" s="1646"/>
      <c r="H78" s="1647" t="s">
        <v>282</v>
      </c>
      <c r="I78" s="1647"/>
      <c r="J78" s="1647"/>
      <c r="K78" s="1647"/>
      <c r="L78" s="1647"/>
      <c r="M78" s="1647"/>
      <c r="N78" s="1647"/>
      <c r="O78" s="1647"/>
      <c r="P78" s="1647"/>
      <c r="Q78" s="1647"/>
      <c r="R78" s="57"/>
    </row>
    <row r="79" spans="1:18" s="51" customFormat="1" ht="29.25" customHeight="1">
      <c r="A79" s="782"/>
      <c r="B79" s="1017" t="s">
        <v>35</v>
      </c>
      <c r="C79" s="702" t="s">
        <v>1051</v>
      </c>
      <c r="D79" s="703" t="s">
        <v>746</v>
      </c>
      <c r="E79" s="1648" t="s">
        <v>283</v>
      </c>
      <c r="F79" s="1649"/>
      <c r="G79" s="1649"/>
      <c r="H79" s="1650"/>
      <c r="I79" s="1650"/>
      <c r="J79" s="1650"/>
      <c r="K79" s="1650"/>
      <c r="L79" s="1651" t="s">
        <v>1053</v>
      </c>
      <c r="M79" s="1652"/>
      <c r="N79" s="1653" t="s">
        <v>686</v>
      </c>
      <c r="O79" s="1653"/>
      <c r="P79" s="1653"/>
      <c r="Q79" s="704" t="s">
        <v>284</v>
      </c>
      <c r="R79" s="57"/>
    </row>
    <row r="80" spans="1:18" s="224" customFormat="1" ht="21.75" customHeight="1" thickBot="1">
      <c r="A80" s="813"/>
      <c r="B80" s="1059" t="s">
        <v>285</v>
      </c>
      <c r="C80" s="831">
        <f>H36/12*10</f>
        <v>231265</v>
      </c>
      <c r="D80" s="831">
        <f>H36/12*2+C72</f>
        <v>78161</v>
      </c>
      <c r="E80" s="1630">
        <f>C80+D80</f>
        <v>309426</v>
      </c>
      <c r="F80" s="1631"/>
      <c r="G80" s="1632"/>
      <c r="H80" s="1555" t="s">
        <v>1049</v>
      </c>
      <c r="I80" s="1556"/>
      <c r="J80" s="1556"/>
      <c r="K80" s="1557"/>
      <c r="L80" s="832"/>
      <c r="M80" s="833"/>
      <c r="N80" s="1558"/>
      <c r="O80" s="1559"/>
      <c r="P80" s="1557"/>
      <c r="Q80" s="834"/>
      <c r="R80" s="58"/>
    </row>
    <row r="81" spans="1:18" s="224" customFormat="1" ht="21.75" customHeight="1" thickBot="1">
      <c r="A81" s="813"/>
      <c r="B81" s="1060" t="s">
        <v>287</v>
      </c>
      <c r="C81" s="835">
        <f>H26/12*10</f>
        <v>0</v>
      </c>
      <c r="D81" s="835">
        <f>H26/12*2+C71</f>
        <v>0</v>
      </c>
      <c r="E81" s="1564">
        <f>C81+D81</f>
        <v>0</v>
      </c>
      <c r="F81" s="1565"/>
      <c r="G81" s="1566"/>
      <c r="H81" s="836" t="s">
        <v>288</v>
      </c>
      <c r="I81" s="321"/>
      <c r="J81" s="322"/>
      <c r="K81" s="837"/>
      <c r="L81" s="1567">
        <f>SUM(L36+M36+N36+O36)/12*10</f>
        <v>15430.275</v>
      </c>
      <c r="M81" s="1568"/>
      <c r="N81" s="1578">
        <f>SUM(L11+M11+N11+O11)/12*2+D70+H70+5798.23</f>
        <v>12981.43</v>
      </c>
      <c r="O81" s="1578"/>
      <c r="P81" s="1579"/>
      <c r="Q81" s="838">
        <f>L81+N81</f>
        <v>28411.705000000002</v>
      </c>
      <c r="R81" s="58"/>
    </row>
    <row r="82" spans="1:18" s="224" customFormat="1" ht="21.75" customHeight="1" thickBot="1">
      <c r="A82" s="839"/>
      <c r="B82" s="1060" t="s">
        <v>289</v>
      </c>
      <c r="C82" s="835">
        <f>H29/12*10</f>
        <v>0</v>
      </c>
      <c r="D82" s="835">
        <f>H29/12*2</f>
        <v>0</v>
      </c>
      <c r="E82" s="1564">
        <f>C82+D82</f>
        <v>0</v>
      </c>
      <c r="F82" s="1565"/>
      <c r="G82" s="1566"/>
      <c r="H82" s="840" t="s">
        <v>290</v>
      </c>
      <c r="I82" s="841"/>
      <c r="J82" s="842"/>
      <c r="K82" s="843"/>
      <c r="L82" s="1567">
        <f>SUM(L26+M26+N26+O26)/12*10</f>
        <v>0</v>
      </c>
      <c r="M82" s="1568"/>
      <c r="N82" s="1578">
        <f>SUM(L26+M26+N26+O26)/12*2+D71+H71</f>
        <v>0</v>
      </c>
      <c r="O82" s="1578"/>
      <c r="P82" s="1579"/>
      <c r="Q82" s="844">
        <f>L82+N82</f>
        <v>0</v>
      </c>
      <c r="R82" s="58"/>
    </row>
    <row r="83" spans="1:18" s="224" customFormat="1" ht="21.75" customHeight="1" thickBot="1">
      <c r="A83" s="839"/>
      <c r="B83" s="1061" t="s">
        <v>291</v>
      </c>
      <c r="C83" s="835"/>
      <c r="D83" s="835"/>
      <c r="E83" s="1571">
        <f>C83+D83</f>
        <v>0</v>
      </c>
      <c r="F83" s="1572"/>
      <c r="G83" s="1573"/>
      <c r="H83" s="840" t="s">
        <v>292</v>
      </c>
      <c r="I83" s="841"/>
      <c r="J83" s="842"/>
      <c r="K83" s="843"/>
      <c r="L83" s="1567">
        <f>SUM(L29+M29+N29+O29)/12*10</f>
        <v>0</v>
      </c>
      <c r="M83" s="1568"/>
      <c r="N83" s="1578">
        <f>SUM(L29+M29+N29+O29)/12*2</f>
        <v>0</v>
      </c>
      <c r="O83" s="1578"/>
      <c r="P83" s="1579"/>
      <c r="Q83" s="845">
        <f>L83+N83</f>
        <v>0</v>
      </c>
      <c r="R83" s="58"/>
    </row>
    <row r="84" spans="1:18" s="224" customFormat="1" ht="21.75" customHeight="1" thickBot="1">
      <c r="A84" s="839"/>
      <c r="B84" s="1062" t="s">
        <v>284</v>
      </c>
      <c r="C84" s="846">
        <f>SUM(C80:C83)</f>
        <v>231265</v>
      </c>
      <c r="D84" s="847">
        <f>SUM(D80:D83)</f>
        <v>78161</v>
      </c>
      <c r="E84" s="1596">
        <f>C84+D84</f>
        <v>309426</v>
      </c>
      <c r="F84" s="1597"/>
      <c r="G84" s="1598"/>
      <c r="H84" s="848" t="s">
        <v>293</v>
      </c>
      <c r="I84" s="848"/>
      <c r="J84" s="849"/>
      <c r="K84" s="849"/>
      <c r="L84" s="1567"/>
      <c r="M84" s="1568"/>
      <c r="N84" s="1578"/>
      <c r="O84" s="1578"/>
      <c r="P84" s="1579"/>
      <c r="Q84" s="850">
        <f>L84+N84</f>
        <v>0</v>
      </c>
      <c r="R84" s="58"/>
    </row>
    <row r="85" spans="1:18" s="224" customFormat="1" ht="18.75" customHeight="1" thickTop="1" thickBot="1">
      <c r="A85" s="839"/>
      <c r="B85" s="821" t="s">
        <v>294</v>
      </c>
      <c r="C85" s="1574" t="s">
        <v>295</v>
      </c>
      <c r="D85" s="1574"/>
      <c r="E85" s="814"/>
      <c r="F85" s="814"/>
      <c r="G85" s="851"/>
      <c r="H85" s="852" t="s">
        <v>284</v>
      </c>
      <c r="I85" s="852"/>
      <c r="J85" s="852"/>
      <c r="K85" s="852"/>
      <c r="L85" s="1580">
        <f>SUM(L81:M84)</f>
        <v>15430.275</v>
      </c>
      <c r="M85" s="1581"/>
      <c r="N85" s="1580">
        <f>SUM(N81:P84)</f>
        <v>12981.43</v>
      </c>
      <c r="O85" s="1581"/>
      <c r="P85" s="1581"/>
      <c r="Q85" s="853">
        <f>SUM(Q81:Q84)</f>
        <v>28411.705000000002</v>
      </c>
      <c r="R85" s="58"/>
    </row>
    <row r="86" spans="1:18" s="224" customFormat="1" ht="24.75" customHeight="1" thickTop="1">
      <c r="A86" s="839"/>
      <c r="B86" s="1061" t="s">
        <v>1143</v>
      </c>
      <c r="C86" s="1594">
        <f>H62</f>
        <v>85280</v>
      </c>
      <c r="D86" s="1595"/>
      <c r="E86" s="854"/>
      <c r="F86" s="814"/>
      <c r="G86" s="814"/>
      <c r="H86" s="1621" t="s">
        <v>296</v>
      </c>
      <c r="I86" s="1622"/>
      <c r="J86" s="1622"/>
      <c r="K86" s="1623"/>
      <c r="L86" s="855"/>
      <c r="M86" s="856"/>
      <c r="N86" s="855"/>
      <c r="O86" s="855"/>
      <c r="P86" s="856"/>
      <c r="Q86" s="857"/>
      <c r="R86" s="58"/>
    </row>
    <row r="87" spans="1:18" s="224" customFormat="1" ht="49.5" customHeight="1" thickBot="1">
      <c r="A87" s="813"/>
      <c r="B87" s="858" t="s">
        <v>439</v>
      </c>
      <c r="C87" s="859" t="s">
        <v>798</v>
      </c>
      <c r="D87" s="1599" t="s">
        <v>421</v>
      </c>
      <c r="E87" s="1599"/>
      <c r="F87" s="1599" t="s">
        <v>996</v>
      </c>
      <c r="G87" s="1599"/>
      <c r="H87" s="321" t="s">
        <v>297</v>
      </c>
      <c r="I87" s="321"/>
      <c r="J87" s="860"/>
      <c r="K87" s="861"/>
      <c r="L87" s="1575">
        <f>K36/12*10</f>
        <v>17148.037499999999</v>
      </c>
      <c r="M87" s="1577"/>
      <c r="N87" s="1575">
        <f>K11/12*2+F70+6038.88</f>
        <v>12648.08</v>
      </c>
      <c r="O87" s="1576"/>
      <c r="P87" s="1577"/>
      <c r="Q87" s="862">
        <f>L87+N87</f>
        <v>29796.1175</v>
      </c>
      <c r="R87" s="58"/>
    </row>
    <row r="88" spans="1:18" s="224" customFormat="1" ht="19.5" customHeight="1" thickBot="1">
      <c r="A88" s="813"/>
      <c r="B88" s="1059" t="s">
        <v>298</v>
      </c>
      <c r="C88" s="828">
        <f>J36</f>
        <v>23126.5</v>
      </c>
      <c r="D88" s="1588">
        <f>I36+J72</f>
        <v>25785.5</v>
      </c>
      <c r="E88" s="1589"/>
      <c r="F88" s="1600">
        <f>J72</f>
        <v>2659</v>
      </c>
      <c r="G88" s="1600"/>
      <c r="H88" s="863" t="s">
        <v>299</v>
      </c>
      <c r="I88" s="864"/>
      <c r="J88" s="865"/>
      <c r="K88" s="866"/>
      <c r="L88" s="1575">
        <f>K26/12*10</f>
        <v>0</v>
      </c>
      <c r="M88" s="1577"/>
      <c r="N88" s="1575">
        <f>K26/12*2+F71</f>
        <v>0</v>
      </c>
      <c r="O88" s="1576"/>
      <c r="P88" s="1577"/>
      <c r="Q88" s="867">
        <f>L88+N88</f>
        <v>0</v>
      </c>
      <c r="R88" s="58"/>
    </row>
    <row r="89" spans="1:18" s="224" customFormat="1" ht="19.5" customHeight="1" thickBot="1">
      <c r="A89" s="813"/>
      <c r="B89" s="1060" t="s">
        <v>287</v>
      </c>
      <c r="C89" s="323">
        <f>J26</f>
        <v>0</v>
      </c>
      <c r="D89" s="1592">
        <f>I26+J71</f>
        <v>0</v>
      </c>
      <c r="E89" s="1593"/>
      <c r="F89" s="1590">
        <f>J71</f>
        <v>0</v>
      </c>
      <c r="G89" s="1590"/>
      <c r="H89" s="863" t="s">
        <v>292</v>
      </c>
      <c r="I89" s="864"/>
      <c r="J89" s="868"/>
      <c r="K89" s="869"/>
      <c r="L89" s="1575">
        <f>K29/12*10</f>
        <v>0</v>
      </c>
      <c r="M89" s="1577"/>
      <c r="N89" s="1575">
        <f>K29/12*2</f>
        <v>0</v>
      </c>
      <c r="O89" s="1576"/>
      <c r="P89" s="1577"/>
      <c r="Q89" s="845">
        <f>L89+N89</f>
        <v>0</v>
      </c>
      <c r="R89" s="58"/>
    </row>
    <row r="90" spans="1:18" s="224" customFormat="1" ht="19.5" customHeight="1" thickBot="1">
      <c r="A90" s="813"/>
      <c r="B90" s="1060" t="s">
        <v>289</v>
      </c>
      <c r="C90" s="323">
        <f>J29</f>
        <v>0</v>
      </c>
      <c r="D90" s="1592">
        <f>I29</f>
        <v>0</v>
      </c>
      <c r="E90" s="1593"/>
      <c r="F90" s="1590"/>
      <c r="G90" s="1590"/>
      <c r="H90" s="863" t="s">
        <v>293</v>
      </c>
      <c r="I90" s="864"/>
      <c r="J90" s="868"/>
      <c r="K90" s="870"/>
      <c r="L90" s="1575"/>
      <c r="M90" s="1577"/>
      <c r="N90" s="1575"/>
      <c r="O90" s="1576"/>
      <c r="P90" s="1577"/>
      <c r="Q90" s="845">
        <f>L90+N90</f>
        <v>0</v>
      </c>
      <c r="R90" s="58"/>
    </row>
    <row r="91" spans="1:18" s="224" customFormat="1" ht="19.5" customHeight="1" thickBot="1">
      <c r="A91" s="813"/>
      <c r="B91" s="1056" t="s">
        <v>291</v>
      </c>
      <c r="C91" s="871"/>
      <c r="D91" s="1625"/>
      <c r="E91" s="1626"/>
      <c r="F91" s="1590"/>
      <c r="G91" s="1590"/>
      <c r="H91" s="872" t="s">
        <v>284</v>
      </c>
      <c r="I91" s="873"/>
      <c r="J91" s="873"/>
      <c r="K91" s="874"/>
      <c r="L91" s="1627">
        <f>SUM(L87:M90)</f>
        <v>17148.037499999999</v>
      </c>
      <c r="M91" s="1628"/>
      <c r="N91" s="1627">
        <f>SUM(N87:P90)</f>
        <v>12648.08</v>
      </c>
      <c r="O91" s="1629"/>
      <c r="P91" s="1628"/>
      <c r="Q91" s="875">
        <f>SUM(Q87:Q90)</f>
        <v>29796.1175</v>
      </c>
      <c r="R91" s="58"/>
    </row>
    <row r="92" spans="1:18" s="224" customFormat="1" ht="19.5" customHeight="1" thickTop="1" thickBot="1">
      <c r="A92" s="813"/>
      <c r="B92" s="1063" t="s">
        <v>284</v>
      </c>
      <c r="C92" s="853">
        <f>SUM(C88:C91)</f>
        <v>23126.5</v>
      </c>
      <c r="D92" s="1613">
        <f>SUM(D88:D91)</f>
        <v>25785.5</v>
      </c>
      <c r="E92" s="1614"/>
      <c r="F92" s="1591">
        <f>SUM(F88:G91)</f>
        <v>2659</v>
      </c>
      <c r="G92" s="1591"/>
      <c r="H92" s="876"/>
      <c r="I92" s="820"/>
      <c r="J92" s="820"/>
      <c r="K92" s="877"/>
      <c r="L92" s="128"/>
      <c r="M92" s="129"/>
      <c r="N92" s="128"/>
      <c r="O92" s="128"/>
      <c r="P92" s="129"/>
      <c r="Q92" s="130"/>
      <c r="R92" s="58"/>
    </row>
    <row r="93" spans="1:18" s="224" customFormat="1" ht="19.5" customHeight="1" thickTop="1" thickBot="1">
      <c r="A93" s="813"/>
      <c r="B93" s="1064"/>
      <c r="C93" s="814"/>
      <c r="D93" s="814"/>
      <c r="E93" s="132"/>
      <c r="F93" s="132"/>
      <c r="G93" s="133"/>
      <c r="H93" s="1615" t="s">
        <v>300</v>
      </c>
      <c r="I93" s="1616"/>
      <c r="J93" s="1617"/>
      <c r="K93" s="1618"/>
      <c r="L93" s="1619"/>
      <c r="M93" s="1620"/>
      <c r="N93" s="1619"/>
      <c r="O93" s="1624"/>
      <c r="P93" s="1620"/>
      <c r="Q93" s="131">
        <f>L93+N93</f>
        <v>0</v>
      </c>
      <c r="R93" s="58"/>
    </row>
    <row r="94" spans="1:18" s="224" customFormat="1" ht="15.75" customHeight="1">
      <c r="A94" s="813"/>
      <c r="B94" s="818"/>
      <c r="C94" s="240"/>
      <c r="D94" s="1569"/>
      <c r="E94" s="1569"/>
      <c r="F94" s="240"/>
      <c r="I94" s="815"/>
      <c r="J94" s="816"/>
      <c r="K94" s="816"/>
      <c r="L94" s="588"/>
      <c r="M94" s="588"/>
      <c r="N94" s="588"/>
      <c r="O94" s="588"/>
      <c r="P94" s="588"/>
      <c r="Q94" s="243"/>
      <c r="R94" s="58"/>
    </row>
    <row r="95" spans="1:18" s="224" customFormat="1" ht="38.25" hidden="1" customHeight="1">
      <c r="A95" s="813"/>
      <c r="B95" s="818"/>
      <c r="C95" s="240"/>
      <c r="D95" s="817"/>
      <c r="E95" s="817"/>
      <c r="F95" s="240"/>
      <c r="I95" s="815"/>
      <c r="J95" s="816"/>
      <c r="K95" s="816"/>
      <c r="L95" s="588"/>
      <c r="M95" s="588"/>
      <c r="N95" s="588"/>
      <c r="O95" s="588"/>
      <c r="P95" s="588"/>
      <c r="Q95" s="243"/>
      <c r="R95" s="58"/>
    </row>
    <row r="96" spans="1:18" s="224" customFormat="1" ht="38.25" hidden="1" customHeight="1">
      <c r="A96" s="813"/>
      <c r="B96" s="818"/>
      <c r="C96" s="240"/>
      <c r="D96" s="817"/>
      <c r="E96" s="817"/>
      <c r="F96" s="240"/>
      <c r="I96" s="815"/>
      <c r="J96" s="816"/>
      <c r="K96" s="816"/>
      <c r="L96" s="588"/>
      <c r="M96" s="588"/>
      <c r="N96" s="588"/>
      <c r="O96" s="588"/>
      <c r="P96" s="588"/>
      <c r="Q96" s="243"/>
      <c r="R96" s="58"/>
    </row>
    <row r="97" spans="1:19" s="224" customFormat="1" ht="38.25" hidden="1" customHeight="1">
      <c r="A97" s="813"/>
      <c r="B97" s="818"/>
      <c r="E97" s="239"/>
      <c r="F97" s="240"/>
      <c r="I97" s="815"/>
      <c r="J97" s="816"/>
      <c r="K97" s="816"/>
      <c r="L97" s="588"/>
      <c r="M97" s="588"/>
      <c r="N97" s="588"/>
      <c r="O97" s="588"/>
      <c r="P97" s="588"/>
      <c r="Q97" s="243"/>
      <c r="R97" s="58"/>
    </row>
    <row r="98" spans="1:19" s="224" customFormat="1" ht="38.25" hidden="1" customHeight="1">
      <c r="A98" s="813"/>
      <c r="B98" s="818"/>
      <c r="C98" s="240"/>
      <c r="D98" s="1569"/>
      <c r="E98" s="1569"/>
      <c r="F98" s="240"/>
      <c r="G98" s="818"/>
      <c r="H98" s="1570"/>
      <c r="I98" s="1570"/>
      <c r="J98" s="816"/>
      <c r="K98" s="816"/>
      <c r="L98" s="588"/>
      <c r="M98" s="588"/>
      <c r="N98" s="588"/>
      <c r="O98" s="588"/>
      <c r="P98" s="588"/>
      <c r="Q98" s="243"/>
      <c r="R98" s="58"/>
    </row>
    <row r="99" spans="1:19" s="224" customFormat="1" ht="38.25" hidden="1" customHeight="1" thickBot="1">
      <c r="A99" s="813"/>
      <c r="B99" s="818"/>
      <c r="E99" s="239"/>
      <c r="F99" s="240"/>
      <c r="G99" s="817"/>
      <c r="H99" s="1587"/>
      <c r="I99" s="1587"/>
      <c r="J99" s="816"/>
      <c r="K99" s="819"/>
      <c r="L99" s="1584"/>
      <c r="M99" s="1584"/>
      <c r="N99" s="1563"/>
      <c r="O99" s="1563"/>
      <c r="P99" s="588"/>
      <c r="Q99" s="243"/>
      <c r="R99" s="58"/>
    </row>
    <row r="100" spans="1:19" s="224" customFormat="1" ht="38.25" hidden="1" customHeight="1" thickTop="1">
      <c r="A100" s="813"/>
      <c r="B100" s="818"/>
      <c r="E100" s="239"/>
      <c r="F100" s="240"/>
      <c r="I100" s="815"/>
      <c r="J100" s="816"/>
      <c r="K100" s="816"/>
      <c r="L100" s="588"/>
      <c r="M100" s="588"/>
      <c r="N100" s="588"/>
      <c r="O100" s="588"/>
      <c r="P100" s="588"/>
      <c r="Q100" s="243"/>
      <c r="R100" s="58"/>
    </row>
    <row r="101" spans="1:19" s="224" customFormat="1" ht="38.25" hidden="1" customHeight="1">
      <c r="A101" s="813"/>
      <c r="B101" s="818"/>
      <c r="E101" s="239"/>
      <c r="F101" s="241"/>
      <c r="I101" s="815"/>
      <c r="J101" s="816"/>
      <c r="K101" s="816"/>
      <c r="L101" s="588"/>
      <c r="M101" s="588"/>
      <c r="N101" s="588"/>
      <c r="O101" s="588"/>
      <c r="P101" s="588"/>
      <c r="Q101" s="243"/>
      <c r="R101" s="58"/>
    </row>
    <row r="102" spans="1:19" s="224" customFormat="1" ht="38.25" hidden="1" customHeight="1">
      <c r="A102" s="813"/>
      <c r="B102" s="818"/>
      <c r="E102" s="239"/>
      <c r="F102" s="240"/>
      <c r="I102" s="815"/>
      <c r="J102" s="816"/>
      <c r="K102" s="816"/>
      <c r="L102" s="588"/>
      <c r="M102" s="588"/>
      <c r="N102" s="588"/>
      <c r="O102" s="588"/>
      <c r="P102" s="588"/>
      <c r="Q102" s="243"/>
      <c r="R102" s="58"/>
    </row>
    <row r="103" spans="1:19" s="224" customFormat="1" ht="20.25" customHeight="1">
      <c r="A103" s="813"/>
      <c r="B103" s="818"/>
      <c r="E103" s="239"/>
      <c r="F103" s="241"/>
      <c r="I103" s="134"/>
      <c r="J103" s="134"/>
      <c r="K103" s="134"/>
      <c r="L103" s="820"/>
      <c r="M103" s="134"/>
      <c r="N103" s="134"/>
      <c r="O103" s="134"/>
      <c r="P103" s="134"/>
      <c r="Q103" s="134"/>
      <c r="R103" s="58"/>
    </row>
    <row r="104" spans="1:19" s="224" customFormat="1" ht="42" customHeight="1">
      <c r="A104" s="677"/>
      <c r="B104" s="821" t="s">
        <v>35</v>
      </c>
      <c r="C104" s="822" t="s">
        <v>872</v>
      </c>
      <c r="D104" s="241"/>
      <c r="E104" s="241"/>
      <c r="F104" s="241"/>
      <c r="G104" s="823"/>
      <c r="H104" s="1608"/>
      <c r="I104" s="1608"/>
      <c r="J104" s="1608"/>
      <c r="K104" s="1608"/>
      <c r="L104" s="1610" t="s">
        <v>873</v>
      </c>
      <c r="M104" s="1611"/>
      <c r="N104" s="1608"/>
      <c r="O104" s="1608"/>
      <c r="P104" s="1605" t="s">
        <v>873</v>
      </c>
      <c r="Q104" s="1606"/>
      <c r="R104" s="1603"/>
      <c r="S104" s="1604"/>
    </row>
    <row r="105" spans="1:19" s="224" customFormat="1" ht="18.75" customHeight="1" thickBot="1">
      <c r="A105" s="824"/>
      <c r="B105" s="1065" t="s">
        <v>450</v>
      </c>
      <c r="C105" s="825">
        <f>H46/12*12</f>
        <v>40044</v>
      </c>
      <c r="D105" s="241"/>
      <c r="E105" s="241"/>
      <c r="F105" s="241"/>
      <c r="H105" s="1612" t="s">
        <v>286</v>
      </c>
      <c r="I105" s="1612"/>
      <c r="J105" s="1612"/>
      <c r="K105" s="1612"/>
      <c r="L105" s="1601"/>
      <c r="M105" s="1602"/>
      <c r="N105" s="1607" t="s">
        <v>296</v>
      </c>
      <c r="O105" s="1607"/>
      <c r="P105" s="1607"/>
      <c r="Q105" s="1607"/>
    </row>
    <row r="106" spans="1:19" s="224" customFormat="1" ht="18.75" customHeight="1">
      <c r="A106" s="824"/>
      <c r="B106" s="1066" t="s">
        <v>1142</v>
      </c>
      <c r="C106" s="826">
        <f>H50/12*12</f>
        <v>0</v>
      </c>
      <c r="H106" s="1560" t="s">
        <v>450</v>
      </c>
      <c r="I106" s="1561"/>
      <c r="J106" s="1561"/>
      <c r="K106" s="1562"/>
      <c r="L106" s="1585">
        <f>SUM(L46+M46+O46)/12*12</f>
        <v>3403.7400000000007</v>
      </c>
      <c r="M106" s="1586"/>
      <c r="N106" s="1560" t="s">
        <v>450</v>
      </c>
      <c r="O106" s="1561"/>
      <c r="P106" s="1562"/>
      <c r="Q106" s="692">
        <f>K46/12*12</f>
        <v>3103.41</v>
      </c>
    </row>
    <row r="107" spans="1:19" s="224" customFormat="1" ht="25.5" customHeight="1">
      <c r="A107" s="824"/>
      <c r="B107" s="821" t="s">
        <v>439</v>
      </c>
      <c r="C107" s="827" t="s">
        <v>451</v>
      </c>
      <c r="D107" s="1574" t="s">
        <v>995</v>
      </c>
      <c r="E107" s="1574"/>
      <c r="H107" s="1560" t="s">
        <v>973</v>
      </c>
      <c r="I107" s="1561"/>
      <c r="J107" s="1561"/>
      <c r="K107" s="1562"/>
      <c r="L107" s="1585">
        <f>SUM(L50+M50+O50)/12*12</f>
        <v>0</v>
      </c>
      <c r="M107" s="1586"/>
      <c r="N107" s="1560" t="s">
        <v>973</v>
      </c>
      <c r="O107" s="1561"/>
      <c r="P107" s="1562"/>
      <c r="Q107" s="692">
        <f>K50/12*12</f>
        <v>0</v>
      </c>
    </row>
    <row r="108" spans="1:19" s="224" customFormat="1" ht="21" customHeight="1" thickBot="1">
      <c r="A108" s="824"/>
      <c r="B108" s="1067" t="s">
        <v>450</v>
      </c>
      <c r="C108" s="828">
        <f>J46</f>
        <v>3337</v>
      </c>
      <c r="D108" s="825">
        <f>I46</f>
        <v>3337</v>
      </c>
      <c r="E108" s="829"/>
      <c r="H108" s="1582"/>
      <c r="I108" s="1582"/>
      <c r="J108" s="1583"/>
      <c r="K108" s="1583"/>
      <c r="L108" s="1584"/>
      <c r="M108" s="1584"/>
    </row>
    <row r="109" spans="1:19" s="224" customFormat="1" ht="21.75" customHeight="1" thickBot="1">
      <c r="A109" s="824"/>
      <c r="B109" s="1068" t="s">
        <v>1142</v>
      </c>
      <c r="C109" s="323">
        <f>J50</f>
        <v>0</v>
      </c>
      <c r="D109" s="324">
        <f>I50</f>
        <v>0</v>
      </c>
      <c r="E109" s="830"/>
    </row>
    <row r="110" spans="1:19">
      <c r="B110" s="1069"/>
      <c r="F110" s="48"/>
    </row>
    <row r="111" spans="1:19">
      <c r="B111" s="1069"/>
    </row>
    <row r="112" spans="1:19">
      <c r="B112" s="1069" t="s">
        <v>1128</v>
      </c>
    </row>
    <row r="113" spans="2:2">
      <c r="B113" s="1069"/>
    </row>
  </sheetData>
  <protectedRanges>
    <protectedRange password="D455" sqref="C28" name="Rango1"/>
    <protectedRange password="D455" sqref="D28" name="Rango1_1"/>
  </protectedRanges>
  <mergeCells count="116">
    <mergeCell ref="B37:D37"/>
    <mergeCell ref="B59:C59"/>
    <mergeCell ref="B64:C64"/>
    <mergeCell ref="B63:C63"/>
    <mergeCell ref="H70:I70"/>
    <mergeCell ref="B68:K68"/>
    <mergeCell ref="D69:E69"/>
    <mergeCell ref="F69:G69"/>
    <mergeCell ref="B54:C54"/>
    <mergeCell ref="H69:I69"/>
    <mergeCell ref="F70:G70"/>
    <mergeCell ref="A38:Q38"/>
    <mergeCell ref="A48:Q48"/>
    <mergeCell ref="C51:Q51"/>
    <mergeCell ref="A51:B51"/>
    <mergeCell ref="B77:P77"/>
    <mergeCell ref="B78:G78"/>
    <mergeCell ref="H78:Q78"/>
    <mergeCell ref="E79:G79"/>
    <mergeCell ref="H79:K79"/>
    <mergeCell ref="L79:M79"/>
    <mergeCell ref="N79:P79"/>
    <mergeCell ref="D70:E70"/>
    <mergeCell ref="D71:E71"/>
    <mergeCell ref="D74:E74"/>
    <mergeCell ref="F71:G71"/>
    <mergeCell ref="F74:G74"/>
    <mergeCell ref="D72:E72"/>
    <mergeCell ref="F72:G72"/>
    <mergeCell ref="H72:I72"/>
    <mergeCell ref="H71:I71"/>
    <mergeCell ref="H74:I74"/>
    <mergeCell ref="A2:Q2"/>
    <mergeCell ref="A3:Q3"/>
    <mergeCell ref="A4:Q4"/>
    <mergeCell ref="A5:A7"/>
    <mergeCell ref="B5:B7"/>
    <mergeCell ref="C5:C7"/>
    <mergeCell ref="D5:D7"/>
    <mergeCell ref="E5:E7"/>
    <mergeCell ref="F5:F7"/>
    <mergeCell ref="G5:H6"/>
    <mergeCell ref="K5:P5"/>
    <mergeCell ref="Q5:Q7"/>
    <mergeCell ref="I5:J6"/>
    <mergeCell ref="L6:O6"/>
    <mergeCell ref="P6:P7"/>
    <mergeCell ref="R104:S104"/>
    <mergeCell ref="P104:Q104"/>
    <mergeCell ref="N105:Q105"/>
    <mergeCell ref="N104:O104"/>
    <mergeCell ref="B36:E36"/>
    <mergeCell ref="H104:K104"/>
    <mergeCell ref="L104:M104"/>
    <mergeCell ref="H105:K105"/>
    <mergeCell ref="D92:E92"/>
    <mergeCell ref="H93:K93"/>
    <mergeCell ref="L93:M93"/>
    <mergeCell ref="L88:M88"/>
    <mergeCell ref="H86:K86"/>
    <mergeCell ref="D87:E87"/>
    <mergeCell ref="L87:M87"/>
    <mergeCell ref="N93:P93"/>
    <mergeCell ref="D90:E90"/>
    <mergeCell ref="L90:M90"/>
    <mergeCell ref="N90:P90"/>
    <mergeCell ref="D91:E91"/>
    <mergeCell ref="L91:M91"/>
    <mergeCell ref="N91:P91"/>
    <mergeCell ref="N88:P88"/>
    <mergeCell ref="E80:G80"/>
    <mergeCell ref="H108:K108"/>
    <mergeCell ref="L108:M108"/>
    <mergeCell ref="L106:M106"/>
    <mergeCell ref="E82:G82"/>
    <mergeCell ref="L82:M82"/>
    <mergeCell ref="H99:I99"/>
    <mergeCell ref="D88:E88"/>
    <mergeCell ref="L89:M89"/>
    <mergeCell ref="F90:G90"/>
    <mergeCell ref="F91:G91"/>
    <mergeCell ref="F92:G92"/>
    <mergeCell ref="L107:M107"/>
    <mergeCell ref="L99:M99"/>
    <mergeCell ref="D89:E89"/>
    <mergeCell ref="C85:D85"/>
    <mergeCell ref="C86:D86"/>
    <mergeCell ref="E84:G84"/>
    <mergeCell ref="L84:M84"/>
    <mergeCell ref="L85:M85"/>
    <mergeCell ref="F87:G87"/>
    <mergeCell ref="F88:G88"/>
    <mergeCell ref="F89:G89"/>
    <mergeCell ref="L105:M105"/>
    <mergeCell ref="H106:K106"/>
    <mergeCell ref="H80:K80"/>
    <mergeCell ref="N80:P80"/>
    <mergeCell ref="H107:K107"/>
    <mergeCell ref="N106:P106"/>
    <mergeCell ref="N107:P107"/>
    <mergeCell ref="N99:O99"/>
    <mergeCell ref="E81:G81"/>
    <mergeCell ref="L83:M83"/>
    <mergeCell ref="D94:E94"/>
    <mergeCell ref="D98:E98"/>
    <mergeCell ref="H98:I98"/>
    <mergeCell ref="E83:G83"/>
    <mergeCell ref="D107:E107"/>
    <mergeCell ref="N89:P89"/>
    <mergeCell ref="N87:P87"/>
    <mergeCell ref="N84:P84"/>
    <mergeCell ref="N85:P85"/>
    <mergeCell ref="N83:P83"/>
    <mergeCell ref="L81:M81"/>
    <mergeCell ref="N81:P81"/>
    <mergeCell ref="N82:P82"/>
  </mergeCells>
  <phoneticPr fontId="11" type="noConversion"/>
  <pageMargins left="0" right="0" top="0.94488188976377963" bottom="0.55118110236220474" header="0.31496062992125984" footer="0.31496062992125984"/>
  <pageSetup scale="60" orientation="landscape" verticalDpi="300" r:id="rId1"/>
  <headerFooter alignWithMargins="0"/>
  <rowBreaks count="1" manualBreakCount="1">
    <brk id="76" max="1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I38"/>
  <sheetViews>
    <sheetView topLeftCell="A31" zoomScale="81" zoomScaleNormal="81" zoomScaleSheetLayoutView="89" workbookViewId="0">
      <selection activeCell="H1" sqref="H1"/>
    </sheetView>
  </sheetViews>
  <sheetFormatPr baseColWidth="10" defaultRowHeight="12.75"/>
  <cols>
    <col min="1" max="1" width="6.5703125" customWidth="1"/>
    <col min="2" max="2" width="34.85546875" customWidth="1"/>
    <col min="3" max="3" width="21.7109375" customWidth="1"/>
    <col min="4" max="4" width="16.85546875" hidden="1" customWidth="1"/>
    <col min="5" max="5" width="15.7109375" hidden="1" customWidth="1"/>
    <col min="6" max="6" width="1.7109375" hidden="1" customWidth="1"/>
    <col min="7" max="7" width="29.5703125" customWidth="1"/>
    <col min="9" max="9" width="14.140625" bestFit="1" customWidth="1"/>
  </cols>
  <sheetData>
    <row r="1" spans="1:9" ht="33.75" customHeight="1">
      <c r="A1" s="1681" t="s">
        <v>1030</v>
      </c>
      <c r="B1" s="1681"/>
      <c r="C1" s="1681"/>
      <c r="D1" s="1681"/>
      <c r="E1" s="1681"/>
      <c r="F1" s="1681"/>
      <c r="G1" s="1681"/>
    </row>
    <row r="2" spans="1:9" ht="30" customHeight="1">
      <c r="A2" s="1682" t="s">
        <v>1029</v>
      </c>
      <c r="B2" s="1683"/>
      <c r="C2" s="1683"/>
      <c r="D2" s="1683"/>
      <c r="E2" s="1683"/>
      <c r="F2" s="1683"/>
      <c r="G2" s="1683"/>
    </row>
    <row r="3" spans="1:9" ht="15">
      <c r="A3" s="7"/>
      <c r="B3" s="7"/>
      <c r="C3" s="7"/>
      <c r="D3" s="7"/>
      <c r="E3" s="7"/>
      <c r="F3" s="7"/>
      <c r="G3" s="7"/>
    </row>
    <row r="4" spans="1:9" ht="16.5">
      <c r="A4" s="1678" t="s">
        <v>302</v>
      </c>
      <c r="B4" s="1674" t="s">
        <v>305</v>
      </c>
      <c r="C4" s="1684" t="s">
        <v>943</v>
      </c>
      <c r="D4" s="1685"/>
      <c r="E4" s="1685"/>
      <c r="F4" s="1685"/>
      <c r="G4" s="1685"/>
    </row>
    <row r="5" spans="1:9" ht="15" customHeight="1">
      <c r="A5" s="1678"/>
      <c r="B5" s="1674"/>
      <c r="C5" s="1674" t="s">
        <v>1033</v>
      </c>
      <c r="D5" s="1674" t="s">
        <v>310</v>
      </c>
      <c r="E5" s="1674" t="s">
        <v>1032</v>
      </c>
      <c r="F5" s="1674" t="s">
        <v>1031</v>
      </c>
      <c r="G5" s="1674" t="s">
        <v>304</v>
      </c>
    </row>
    <row r="6" spans="1:9" ht="55.5" customHeight="1">
      <c r="A6" s="1678"/>
      <c r="B6" s="1674"/>
      <c r="C6" s="1471"/>
      <c r="D6" s="1471"/>
      <c r="E6" s="1674"/>
      <c r="F6" s="1674"/>
      <c r="G6" s="1471"/>
    </row>
    <row r="7" spans="1:9" s="55" customFormat="1" ht="24.75" customHeight="1" thickBot="1">
      <c r="A7" s="643" t="s">
        <v>34</v>
      </c>
      <c r="B7" s="644" t="s">
        <v>85</v>
      </c>
      <c r="C7" s="645">
        <f>SUM('Proy. de recur.Humanos'!C80)</f>
        <v>231265</v>
      </c>
      <c r="D7" s="645">
        <f>SUM('Proy. de recur.Humanos'!C81)</f>
        <v>0</v>
      </c>
      <c r="E7" s="645">
        <f>SUM('Proy. de recur.Humanos'!C82)</f>
        <v>0</v>
      </c>
      <c r="F7" s="645">
        <f>SUM('Proy. de recur.Humanos'!C83)</f>
        <v>0</v>
      </c>
      <c r="G7" s="646">
        <f t="shared" ref="G7:G15" si="0">SUM(C7:F7)</f>
        <v>231265</v>
      </c>
      <c r="I7" s="300"/>
    </row>
    <row r="8" spans="1:9" s="55" customFormat="1" ht="24.75" customHeight="1" thickBot="1">
      <c r="A8" s="355" t="s">
        <v>86</v>
      </c>
      <c r="B8" s="356" t="s">
        <v>87</v>
      </c>
      <c r="C8" s="357">
        <f>SUM('Proy. de recur.Humanos'!C88)</f>
        <v>23126.5</v>
      </c>
      <c r="D8" s="357">
        <f>SUM('Proy. de recur.Humanos'!C89)</f>
        <v>0</v>
      </c>
      <c r="E8" s="358">
        <f>SUM('Proy. de recur.Humanos'!C90)</f>
        <v>0</v>
      </c>
      <c r="F8" s="358">
        <f>SUM('Proy. de recur.Humanos'!C91)</f>
        <v>0</v>
      </c>
      <c r="G8" s="354">
        <f t="shared" si="0"/>
        <v>23126.5</v>
      </c>
    </row>
    <row r="9" spans="1:9" s="55" customFormat="1" ht="24.75" hidden="1" customHeight="1" thickBot="1">
      <c r="A9" s="355" t="s">
        <v>88</v>
      </c>
      <c r="B9" s="356" t="s">
        <v>89</v>
      </c>
      <c r="C9" s="357">
        <v>0</v>
      </c>
      <c r="D9" s="357">
        <v>0</v>
      </c>
      <c r="E9" s="357">
        <v>0</v>
      </c>
      <c r="F9" s="357">
        <v>0</v>
      </c>
      <c r="G9" s="354">
        <f t="shared" si="0"/>
        <v>0</v>
      </c>
    </row>
    <row r="10" spans="1:9" s="55" customFormat="1" ht="24.75" hidden="1" customHeight="1" thickBot="1">
      <c r="A10" s="355" t="s">
        <v>34</v>
      </c>
      <c r="B10" s="356" t="s">
        <v>85</v>
      </c>
      <c r="C10" s="357"/>
      <c r="D10" s="359">
        <v>0</v>
      </c>
      <c r="E10" s="357">
        <v>0</v>
      </c>
      <c r="F10" s="357"/>
      <c r="G10" s="354">
        <f t="shared" si="0"/>
        <v>0</v>
      </c>
    </row>
    <row r="11" spans="1:9" s="55" customFormat="1" ht="24.75" hidden="1" customHeight="1" thickBot="1">
      <c r="A11" s="355" t="s">
        <v>91</v>
      </c>
      <c r="B11" s="356" t="s">
        <v>87</v>
      </c>
      <c r="C11" s="357"/>
      <c r="D11" s="359"/>
      <c r="E11" s="357"/>
      <c r="F11" s="357"/>
      <c r="G11" s="354">
        <f t="shared" si="0"/>
        <v>0</v>
      </c>
      <c r="I11" s="503">
        <f>359000-G15</f>
        <v>72030.1875</v>
      </c>
    </row>
    <row r="12" spans="1:9" s="55" customFormat="1" ht="24.75" customHeight="1" thickBot="1">
      <c r="A12" s="355" t="s">
        <v>94</v>
      </c>
      <c r="B12" s="356" t="s">
        <v>95</v>
      </c>
      <c r="C12" s="360">
        <f>SUM('Proy. de recur.Humanos'!L81:M81)</f>
        <v>15430.275</v>
      </c>
      <c r="D12" s="360">
        <f>SUM('Proy. de recur.Humanos'!L82:M82)</f>
        <v>0</v>
      </c>
      <c r="E12" s="361">
        <f>SUM('Proy. de recur.Humanos'!L83:M83)</f>
        <v>0</v>
      </c>
      <c r="F12" s="361">
        <f>SUM('Proy. de recur.Humanos'!L84:M84)</f>
        <v>0</v>
      </c>
      <c r="G12" s="354">
        <f>SUM(C12:F12)</f>
        <v>15430.275</v>
      </c>
    </row>
    <row r="13" spans="1:9" s="55" customFormat="1" ht="24.75" customHeight="1" thickBot="1">
      <c r="A13" s="362" t="s">
        <v>96</v>
      </c>
      <c r="B13" s="363" t="s">
        <v>97</v>
      </c>
      <c r="C13" s="360">
        <f>SUM('Proy. de recur.Humanos'!L87:M87)</f>
        <v>17148.037499999999</v>
      </c>
      <c r="D13" s="364">
        <f>SUM('Proy. de recur.Humanos'!L88:M88)</f>
        <v>0</v>
      </c>
      <c r="E13" s="361">
        <f>SUM('Proy. de recur.Humanos'!L89:M89)</f>
        <v>0</v>
      </c>
      <c r="F13" s="364">
        <f>SUM('Proy. de recur.Humanos'!L90:M90)</f>
        <v>0</v>
      </c>
      <c r="G13" s="354">
        <f t="shared" si="0"/>
        <v>17148.037499999999</v>
      </c>
    </row>
    <row r="14" spans="1:9" s="55" customFormat="1" ht="33" hidden="1" customHeight="1" thickBot="1">
      <c r="A14" s="365" t="s">
        <v>436</v>
      </c>
      <c r="B14" s="366" t="s">
        <v>438</v>
      </c>
      <c r="C14" s="367">
        <f>SUM('Proy. de recur.Humanos'!L93:M93)</f>
        <v>0</v>
      </c>
      <c r="D14" s="368"/>
      <c r="E14" s="368"/>
      <c r="F14" s="368"/>
      <c r="G14" s="354">
        <f t="shared" si="0"/>
        <v>0</v>
      </c>
    </row>
    <row r="15" spans="1:9" s="55" customFormat="1" ht="24.75" customHeight="1" thickBot="1">
      <c r="A15" s="1672" t="s">
        <v>308</v>
      </c>
      <c r="B15" s="1673"/>
      <c r="C15" s="647">
        <f>SUM(C7:C14)</f>
        <v>286969.8125</v>
      </c>
      <c r="D15" s="647">
        <f>SUM(D7:D13)</f>
        <v>0</v>
      </c>
      <c r="E15" s="647">
        <f>SUM(E7:E13)</f>
        <v>0</v>
      </c>
      <c r="F15" s="647">
        <f>SUM(F7:F13)</f>
        <v>0</v>
      </c>
      <c r="G15" s="648">
        <f t="shared" si="0"/>
        <v>286969.8125</v>
      </c>
    </row>
    <row r="16" spans="1:9" ht="15.75" thickBot="1">
      <c r="A16" s="39"/>
      <c r="B16" s="7"/>
      <c r="C16" s="111"/>
      <c r="D16" s="7"/>
      <c r="E16" s="7"/>
      <c r="F16" s="7"/>
      <c r="G16" s="7"/>
    </row>
    <row r="17" spans="1:7" ht="19.5" customHeight="1">
      <c r="A17" s="1676" t="s">
        <v>302</v>
      </c>
      <c r="B17" s="1677" t="s">
        <v>305</v>
      </c>
      <c r="C17" s="1675" t="s">
        <v>309</v>
      </c>
      <c r="D17" s="1675"/>
      <c r="E17" s="1675"/>
      <c r="F17" s="1675"/>
      <c r="G17" s="1675"/>
    </row>
    <row r="18" spans="1:7" ht="15" customHeight="1">
      <c r="A18" s="1676"/>
      <c r="B18" s="1677"/>
      <c r="C18" s="1674" t="s">
        <v>944</v>
      </c>
      <c r="D18" s="1674" t="s">
        <v>310</v>
      </c>
      <c r="E18" s="1674" t="s">
        <v>945</v>
      </c>
      <c r="F18" s="1674" t="s">
        <v>303</v>
      </c>
      <c r="G18" s="1674" t="s">
        <v>304</v>
      </c>
    </row>
    <row r="19" spans="1:7" ht="54" customHeight="1" thickBot="1">
      <c r="A19" s="1676"/>
      <c r="B19" s="1677"/>
      <c r="C19" s="1674"/>
      <c r="D19" s="1674"/>
      <c r="E19" s="1674"/>
      <c r="F19" s="1674"/>
      <c r="G19" s="1674"/>
    </row>
    <row r="20" spans="1:7" s="55" customFormat="1" ht="23.25" customHeight="1" thickBot="1">
      <c r="A20" s="353" t="s">
        <v>34</v>
      </c>
      <c r="B20" s="644" t="s">
        <v>85</v>
      </c>
      <c r="C20" s="689">
        <f>SUM('Proy. de recur.Humanos'!D80)</f>
        <v>78161</v>
      </c>
      <c r="D20" s="689">
        <f>SUM('Proy. de recur.Humanos'!D81)</f>
        <v>0</v>
      </c>
      <c r="E20" s="690">
        <f>SUM('Proy. de recur.Humanos'!D82)</f>
        <v>0</v>
      </c>
      <c r="F20" s="690">
        <f>SUM('Proy. de recur.Humanos'!D83)</f>
        <v>0</v>
      </c>
      <c r="G20" s="646">
        <f>SUM(C20:F20)</f>
        <v>78161</v>
      </c>
    </row>
    <row r="21" spans="1:7" s="55" customFormat="1" ht="23.25" hidden="1" customHeight="1" thickBot="1">
      <c r="A21" s="355" t="s">
        <v>91</v>
      </c>
      <c r="B21" s="356" t="s">
        <v>87</v>
      </c>
      <c r="C21" s="369">
        <v>0</v>
      </c>
      <c r="D21" s="369">
        <v>0</v>
      </c>
      <c r="E21" s="370">
        <v>0</v>
      </c>
      <c r="F21" s="370">
        <v>0</v>
      </c>
      <c r="G21" s="354">
        <f t="shared" ref="G21:G29" si="1">SUM(C21:F21)</f>
        <v>0</v>
      </c>
    </row>
    <row r="22" spans="1:7" s="55" customFormat="1" ht="23.25" customHeight="1" thickBot="1">
      <c r="A22" s="355" t="s">
        <v>88</v>
      </c>
      <c r="B22" s="356" t="s">
        <v>89</v>
      </c>
      <c r="C22" s="369">
        <f>SUM('Proy. de recur.Humanos'!C86:D86)</f>
        <v>85280</v>
      </c>
      <c r="D22" s="369">
        <v>0</v>
      </c>
      <c r="E22" s="370">
        <v>0</v>
      </c>
      <c r="F22" s="370">
        <v>0</v>
      </c>
      <c r="G22" s="354">
        <f t="shared" si="1"/>
        <v>85280</v>
      </c>
    </row>
    <row r="23" spans="1:7" s="55" customFormat="1" ht="23.25" hidden="1" customHeight="1" thickBot="1">
      <c r="A23" s="355" t="s">
        <v>306</v>
      </c>
      <c r="B23" s="356" t="s">
        <v>85</v>
      </c>
      <c r="C23" s="369"/>
      <c r="D23" s="369">
        <v>0</v>
      </c>
      <c r="E23" s="371">
        <v>0</v>
      </c>
      <c r="F23" s="370"/>
      <c r="G23" s="354">
        <f t="shared" si="1"/>
        <v>0</v>
      </c>
    </row>
    <row r="24" spans="1:7" s="55" customFormat="1" ht="23.25" hidden="1" customHeight="1" thickBot="1">
      <c r="A24" s="355" t="s">
        <v>91</v>
      </c>
      <c r="B24" s="356" t="s">
        <v>87</v>
      </c>
      <c r="C24" s="369"/>
      <c r="D24" s="369">
        <f>SUM('Proy. de recur.Humanos'!F89:G89)</f>
        <v>0</v>
      </c>
      <c r="E24" s="371"/>
      <c r="F24" s="370">
        <f>SUM('Proy. de recur.Humanos'!F91:G91)</f>
        <v>0</v>
      </c>
      <c r="G24" s="354">
        <f t="shared" si="1"/>
        <v>0</v>
      </c>
    </row>
    <row r="25" spans="1:7" s="55" customFormat="1" ht="23.25" customHeight="1" thickBot="1">
      <c r="A25" s="355" t="s">
        <v>174</v>
      </c>
      <c r="B25" s="356" t="s">
        <v>175</v>
      </c>
      <c r="C25" s="369">
        <f>SUM('Proy. de recur.Humanos'!D88:E88)</f>
        <v>25785.5</v>
      </c>
      <c r="D25" s="369">
        <f>SUM('Proy. de recur.Humanos'!D89:E89)</f>
        <v>0</v>
      </c>
      <c r="E25" s="371">
        <f>SUM('Proy. de recur.Humanos'!D90:E90)</f>
        <v>0</v>
      </c>
      <c r="F25" s="370">
        <f>SUM('Proy. de recur.Humanos'!D91:E91)</f>
        <v>0</v>
      </c>
      <c r="G25" s="354">
        <f t="shared" si="1"/>
        <v>25785.5</v>
      </c>
    </row>
    <row r="26" spans="1:7" s="55" customFormat="1" ht="23.25" hidden="1" customHeight="1" thickBot="1">
      <c r="A26" s="355" t="s">
        <v>307</v>
      </c>
      <c r="B26" s="356" t="s">
        <v>92</v>
      </c>
      <c r="C26" s="369">
        <v>0</v>
      </c>
      <c r="D26" s="369">
        <v>0</v>
      </c>
      <c r="E26" s="369">
        <v>0</v>
      </c>
      <c r="F26" s="369">
        <v>0</v>
      </c>
      <c r="G26" s="354">
        <f t="shared" si="1"/>
        <v>0</v>
      </c>
    </row>
    <row r="27" spans="1:7" s="55" customFormat="1" ht="23.25" customHeight="1" thickBot="1">
      <c r="A27" s="355" t="s">
        <v>94</v>
      </c>
      <c r="B27" s="372" t="s">
        <v>95</v>
      </c>
      <c r="C27" s="369">
        <f>SUM('Proy. de recur.Humanos'!N81:P81)</f>
        <v>12981.43</v>
      </c>
      <c r="D27" s="369">
        <f>SUM('Proy. de recur.Humanos'!N82:P82)</f>
        <v>0</v>
      </c>
      <c r="E27" s="371">
        <f>SUM('Proy. de recur.Humanos'!N83:P83)</f>
        <v>0</v>
      </c>
      <c r="F27" s="369">
        <f>SUM('Proy. de recur.Humanos'!N84:P84)</f>
        <v>0</v>
      </c>
      <c r="G27" s="354">
        <f t="shared" si="1"/>
        <v>12981.43</v>
      </c>
    </row>
    <row r="28" spans="1:7" s="55" customFormat="1" ht="23.25" customHeight="1" thickBot="1">
      <c r="A28" s="365" t="s">
        <v>96</v>
      </c>
      <c r="B28" s="376" t="s">
        <v>97</v>
      </c>
      <c r="C28" s="369">
        <f>SUM('Proy. de recur.Humanos'!N87:P87)</f>
        <v>12648.08</v>
      </c>
      <c r="D28" s="369">
        <f>SUM('Proy. de recur.Humanos'!N88:P88)</f>
        <v>0</v>
      </c>
      <c r="E28" s="371">
        <f>SUM('Proy. de recur.Humanos'!N89:P89)</f>
        <v>0</v>
      </c>
      <c r="F28" s="369">
        <f>SUM('Proy. de recur.Humanos'!N90:P90)</f>
        <v>0</v>
      </c>
      <c r="G28" s="354">
        <f t="shared" si="1"/>
        <v>12648.08</v>
      </c>
    </row>
    <row r="29" spans="1:7" s="55" customFormat="1" ht="33" hidden="1" customHeight="1" thickBot="1">
      <c r="A29" s="365" t="s">
        <v>436</v>
      </c>
      <c r="B29" s="377" t="s">
        <v>437</v>
      </c>
      <c r="C29" s="373">
        <f>SUM('Proy. de recur.Humanos'!N93:P93)</f>
        <v>0</v>
      </c>
      <c r="D29" s="373"/>
      <c r="E29" s="374"/>
      <c r="F29" s="375"/>
      <c r="G29" s="354">
        <f t="shared" si="1"/>
        <v>0</v>
      </c>
    </row>
    <row r="30" spans="1:7" s="55" customFormat="1" ht="23.25" customHeight="1" thickBot="1">
      <c r="A30" s="1672" t="s">
        <v>308</v>
      </c>
      <c r="B30" s="1673"/>
      <c r="C30" s="649">
        <f>SUM(C20:C29)</f>
        <v>214856.00999999998</v>
      </c>
      <c r="D30" s="649">
        <f>SUM(D20:D28)</f>
        <v>0</v>
      </c>
      <c r="E30" s="649">
        <f>SUM(E20:E28)</f>
        <v>0</v>
      </c>
      <c r="F30" s="649">
        <f>SUM(F20:F28)</f>
        <v>0</v>
      </c>
      <c r="G30" s="650">
        <f>SUM(C30:F30)</f>
        <v>214856.00999999998</v>
      </c>
    </row>
    <row r="31" spans="1:7" s="55" customFormat="1" ht="23.25" customHeight="1">
      <c r="A31" s="301"/>
      <c r="B31" s="301"/>
      <c r="C31" s="301"/>
      <c r="D31" s="301"/>
      <c r="E31" s="301"/>
      <c r="F31" s="301"/>
      <c r="G31" s="301"/>
    </row>
    <row r="32" spans="1:7" s="55" customFormat="1" ht="23.25" customHeight="1">
      <c r="A32" s="1679" t="s">
        <v>311</v>
      </c>
      <c r="B32" s="1680"/>
      <c r="C32" s="1680"/>
      <c r="D32" s="1680"/>
      <c r="E32" s="1680"/>
      <c r="F32" s="1680"/>
      <c r="G32" s="1038">
        <f>G30+G15</f>
        <v>501825.82250000001</v>
      </c>
    </row>
    <row r="33" spans="1:7" s="55" customFormat="1" ht="23.25" customHeight="1">
      <c r="A33" s="1039"/>
      <c r="B33" s="301"/>
      <c r="C33" s="301"/>
      <c r="D33" s="301"/>
      <c r="E33" s="301"/>
      <c r="F33" s="1040"/>
      <c r="G33" s="1041"/>
    </row>
    <row r="34" spans="1:7" s="55" customFormat="1" ht="23.25" customHeight="1">
      <c r="A34" s="1042"/>
      <c r="B34" s="1042"/>
      <c r="C34" s="1042"/>
      <c r="D34" s="1042"/>
      <c r="E34" s="1042"/>
      <c r="F34" s="1042"/>
      <c r="G34" s="1042"/>
    </row>
    <row r="35" spans="1:7" s="55" customFormat="1" ht="38.25" customHeight="1">
      <c r="A35" s="1671" t="s">
        <v>1034</v>
      </c>
      <c r="B35" s="1671"/>
      <c r="C35" s="1671"/>
      <c r="D35" s="1671"/>
      <c r="E35" s="1671"/>
      <c r="F35" s="1671"/>
      <c r="G35" s="1671"/>
    </row>
    <row r="36" spans="1:7" s="55" customFormat="1" ht="23.25" customHeight="1"/>
    <row r="37" spans="1:7" s="55" customFormat="1" ht="23.25" customHeight="1">
      <c r="C37" s="302"/>
    </row>
    <row r="38" spans="1:7">
      <c r="C38" s="178"/>
    </row>
  </sheetData>
  <mergeCells count="22">
    <mergeCell ref="A1:G1"/>
    <mergeCell ref="A2:G2"/>
    <mergeCell ref="C4:G4"/>
    <mergeCell ref="C5:C6"/>
    <mergeCell ref="D5:D6"/>
    <mergeCell ref="E5:E6"/>
    <mergeCell ref="F5:F6"/>
    <mergeCell ref="A35:G35"/>
    <mergeCell ref="A30:B30"/>
    <mergeCell ref="G5:G6"/>
    <mergeCell ref="A15:B15"/>
    <mergeCell ref="C17:G17"/>
    <mergeCell ref="C18:C19"/>
    <mergeCell ref="D18:D19"/>
    <mergeCell ref="E18:E19"/>
    <mergeCell ref="F18:F19"/>
    <mergeCell ref="G18:G19"/>
    <mergeCell ref="A17:A19"/>
    <mergeCell ref="B17:B19"/>
    <mergeCell ref="A4:A6"/>
    <mergeCell ref="B4:B6"/>
    <mergeCell ref="A32:F32"/>
  </mergeCells>
  <phoneticPr fontId="11" type="noConversion"/>
  <pageMargins left="1.1811023622047245" right="0" top="0.94488188976377963" bottom="0.27559055118110237" header="0.19685039370078741" footer="0"/>
  <pageSetup scale="90"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K31"/>
  <sheetViews>
    <sheetView topLeftCell="A7" workbookViewId="0">
      <selection activeCell="F35" sqref="F35"/>
    </sheetView>
  </sheetViews>
  <sheetFormatPr baseColWidth="10" defaultRowHeight="12.75"/>
  <cols>
    <col min="1" max="1" width="9.140625" customWidth="1"/>
    <col min="2" max="2" width="22.5703125" customWidth="1"/>
    <col min="3" max="3" width="25.28515625" customWidth="1"/>
    <col min="4" max="4" width="27.85546875" customWidth="1"/>
    <col min="6" max="6" width="13.85546875" bestFit="1" customWidth="1"/>
    <col min="7" max="7" width="18.42578125" customWidth="1"/>
  </cols>
  <sheetData>
    <row r="1" spans="1:11" ht="28.5" customHeight="1">
      <c r="A1" s="1353" t="s">
        <v>84</v>
      </c>
      <c r="B1" s="1353"/>
      <c r="C1" s="1353"/>
      <c r="D1" s="1353"/>
      <c r="E1" s="64"/>
      <c r="F1" s="64"/>
      <c r="G1" s="64"/>
      <c r="H1" s="64"/>
      <c r="I1" s="64"/>
      <c r="J1" s="64"/>
      <c r="K1" s="64"/>
    </row>
    <row r="2" spans="1:11" ht="18" customHeight="1">
      <c r="A2" s="1354" t="s">
        <v>83</v>
      </c>
      <c r="B2" s="1354"/>
      <c r="C2" s="1354"/>
      <c r="D2" s="1354"/>
      <c r="E2" s="64"/>
      <c r="F2" s="64"/>
      <c r="G2" s="64"/>
      <c r="H2" s="64"/>
      <c r="I2" s="64"/>
      <c r="J2" s="64"/>
      <c r="K2" s="64"/>
    </row>
    <row r="3" spans="1:11" ht="24" customHeight="1">
      <c r="A3" s="1355" t="s">
        <v>755</v>
      </c>
      <c r="B3" s="1355"/>
      <c r="C3" s="1355"/>
      <c r="D3" s="1355"/>
      <c r="E3" s="65"/>
      <c r="F3" s="65"/>
      <c r="G3" s="65"/>
      <c r="H3" s="65"/>
      <c r="I3" s="65"/>
      <c r="J3" s="65"/>
      <c r="K3" s="65"/>
    </row>
    <row r="4" spans="1:11" ht="18.75">
      <c r="A4" s="1356" t="s">
        <v>12</v>
      </c>
      <c r="B4" s="1356"/>
      <c r="C4" s="1356"/>
      <c r="D4" s="1356"/>
      <c r="E4" s="66"/>
      <c r="F4" s="66"/>
      <c r="G4" s="66"/>
      <c r="H4" s="66"/>
      <c r="I4" s="66"/>
      <c r="J4" s="66"/>
      <c r="K4" s="66"/>
    </row>
    <row r="7" spans="1:11" ht="15">
      <c r="A7" s="1342" t="s">
        <v>360</v>
      </c>
      <c r="B7" s="1342"/>
      <c r="C7" s="1342"/>
      <c r="D7" s="1342"/>
    </row>
    <row r="8" spans="1:11" ht="15">
      <c r="A8" s="1357" t="s">
        <v>361</v>
      </c>
      <c r="B8" s="1357"/>
      <c r="C8" s="1357"/>
      <c r="D8" s="1357"/>
    </row>
    <row r="9" spans="1:11" ht="15">
      <c r="A9" s="1342" t="s">
        <v>362</v>
      </c>
      <c r="B9" s="1342"/>
      <c r="C9" s="1342"/>
      <c r="D9" s="1342"/>
    </row>
    <row r="10" spans="1:11">
      <c r="A10" s="427"/>
      <c r="B10" s="1343"/>
      <c r="C10" s="1344"/>
      <c r="D10" s="427"/>
    </row>
    <row r="11" spans="1:11">
      <c r="A11" s="428" t="s">
        <v>363</v>
      </c>
      <c r="B11" s="1345" t="s">
        <v>364</v>
      </c>
      <c r="C11" s="1346"/>
      <c r="D11" s="429">
        <f>SUM('CONCENTRACION DE EGRESOS'!D97:E97,'CONCENTRACION DE EGRESOS'!H97:I97)</f>
        <v>340473.96</v>
      </c>
    </row>
    <row r="12" spans="1:11">
      <c r="A12" s="428"/>
      <c r="B12" s="1347"/>
      <c r="C12" s="1270"/>
      <c r="D12" s="430">
        <v>0</v>
      </c>
    </row>
    <row r="13" spans="1:11">
      <c r="A13" s="428" t="s">
        <v>365</v>
      </c>
      <c r="B13" s="1345" t="s">
        <v>366</v>
      </c>
      <c r="C13" s="1348"/>
      <c r="D13" s="431">
        <f>'concent, de egresos. carta'!G97+'concent, de egresos. carta'!H97+'concent, de egresos. carta'!I97-68.05</f>
        <v>1462002.6125</v>
      </c>
    </row>
    <row r="14" spans="1:11">
      <c r="A14" s="428"/>
      <c r="B14" s="1347"/>
      <c r="C14" s="1270"/>
      <c r="D14" s="430">
        <v>0</v>
      </c>
    </row>
    <row r="15" spans="1:11" hidden="1">
      <c r="A15" s="428" t="s">
        <v>367</v>
      </c>
      <c r="B15" s="1345" t="s">
        <v>368</v>
      </c>
      <c r="C15" s="1348"/>
      <c r="D15" s="429"/>
    </row>
    <row r="16" spans="1:11" ht="13.5" thickBot="1">
      <c r="A16" s="427"/>
      <c r="B16" s="1343"/>
      <c r="C16" s="1344"/>
      <c r="D16" s="430"/>
    </row>
    <row r="17" spans="1:7" ht="23.25" customHeight="1" thickBot="1">
      <c r="A17" s="1350" t="s">
        <v>170</v>
      </c>
      <c r="B17" s="1351"/>
      <c r="C17" s="1352"/>
      <c r="D17" s="1071">
        <f>SUM(D10:D16)</f>
        <v>1802476.5725</v>
      </c>
    </row>
    <row r="18" spans="1:7">
      <c r="B18" s="15"/>
      <c r="C18" s="15"/>
    </row>
    <row r="19" spans="1:7">
      <c r="B19" s="15"/>
      <c r="C19" s="15"/>
    </row>
    <row r="20" spans="1:7">
      <c r="B20" s="15"/>
      <c r="C20" s="15"/>
    </row>
    <row r="21" spans="1:7">
      <c r="B21" s="15"/>
      <c r="C21" s="15"/>
    </row>
    <row r="22" spans="1:7" ht="31.5" customHeight="1">
      <c r="A22" s="1349" t="s">
        <v>369</v>
      </c>
      <c r="B22" s="1349"/>
      <c r="C22" s="1349"/>
      <c r="D22" s="1349"/>
    </row>
    <row r="23" spans="1:7" ht="15">
      <c r="A23" s="608" t="s">
        <v>370</v>
      </c>
      <c r="B23" s="609" t="s">
        <v>371</v>
      </c>
      <c r="C23" s="610" t="s">
        <v>372</v>
      </c>
      <c r="D23" s="610" t="s">
        <v>373</v>
      </c>
    </row>
    <row r="24" spans="1:7">
      <c r="A24" s="432"/>
      <c r="C24" s="433"/>
      <c r="D24" s="433"/>
    </row>
    <row r="25" spans="1:7">
      <c r="A25" s="434">
        <v>1</v>
      </c>
      <c r="B25" s="22" t="s">
        <v>374</v>
      </c>
      <c r="C25" s="429">
        <f>SUM(Ingresos!H50,Ingresos!K50)</f>
        <v>1462070.6600000001</v>
      </c>
      <c r="D25" s="429">
        <f>'concent, de egresos. carta'!G97+'concent, de egresos. carta'!H97+'concent, de egresos. carta'!I97</f>
        <v>1462070.6625000001</v>
      </c>
    </row>
    <row r="26" spans="1:7">
      <c r="A26" s="434"/>
      <c r="B26" s="22"/>
      <c r="C26" s="429"/>
      <c r="D26" s="430">
        <v>0</v>
      </c>
    </row>
    <row r="27" spans="1:7">
      <c r="A27" s="434">
        <v>2</v>
      </c>
      <c r="B27" s="22" t="s">
        <v>198</v>
      </c>
      <c r="C27" s="429">
        <f>SUM(Ingresos!I50)</f>
        <v>340405.91000000003</v>
      </c>
      <c r="D27" s="429">
        <f>SUM('CONCENTRACION DE EGRESOS'!D97:E97)</f>
        <v>340405.91000000003</v>
      </c>
    </row>
    <row r="28" spans="1:7">
      <c r="A28" s="434"/>
      <c r="B28" s="22"/>
      <c r="C28" s="429"/>
      <c r="D28" s="430"/>
    </row>
    <row r="29" spans="1:7">
      <c r="A29" s="434"/>
      <c r="B29" s="22"/>
      <c r="C29" s="429"/>
      <c r="D29" s="429"/>
    </row>
    <row r="30" spans="1:7" ht="13.5" thickBot="1">
      <c r="A30" s="435"/>
      <c r="C30" s="429"/>
      <c r="D30" s="430"/>
    </row>
    <row r="31" spans="1:7" ht="24.75" customHeight="1" thickBot="1">
      <c r="A31" s="1339" t="s">
        <v>170</v>
      </c>
      <c r="B31" s="1340" t="s">
        <v>77</v>
      </c>
      <c r="C31" s="1341">
        <f>SUM(C24:C30)</f>
        <v>1802476.5700000003</v>
      </c>
      <c r="D31" s="1072">
        <f>SUM(D24:D30)</f>
        <v>1802476.5725000002</v>
      </c>
      <c r="F31" s="426">
        <f>D31-D17</f>
        <v>0</v>
      </c>
      <c r="G31" s="426">
        <f>C31-D31</f>
        <v>-2.4999999441206455E-3</v>
      </c>
    </row>
  </sheetData>
  <mergeCells count="17">
    <mergeCell ref="A1:D1"/>
    <mergeCell ref="A2:D2"/>
    <mergeCell ref="A3:D3"/>
    <mergeCell ref="A4:D4"/>
    <mergeCell ref="A8:D8"/>
    <mergeCell ref="A7:D7"/>
    <mergeCell ref="A31:C31"/>
    <mergeCell ref="A9:D9"/>
    <mergeCell ref="B10:C10"/>
    <mergeCell ref="B11:C11"/>
    <mergeCell ref="B12:C12"/>
    <mergeCell ref="B13:C13"/>
    <mergeCell ref="B14:C14"/>
    <mergeCell ref="B15:C15"/>
    <mergeCell ref="B16:C16"/>
    <mergeCell ref="A22:D22"/>
    <mergeCell ref="A17:C17"/>
  </mergeCells>
  <pageMargins left="1.1023622047244095" right="0.70866141732283472" top="0.74803149606299213" bottom="0.74803149606299213" header="0.31496062992125984" footer="0.31496062992125984"/>
  <pageSetup orientation="portrait"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N51"/>
  <sheetViews>
    <sheetView topLeftCell="A40" zoomScaleNormal="100" workbookViewId="0">
      <selection activeCell="O13" sqref="O13"/>
    </sheetView>
  </sheetViews>
  <sheetFormatPr baseColWidth="10" defaultRowHeight="12.75"/>
  <cols>
    <col min="1" max="1" width="4.28515625" style="787" customWidth="1"/>
    <col min="2" max="2" width="50.85546875" style="201" customWidth="1"/>
    <col min="3" max="7" width="4.7109375" style="206" customWidth="1"/>
    <col min="8" max="8" width="21" style="204" customWidth="1"/>
    <col min="9" max="9" width="13.7109375" style="205" customWidth="1"/>
    <col min="10" max="10" width="16.42578125" style="202" customWidth="1"/>
    <col min="11" max="11" width="15.7109375" style="203" customWidth="1"/>
    <col min="12" max="12" width="13.140625" style="464" hidden="1" customWidth="1"/>
    <col min="13" max="13" width="15.85546875" customWidth="1"/>
    <col min="14" max="14" width="15.7109375" customWidth="1"/>
    <col min="17" max="17" width="12.85546875" customWidth="1"/>
    <col min="18" max="18" width="14" customWidth="1"/>
  </cols>
  <sheetData>
    <row r="3" spans="1:13" ht="21.75" customHeight="1">
      <c r="B3" s="1687" t="s">
        <v>632</v>
      </c>
      <c r="C3" s="1687"/>
      <c r="D3" s="1687"/>
      <c r="E3" s="1687"/>
      <c r="F3" s="1687"/>
      <c r="G3" s="1687"/>
      <c r="H3" s="1687"/>
      <c r="I3" s="1687"/>
      <c r="J3" s="1687"/>
      <c r="K3" s="1687"/>
      <c r="L3" s="528"/>
    </row>
    <row r="4" spans="1:13" ht="21.75" customHeight="1">
      <c r="B4" s="1688" t="s">
        <v>737</v>
      </c>
      <c r="C4" s="1688"/>
      <c r="D4" s="1688"/>
      <c r="E4" s="1688"/>
      <c r="F4" s="1688"/>
      <c r="G4" s="1688"/>
      <c r="H4" s="1688"/>
      <c r="I4" s="1688"/>
      <c r="J4" s="1688"/>
      <c r="K4" s="1688"/>
      <c r="L4" s="528"/>
    </row>
    <row r="5" spans="1:13" ht="21.75" customHeight="1">
      <c r="B5" s="1687" t="s">
        <v>633</v>
      </c>
      <c r="C5" s="1687"/>
      <c r="D5" s="1687"/>
      <c r="E5" s="1687"/>
      <c r="F5" s="1687"/>
      <c r="G5" s="1687"/>
      <c r="H5" s="1687"/>
      <c r="I5" s="1687"/>
      <c r="J5" s="1687"/>
      <c r="K5" s="1687"/>
    </row>
    <row r="6" spans="1:13" ht="21.75" customHeight="1">
      <c r="B6" s="1018"/>
      <c r="C6" s="1018"/>
      <c r="D6" s="1018"/>
      <c r="E6" s="1018"/>
      <c r="F6" s="1018"/>
      <c r="G6" s="1018"/>
      <c r="H6" s="1018"/>
      <c r="I6" s="1018"/>
      <c r="J6" s="1018"/>
      <c r="K6" s="1018"/>
    </row>
    <row r="7" spans="1:13" ht="21.75" customHeight="1">
      <c r="B7" s="1018"/>
      <c r="C7" s="1018"/>
      <c r="D7" s="1018"/>
      <c r="E7" s="1018"/>
      <c r="F7" s="1018"/>
      <c r="G7" s="1018"/>
      <c r="H7" s="1018"/>
      <c r="I7" s="1018"/>
      <c r="J7" s="1018"/>
      <c r="K7" s="1018"/>
    </row>
    <row r="8" spans="1:13" ht="41.25" customHeight="1">
      <c r="A8" s="1695" t="s">
        <v>810</v>
      </c>
      <c r="B8" s="1695"/>
      <c r="C8" s="1695"/>
      <c r="D8" s="1695"/>
      <c r="E8" s="1695"/>
      <c r="F8" s="1695"/>
      <c r="G8" s="1695"/>
      <c r="H8" s="1695"/>
      <c r="I8" s="1695"/>
      <c r="J8" s="1695"/>
      <c r="K8" s="1695"/>
    </row>
    <row r="9" spans="1:13" ht="23.25" customHeight="1">
      <c r="A9" s="1693" t="s">
        <v>370</v>
      </c>
      <c r="B9" s="1703" t="s">
        <v>740</v>
      </c>
      <c r="C9" s="1698" t="s">
        <v>502</v>
      </c>
      <c r="D9" s="1699"/>
      <c r="E9" s="1699"/>
      <c r="F9" s="1699"/>
      <c r="G9" s="1700"/>
      <c r="H9" s="1693" t="s">
        <v>506</v>
      </c>
      <c r="I9" s="1701" t="s">
        <v>509</v>
      </c>
      <c r="J9" s="1691" t="s">
        <v>507</v>
      </c>
      <c r="K9" s="1696" t="s">
        <v>510</v>
      </c>
    </row>
    <row r="10" spans="1:13" ht="12.75" customHeight="1">
      <c r="A10" s="1694"/>
      <c r="B10" s="1690"/>
      <c r="C10" s="519" t="s">
        <v>394</v>
      </c>
      <c r="D10" s="519" t="s">
        <v>503</v>
      </c>
      <c r="E10" s="519" t="s">
        <v>504</v>
      </c>
      <c r="F10" s="519" t="s">
        <v>505</v>
      </c>
      <c r="G10" s="519" t="s">
        <v>508</v>
      </c>
      <c r="H10" s="1694"/>
      <c r="I10" s="1702"/>
      <c r="J10" s="1692"/>
      <c r="K10" s="1697"/>
    </row>
    <row r="11" spans="1:13" ht="27" customHeight="1">
      <c r="A11" s="1236">
        <v>1</v>
      </c>
      <c r="B11" s="496" t="s">
        <v>738</v>
      </c>
      <c r="C11" s="352" t="s">
        <v>871</v>
      </c>
      <c r="D11" s="352" t="s">
        <v>36</v>
      </c>
      <c r="E11" s="352" t="s">
        <v>36</v>
      </c>
      <c r="F11" s="352" t="s">
        <v>39</v>
      </c>
      <c r="G11" s="352" t="s">
        <v>870</v>
      </c>
      <c r="H11" s="1035" t="s">
        <v>1127</v>
      </c>
      <c r="I11" s="1036" t="s">
        <v>513</v>
      </c>
      <c r="J11" s="385">
        <v>20000</v>
      </c>
      <c r="K11" s="466">
        <f>J11</f>
        <v>20000</v>
      </c>
    </row>
    <row r="12" spans="1:13" ht="16.5" customHeight="1">
      <c r="A12" s="1236">
        <v>2</v>
      </c>
      <c r="B12" s="471" t="s">
        <v>787</v>
      </c>
      <c r="C12" s="352" t="s">
        <v>871</v>
      </c>
      <c r="D12" s="352" t="s">
        <v>36</v>
      </c>
      <c r="E12" s="352" t="s">
        <v>36</v>
      </c>
      <c r="F12" s="352" t="s">
        <v>39</v>
      </c>
      <c r="G12" s="352" t="s">
        <v>870</v>
      </c>
      <c r="H12" s="1035" t="s">
        <v>1127</v>
      </c>
      <c r="I12" s="1036" t="s">
        <v>515</v>
      </c>
      <c r="J12" s="385">
        <v>20000</v>
      </c>
      <c r="K12" s="466">
        <f t="shared" ref="K12:K13" si="0">J12</f>
        <v>20000</v>
      </c>
    </row>
    <row r="13" spans="1:13" ht="17.25" customHeight="1">
      <c r="A13" s="1236">
        <v>3</v>
      </c>
      <c r="B13" s="465" t="s">
        <v>803</v>
      </c>
      <c r="C13" s="352" t="s">
        <v>871</v>
      </c>
      <c r="D13" s="352" t="s">
        <v>36</v>
      </c>
      <c r="E13" s="352" t="s">
        <v>36</v>
      </c>
      <c r="F13" s="352" t="s">
        <v>39</v>
      </c>
      <c r="G13" s="352" t="s">
        <v>870</v>
      </c>
      <c r="H13" s="1035" t="s">
        <v>1127</v>
      </c>
      <c r="I13" s="1036" t="s">
        <v>515</v>
      </c>
      <c r="J13" s="385">
        <v>10000</v>
      </c>
      <c r="K13" s="466">
        <f t="shared" si="0"/>
        <v>10000</v>
      </c>
      <c r="M13" s="224"/>
    </row>
    <row r="14" spans="1:13" ht="23.25" customHeight="1">
      <c r="A14" s="1686" t="s">
        <v>170</v>
      </c>
      <c r="B14" s="1686"/>
      <c r="C14" s="1686"/>
      <c r="D14" s="1686"/>
      <c r="E14" s="1686"/>
      <c r="F14" s="1686"/>
      <c r="G14" s="1686"/>
      <c r="H14" s="1686"/>
      <c r="I14" s="1686"/>
      <c r="J14" s="505">
        <f>SUM(J11:J13)</f>
        <v>50000</v>
      </c>
      <c r="K14" s="506">
        <f>SUM(K10:K13)</f>
        <v>50000</v>
      </c>
      <c r="L14" s="464" t="s">
        <v>429</v>
      </c>
    </row>
    <row r="15" spans="1:13" s="464" customFormat="1" ht="27.75" customHeight="1">
      <c r="A15" s="1237"/>
      <c r="B15" s="1220"/>
      <c r="C15" s="1220"/>
      <c r="D15" s="1220"/>
      <c r="E15" s="1220"/>
      <c r="F15" s="1220"/>
      <c r="G15" s="1220"/>
      <c r="H15" s="1220"/>
      <c r="I15" s="1220"/>
      <c r="J15" s="526"/>
      <c r="K15" s="527"/>
    </row>
    <row r="16" spans="1:13" ht="14.25" customHeight="1">
      <c r="A16" s="1693" t="s">
        <v>370</v>
      </c>
      <c r="B16" s="1689" t="s">
        <v>740</v>
      </c>
      <c r="C16" s="1698" t="s">
        <v>502</v>
      </c>
      <c r="D16" s="1699"/>
      <c r="E16" s="1699"/>
      <c r="F16" s="1699"/>
      <c r="G16" s="1700"/>
      <c r="H16" s="1693" t="s">
        <v>506</v>
      </c>
      <c r="I16" s="1701" t="s">
        <v>509</v>
      </c>
      <c r="J16" s="1691" t="s">
        <v>507</v>
      </c>
      <c r="K16" s="1696" t="s">
        <v>510</v>
      </c>
    </row>
    <row r="17" spans="1:12" ht="12.75" customHeight="1">
      <c r="A17" s="1694"/>
      <c r="B17" s="1690"/>
      <c r="C17" s="519" t="s">
        <v>394</v>
      </c>
      <c r="D17" s="519" t="s">
        <v>503</v>
      </c>
      <c r="E17" s="519" t="s">
        <v>504</v>
      </c>
      <c r="F17" s="519" t="s">
        <v>505</v>
      </c>
      <c r="G17" s="519" t="s">
        <v>508</v>
      </c>
      <c r="H17" s="1694"/>
      <c r="I17" s="1702"/>
      <c r="J17" s="1692"/>
      <c r="K17" s="1697"/>
    </row>
    <row r="18" spans="1:12" ht="19.5" customHeight="1">
      <c r="A18" s="1236">
        <v>4</v>
      </c>
      <c r="B18" s="468" t="s">
        <v>843</v>
      </c>
      <c r="C18" s="1223" t="s">
        <v>871</v>
      </c>
      <c r="D18" s="1223" t="s">
        <v>36</v>
      </c>
      <c r="E18" s="1223" t="s">
        <v>36</v>
      </c>
      <c r="F18" s="1223" t="s">
        <v>39</v>
      </c>
      <c r="G18" s="1223" t="s">
        <v>870</v>
      </c>
      <c r="H18" s="501" t="s">
        <v>514</v>
      </c>
      <c r="I18" s="521" t="s">
        <v>515</v>
      </c>
      <c r="J18" s="1092">
        <v>15000</v>
      </c>
      <c r="K18" s="1036">
        <f t="shared" ref="K18:K33" si="1">J18</f>
        <v>15000</v>
      </c>
    </row>
    <row r="19" spans="1:12" ht="25.5">
      <c r="A19" s="1236">
        <v>5</v>
      </c>
      <c r="B19" s="469" t="s">
        <v>821</v>
      </c>
      <c r="C19" s="1223" t="s">
        <v>871</v>
      </c>
      <c r="D19" s="1223" t="s">
        <v>36</v>
      </c>
      <c r="E19" s="1223" t="s">
        <v>36</v>
      </c>
      <c r="F19" s="1223" t="s">
        <v>39</v>
      </c>
      <c r="G19" s="1223" t="s">
        <v>870</v>
      </c>
      <c r="H19" s="501" t="s">
        <v>514</v>
      </c>
      <c r="I19" s="521" t="s">
        <v>515</v>
      </c>
      <c r="J19" s="1092">
        <v>3500</v>
      </c>
      <c r="K19" s="1036">
        <v>3000</v>
      </c>
      <c r="L19" s="1074"/>
    </row>
    <row r="20" spans="1:12" ht="41.25" customHeight="1">
      <c r="A20" s="1236">
        <v>6</v>
      </c>
      <c r="B20" s="469" t="s">
        <v>805</v>
      </c>
      <c r="C20" s="1223" t="s">
        <v>871</v>
      </c>
      <c r="D20" s="1223" t="s">
        <v>36</v>
      </c>
      <c r="E20" s="1223" t="s">
        <v>36</v>
      </c>
      <c r="F20" s="1223" t="s">
        <v>39</v>
      </c>
      <c r="G20" s="1223" t="s">
        <v>870</v>
      </c>
      <c r="H20" s="501" t="s">
        <v>514</v>
      </c>
      <c r="I20" s="521" t="s">
        <v>515</v>
      </c>
      <c r="J20" s="1092">
        <v>45000</v>
      </c>
      <c r="K20" s="1036">
        <f t="shared" si="1"/>
        <v>45000</v>
      </c>
    </row>
    <row r="21" spans="1:12" ht="15.75" customHeight="1">
      <c r="A21" s="1236">
        <v>7</v>
      </c>
      <c r="B21" s="468" t="s">
        <v>792</v>
      </c>
      <c r="C21" s="1223" t="s">
        <v>871</v>
      </c>
      <c r="D21" s="1223" t="s">
        <v>36</v>
      </c>
      <c r="E21" s="1223" t="s">
        <v>36</v>
      </c>
      <c r="F21" s="1223" t="s">
        <v>39</v>
      </c>
      <c r="G21" s="1223" t="s">
        <v>870</v>
      </c>
      <c r="H21" s="501" t="s">
        <v>514</v>
      </c>
      <c r="I21" s="521" t="s">
        <v>515</v>
      </c>
      <c r="J21" s="1092">
        <v>90000</v>
      </c>
      <c r="K21" s="1036">
        <f t="shared" si="1"/>
        <v>90000</v>
      </c>
    </row>
    <row r="22" spans="1:12" ht="15.75" customHeight="1">
      <c r="A22" s="1236">
        <v>8</v>
      </c>
      <c r="B22" s="469" t="s">
        <v>791</v>
      </c>
      <c r="C22" s="1223" t="s">
        <v>871</v>
      </c>
      <c r="D22" s="1223" t="s">
        <v>36</v>
      </c>
      <c r="E22" s="1223" t="s">
        <v>36</v>
      </c>
      <c r="F22" s="1223" t="s">
        <v>39</v>
      </c>
      <c r="G22" s="1223" t="s">
        <v>870</v>
      </c>
      <c r="H22" s="501" t="s">
        <v>514</v>
      </c>
      <c r="I22" s="521" t="s">
        <v>515</v>
      </c>
      <c r="J22" s="1092">
        <v>86000</v>
      </c>
      <c r="K22" s="1036">
        <f t="shared" si="1"/>
        <v>86000</v>
      </c>
    </row>
    <row r="23" spans="1:12" ht="15" customHeight="1">
      <c r="A23" s="1236">
        <v>9</v>
      </c>
      <c r="B23" s="468" t="s">
        <v>790</v>
      </c>
      <c r="C23" s="1223" t="s">
        <v>871</v>
      </c>
      <c r="D23" s="1223" t="s">
        <v>36</v>
      </c>
      <c r="E23" s="1223" t="s">
        <v>36</v>
      </c>
      <c r="F23" s="1223" t="s">
        <v>39</v>
      </c>
      <c r="G23" s="1223" t="s">
        <v>870</v>
      </c>
      <c r="H23" s="501" t="s">
        <v>514</v>
      </c>
      <c r="I23" s="521" t="s">
        <v>515</v>
      </c>
      <c r="J23" s="1092">
        <v>20000</v>
      </c>
      <c r="K23" s="1036">
        <f t="shared" si="1"/>
        <v>20000</v>
      </c>
    </row>
    <row r="24" spans="1:12" ht="15" customHeight="1">
      <c r="A24" s="1236">
        <v>10</v>
      </c>
      <c r="B24" s="468" t="s">
        <v>993</v>
      </c>
      <c r="C24" s="1223" t="s">
        <v>871</v>
      </c>
      <c r="D24" s="1223" t="s">
        <v>36</v>
      </c>
      <c r="E24" s="1223" t="s">
        <v>36</v>
      </c>
      <c r="F24" s="1223" t="s">
        <v>39</v>
      </c>
      <c r="G24" s="1223" t="s">
        <v>870</v>
      </c>
      <c r="H24" s="501" t="s">
        <v>514</v>
      </c>
      <c r="I24" s="521" t="s">
        <v>515</v>
      </c>
      <c r="J24" s="1092">
        <v>3000</v>
      </c>
      <c r="K24" s="1036">
        <f t="shared" si="1"/>
        <v>3000</v>
      </c>
    </row>
    <row r="25" spans="1:12" ht="15.75" customHeight="1">
      <c r="A25" s="1236">
        <v>11</v>
      </c>
      <c r="B25" s="468" t="s">
        <v>808</v>
      </c>
      <c r="C25" s="1223" t="s">
        <v>871</v>
      </c>
      <c r="D25" s="1223" t="s">
        <v>36</v>
      </c>
      <c r="E25" s="1223" t="s">
        <v>36</v>
      </c>
      <c r="F25" s="1223" t="s">
        <v>39</v>
      </c>
      <c r="G25" s="1223" t="s">
        <v>870</v>
      </c>
      <c r="H25" s="501" t="s">
        <v>514</v>
      </c>
      <c r="I25" s="521" t="s">
        <v>515</v>
      </c>
      <c r="J25" s="1092">
        <v>30000</v>
      </c>
      <c r="K25" s="1036">
        <f t="shared" si="1"/>
        <v>30000</v>
      </c>
      <c r="L25" s="464" t="s">
        <v>641</v>
      </c>
    </row>
    <row r="26" spans="1:12" ht="17.25" customHeight="1">
      <c r="A26" s="1236">
        <v>12</v>
      </c>
      <c r="B26" s="468" t="s">
        <v>789</v>
      </c>
      <c r="C26" s="1223" t="s">
        <v>871</v>
      </c>
      <c r="D26" s="1223" t="s">
        <v>36</v>
      </c>
      <c r="E26" s="1223" t="s">
        <v>36</v>
      </c>
      <c r="F26" s="1223" t="s">
        <v>39</v>
      </c>
      <c r="G26" s="1223" t="s">
        <v>870</v>
      </c>
      <c r="H26" s="501" t="s">
        <v>514</v>
      </c>
      <c r="I26" s="521" t="s">
        <v>515</v>
      </c>
      <c r="J26" s="1092">
        <v>78000</v>
      </c>
      <c r="K26" s="1036">
        <f t="shared" si="1"/>
        <v>78000</v>
      </c>
    </row>
    <row r="27" spans="1:12" ht="17.25" customHeight="1">
      <c r="A27" s="1236">
        <v>13</v>
      </c>
      <c r="B27" s="468" t="s">
        <v>1028</v>
      </c>
      <c r="C27" s="1223" t="s">
        <v>871</v>
      </c>
      <c r="D27" s="1223" t="s">
        <v>36</v>
      </c>
      <c r="E27" s="1223" t="s">
        <v>36</v>
      </c>
      <c r="F27" s="1223" t="s">
        <v>39</v>
      </c>
      <c r="G27" s="1223" t="s">
        <v>870</v>
      </c>
      <c r="H27" s="501" t="s">
        <v>514</v>
      </c>
      <c r="I27" s="521" t="s">
        <v>515</v>
      </c>
      <c r="J27" s="1092">
        <v>6000</v>
      </c>
      <c r="K27" s="1036">
        <f t="shared" si="1"/>
        <v>6000</v>
      </c>
    </row>
    <row r="28" spans="1:12" ht="24.75" customHeight="1">
      <c r="A28" s="1236">
        <v>14</v>
      </c>
      <c r="B28" s="1234" t="s">
        <v>807</v>
      </c>
      <c r="C28" s="1223" t="s">
        <v>871</v>
      </c>
      <c r="D28" s="1223" t="s">
        <v>36</v>
      </c>
      <c r="E28" s="1223" t="s">
        <v>36</v>
      </c>
      <c r="F28" s="1223" t="s">
        <v>39</v>
      </c>
      <c r="G28" s="1223" t="s">
        <v>870</v>
      </c>
      <c r="H28" s="501" t="s">
        <v>514</v>
      </c>
      <c r="I28" s="521" t="s">
        <v>515</v>
      </c>
      <c r="J28" s="1233">
        <v>10000</v>
      </c>
      <c r="K28" s="1036">
        <f t="shared" si="1"/>
        <v>10000</v>
      </c>
    </row>
    <row r="29" spans="1:12">
      <c r="A29" s="1236">
        <v>15</v>
      </c>
      <c r="B29" s="1234" t="s">
        <v>834</v>
      </c>
      <c r="C29" s="1223" t="s">
        <v>871</v>
      </c>
      <c r="D29" s="1223" t="s">
        <v>36</v>
      </c>
      <c r="E29" s="1223" t="s">
        <v>36</v>
      </c>
      <c r="F29" s="1223" t="s">
        <v>39</v>
      </c>
      <c r="G29" s="1223" t="s">
        <v>870</v>
      </c>
      <c r="H29" s="501" t="s">
        <v>514</v>
      </c>
      <c r="I29" s="521" t="s">
        <v>515</v>
      </c>
      <c r="J29" s="1233">
        <f>12500+10000</f>
        <v>22500</v>
      </c>
      <c r="K29" s="1036">
        <f t="shared" si="1"/>
        <v>22500</v>
      </c>
    </row>
    <row r="30" spans="1:12" ht="19.5" customHeight="1">
      <c r="A30" s="1236">
        <v>16</v>
      </c>
      <c r="B30" s="1234" t="s">
        <v>788</v>
      </c>
      <c r="C30" s="1223" t="s">
        <v>871</v>
      </c>
      <c r="D30" s="1223" t="s">
        <v>36</v>
      </c>
      <c r="E30" s="1223" t="s">
        <v>36</v>
      </c>
      <c r="F30" s="1223" t="s">
        <v>39</v>
      </c>
      <c r="G30" s="1223" t="s">
        <v>870</v>
      </c>
      <c r="H30" s="502" t="s">
        <v>514</v>
      </c>
      <c r="I30" s="502" t="s">
        <v>515</v>
      </c>
      <c r="J30" s="1224">
        <v>60000</v>
      </c>
      <c r="K30" s="1036">
        <f t="shared" si="1"/>
        <v>60000</v>
      </c>
    </row>
    <row r="31" spans="1:12">
      <c r="A31" s="1236">
        <v>17</v>
      </c>
      <c r="B31" s="470" t="s">
        <v>801</v>
      </c>
      <c r="C31" s="1223" t="s">
        <v>871</v>
      </c>
      <c r="D31" s="1223" t="s">
        <v>36</v>
      </c>
      <c r="E31" s="1223" t="s">
        <v>36</v>
      </c>
      <c r="F31" s="1223" t="s">
        <v>39</v>
      </c>
      <c r="G31" s="1223" t="s">
        <v>870</v>
      </c>
      <c r="H31" s="502" t="s">
        <v>514</v>
      </c>
      <c r="I31" s="502" t="s">
        <v>515</v>
      </c>
      <c r="J31" s="1224">
        <v>20000</v>
      </c>
      <c r="K31" s="1036">
        <f t="shared" si="1"/>
        <v>20000</v>
      </c>
    </row>
    <row r="32" spans="1:12">
      <c r="A32" s="1236">
        <v>18</v>
      </c>
      <c r="B32" s="470" t="s">
        <v>804</v>
      </c>
      <c r="C32" s="1223" t="s">
        <v>871</v>
      </c>
      <c r="D32" s="1223" t="s">
        <v>36</v>
      </c>
      <c r="E32" s="1223" t="s">
        <v>36</v>
      </c>
      <c r="F32" s="1223" t="s">
        <v>39</v>
      </c>
      <c r="G32" s="1223" t="s">
        <v>870</v>
      </c>
      <c r="H32" s="502" t="s">
        <v>514</v>
      </c>
      <c r="I32" s="502" t="s">
        <v>515</v>
      </c>
      <c r="J32" s="1224">
        <v>5000</v>
      </c>
      <c r="K32" s="1036">
        <f t="shared" si="1"/>
        <v>5000</v>
      </c>
    </row>
    <row r="33" spans="1:14" ht="24.75" customHeight="1">
      <c r="A33" s="1236">
        <v>19</v>
      </c>
      <c r="B33" s="1235" t="s">
        <v>742</v>
      </c>
      <c r="C33" s="1223" t="s">
        <v>871</v>
      </c>
      <c r="D33" s="1223" t="s">
        <v>36</v>
      </c>
      <c r="E33" s="1223" t="s">
        <v>36</v>
      </c>
      <c r="F33" s="1223" t="s">
        <v>39</v>
      </c>
      <c r="G33" s="1223" t="s">
        <v>870</v>
      </c>
      <c r="H33" s="502" t="s">
        <v>514</v>
      </c>
      <c r="I33" s="502" t="s">
        <v>515</v>
      </c>
      <c r="J33" s="1225">
        <v>25000</v>
      </c>
      <c r="K33" s="1226">
        <f t="shared" si="1"/>
        <v>25000</v>
      </c>
    </row>
    <row r="34" spans="1:14" s="1222" customFormat="1" ht="16.5" customHeight="1">
      <c r="A34" s="1236">
        <v>20</v>
      </c>
      <c r="B34" s="469" t="s">
        <v>1134</v>
      </c>
      <c r="C34" s="1223" t="s">
        <v>871</v>
      </c>
      <c r="D34" s="1223" t="s">
        <v>36</v>
      </c>
      <c r="E34" s="1223" t="s">
        <v>36</v>
      </c>
      <c r="F34" s="1223" t="s">
        <v>39</v>
      </c>
      <c r="G34" s="1223" t="s">
        <v>870</v>
      </c>
      <c r="H34" s="501" t="s">
        <v>514</v>
      </c>
      <c r="I34" s="521" t="s">
        <v>515</v>
      </c>
      <c r="J34" s="1227">
        <v>2200</v>
      </c>
      <c r="K34" s="1226">
        <v>2200</v>
      </c>
      <c r="L34" s="1243"/>
    </row>
    <row r="35" spans="1:14" ht="15.75">
      <c r="A35" s="1686" t="s">
        <v>170</v>
      </c>
      <c r="B35" s="1686"/>
      <c r="C35" s="1686"/>
      <c r="D35" s="1686"/>
      <c r="E35" s="1686"/>
      <c r="F35" s="1686"/>
      <c r="G35" s="1686"/>
      <c r="H35" s="1686"/>
      <c r="I35" s="1686"/>
      <c r="J35" s="1244">
        <f>SUM(J18:J34)</f>
        <v>521200</v>
      </c>
      <c r="K35" s="1244">
        <f>SUM(K18:K34)</f>
        <v>520700</v>
      </c>
      <c r="N35" s="320"/>
    </row>
    <row r="36" spans="1:14" ht="16.149999999999999" customHeight="1">
      <c r="B36" s="1705"/>
      <c r="C36" s="1705"/>
      <c r="D36" s="1705"/>
      <c r="E36" s="1705"/>
      <c r="F36" s="1705"/>
      <c r="G36" s="1705"/>
      <c r="H36" s="1705"/>
      <c r="I36" s="1705"/>
      <c r="J36" s="1705"/>
      <c r="K36" s="1706"/>
    </row>
    <row r="37" spans="1:14" ht="14.25" customHeight="1">
      <c r="A37" s="1693" t="s">
        <v>370</v>
      </c>
      <c r="B37" s="1689" t="s">
        <v>740</v>
      </c>
      <c r="C37" s="1698" t="s">
        <v>502</v>
      </c>
      <c r="D37" s="1699"/>
      <c r="E37" s="1699"/>
      <c r="F37" s="1699"/>
      <c r="G37" s="1700"/>
      <c r="H37" s="1693" t="s">
        <v>506</v>
      </c>
      <c r="I37" s="1701" t="s">
        <v>509</v>
      </c>
      <c r="J37" s="1691" t="s">
        <v>507</v>
      </c>
      <c r="K37" s="1707" t="s">
        <v>510</v>
      </c>
    </row>
    <row r="38" spans="1:14" ht="12.75" customHeight="1">
      <c r="A38" s="1694"/>
      <c r="B38" s="1690"/>
      <c r="C38" s="519" t="s">
        <v>394</v>
      </c>
      <c r="D38" s="519" t="s">
        <v>503</v>
      </c>
      <c r="E38" s="519" t="s">
        <v>504</v>
      </c>
      <c r="F38" s="519" t="s">
        <v>505</v>
      </c>
      <c r="G38" s="519" t="s">
        <v>508</v>
      </c>
      <c r="H38" s="1694"/>
      <c r="I38" s="1702"/>
      <c r="J38" s="1692"/>
      <c r="K38" s="1697"/>
    </row>
    <row r="39" spans="1:14">
      <c r="A39" s="1236">
        <v>21</v>
      </c>
      <c r="B39" s="465" t="s">
        <v>806</v>
      </c>
      <c r="C39" s="352" t="s">
        <v>871</v>
      </c>
      <c r="D39" s="352" t="s">
        <v>36</v>
      </c>
      <c r="E39" s="352" t="s">
        <v>36</v>
      </c>
      <c r="F39" s="352" t="s">
        <v>39</v>
      </c>
      <c r="G39" s="352" t="s">
        <v>870</v>
      </c>
      <c r="H39" s="1090" t="s">
        <v>512</v>
      </c>
      <c r="I39" s="1229" t="s">
        <v>271</v>
      </c>
      <c r="J39" s="1230">
        <v>30000</v>
      </c>
      <c r="K39" s="1231">
        <f>J39</f>
        <v>30000</v>
      </c>
      <c r="M39" s="242"/>
    </row>
    <row r="40" spans="1:14" ht="34.5" customHeight="1">
      <c r="A40" s="1236">
        <v>22</v>
      </c>
      <c r="B40" s="467" t="s">
        <v>707</v>
      </c>
      <c r="C40" s="352" t="s">
        <v>871</v>
      </c>
      <c r="D40" s="352" t="s">
        <v>36</v>
      </c>
      <c r="E40" s="352" t="s">
        <v>36</v>
      </c>
      <c r="F40" s="352" t="s">
        <v>39</v>
      </c>
      <c r="G40" s="352" t="s">
        <v>870</v>
      </c>
      <c r="H40" s="1091" t="s">
        <v>715</v>
      </c>
      <c r="I40" s="521" t="s">
        <v>513</v>
      </c>
      <c r="J40" s="1227">
        <f>17800+500</f>
        <v>18300</v>
      </c>
      <c r="K40" s="1231">
        <f>J40</f>
        <v>18300</v>
      </c>
      <c r="L40" s="1074"/>
    </row>
    <row r="41" spans="1:14" ht="20.25" customHeight="1">
      <c r="A41" s="1236">
        <v>23</v>
      </c>
      <c r="B41" s="467" t="s">
        <v>802</v>
      </c>
      <c r="C41" s="352" t="s">
        <v>871</v>
      </c>
      <c r="D41" s="352" t="s">
        <v>36</v>
      </c>
      <c r="E41" s="352" t="s">
        <v>36</v>
      </c>
      <c r="F41" s="352" t="s">
        <v>39</v>
      </c>
      <c r="G41" s="352" t="s">
        <v>870</v>
      </c>
      <c r="H41" s="470" t="s">
        <v>516</v>
      </c>
      <c r="I41" s="521" t="s">
        <v>515</v>
      </c>
      <c r="J41" s="1227">
        <v>50000</v>
      </c>
      <c r="K41" s="1231">
        <f t="shared" ref="K41" si="2">J41</f>
        <v>50000</v>
      </c>
    </row>
    <row r="42" spans="1:14" ht="22.5" customHeight="1">
      <c r="A42" s="1236">
        <v>24</v>
      </c>
      <c r="B42" s="467" t="s">
        <v>739</v>
      </c>
      <c r="C42" s="352" t="s">
        <v>871</v>
      </c>
      <c r="D42" s="352" t="s">
        <v>36</v>
      </c>
      <c r="E42" s="352" t="s">
        <v>36</v>
      </c>
      <c r="F42" s="352" t="s">
        <v>39</v>
      </c>
      <c r="G42" s="352" t="s">
        <v>870</v>
      </c>
      <c r="H42" s="1228" t="s">
        <v>511</v>
      </c>
      <c r="I42" s="502" t="s">
        <v>271</v>
      </c>
      <c r="J42" s="1232">
        <v>120000</v>
      </c>
      <c r="K42" s="1231">
        <v>120000</v>
      </c>
    </row>
    <row r="43" spans="1:14" ht="22.5" customHeight="1">
      <c r="A43" s="1236">
        <v>25</v>
      </c>
      <c r="B43" s="467" t="s">
        <v>833</v>
      </c>
      <c r="C43" s="352" t="s">
        <v>871</v>
      </c>
      <c r="D43" s="352" t="s">
        <v>36</v>
      </c>
      <c r="E43" s="352" t="s">
        <v>36</v>
      </c>
      <c r="F43" s="352" t="s">
        <v>39</v>
      </c>
      <c r="G43" s="352" t="s">
        <v>870</v>
      </c>
      <c r="H43" s="470" t="s">
        <v>516</v>
      </c>
      <c r="I43" s="502" t="s">
        <v>515</v>
      </c>
      <c r="J43" s="1232">
        <v>10000</v>
      </c>
      <c r="K43" s="1231">
        <v>10000</v>
      </c>
    </row>
    <row r="44" spans="1:14" ht="31.9" customHeight="1">
      <c r="A44" s="1236">
        <v>26</v>
      </c>
      <c r="B44" s="467" t="s">
        <v>1098</v>
      </c>
      <c r="C44" s="352" t="s">
        <v>871</v>
      </c>
      <c r="D44" s="352" t="s">
        <v>36</v>
      </c>
      <c r="E44" s="352" t="s">
        <v>36</v>
      </c>
      <c r="F44" s="352" t="s">
        <v>39</v>
      </c>
      <c r="G44" s="352" t="s">
        <v>870</v>
      </c>
      <c r="H44" s="470" t="s">
        <v>516</v>
      </c>
      <c r="I44" s="502" t="s">
        <v>515</v>
      </c>
      <c r="J44" s="1232">
        <v>15000</v>
      </c>
      <c r="K44" s="1231">
        <v>15000</v>
      </c>
    </row>
    <row r="45" spans="1:14" ht="15.75">
      <c r="A45" s="1686" t="s">
        <v>170</v>
      </c>
      <c r="B45" s="1686"/>
      <c r="C45" s="1686"/>
      <c r="D45" s="1686"/>
      <c r="E45" s="1686"/>
      <c r="F45" s="1686"/>
      <c r="G45" s="1686"/>
      <c r="H45" s="1686"/>
      <c r="I45" s="1686"/>
      <c r="J45" s="1240">
        <f>SUM(J39:J44)</f>
        <v>243300</v>
      </c>
      <c r="K45" s="1240">
        <f>SUM(K39:K44)</f>
        <v>243300</v>
      </c>
    </row>
    <row r="46" spans="1:14" ht="32.25" hidden="1" customHeight="1">
      <c r="A46" s="1236"/>
      <c r="B46" s="507"/>
      <c r="C46" s="508"/>
      <c r="D46" s="508"/>
      <c r="E46" s="508"/>
      <c r="F46" s="508"/>
      <c r="G46" s="508"/>
      <c r="H46" s="1238"/>
      <c r="I46" s="1239"/>
      <c r="J46" s="1241"/>
      <c r="K46" s="509" t="e">
        <f>J46+#REF!+#REF!</f>
        <v>#REF!</v>
      </c>
    </row>
    <row r="47" spans="1:14" ht="21" customHeight="1">
      <c r="A47" s="1709" t="s">
        <v>972</v>
      </c>
      <c r="B47" s="1709"/>
      <c r="C47" s="1709"/>
      <c r="D47" s="1709"/>
      <c r="E47" s="1709"/>
      <c r="F47" s="1709"/>
      <c r="G47" s="1709"/>
      <c r="H47" s="1709"/>
      <c r="I47" s="1709"/>
      <c r="J47" s="1242">
        <f>SUM(+J14+J35+J45)</f>
        <v>814500</v>
      </c>
      <c r="K47" s="1242">
        <f>SUM(K14+K35+K45)</f>
        <v>814000</v>
      </c>
    </row>
    <row r="48" spans="1:14" s="464" customFormat="1" ht="26.25" customHeight="1">
      <c r="A48" s="1237"/>
      <c r="B48" s="529"/>
      <c r="C48" s="530"/>
      <c r="D48" s="530"/>
      <c r="E48" s="530"/>
      <c r="F48" s="530"/>
      <c r="G48" s="530"/>
      <c r="H48" s="1708"/>
      <c r="I48" s="1708"/>
      <c r="J48" s="531">
        <f>SUM('Saldos de ctas. Bancarias'!C71)</f>
        <v>0</v>
      </c>
      <c r="K48" s="532"/>
    </row>
    <row r="49" spans="1:11" s="464" customFormat="1" ht="18.75" customHeight="1">
      <c r="A49" s="1237"/>
      <c r="B49" s="529"/>
      <c r="C49" s="530"/>
      <c r="D49" s="530"/>
      <c r="E49" s="530"/>
      <c r="F49" s="530"/>
      <c r="G49" s="530"/>
      <c r="H49" s="1704"/>
      <c r="I49" s="1704"/>
      <c r="J49" s="531">
        <f>J47</f>
        <v>814500</v>
      </c>
      <c r="K49" s="532"/>
    </row>
    <row r="50" spans="1:11" s="464" customFormat="1">
      <c r="A50" s="1237"/>
      <c r="B50" s="529"/>
      <c r="C50" s="530"/>
      <c r="D50" s="530"/>
      <c r="E50" s="530"/>
      <c r="F50" s="530"/>
      <c r="G50" s="530"/>
      <c r="H50" s="533" t="s">
        <v>301</v>
      </c>
      <c r="I50" s="534"/>
      <c r="J50" s="535"/>
      <c r="K50" s="532"/>
    </row>
    <row r="51" spans="1:11" s="464" customFormat="1">
      <c r="A51" s="1237"/>
      <c r="B51" s="529"/>
      <c r="C51" s="530"/>
      <c r="D51" s="530"/>
      <c r="E51" s="530"/>
      <c r="F51" s="530"/>
      <c r="G51" s="530"/>
      <c r="H51" s="536"/>
      <c r="I51" s="534"/>
      <c r="J51" s="537"/>
      <c r="K51" s="532"/>
    </row>
  </sheetData>
  <mergeCells count="32">
    <mergeCell ref="B9:B10"/>
    <mergeCell ref="C9:G9"/>
    <mergeCell ref="H9:H10"/>
    <mergeCell ref="I9:I10"/>
    <mergeCell ref="H49:I49"/>
    <mergeCell ref="B36:K36"/>
    <mergeCell ref="B37:B38"/>
    <mergeCell ref="C37:G37"/>
    <mergeCell ref="H37:H38"/>
    <mergeCell ref="I37:I38"/>
    <mergeCell ref="J37:J38"/>
    <mergeCell ref="K37:K38"/>
    <mergeCell ref="H48:I48"/>
    <mergeCell ref="A45:I45"/>
    <mergeCell ref="A47:I47"/>
    <mergeCell ref="A37:A38"/>
    <mergeCell ref="A35:I35"/>
    <mergeCell ref="B3:K3"/>
    <mergeCell ref="B5:K5"/>
    <mergeCell ref="B4:K4"/>
    <mergeCell ref="B16:B17"/>
    <mergeCell ref="J16:J17"/>
    <mergeCell ref="A9:A10"/>
    <mergeCell ref="A14:I14"/>
    <mergeCell ref="A8:K8"/>
    <mergeCell ref="A16:A17"/>
    <mergeCell ref="K16:K17"/>
    <mergeCell ref="C16:G16"/>
    <mergeCell ref="H16:H17"/>
    <mergeCell ref="I16:I17"/>
    <mergeCell ref="J9:J10"/>
    <mergeCell ref="K9:K10"/>
  </mergeCells>
  <phoneticPr fontId="11" type="noConversion"/>
  <pageMargins left="0.11811023622047245" right="3.937007874015748E-2" top="0.78740157480314965" bottom="0.35433070866141736" header="0.31496062992125984" footer="0.31496062992125984"/>
  <pageSetup scale="90" orientation="landscape" horizontalDpi="0" verticalDpi="0" r:id="rId1"/>
  <rowBreaks count="1" manualBreakCount="1">
    <brk id="14" max="16383" man="1"/>
  </rowBreaks>
  <colBreaks count="1" manualBreakCount="1">
    <brk id="11" min="2" max="16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workbookViewId="0"/>
  </sheetViews>
  <sheetFormatPr baseColWidth="10"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P718"/>
  <sheetViews>
    <sheetView tabSelected="1" zoomScale="76" zoomScaleNormal="76" zoomScaleSheetLayoutView="98" workbookViewId="0">
      <selection activeCell="A76" sqref="A76:F76"/>
    </sheetView>
  </sheetViews>
  <sheetFormatPr baseColWidth="10" defaultRowHeight="12.75"/>
  <cols>
    <col min="1" max="1" width="7.42578125" style="224" customWidth="1"/>
    <col min="2" max="2" width="8.42578125" style="224" customWidth="1"/>
    <col min="3" max="3" width="9.140625" style="224" customWidth="1"/>
    <col min="4" max="4" width="11.42578125" style="224" customWidth="1"/>
    <col min="5" max="5" width="12" style="224" customWidth="1"/>
    <col min="6" max="6" width="13.42578125" style="824" customWidth="1"/>
    <col min="7" max="7" width="29" style="224" customWidth="1"/>
    <col min="8" max="8" width="15.5703125" style="224" customWidth="1"/>
    <col min="10" max="11" width="13.28515625" bestFit="1" customWidth="1"/>
  </cols>
  <sheetData>
    <row r="1" spans="1:9">
      <c r="I1" s="1915">
        <v>1</v>
      </c>
    </row>
    <row r="2" spans="1:9" ht="15.75">
      <c r="A2" s="1751" t="s">
        <v>84</v>
      </c>
      <c r="B2" s="1751"/>
      <c r="C2" s="1751"/>
      <c r="D2" s="1751"/>
      <c r="E2" s="1751"/>
      <c r="F2" s="1751"/>
      <c r="G2" s="1751"/>
      <c r="H2" s="1751"/>
      <c r="I2" s="1915"/>
    </row>
    <row r="3" spans="1:9" ht="15.75">
      <c r="A3" s="1751" t="s">
        <v>565</v>
      </c>
      <c r="B3" s="1751"/>
      <c r="C3" s="1751"/>
      <c r="D3" s="1751"/>
      <c r="E3" s="1751"/>
      <c r="F3" s="1751"/>
      <c r="G3" s="1751"/>
      <c r="H3" s="1751"/>
    </row>
    <row r="4" spans="1:9" ht="15.75">
      <c r="A4" s="1752" t="s">
        <v>180</v>
      </c>
      <c r="B4" s="1752"/>
      <c r="C4" s="1752"/>
      <c r="D4" s="1752"/>
      <c r="E4" s="1752"/>
      <c r="F4" s="1752"/>
      <c r="G4" s="1752"/>
      <c r="H4" s="1752"/>
    </row>
    <row r="5" spans="1:9" ht="15.75">
      <c r="A5" s="1752" t="s">
        <v>757</v>
      </c>
      <c r="B5" s="1752"/>
      <c r="C5" s="1752"/>
      <c r="D5" s="1752"/>
      <c r="E5" s="1752"/>
      <c r="F5" s="1752"/>
      <c r="G5" s="1752"/>
      <c r="H5" s="1752"/>
    </row>
    <row r="6" spans="1:9" ht="15.75">
      <c r="A6" s="1752" t="s">
        <v>924</v>
      </c>
      <c r="B6" s="1752"/>
      <c r="C6" s="1752"/>
      <c r="D6" s="1752"/>
      <c r="E6" s="1752"/>
      <c r="F6" s="1752"/>
      <c r="G6" s="1752"/>
      <c r="H6" s="1752"/>
    </row>
    <row r="7" spans="1:9" ht="15.75">
      <c r="A7" s="660"/>
      <c r="B7" s="661"/>
      <c r="C7" s="662"/>
      <c r="D7" s="1075"/>
      <c r="E7" s="1075"/>
      <c r="F7" s="678"/>
      <c r="G7" s="663"/>
      <c r="H7" s="659"/>
    </row>
    <row r="8" spans="1:9" ht="15.75">
      <c r="A8" s="1753" t="s">
        <v>1023</v>
      </c>
      <c r="B8" s="1753"/>
      <c r="C8" s="1753"/>
      <c r="D8" s="1753"/>
      <c r="E8" s="1753"/>
      <c r="F8" s="1753"/>
      <c r="G8" s="1753"/>
      <c r="H8" s="1753"/>
    </row>
    <row r="9" spans="1:9" ht="45" customHeight="1" thickBot="1">
      <c r="A9" s="1754" t="s">
        <v>1037</v>
      </c>
      <c r="B9" s="1755"/>
      <c r="C9" s="1755"/>
      <c r="D9" s="1755"/>
      <c r="E9" s="1755"/>
      <c r="F9" s="1755"/>
      <c r="G9" s="1755"/>
      <c r="H9" s="1756"/>
    </row>
    <row r="10" spans="1:9" ht="13.9" customHeight="1" thickBot="1">
      <c r="A10" s="1757" t="s">
        <v>11</v>
      </c>
      <c r="B10" s="1758"/>
      <c r="C10" s="1758"/>
      <c r="D10" s="1758"/>
      <c r="E10" s="1758"/>
      <c r="F10" s="1759"/>
      <c r="G10" s="1760" t="s">
        <v>518</v>
      </c>
      <c r="H10" s="1762" t="s">
        <v>517</v>
      </c>
    </row>
    <row r="11" spans="1:9" ht="48.75" thickBot="1">
      <c r="A11" s="1107" t="s">
        <v>19</v>
      </c>
      <c r="B11" s="1108" t="s">
        <v>997</v>
      </c>
      <c r="C11" s="1108" t="s">
        <v>20</v>
      </c>
      <c r="D11" s="1108" t="s">
        <v>24</v>
      </c>
      <c r="E11" s="1109" t="s">
        <v>21</v>
      </c>
      <c r="F11" s="1110" t="s">
        <v>22</v>
      </c>
      <c r="G11" s="1761"/>
      <c r="H11" s="1763"/>
    </row>
    <row r="12" spans="1:9" ht="15">
      <c r="A12" s="1031" t="s">
        <v>871</v>
      </c>
      <c r="B12" s="1032" t="s">
        <v>36</v>
      </c>
      <c r="C12" s="1032" t="s">
        <v>36</v>
      </c>
      <c r="D12" s="1032" t="s">
        <v>39</v>
      </c>
      <c r="E12" s="1032" t="s">
        <v>870</v>
      </c>
      <c r="F12" s="668" t="s">
        <v>179</v>
      </c>
      <c r="G12" s="208" t="s">
        <v>550</v>
      </c>
      <c r="H12" s="1097">
        <v>9000</v>
      </c>
    </row>
    <row r="13" spans="1:9" ht="28.5">
      <c r="A13" s="1031" t="s">
        <v>871</v>
      </c>
      <c r="B13" s="1032" t="s">
        <v>36</v>
      </c>
      <c r="C13" s="1032" t="s">
        <v>36</v>
      </c>
      <c r="D13" s="1032" t="s">
        <v>39</v>
      </c>
      <c r="E13" s="1032" t="s">
        <v>870</v>
      </c>
      <c r="F13" s="671" t="s">
        <v>551</v>
      </c>
      <c r="G13" s="209" t="s">
        <v>950</v>
      </c>
      <c r="H13" s="1097">
        <v>2500</v>
      </c>
    </row>
    <row r="14" spans="1:9" ht="28.5">
      <c r="A14" s="1031" t="s">
        <v>871</v>
      </c>
      <c r="B14" s="1032" t="s">
        <v>36</v>
      </c>
      <c r="C14" s="1032" t="s">
        <v>36</v>
      </c>
      <c r="D14" s="1032" t="s">
        <v>39</v>
      </c>
      <c r="E14" s="1032" t="s">
        <v>870</v>
      </c>
      <c r="F14" s="3">
        <v>54112</v>
      </c>
      <c r="G14" s="209" t="s">
        <v>951</v>
      </c>
      <c r="H14" s="1081">
        <v>2800</v>
      </c>
    </row>
    <row r="15" spans="1:9" ht="28.5">
      <c r="A15" s="1031" t="s">
        <v>871</v>
      </c>
      <c r="B15" s="1032" t="s">
        <v>36</v>
      </c>
      <c r="C15" s="1032" t="s">
        <v>36</v>
      </c>
      <c r="D15" s="1032" t="s">
        <v>39</v>
      </c>
      <c r="E15" s="1032" t="s">
        <v>870</v>
      </c>
      <c r="F15" s="3">
        <v>54118</v>
      </c>
      <c r="G15" s="209" t="s">
        <v>1095</v>
      </c>
      <c r="H15" s="1081">
        <v>1500</v>
      </c>
    </row>
    <row r="16" spans="1:9" ht="28.5">
      <c r="A16" s="1031" t="s">
        <v>871</v>
      </c>
      <c r="B16" s="1032" t="s">
        <v>36</v>
      </c>
      <c r="C16" s="1032" t="s">
        <v>36</v>
      </c>
      <c r="D16" s="1032" t="s">
        <v>39</v>
      </c>
      <c r="E16" s="1032" t="s">
        <v>870</v>
      </c>
      <c r="F16" s="3">
        <v>54199</v>
      </c>
      <c r="G16" s="210" t="s">
        <v>998</v>
      </c>
      <c r="H16" s="1081">
        <v>1500</v>
      </c>
    </row>
    <row r="17" spans="1:9" ht="15">
      <c r="A17" s="1031" t="s">
        <v>871</v>
      </c>
      <c r="B17" s="1032" t="s">
        <v>36</v>
      </c>
      <c r="C17" s="1032" t="s">
        <v>36</v>
      </c>
      <c r="D17" s="1032" t="s">
        <v>39</v>
      </c>
      <c r="E17" s="1032" t="s">
        <v>870</v>
      </c>
      <c r="F17" s="3">
        <v>34304</v>
      </c>
      <c r="G17" s="210" t="s">
        <v>999</v>
      </c>
      <c r="H17" s="1081">
        <v>1800</v>
      </c>
    </row>
    <row r="18" spans="1:9" ht="28.5">
      <c r="A18" s="1031" t="s">
        <v>871</v>
      </c>
      <c r="B18" s="1032" t="s">
        <v>36</v>
      </c>
      <c r="C18" s="1032" t="s">
        <v>36</v>
      </c>
      <c r="D18" s="1032" t="s">
        <v>39</v>
      </c>
      <c r="E18" s="1032" t="s">
        <v>870</v>
      </c>
      <c r="F18" s="3">
        <v>61608</v>
      </c>
      <c r="G18" s="210" t="s">
        <v>1000</v>
      </c>
      <c r="H18" s="1081">
        <v>900</v>
      </c>
    </row>
    <row r="19" spans="1:9" ht="16.5" thickBot="1">
      <c r="A19" s="1764" t="s">
        <v>170</v>
      </c>
      <c r="B19" s="1765"/>
      <c r="C19" s="1765"/>
      <c r="D19" s="1765"/>
      <c r="E19" s="1765"/>
      <c r="F19" s="1766"/>
      <c r="G19" s="1093"/>
      <c r="H19" s="1101">
        <f>SUM(H11:H18)</f>
        <v>20000</v>
      </c>
    </row>
    <row r="20" spans="1:9" ht="13.5" thickBot="1">
      <c r="A20" s="1111"/>
      <c r="B20" s="1111"/>
      <c r="C20" s="1112"/>
      <c r="D20" s="1113"/>
      <c r="E20" s="1113"/>
      <c r="F20" s="1113"/>
      <c r="G20" s="1114"/>
      <c r="H20" s="1115"/>
    </row>
    <row r="21" spans="1:9" ht="29.25" customHeight="1">
      <c r="A21" s="1767" t="s">
        <v>1038</v>
      </c>
      <c r="B21" s="1768"/>
      <c r="C21" s="1768"/>
      <c r="D21" s="1768"/>
      <c r="E21" s="1768"/>
      <c r="F21" s="1769"/>
      <c r="G21" s="1770" t="s">
        <v>1019</v>
      </c>
      <c r="H21" s="1771"/>
    </row>
    <row r="22" spans="1:9" ht="28.5" customHeight="1">
      <c r="A22" s="1721" t="s">
        <v>1010</v>
      </c>
      <c r="B22" s="1722"/>
      <c r="C22" s="1722"/>
      <c r="D22" s="1722"/>
      <c r="E22" s="1722"/>
      <c r="F22" s="1723"/>
      <c r="G22" s="1772" t="s">
        <v>1035</v>
      </c>
      <c r="H22" s="1773"/>
    </row>
    <row r="23" spans="1:9" ht="30" customHeight="1">
      <c r="A23" s="1721" t="s">
        <v>1101</v>
      </c>
      <c r="B23" s="1722"/>
      <c r="C23" s="1722"/>
      <c r="D23" s="1722"/>
      <c r="E23" s="1722"/>
      <c r="F23" s="1723"/>
      <c r="G23" s="1774" t="s">
        <v>554</v>
      </c>
      <c r="H23" s="1775"/>
    </row>
    <row r="24" spans="1:9" ht="30.75" customHeight="1" thickBot="1">
      <c r="A24" s="1781" t="s">
        <v>1036</v>
      </c>
      <c r="B24" s="1782"/>
      <c r="C24" s="1782"/>
      <c r="D24" s="1782"/>
      <c r="E24" s="1782"/>
      <c r="F24" s="1783"/>
      <c r="G24" s="1710" t="s">
        <v>546</v>
      </c>
      <c r="H24" s="1711"/>
    </row>
    <row r="25" spans="1:9">
      <c r="A25" s="1116"/>
      <c r="B25" s="1117"/>
      <c r="C25" s="1117"/>
      <c r="D25" s="1117"/>
      <c r="E25" s="1117"/>
      <c r="F25" s="1118"/>
      <c r="G25" s="1119"/>
      <c r="H25" s="1117"/>
    </row>
    <row r="26" spans="1:9" ht="36.6" customHeight="1">
      <c r="A26" s="1712" t="s">
        <v>1123</v>
      </c>
      <c r="B26" s="1712"/>
      <c r="C26" s="1712"/>
      <c r="D26" s="1712"/>
      <c r="E26" s="1712"/>
      <c r="F26" s="1712"/>
      <c r="G26" s="1712"/>
      <c r="H26" s="1712"/>
    </row>
    <row r="28" spans="1:9" s="513" customFormat="1">
      <c r="A28" s="1089"/>
      <c r="B28" s="1089"/>
      <c r="C28" s="1089"/>
      <c r="D28" s="1089"/>
      <c r="E28" s="1089"/>
      <c r="F28" s="1120"/>
      <c r="G28" s="1089"/>
      <c r="H28" s="1089"/>
    </row>
    <row r="30" spans="1:9" ht="18">
      <c r="A30" s="1787" t="s">
        <v>84</v>
      </c>
      <c r="B30" s="1462"/>
      <c r="C30" s="1462"/>
      <c r="D30" s="1462"/>
      <c r="E30" s="1462"/>
      <c r="F30" s="1462"/>
      <c r="G30" s="1462"/>
      <c r="H30" s="1462"/>
      <c r="I30" s="1915">
        <v>2</v>
      </c>
    </row>
    <row r="31" spans="1:9" ht="18">
      <c r="A31" s="1787" t="s">
        <v>565</v>
      </c>
      <c r="B31" s="1462"/>
      <c r="C31" s="1462"/>
      <c r="D31" s="1462"/>
      <c r="E31" s="1462"/>
      <c r="F31" s="1462"/>
      <c r="G31" s="1462"/>
      <c r="H31" s="1462"/>
      <c r="I31" s="1915"/>
    </row>
    <row r="32" spans="1:9" ht="18">
      <c r="A32" s="1788" t="s">
        <v>180</v>
      </c>
      <c r="B32" s="1462"/>
      <c r="C32" s="1462"/>
      <c r="D32" s="1462"/>
      <c r="E32" s="1462"/>
      <c r="F32" s="1462"/>
      <c r="G32" s="1462"/>
      <c r="H32" s="1462"/>
    </row>
    <row r="33" spans="1:11" ht="18">
      <c r="A33" s="1788" t="s">
        <v>757</v>
      </c>
      <c r="B33" s="1462"/>
      <c r="C33" s="1462"/>
      <c r="D33" s="1462"/>
      <c r="E33" s="1462"/>
      <c r="F33" s="1462"/>
      <c r="G33" s="1462"/>
      <c r="H33" s="1462"/>
    </row>
    <row r="34" spans="1:11" ht="18">
      <c r="A34" s="1788" t="s">
        <v>924</v>
      </c>
      <c r="B34" s="1462"/>
      <c r="C34" s="1462"/>
      <c r="D34" s="1462"/>
      <c r="E34" s="1462"/>
      <c r="F34" s="1462"/>
      <c r="G34" s="1462"/>
      <c r="H34" s="1462"/>
    </row>
    <row r="35" spans="1:11">
      <c r="A35" s="1121"/>
      <c r="B35" s="1122"/>
      <c r="C35" s="1123"/>
      <c r="D35" s="1124"/>
      <c r="E35" s="1124"/>
      <c r="F35" s="1125"/>
      <c r="G35" s="1114"/>
      <c r="H35" s="1115"/>
    </row>
    <row r="36" spans="1:11" ht="22.15" customHeight="1">
      <c r="A36" s="1789" t="s">
        <v>1023</v>
      </c>
      <c r="B36" s="1789"/>
      <c r="C36" s="1789"/>
      <c r="D36" s="1789"/>
      <c r="E36" s="1789"/>
      <c r="F36" s="1789"/>
      <c r="G36" s="1789"/>
      <c r="H36" s="1789"/>
    </row>
    <row r="37" spans="1:11" ht="30" customHeight="1">
      <c r="A37" s="1785" t="s">
        <v>1086</v>
      </c>
      <c r="B37" s="1786"/>
      <c r="C37" s="1786"/>
      <c r="D37" s="1786"/>
      <c r="E37" s="1786"/>
      <c r="F37" s="1786"/>
      <c r="G37" s="1786"/>
      <c r="H37" s="1786"/>
    </row>
    <row r="38" spans="1:11" ht="15.75" customHeight="1" thickBot="1">
      <c r="A38" s="1790" t="s">
        <v>11</v>
      </c>
      <c r="B38" s="1791"/>
      <c r="C38" s="1791"/>
      <c r="D38" s="1791"/>
      <c r="E38" s="1791"/>
      <c r="F38" s="1792"/>
      <c r="G38" s="1793" t="s">
        <v>518</v>
      </c>
      <c r="H38" s="1795" t="s">
        <v>517</v>
      </c>
      <c r="J38" s="326"/>
    </row>
    <row r="39" spans="1:11" ht="48.75" thickBot="1">
      <c r="A39" s="1107" t="s">
        <v>937</v>
      </c>
      <c r="B39" s="1108" t="s">
        <v>185</v>
      </c>
      <c r="C39" s="1108" t="s">
        <v>938</v>
      </c>
      <c r="D39" s="1108" t="s">
        <v>24</v>
      </c>
      <c r="E39" s="1109" t="s">
        <v>946</v>
      </c>
      <c r="F39" s="1110" t="s">
        <v>22</v>
      </c>
      <c r="G39" s="1794"/>
      <c r="H39" s="1795"/>
      <c r="J39" s="326"/>
      <c r="K39" s="326"/>
    </row>
    <row r="40" spans="1:11" ht="15">
      <c r="A40" s="1102" t="s">
        <v>871</v>
      </c>
      <c r="B40" s="1103" t="s">
        <v>36</v>
      </c>
      <c r="C40" s="1103" t="s">
        <v>36</v>
      </c>
      <c r="D40" s="1103" t="s">
        <v>39</v>
      </c>
      <c r="E40" s="1103" t="s">
        <v>870</v>
      </c>
      <c r="F40" s="668" t="s">
        <v>179</v>
      </c>
      <c r="G40" s="251" t="s">
        <v>679</v>
      </c>
      <c r="H40" s="1126">
        <v>8000</v>
      </c>
    </row>
    <row r="41" spans="1:11" ht="15">
      <c r="A41" s="1102" t="s">
        <v>871</v>
      </c>
      <c r="B41" s="1103" t="s">
        <v>36</v>
      </c>
      <c r="C41" s="1103" t="s">
        <v>36</v>
      </c>
      <c r="D41" s="1103" t="s">
        <v>39</v>
      </c>
      <c r="E41" s="1103" t="s">
        <v>870</v>
      </c>
      <c r="F41" s="669" t="s">
        <v>551</v>
      </c>
      <c r="G41" s="245" t="s">
        <v>947</v>
      </c>
      <c r="H41" s="1126">
        <v>9000</v>
      </c>
    </row>
    <row r="42" spans="1:11" ht="15">
      <c r="A42" s="1102" t="s">
        <v>871</v>
      </c>
      <c r="B42" s="1103" t="s">
        <v>36</v>
      </c>
      <c r="C42" s="1103" t="s">
        <v>36</v>
      </c>
      <c r="D42" s="1103" t="s">
        <v>39</v>
      </c>
      <c r="E42" s="1103" t="s">
        <v>870</v>
      </c>
      <c r="F42" s="669" t="s">
        <v>568</v>
      </c>
      <c r="G42" s="245" t="s">
        <v>948</v>
      </c>
      <c r="H42" s="1126">
        <v>700</v>
      </c>
    </row>
    <row r="43" spans="1:11" ht="15">
      <c r="A43" s="1102" t="s">
        <v>871</v>
      </c>
      <c r="B43" s="1103" t="s">
        <v>36</v>
      </c>
      <c r="C43" s="1103" t="s">
        <v>36</v>
      </c>
      <c r="D43" s="1103" t="s">
        <v>39</v>
      </c>
      <c r="E43" s="1103" t="s">
        <v>870</v>
      </c>
      <c r="F43" s="669" t="s">
        <v>569</v>
      </c>
      <c r="G43" s="245" t="s">
        <v>570</v>
      </c>
      <c r="H43" s="1126">
        <v>500</v>
      </c>
    </row>
    <row r="44" spans="1:11" ht="28.5">
      <c r="A44" s="1102" t="s">
        <v>871</v>
      </c>
      <c r="B44" s="1103" t="s">
        <v>36</v>
      </c>
      <c r="C44" s="1103" t="s">
        <v>36</v>
      </c>
      <c r="D44" s="1103" t="s">
        <v>39</v>
      </c>
      <c r="E44" s="1103" t="s">
        <v>870</v>
      </c>
      <c r="F44" s="670" t="s">
        <v>527</v>
      </c>
      <c r="G44" s="378" t="s">
        <v>528</v>
      </c>
      <c r="H44" s="1126">
        <v>300</v>
      </c>
    </row>
    <row r="45" spans="1:11" ht="15">
      <c r="A45" s="1102" t="s">
        <v>871</v>
      </c>
      <c r="B45" s="1103" t="s">
        <v>36</v>
      </c>
      <c r="C45" s="1103" t="s">
        <v>36</v>
      </c>
      <c r="D45" s="1103" t="s">
        <v>39</v>
      </c>
      <c r="E45" s="1103" t="s">
        <v>870</v>
      </c>
      <c r="F45" s="670" t="s">
        <v>541</v>
      </c>
      <c r="G45" s="246" t="s">
        <v>572</v>
      </c>
      <c r="H45" s="1126">
        <v>500</v>
      </c>
    </row>
    <row r="46" spans="1:11" ht="28.5">
      <c r="A46" s="1102" t="s">
        <v>871</v>
      </c>
      <c r="B46" s="1103" t="s">
        <v>36</v>
      </c>
      <c r="C46" s="1103" t="s">
        <v>36</v>
      </c>
      <c r="D46" s="1103" t="s">
        <v>39</v>
      </c>
      <c r="E46" s="1103" t="s">
        <v>870</v>
      </c>
      <c r="F46" s="671" t="s">
        <v>553</v>
      </c>
      <c r="G46" s="246" t="s">
        <v>949</v>
      </c>
      <c r="H46" s="1126">
        <v>1000</v>
      </c>
    </row>
    <row r="47" spans="1:11" ht="16.5" thickBot="1">
      <c r="A47" s="1764" t="s">
        <v>170</v>
      </c>
      <c r="B47" s="1779"/>
      <c r="C47" s="1779"/>
      <c r="D47" s="1779"/>
      <c r="E47" s="1779"/>
      <c r="F47" s="1780"/>
      <c r="G47" s="1104"/>
      <c r="H47" s="1101">
        <f>SUM(H40:H46)</f>
        <v>20000</v>
      </c>
    </row>
    <row r="48" spans="1:11" ht="13.5" thickBot="1">
      <c r="A48" s="1111"/>
      <c r="B48" s="1111"/>
      <c r="C48" s="1112"/>
      <c r="D48" s="1113"/>
      <c r="E48" s="1113"/>
      <c r="F48" s="1127"/>
      <c r="G48" s="1114"/>
      <c r="H48" s="1115"/>
    </row>
    <row r="49" spans="1:9" ht="30.75" customHeight="1">
      <c r="A49" s="1734" t="s">
        <v>811</v>
      </c>
      <c r="B49" s="1735"/>
      <c r="C49" s="1735"/>
      <c r="D49" s="1735"/>
      <c r="E49" s="1735"/>
      <c r="F49" s="1735"/>
      <c r="G49" s="1736" t="s">
        <v>1122</v>
      </c>
      <c r="H49" s="1737"/>
    </row>
    <row r="50" spans="1:9" ht="27.75" customHeight="1">
      <c r="A50" s="1716" t="s">
        <v>1086</v>
      </c>
      <c r="B50" s="1729"/>
      <c r="C50" s="1729"/>
      <c r="D50" s="1729"/>
      <c r="E50" s="1729"/>
      <c r="F50" s="1730"/>
      <c r="G50" s="1738" t="s">
        <v>680</v>
      </c>
      <c r="H50" s="1739"/>
    </row>
    <row r="51" spans="1:9" ht="31.5" customHeight="1">
      <c r="A51" s="1716" t="s">
        <v>1102</v>
      </c>
      <c r="B51" s="1729"/>
      <c r="C51" s="1729"/>
      <c r="D51" s="1729"/>
      <c r="E51" s="1729"/>
      <c r="F51" s="1730"/>
      <c r="G51" s="1731" t="s">
        <v>681</v>
      </c>
      <c r="H51" s="1730"/>
    </row>
    <row r="52" spans="1:9" ht="33.75" customHeight="1" thickBot="1">
      <c r="A52" s="1724" t="s">
        <v>1027</v>
      </c>
      <c r="B52" s="1732"/>
      <c r="C52" s="1732"/>
      <c r="D52" s="1732"/>
      <c r="E52" s="1732"/>
      <c r="F52" s="1733"/>
      <c r="G52" s="1727" t="s">
        <v>546</v>
      </c>
      <c r="H52" s="1733"/>
    </row>
    <row r="53" spans="1:9" ht="33.75" customHeight="1">
      <c r="A53" s="1116"/>
      <c r="B53" s="1117"/>
      <c r="C53" s="1117"/>
      <c r="D53" s="1117"/>
      <c r="E53" s="1117"/>
      <c r="F53" s="1118"/>
      <c r="G53" s="1119"/>
      <c r="H53" s="1117"/>
    </row>
    <row r="54" spans="1:9" ht="36.6" customHeight="1">
      <c r="A54" s="1712" t="s">
        <v>1123</v>
      </c>
      <c r="B54" s="1712"/>
      <c r="C54" s="1712"/>
      <c r="D54" s="1712"/>
      <c r="E54" s="1712"/>
      <c r="F54" s="1712"/>
      <c r="G54" s="1712"/>
      <c r="H54" s="1712"/>
    </row>
    <row r="56" spans="1:9" s="513" customFormat="1">
      <c r="A56" s="1089"/>
      <c r="B56" s="1089"/>
      <c r="C56" s="1089"/>
      <c r="D56" s="1089"/>
      <c r="E56" s="1089"/>
      <c r="F56" s="1120"/>
      <c r="G56" s="1089"/>
      <c r="H56" s="1089"/>
    </row>
    <row r="58" spans="1:9" ht="18">
      <c r="A58" s="1750" t="s">
        <v>84</v>
      </c>
      <c r="B58" s="1750"/>
      <c r="C58" s="1750"/>
      <c r="D58" s="1750"/>
      <c r="E58" s="1750"/>
      <c r="F58" s="1750"/>
      <c r="G58" s="1750"/>
      <c r="H58" s="1750"/>
      <c r="I58" s="1915">
        <v>3</v>
      </c>
    </row>
    <row r="59" spans="1:9" ht="18">
      <c r="A59" s="1750" t="s">
        <v>83</v>
      </c>
      <c r="B59" s="1750"/>
      <c r="C59" s="1750"/>
      <c r="D59" s="1750"/>
      <c r="E59" s="1750"/>
      <c r="F59" s="1750"/>
      <c r="G59" s="1750"/>
      <c r="H59" s="1750"/>
      <c r="I59" s="1915"/>
    </row>
    <row r="60" spans="1:9" ht="18">
      <c r="A60" s="1462" t="s">
        <v>180</v>
      </c>
      <c r="B60" s="1462"/>
      <c r="C60" s="1462"/>
      <c r="D60" s="1462"/>
      <c r="E60" s="1462"/>
      <c r="F60" s="1462"/>
      <c r="G60" s="1462"/>
      <c r="H60" s="1462"/>
    </row>
    <row r="61" spans="1:9" ht="18">
      <c r="A61" s="1462" t="s">
        <v>757</v>
      </c>
      <c r="B61" s="1462"/>
      <c r="C61" s="1462"/>
      <c r="D61" s="1462"/>
      <c r="E61" s="1462"/>
      <c r="F61" s="1462"/>
      <c r="G61" s="1462"/>
      <c r="H61" s="1462"/>
    </row>
    <row r="62" spans="1:9" ht="18">
      <c r="A62" s="1462" t="s">
        <v>924</v>
      </c>
      <c r="B62" s="1462"/>
      <c r="C62" s="1462"/>
      <c r="D62" s="1462"/>
      <c r="E62" s="1462"/>
      <c r="F62" s="1462"/>
      <c r="G62" s="1462"/>
      <c r="H62" s="1462"/>
    </row>
    <row r="63" spans="1:9">
      <c r="A63" s="1128"/>
      <c r="B63" s="1129"/>
      <c r="C63" s="1130"/>
      <c r="D63" s="817"/>
      <c r="E63" s="817"/>
      <c r="H63" s="1131"/>
    </row>
    <row r="64" spans="1:9" ht="18">
      <c r="A64" s="1784" t="s">
        <v>1023</v>
      </c>
      <c r="B64" s="1784"/>
      <c r="C64" s="1784"/>
      <c r="D64" s="1784"/>
      <c r="E64" s="1784"/>
      <c r="F64" s="1784"/>
      <c r="G64" s="1784"/>
      <c r="H64" s="1784"/>
    </row>
    <row r="65" spans="1:8" ht="23.25">
      <c r="A65" s="1785" t="s">
        <v>812</v>
      </c>
      <c r="B65" s="1786"/>
      <c r="C65" s="1786"/>
      <c r="D65" s="1786"/>
      <c r="E65" s="1786"/>
      <c r="F65" s="1786"/>
      <c r="G65" s="1786"/>
      <c r="H65" s="1786"/>
    </row>
    <row r="66" spans="1:8" ht="13.5" thickBot="1">
      <c r="A66" s="1790" t="s">
        <v>11</v>
      </c>
      <c r="B66" s="1791"/>
      <c r="C66" s="1791"/>
      <c r="D66" s="1791"/>
      <c r="E66" s="1791"/>
      <c r="F66" s="1792"/>
      <c r="G66" s="1793" t="s">
        <v>518</v>
      </c>
      <c r="H66" s="1795" t="s">
        <v>517</v>
      </c>
    </row>
    <row r="67" spans="1:8" ht="48.75" thickBot="1">
      <c r="A67" s="1107" t="s">
        <v>937</v>
      </c>
      <c r="B67" s="1108" t="s">
        <v>185</v>
      </c>
      <c r="C67" s="1108" t="s">
        <v>938</v>
      </c>
      <c r="D67" s="1108" t="s">
        <v>24</v>
      </c>
      <c r="E67" s="1109" t="s">
        <v>946</v>
      </c>
      <c r="F67" s="1110" t="s">
        <v>22</v>
      </c>
      <c r="G67" s="1794"/>
      <c r="H67" s="1795"/>
    </row>
    <row r="68" spans="1:8" ht="31.5" customHeight="1">
      <c r="A68" s="1102" t="s">
        <v>871</v>
      </c>
      <c r="B68" s="1103" t="s">
        <v>36</v>
      </c>
      <c r="C68" s="1103" t="s">
        <v>36</v>
      </c>
      <c r="D68" s="1103" t="s">
        <v>39</v>
      </c>
      <c r="E68" s="1103" t="s">
        <v>870</v>
      </c>
      <c r="F68" s="654" t="s">
        <v>179</v>
      </c>
      <c r="G68" s="251" t="s">
        <v>550</v>
      </c>
      <c r="H68" s="655">
        <v>5000</v>
      </c>
    </row>
    <row r="69" spans="1:8" ht="28.5">
      <c r="A69" s="1102" t="s">
        <v>871</v>
      </c>
      <c r="B69" s="1103" t="s">
        <v>36</v>
      </c>
      <c r="C69" s="1103" t="s">
        <v>36</v>
      </c>
      <c r="D69" s="1103" t="s">
        <v>39</v>
      </c>
      <c r="E69" s="1103" t="s">
        <v>870</v>
      </c>
      <c r="F69" s="673" t="s">
        <v>638</v>
      </c>
      <c r="G69" s="209" t="s">
        <v>952</v>
      </c>
      <c r="H69" s="655">
        <v>500</v>
      </c>
    </row>
    <row r="70" spans="1:8" ht="28.5">
      <c r="A70" s="1102" t="s">
        <v>871</v>
      </c>
      <c r="B70" s="1103" t="s">
        <v>36</v>
      </c>
      <c r="C70" s="1103" t="s">
        <v>36</v>
      </c>
      <c r="D70" s="1103" t="s">
        <v>39</v>
      </c>
      <c r="E70" s="1103" t="s">
        <v>870</v>
      </c>
      <c r="F70" s="671" t="s">
        <v>551</v>
      </c>
      <c r="G70" s="209" t="s">
        <v>950</v>
      </c>
      <c r="H70" s="655">
        <v>1000</v>
      </c>
    </row>
    <row r="71" spans="1:8" ht="28.5">
      <c r="A71" s="1102" t="s">
        <v>871</v>
      </c>
      <c r="B71" s="1103" t="s">
        <v>36</v>
      </c>
      <c r="C71" s="1103" t="s">
        <v>36</v>
      </c>
      <c r="D71" s="1103" t="s">
        <v>39</v>
      </c>
      <c r="E71" s="1103" t="s">
        <v>870</v>
      </c>
      <c r="F71" s="3">
        <v>54112</v>
      </c>
      <c r="G71" s="209" t="s">
        <v>951</v>
      </c>
      <c r="H71" s="655">
        <v>1000</v>
      </c>
    </row>
    <row r="72" spans="1:8" ht="30" customHeight="1">
      <c r="A72" s="1102" t="s">
        <v>871</v>
      </c>
      <c r="B72" s="1103" t="s">
        <v>36</v>
      </c>
      <c r="C72" s="1103" t="s">
        <v>36</v>
      </c>
      <c r="D72" s="1103" t="s">
        <v>39</v>
      </c>
      <c r="E72" s="1103" t="s">
        <v>870</v>
      </c>
      <c r="F72" s="3">
        <v>54118</v>
      </c>
      <c r="G72" s="209" t="s">
        <v>552</v>
      </c>
      <c r="H72" s="655">
        <v>1000</v>
      </c>
    </row>
    <row r="73" spans="1:8" ht="15" customHeight="1">
      <c r="A73" s="1102" t="s">
        <v>871</v>
      </c>
      <c r="B73" s="1103" t="s">
        <v>36</v>
      </c>
      <c r="C73" s="1103" t="s">
        <v>36</v>
      </c>
      <c r="D73" s="1103" t="s">
        <v>39</v>
      </c>
      <c r="E73" s="1103" t="s">
        <v>870</v>
      </c>
      <c r="F73" s="672" t="s">
        <v>714</v>
      </c>
      <c r="G73" s="245" t="s">
        <v>953</v>
      </c>
      <c r="H73" s="655">
        <v>1500</v>
      </c>
    </row>
    <row r="74" spans="1:8" ht="28.5" customHeight="1" thickBot="1">
      <c r="A74" s="1764" t="s">
        <v>170</v>
      </c>
      <c r="B74" s="1765"/>
      <c r="C74" s="1765"/>
      <c r="D74" s="1765"/>
      <c r="E74" s="1765"/>
      <c r="F74" s="1766"/>
      <c r="G74" s="1105"/>
      <c r="H74" s="1106">
        <f>SUM(H68:H73)</f>
        <v>10000</v>
      </c>
    </row>
    <row r="75" spans="1:8" ht="15" customHeight="1" thickBot="1">
      <c r="A75" s="1132"/>
      <c r="B75" s="1132"/>
      <c r="C75" s="1133"/>
      <c r="D75" s="1134"/>
      <c r="E75" s="1134"/>
      <c r="F75" s="1135"/>
      <c r="H75" s="1131"/>
    </row>
    <row r="76" spans="1:8" ht="33.75" customHeight="1">
      <c r="A76" s="1767" t="s">
        <v>811</v>
      </c>
      <c r="B76" s="1804"/>
      <c r="C76" s="1804"/>
      <c r="D76" s="1804"/>
      <c r="E76" s="1804"/>
      <c r="F76" s="1804"/>
      <c r="G76" s="1805" t="s">
        <v>1019</v>
      </c>
      <c r="H76" s="1806"/>
    </row>
    <row r="77" spans="1:8" ht="33.75" customHeight="1">
      <c r="A77" s="1802" t="s">
        <v>812</v>
      </c>
      <c r="B77" s="1807"/>
      <c r="C77" s="1807"/>
      <c r="D77" s="1807"/>
      <c r="E77" s="1807"/>
      <c r="F77" s="1803"/>
      <c r="G77" s="1802" t="s">
        <v>1021</v>
      </c>
      <c r="H77" s="1803"/>
    </row>
    <row r="78" spans="1:8">
      <c r="A78" s="1719"/>
      <c r="B78" s="1808"/>
      <c r="C78" s="1808"/>
      <c r="D78" s="1808"/>
      <c r="E78" s="1808"/>
      <c r="F78" s="1720"/>
      <c r="G78" s="1719"/>
      <c r="H78" s="1720"/>
    </row>
    <row r="79" spans="1:8" ht="34.5" customHeight="1">
      <c r="A79" s="1740" t="s">
        <v>1103</v>
      </c>
      <c r="B79" s="1741"/>
      <c r="C79" s="1741"/>
      <c r="D79" s="1741"/>
      <c r="E79" s="1741"/>
      <c r="F79" s="1742"/>
      <c r="G79" s="1799" t="s">
        <v>545</v>
      </c>
      <c r="H79" s="1800"/>
    </row>
    <row r="80" spans="1:8" ht="15.75" customHeight="1">
      <c r="A80" s="1743"/>
      <c r="B80" s="1744"/>
      <c r="C80" s="1744"/>
      <c r="D80" s="1744"/>
      <c r="E80" s="1744"/>
      <c r="F80" s="1745"/>
      <c r="G80" s="1801"/>
      <c r="H80" s="1730"/>
    </row>
    <row r="81" spans="1:9" s="464" customFormat="1" ht="27" customHeight="1" thickBot="1">
      <c r="A81" s="1746" t="s">
        <v>813</v>
      </c>
      <c r="B81" s="1747"/>
      <c r="C81" s="1747"/>
      <c r="D81" s="1747"/>
      <c r="E81" s="1747"/>
      <c r="F81" s="1748"/>
      <c r="G81" s="1749" t="s">
        <v>546</v>
      </c>
      <c r="H81" s="1748"/>
    </row>
    <row r="82" spans="1:9">
      <c r="A82" s="1136"/>
      <c r="B82" s="1137"/>
      <c r="C82" s="1137"/>
      <c r="D82" s="1137"/>
      <c r="E82" s="1137"/>
      <c r="F82" s="1138"/>
      <c r="G82" s="1139"/>
      <c r="H82" s="1137"/>
    </row>
    <row r="83" spans="1:9" ht="36.6" customHeight="1">
      <c r="A83" s="1712" t="s">
        <v>1123</v>
      </c>
      <c r="B83" s="1712"/>
      <c r="C83" s="1712"/>
      <c r="D83" s="1712"/>
      <c r="E83" s="1712"/>
      <c r="F83" s="1712"/>
      <c r="G83" s="1712"/>
      <c r="H83" s="1712"/>
    </row>
    <row r="84" spans="1:9">
      <c r="A84" s="1140"/>
      <c r="B84" s="1140"/>
      <c r="C84" s="1140"/>
      <c r="D84" s="1140"/>
      <c r="E84" s="1140"/>
      <c r="F84" s="1141"/>
      <c r="G84" s="1140"/>
      <c r="H84" s="1140"/>
    </row>
    <row r="85" spans="1:9" s="513" customFormat="1">
      <c r="A85" s="1089"/>
      <c r="B85" s="1089"/>
      <c r="C85" s="1089"/>
      <c r="D85" s="1089"/>
      <c r="E85" s="1089"/>
      <c r="F85" s="1120"/>
      <c r="G85" s="1089"/>
      <c r="H85" s="1089"/>
    </row>
    <row r="86" spans="1:9" ht="18">
      <c r="A86" s="1787" t="s">
        <v>84</v>
      </c>
      <c r="B86" s="1787"/>
      <c r="C86" s="1787"/>
      <c r="D86" s="1787"/>
      <c r="E86" s="1787"/>
      <c r="F86" s="1787"/>
      <c r="G86" s="1787"/>
      <c r="H86" s="1787"/>
      <c r="I86" s="1915">
        <v>4</v>
      </c>
    </row>
    <row r="87" spans="1:9" ht="18">
      <c r="A87" s="1787" t="s">
        <v>83</v>
      </c>
      <c r="B87" s="1787"/>
      <c r="C87" s="1787"/>
      <c r="D87" s="1787"/>
      <c r="E87" s="1787"/>
      <c r="F87" s="1787"/>
      <c r="G87" s="1787"/>
      <c r="H87" s="1787"/>
      <c r="I87" s="1915"/>
    </row>
    <row r="88" spans="1:9" ht="18">
      <c r="A88" s="1788" t="s">
        <v>180</v>
      </c>
      <c r="B88" s="1462"/>
      <c r="C88" s="1462"/>
      <c r="D88" s="1462"/>
      <c r="E88" s="1462"/>
      <c r="F88" s="1462"/>
      <c r="G88" s="1462"/>
      <c r="H88" s="1462"/>
    </row>
    <row r="89" spans="1:9" ht="18">
      <c r="A89" s="1788" t="s">
        <v>757</v>
      </c>
      <c r="B89" s="1462"/>
      <c r="C89" s="1462"/>
      <c r="D89" s="1462"/>
      <c r="E89" s="1462"/>
      <c r="F89" s="1462"/>
      <c r="G89" s="1462"/>
      <c r="H89" s="1462"/>
    </row>
    <row r="90" spans="1:9" ht="18">
      <c r="A90" s="1788" t="s">
        <v>924</v>
      </c>
      <c r="B90" s="1462"/>
      <c r="C90" s="1462"/>
      <c r="D90" s="1462"/>
      <c r="E90" s="1462"/>
      <c r="F90" s="1462"/>
      <c r="G90" s="1462"/>
      <c r="H90" s="1462"/>
    </row>
    <row r="91" spans="1:9">
      <c r="A91" s="1121"/>
      <c r="B91" s="1122"/>
      <c r="C91" s="1123"/>
      <c r="D91" s="1124"/>
      <c r="E91" s="1124"/>
      <c r="F91" s="1125"/>
      <c r="G91" s="1114"/>
      <c r="H91" s="1115"/>
    </row>
    <row r="92" spans="1:9" ht="18">
      <c r="A92" s="1841" t="s">
        <v>28</v>
      </c>
      <c r="B92" s="1841"/>
      <c r="C92" s="1841"/>
      <c r="D92" s="1841"/>
      <c r="E92" s="1841"/>
      <c r="F92" s="1841"/>
      <c r="G92" s="1841"/>
      <c r="H92" s="1841"/>
    </row>
    <row r="93" spans="1:9" ht="18">
      <c r="A93" s="1796" t="s">
        <v>1096</v>
      </c>
      <c r="B93" s="1797"/>
      <c r="C93" s="1797"/>
      <c r="D93" s="1797"/>
      <c r="E93" s="1797"/>
      <c r="F93" s="1797"/>
      <c r="G93" s="1797"/>
      <c r="H93" s="1797"/>
    </row>
    <row r="94" spans="1:9" ht="13.5" thickBot="1">
      <c r="A94" s="1842" t="s">
        <v>11</v>
      </c>
      <c r="B94" s="1843"/>
      <c r="C94" s="1843"/>
      <c r="D94" s="1843"/>
      <c r="E94" s="1843"/>
      <c r="F94" s="1844"/>
      <c r="G94" s="1845" t="s">
        <v>518</v>
      </c>
      <c r="H94" s="1847" t="s">
        <v>517</v>
      </c>
    </row>
    <row r="95" spans="1:9" ht="48.75" thickBot="1">
      <c r="A95" s="1107" t="s">
        <v>937</v>
      </c>
      <c r="B95" s="1108" t="s">
        <v>185</v>
      </c>
      <c r="C95" s="1108" t="s">
        <v>938</v>
      </c>
      <c r="D95" s="1108" t="s">
        <v>24</v>
      </c>
      <c r="E95" s="1109" t="s">
        <v>946</v>
      </c>
      <c r="F95" s="1110" t="s">
        <v>22</v>
      </c>
      <c r="G95" s="1846"/>
      <c r="H95" s="1848"/>
    </row>
    <row r="96" spans="1:9" ht="14.25">
      <c r="A96" s="652" t="s">
        <v>871</v>
      </c>
      <c r="B96" s="653" t="s">
        <v>36</v>
      </c>
      <c r="C96" s="653" t="s">
        <v>36</v>
      </c>
      <c r="D96" s="653" t="s">
        <v>39</v>
      </c>
      <c r="E96" s="653" t="s">
        <v>870</v>
      </c>
      <c r="F96" s="674" t="s">
        <v>34</v>
      </c>
      <c r="G96" s="472" t="s">
        <v>671</v>
      </c>
      <c r="H96" s="1208">
        <f>370*12</f>
        <v>4440</v>
      </c>
    </row>
    <row r="97" spans="1:8" ht="14.25">
      <c r="A97" s="652" t="s">
        <v>871</v>
      </c>
      <c r="B97" s="653" t="s">
        <v>36</v>
      </c>
      <c r="C97" s="653" t="s">
        <v>36</v>
      </c>
      <c r="D97" s="653" t="s">
        <v>39</v>
      </c>
      <c r="E97" s="653" t="s">
        <v>870</v>
      </c>
      <c r="F97" s="675" t="s">
        <v>86</v>
      </c>
      <c r="G97" s="473" t="s">
        <v>823</v>
      </c>
      <c r="H97" s="1208">
        <v>370</v>
      </c>
    </row>
    <row r="98" spans="1:8" ht="14.25">
      <c r="A98" s="652" t="s">
        <v>871</v>
      </c>
      <c r="B98" s="653" t="s">
        <v>36</v>
      </c>
      <c r="C98" s="653" t="s">
        <v>36</v>
      </c>
      <c r="D98" s="653" t="s">
        <v>39</v>
      </c>
      <c r="E98" s="653" t="s">
        <v>870</v>
      </c>
      <c r="F98" s="675" t="s">
        <v>521</v>
      </c>
      <c r="G98" s="473" t="s">
        <v>522</v>
      </c>
      <c r="H98" s="1208">
        <v>370</v>
      </c>
    </row>
    <row r="99" spans="1:8" ht="38.25">
      <c r="A99" s="652" t="s">
        <v>871</v>
      </c>
      <c r="B99" s="653" t="s">
        <v>36</v>
      </c>
      <c r="C99" s="653" t="s">
        <v>36</v>
      </c>
      <c r="D99" s="653" t="s">
        <v>39</v>
      </c>
      <c r="E99" s="653" t="s">
        <v>870</v>
      </c>
      <c r="F99" s="574">
        <v>51401</v>
      </c>
      <c r="G99" s="473" t="s">
        <v>1025</v>
      </c>
      <c r="H99" s="1209">
        <f>'Proy. de recur.Humanos'!M39+'Proy. de recur.Humanos'!O39</f>
        <v>377.4</v>
      </c>
    </row>
    <row r="100" spans="1:8" ht="38.25">
      <c r="A100" s="652" t="s">
        <v>871</v>
      </c>
      <c r="B100" s="653" t="s">
        <v>36</v>
      </c>
      <c r="C100" s="653" t="s">
        <v>36</v>
      </c>
      <c r="D100" s="653" t="s">
        <v>39</v>
      </c>
      <c r="E100" s="653" t="s">
        <v>870</v>
      </c>
      <c r="F100" s="574">
        <v>51501</v>
      </c>
      <c r="G100" s="473" t="s">
        <v>523</v>
      </c>
      <c r="H100" s="1209">
        <v>344.1</v>
      </c>
    </row>
    <row r="101" spans="1:8" ht="27.6" customHeight="1">
      <c r="A101" s="652" t="s">
        <v>871</v>
      </c>
      <c r="B101" s="653" t="s">
        <v>36</v>
      </c>
      <c r="C101" s="653" t="s">
        <v>36</v>
      </c>
      <c r="D101" s="653" t="s">
        <v>39</v>
      </c>
      <c r="E101" s="653" t="s">
        <v>870</v>
      </c>
      <c r="F101" s="574">
        <v>54101</v>
      </c>
      <c r="G101" s="473" t="s">
        <v>524</v>
      </c>
      <c r="H101" s="1209">
        <v>200</v>
      </c>
    </row>
    <row r="102" spans="1:8" ht="15" customHeight="1">
      <c r="A102" s="652" t="s">
        <v>871</v>
      </c>
      <c r="B102" s="653" t="s">
        <v>36</v>
      </c>
      <c r="C102" s="653" t="s">
        <v>36</v>
      </c>
      <c r="D102" s="653" t="s">
        <v>39</v>
      </c>
      <c r="E102" s="653" t="s">
        <v>870</v>
      </c>
      <c r="F102" s="574">
        <v>54105</v>
      </c>
      <c r="G102" s="523" t="s">
        <v>526</v>
      </c>
      <c r="H102" s="1209">
        <v>150</v>
      </c>
    </row>
    <row r="103" spans="1:8" ht="14.25" customHeight="1">
      <c r="A103" s="652" t="s">
        <v>871</v>
      </c>
      <c r="B103" s="653" t="s">
        <v>36</v>
      </c>
      <c r="C103" s="653" t="s">
        <v>36</v>
      </c>
      <c r="D103" s="653" t="s">
        <v>39</v>
      </c>
      <c r="E103" s="653" t="s">
        <v>870</v>
      </c>
      <c r="F103" s="574">
        <v>54114</v>
      </c>
      <c r="G103" s="523" t="s">
        <v>880</v>
      </c>
      <c r="H103" s="1209">
        <v>150</v>
      </c>
    </row>
    <row r="104" spans="1:8" ht="15" customHeight="1">
      <c r="A104" s="652" t="s">
        <v>871</v>
      </c>
      <c r="B104" s="653" t="s">
        <v>36</v>
      </c>
      <c r="C104" s="653" t="s">
        <v>36</v>
      </c>
      <c r="D104" s="653" t="s">
        <v>39</v>
      </c>
      <c r="E104" s="653" t="s">
        <v>870</v>
      </c>
      <c r="F104" s="574">
        <v>54115</v>
      </c>
      <c r="G104" s="523" t="s">
        <v>879</v>
      </c>
      <c r="H104" s="1209">
        <f>400-81.5</f>
        <v>318.5</v>
      </c>
    </row>
    <row r="105" spans="1:8" ht="27" customHeight="1">
      <c r="A105" s="652" t="s">
        <v>871</v>
      </c>
      <c r="B105" s="653" t="s">
        <v>36</v>
      </c>
      <c r="C105" s="653" t="s">
        <v>36</v>
      </c>
      <c r="D105" s="653" t="s">
        <v>39</v>
      </c>
      <c r="E105" s="653" t="s">
        <v>870</v>
      </c>
      <c r="F105" s="574">
        <v>54199</v>
      </c>
      <c r="G105" s="524" t="s">
        <v>528</v>
      </c>
      <c r="H105" s="1209">
        <v>300</v>
      </c>
    </row>
    <row r="106" spans="1:8" ht="14.25">
      <c r="A106" s="652" t="s">
        <v>871</v>
      </c>
      <c r="B106" s="653" t="s">
        <v>36</v>
      </c>
      <c r="C106" s="653" t="s">
        <v>36</v>
      </c>
      <c r="D106" s="653" t="s">
        <v>39</v>
      </c>
      <c r="E106" s="653" t="s">
        <v>870</v>
      </c>
      <c r="F106" s="574">
        <v>54201</v>
      </c>
      <c r="G106" s="449" t="s">
        <v>954</v>
      </c>
      <c r="H106" s="1209">
        <f>60*12</f>
        <v>720</v>
      </c>
    </row>
    <row r="107" spans="1:8" s="464" customFormat="1" ht="14.25">
      <c r="A107" s="652" t="s">
        <v>871</v>
      </c>
      <c r="B107" s="653" t="s">
        <v>36</v>
      </c>
      <c r="C107" s="653" t="s">
        <v>36</v>
      </c>
      <c r="D107" s="653" t="s">
        <v>39</v>
      </c>
      <c r="E107" s="653" t="s">
        <v>870</v>
      </c>
      <c r="F107" s="574">
        <v>54202</v>
      </c>
      <c r="G107" s="449" t="s">
        <v>636</v>
      </c>
      <c r="H107" s="1209">
        <f>30*12</f>
        <v>360</v>
      </c>
    </row>
    <row r="108" spans="1:8" ht="14.25">
      <c r="A108" s="652" t="s">
        <v>871</v>
      </c>
      <c r="B108" s="653" t="s">
        <v>36</v>
      </c>
      <c r="C108" s="653" t="s">
        <v>36</v>
      </c>
      <c r="D108" s="653" t="s">
        <v>39</v>
      </c>
      <c r="E108" s="653" t="s">
        <v>870</v>
      </c>
      <c r="F108" s="574">
        <v>54203</v>
      </c>
      <c r="G108" s="449" t="s">
        <v>529</v>
      </c>
      <c r="H108" s="1209">
        <v>200</v>
      </c>
    </row>
    <row r="109" spans="1:8" s="464" customFormat="1" ht="14.25">
      <c r="A109" s="652" t="s">
        <v>871</v>
      </c>
      <c r="B109" s="653" t="s">
        <v>36</v>
      </c>
      <c r="C109" s="653" t="s">
        <v>36</v>
      </c>
      <c r="D109" s="653" t="s">
        <v>39</v>
      </c>
      <c r="E109" s="653" t="s">
        <v>870</v>
      </c>
      <c r="F109" s="574">
        <v>54304</v>
      </c>
      <c r="G109" s="449" t="s">
        <v>530</v>
      </c>
      <c r="H109" s="1210">
        <v>200</v>
      </c>
    </row>
    <row r="110" spans="1:8" s="464" customFormat="1" ht="25.5">
      <c r="A110" s="1078" t="s">
        <v>871</v>
      </c>
      <c r="B110" s="1079" t="s">
        <v>36</v>
      </c>
      <c r="C110" s="1079" t="s">
        <v>36</v>
      </c>
      <c r="D110" s="1079" t="s">
        <v>39</v>
      </c>
      <c r="E110" s="1079" t="s">
        <v>870</v>
      </c>
      <c r="F110" s="574">
        <v>54317</v>
      </c>
      <c r="G110" s="1080" t="s">
        <v>844</v>
      </c>
      <c r="H110" s="1211">
        <f>500*12</f>
        <v>6000</v>
      </c>
    </row>
    <row r="111" spans="1:8" ht="14.25">
      <c r="A111" s="652" t="s">
        <v>871</v>
      </c>
      <c r="B111" s="653" t="s">
        <v>36</v>
      </c>
      <c r="C111" s="653" t="s">
        <v>36</v>
      </c>
      <c r="D111" s="653" t="s">
        <v>39</v>
      </c>
      <c r="E111" s="653" t="s">
        <v>870</v>
      </c>
      <c r="F111" s="574">
        <v>54505</v>
      </c>
      <c r="G111" s="463" t="s">
        <v>846</v>
      </c>
      <c r="H111" s="1210">
        <v>500</v>
      </c>
    </row>
    <row r="112" spans="1:8" ht="15.75" thickBot="1">
      <c r="A112" s="1818" t="s">
        <v>170</v>
      </c>
      <c r="B112" s="1819"/>
      <c r="C112" s="1819"/>
      <c r="D112" s="1819"/>
      <c r="E112" s="1819"/>
      <c r="F112" s="1820"/>
      <c r="G112" s="1093"/>
      <c r="H112" s="1094">
        <f>SUM(H96:H111)</f>
        <v>15000</v>
      </c>
    </row>
    <row r="113" spans="1:9" ht="13.5" thickBot="1">
      <c r="A113" s="1111"/>
      <c r="B113" s="1111"/>
      <c r="C113" s="1112"/>
      <c r="D113" s="1113"/>
      <c r="E113" s="1113"/>
      <c r="F113" s="1127"/>
      <c r="G113" s="1114"/>
      <c r="H113" s="1115"/>
    </row>
    <row r="114" spans="1:9" ht="30.6" customHeight="1">
      <c r="A114" s="1734" t="s">
        <v>1018</v>
      </c>
      <c r="B114" s="1824"/>
      <c r="C114" s="1824"/>
      <c r="D114" s="1824"/>
      <c r="E114" s="1824"/>
      <c r="F114" s="1825"/>
      <c r="G114" s="1770" t="s">
        <v>1122</v>
      </c>
      <c r="H114" s="1771"/>
    </row>
    <row r="115" spans="1:9" ht="27.6" customHeight="1">
      <c r="A115" s="1716" t="s">
        <v>875</v>
      </c>
      <c r="B115" s="1717"/>
      <c r="C115" s="1717"/>
      <c r="D115" s="1717"/>
      <c r="E115" s="1717"/>
      <c r="F115" s="1718"/>
      <c r="G115" s="1716" t="s">
        <v>1021</v>
      </c>
      <c r="H115" s="1718"/>
    </row>
    <row r="116" spans="1:9" ht="42.6" customHeight="1">
      <c r="A116" s="1716" t="s">
        <v>1104</v>
      </c>
      <c r="B116" s="1717"/>
      <c r="C116" s="1717"/>
      <c r="D116" s="1717"/>
      <c r="E116" s="1717"/>
      <c r="F116" s="1718"/>
      <c r="G116" s="1731" t="s">
        <v>545</v>
      </c>
      <c r="H116" s="1855"/>
    </row>
    <row r="117" spans="1:9" ht="40.15" customHeight="1" thickBot="1">
      <c r="A117" s="1724" t="s">
        <v>1026</v>
      </c>
      <c r="B117" s="1725"/>
      <c r="C117" s="1725"/>
      <c r="D117" s="1725"/>
      <c r="E117" s="1725"/>
      <c r="F117" s="1726"/>
      <c r="G117" s="1727" t="s">
        <v>546</v>
      </c>
      <c r="H117" s="1728"/>
    </row>
    <row r="118" spans="1:9" ht="23.25" customHeight="1">
      <c r="A118" s="1116"/>
      <c r="B118" s="1117"/>
      <c r="C118" s="1117"/>
      <c r="D118" s="1117"/>
      <c r="E118" s="1117"/>
      <c r="F118" s="1118"/>
      <c r="G118" s="1119"/>
      <c r="H118" s="1117"/>
    </row>
    <row r="119" spans="1:9" ht="36.6" customHeight="1">
      <c r="A119" s="1712" t="s">
        <v>1123</v>
      </c>
      <c r="B119" s="1712"/>
      <c r="C119" s="1712"/>
      <c r="D119" s="1712"/>
      <c r="E119" s="1712"/>
      <c r="F119" s="1712"/>
      <c r="G119" s="1712"/>
      <c r="H119" s="1712"/>
    </row>
    <row r="120" spans="1:9" ht="33.6" customHeight="1">
      <c r="A120" s="1111"/>
      <c r="B120" s="1122"/>
      <c r="C120" s="1123"/>
      <c r="D120" s="1124"/>
      <c r="E120" s="1124"/>
      <c r="F120" s="1125"/>
      <c r="G120" s="1114"/>
      <c r="H120" s="1115"/>
    </row>
    <row r="121" spans="1:9" s="513" customFormat="1">
      <c r="A121" s="1142"/>
      <c r="B121" s="1143"/>
      <c r="C121" s="1144"/>
      <c r="D121" s="1145"/>
      <c r="E121" s="1145"/>
      <c r="F121" s="1120"/>
      <c r="G121" s="1089"/>
      <c r="H121" s="1146"/>
    </row>
    <row r="122" spans="1:9">
      <c r="A122" s="1111"/>
      <c r="B122" s="1122"/>
      <c r="C122" s="1123"/>
      <c r="D122" s="1124"/>
      <c r="E122" s="1124"/>
      <c r="F122" s="1125"/>
      <c r="G122" s="1114"/>
      <c r="H122" s="1115"/>
      <c r="I122" s="1915">
        <v>5</v>
      </c>
    </row>
    <row r="123" spans="1:9" ht="18">
      <c r="A123" s="1787" t="s">
        <v>84</v>
      </c>
      <c r="B123" s="1462"/>
      <c r="C123" s="1462"/>
      <c r="D123" s="1462"/>
      <c r="E123" s="1462"/>
      <c r="F123" s="1462"/>
      <c r="G123" s="1462"/>
      <c r="H123" s="1462"/>
      <c r="I123" s="1915"/>
    </row>
    <row r="124" spans="1:9" ht="18">
      <c r="A124" s="1787" t="s">
        <v>565</v>
      </c>
      <c r="B124" s="1462"/>
      <c r="C124" s="1462"/>
      <c r="D124" s="1462"/>
      <c r="E124" s="1462"/>
      <c r="F124" s="1462"/>
      <c r="G124" s="1462"/>
      <c r="H124" s="1462"/>
    </row>
    <row r="125" spans="1:9" ht="18">
      <c r="A125" s="1788" t="s">
        <v>180</v>
      </c>
      <c r="B125" s="1462"/>
      <c r="C125" s="1462"/>
      <c r="D125" s="1462"/>
      <c r="E125" s="1462"/>
      <c r="F125" s="1462"/>
      <c r="G125" s="1462"/>
      <c r="H125" s="1462"/>
    </row>
    <row r="126" spans="1:9" ht="20.45" customHeight="1">
      <c r="A126" s="1788" t="s">
        <v>757</v>
      </c>
      <c r="B126" s="1462"/>
      <c r="C126" s="1462"/>
      <c r="D126" s="1462"/>
      <c r="E126" s="1462"/>
      <c r="F126" s="1462"/>
      <c r="G126" s="1462"/>
      <c r="H126" s="1462"/>
    </row>
    <row r="127" spans="1:9" ht="18">
      <c r="A127" s="1788" t="s">
        <v>924</v>
      </c>
      <c r="B127" s="1462"/>
      <c r="C127" s="1462"/>
      <c r="D127" s="1462"/>
      <c r="E127" s="1462"/>
      <c r="F127" s="1462"/>
      <c r="G127" s="1462"/>
      <c r="H127" s="1462"/>
    </row>
    <row r="128" spans="1:9">
      <c r="A128" s="1121"/>
      <c r="B128" s="1122"/>
      <c r="C128" s="1123"/>
      <c r="D128" s="1124"/>
      <c r="E128" s="1124"/>
      <c r="F128" s="1125"/>
      <c r="G128" s="1114"/>
      <c r="H128" s="1115"/>
    </row>
    <row r="129" spans="1:8" ht="18">
      <c r="A129" s="1841" t="s">
        <v>1023</v>
      </c>
      <c r="B129" s="1841"/>
      <c r="C129" s="1841"/>
      <c r="D129" s="1841"/>
      <c r="E129" s="1841"/>
      <c r="F129" s="1841"/>
      <c r="G129" s="1841"/>
      <c r="H129" s="1841"/>
    </row>
    <row r="130" spans="1:8" ht="39.6" customHeight="1">
      <c r="A130" s="1796" t="s">
        <v>820</v>
      </c>
      <c r="B130" s="1797"/>
      <c r="C130" s="1797"/>
      <c r="D130" s="1797"/>
      <c r="E130" s="1797"/>
      <c r="F130" s="1797"/>
      <c r="G130" s="1797"/>
      <c r="H130" s="1797"/>
    </row>
    <row r="131" spans="1:8" ht="13.5" thickBot="1">
      <c r="A131" s="1790" t="s">
        <v>11</v>
      </c>
      <c r="B131" s="1791"/>
      <c r="C131" s="1791"/>
      <c r="D131" s="1791"/>
      <c r="E131" s="1791"/>
      <c r="F131" s="1792"/>
      <c r="G131" s="1793" t="s">
        <v>518</v>
      </c>
      <c r="H131" s="1795" t="s">
        <v>517</v>
      </c>
    </row>
    <row r="132" spans="1:8" ht="48.75" thickBot="1">
      <c r="A132" s="1107" t="s">
        <v>937</v>
      </c>
      <c r="B132" s="1108" t="s">
        <v>185</v>
      </c>
      <c r="C132" s="1108" t="s">
        <v>938</v>
      </c>
      <c r="D132" s="1108" t="s">
        <v>24</v>
      </c>
      <c r="E132" s="1109" t="s">
        <v>946</v>
      </c>
      <c r="F132" s="1110" t="s">
        <v>22</v>
      </c>
      <c r="G132" s="1794"/>
      <c r="H132" s="1763"/>
    </row>
    <row r="133" spans="1:8" ht="28.5">
      <c r="A133" s="652" t="s">
        <v>871</v>
      </c>
      <c r="B133" s="653" t="s">
        <v>36</v>
      </c>
      <c r="C133" s="653" t="s">
        <v>36</v>
      </c>
      <c r="D133" s="653" t="s">
        <v>39</v>
      </c>
      <c r="E133" s="653" t="s">
        <v>870</v>
      </c>
      <c r="F133" s="3">
        <v>54101</v>
      </c>
      <c r="G133" s="209" t="s">
        <v>816</v>
      </c>
      <c r="H133" s="11">
        <v>1200</v>
      </c>
    </row>
    <row r="134" spans="1:8" ht="15">
      <c r="A134" s="652" t="s">
        <v>871</v>
      </c>
      <c r="B134" s="653" t="s">
        <v>36</v>
      </c>
      <c r="C134" s="653" t="s">
        <v>36</v>
      </c>
      <c r="D134" s="653" t="s">
        <v>39</v>
      </c>
      <c r="E134" s="653" t="s">
        <v>870</v>
      </c>
      <c r="F134" s="3">
        <v>54105</v>
      </c>
      <c r="G134" s="210" t="s">
        <v>677</v>
      </c>
      <c r="H134" s="223">
        <v>150</v>
      </c>
    </row>
    <row r="135" spans="1:8" ht="26.25" customHeight="1">
      <c r="A135" s="652" t="s">
        <v>871</v>
      </c>
      <c r="B135" s="653" t="s">
        <v>36</v>
      </c>
      <c r="C135" s="653" t="s">
        <v>36</v>
      </c>
      <c r="D135" s="653" t="s">
        <v>39</v>
      </c>
      <c r="E135" s="653" t="s">
        <v>870</v>
      </c>
      <c r="F135" s="3">
        <v>54114</v>
      </c>
      <c r="G135" s="209" t="s">
        <v>880</v>
      </c>
      <c r="H135" s="10">
        <v>100</v>
      </c>
    </row>
    <row r="136" spans="1:8" ht="28.5">
      <c r="A136" s="652" t="s">
        <v>871</v>
      </c>
      <c r="B136" s="653" t="s">
        <v>36</v>
      </c>
      <c r="C136" s="653" t="s">
        <v>36</v>
      </c>
      <c r="D136" s="653" t="s">
        <v>39</v>
      </c>
      <c r="E136" s="653" t="s">
        <v>870</v>
      </c>
      <c r="F136" s="3">
        <v>54199</v>
      </c>
      <c r="G136" s="210" t="s">
        <v>678</v>
      </c>
      <c r="H136" s="223">
        <v>1000</v>
      </c>
    </row>
    <row r="137" spans="1:8" ht="15">
      <c r="A137" s="652" t="s">
        <v>871</v>
      </c>
      <c r="B137" s="653" t="s">
        <v>36</v>
      </c>
      <c r="C137" s="653" t="s">
        <v>36</v>
      </c>
      <c r="D137" s="653" t="s">
        <v>39</v>
      </c>
      <c r="E137" s="653" t="s">
        <v>870</v>
      </c>
      <c r="F137" s="3">
        <v>54304</v>
      </c>
      <c r="G137" s="209" t="s">
        <v>530</v>
      </c>
      <c r="H137" s="11">
        <v>500</v>
      </c>
    </row>
    <row r="138" spans="1:8" ht="15">
      <c r="A138" s="652" t="s">
        <v>871</v>
      </c>
      <c r="B138" s="653" t="s">
        <v>36</v>
      </c>
      <c r="C138" s="653" t="s">
        <v>36</v>
      </c>
      <c r="D138" s="653" t="s">
        <v>39</v>
      </c>
      <c r="E138" s="653" t="s">
        <v>870</v>
      </c>
      <c r="F138" s="3">
        <v>54505</v>
      </c>
      <c r="G138" s="209" t="s">
        <v>815</v>
      </c>
      <c r="H138" s="11">
        <v>550</v>
      </c>
    </row>
    <row r="139" spans="1:8" s="651" customFormat="1" ht="28.15" customHeight="1" thickBot="1">
      <c r="A139" s="1818" t="s">
        <v>170</v>
      </c>
      <c r="B139" s="1819"/>
      <c r="C139" s="1819"/>
      <c r="D139" s="1819"/>
      <c r="E139" s="1819"/>
      <c r="F139" s="1820"/>
      <c r="G139" s="511"/>
      <c r="H139" s="1082">
        <f>SUM(H133:H138)</f>
        <v>3500</v>
      </c>
    </row>
    <row r="140" spans="1:8" s="651" customFormat="1" ht="21.75" customHeight="1" thickBot="1">
      <c r="A140" s="1111"/>
      <c r="B140" s="1111"/>
      <c r="C140" s="1112"/>
      <c r="D140" s="1113"/>
      <c r="E140" s="1113"/>
      <c r="F140" s="1127"/>
      <c r="G140" s="1114"/>
      <c r="H140" s="1115"/>
    </row>
    <row r="141" spans="1:8" s="651" customFormat="1" ht="38.450000000000003" customHeight="1">
      <c r="A141" s="1734" t="s">
        <v>1018</v>
      </c>
      <c r="B141" s="1735"/>
      <c r="C141" s="1735"/>
      <c r="D141" s="1735"/>
      <c r="E141" s="1735"/>
      <c r="F141" s="1735"/>
      <c r="G141" s="1770" t="s">
        <v>1019</v>
      </c>
      <c r="H141" s="1771"/>
    </row>
    <row r="142" spans="1:8" s="651" customFormat="1" ht="36.75" customHeight="1">
      <c r="A142" s="1716" t="s">
        <v>817</v>
      </c>
      <c r="B142" s="1729"/>
      <c r="C142" s="1729"/>
      <c r="D142" s="1729"/>
      <c r="E142" s="1729"/>
      <c r="F142" s="1730"/>
      <c r="G142" s="1716" t="s">
        <v>1021</v>
      </c>
      <c r="H142" s="1730"/>
    </row>
    <row r="143" spans="1:8" ht="29.45" customHeight="1">
      <c r="A143" s="1776" t="s">
        <v>818</v>
      </c>
      <c r="B143" s="1777"/>
      <c r="C143" s="1777"/>
      <c r="D143" s="1777"/>
      <c r="E143" s="1777"/>
      <c r="F143" s="1778"/>
      <c r="G143" s="1731" t="s">
        <v>545</v>
      </c>
      <c r="H143" s="1730"/>
    </row>
    <row r="144" spans="1:8" ht="31.9" customHeight="1" thickBot="1">
      <c r="A144" s="1724" t="s">
        <v>819</v>
      </c>
      <c r="B144" s="1732"/>
      <c r="C144" s="1732"/>
      <c r="D144" s="1732"/>
      <c r="E144" s="1732"/>
      <c r="F144" s="1733"/>
      <c r="G144" s="1727" t="s">
        <v>546</v>
      </c>
      <c r="H144" s="1733"/>
    </row>
    <row r="145" spans="1:9">
      <c r="A145" s="1111"/>
      <c r="B145" s="1122"/>
      <c r="C145" s="1123"/>
      <c r="D145" s="1124"/>
      <c r="E145" s="1124"/>
      <c r="F145" s="1125"/>
      <c r="G145" s="1114"/>
      <c r="H145" s="1115"/>
    </row>
    <row r="146" spans="1:9" ht="36.6" customHeight="1">
      <c r="A146" s="1712" t="s">
        <v>1123</v>
      </c>
      <c r="B146" s="1712"/>
      <c r="C146" s="1712"/>
      <c r="D146" s="1712"/>
      <c r="E146" s="1712"/>
      <c r="F146" s="1712"/>
      <c r="G146" s="1712"/>
      <c r="H146" s="1712"/>
    </row>
    <row r="147" spans="1:9">
      <c r="A147" s="1111"/>
      <c r="B147" s="1122"/>
      <c r="C147" s="1123"/>
      <c r="D147" s="1124"/>
      <c r="E147" s="1124"/>
      <c r="F147" s="1125"/>
      <c r="G147" s="1114"/>
      <c r="H147" s="1115"/>
    </row>
    <row r="148" spans="1:9" s="513" customFormat="1">
      <c r="A148" s="1142"/>
      <c r="B148" s="1143"/>
      <c r="C148" s="1144"/>
      <c r="D148" s="1145"/>
      <c r="E148" s="1145"/>
      <c r="F148" s="1120"/>
      <c r="G148" s="1089"/>
      <c r="H148" s="1146"/>
    </row>
    <row r="149" spans="1:9">
      <c r="A149" s="1111"/>
      <c r="B149" s="1122"/>
      <c r="C149" s="1123"/>
      <c r="D149" s="1124"/>
      <c r="E149" s="1124"/>
      <c r="F149" s="1125"/>
      <c r="G149" s="1114"/>
      <c r="H149" s="1115"/>
      <c r="I149" s="1915">
        <v>6</v>
      </c>
    </row>
    <row r="150" spans="1:9" ht="18">
      <c r="A150" s="1787" t="s">
        <v>84</v>
      </c>
      <c r="B150" s="1787"/>
      <c r="C150" s="1787"/>
      <c r="D150" s="1787"/>
      <c r="E150" s="1787"/>
      <c r="F150" s="1787"/>
      <c r="G150" s="1787"/>
      <c r="H150" s="1787"/>
      <c r="I150" s="1915"/>
    </row>
    <row r="151" spans="1:9" ht="18">
      <c r="A151" s="1787" t="s">
        <v>83</v>
      </c>
      <c r="B151" s="1787"/>
      <c r="C151" s="1787"/>
      <c r="D151" s="1787"/>
      <c r="E151" s="1787"/>
      <c r="F151" s="1787"/>
      <c r="G151" s="1787"/>
      <c r="H151" s="1787"/>
    </row>
    <row r="152" spans="1:9" ht="18">
      <c r="A152" s="1788" t="s">
        <v>180</v>
      </c>
      <c r="B152" s="1462"/>
      <c r="C152" s="1462"/>
      <c r="D152" s="1462"/>
      <c r="E152" s="1462"/>
      <c r="F152" s="1462"/>
      <c r="G152" s="1462"/>
      <c r="H152" s="1462"/>
    </row>
    <row r="153" spans="1:9" ht="18">
      <c r="A153" s="1788" t="s">
        <v>757</v>
      </c>
      <c r="B153" s="1462"/>
      <c r="C153" s="1462"/>
      <c r="D153" s="1462"/>
      <c r="E153" s="1462"/>
      <c r="F153" s="1462"/>
      <c r="G153" s="1462"/>
      <c r="H153" s="1462"/>
    </row>
    <row r="154" spans="1:9" ht="18">
      <c r="A154" s="1788" t="s">
        <v>924</v>
      </c>
      <c r="B154" s="1462"/>
      <c r="C154" s="1462"/>
      <c r="D154" s="1462"/>
      <c r="E154" s="1462"/>
      <c r="F154" s="1462"/>
      <c r="G154" s="1462"/>
      <c r="H154" s="1462"/>
    </row>
    <row r="155" spans="1:9">
      <c r="A155" s="1121"/>
      <c r="B155" s="1122"/>
      <c r="C155" s="1123"/>
      <c r="D155" s="1124"/>
      <c r="E155" s="1124"/>
      <c r="F155" s="1125"/>
      <c r="G155" s="1114"/>
      <c r="H155" s="1115"/>
    </row>
    <row r="156" spans="1:9" ht="18">
      <c r="A156" s="1841" t="s">
        <v>1023</v>
      </c>
      <c r="B156" s="1841"/>
      <c r="C156" s="1841"/>
      <c r="D156" s="1841"/>
      <c r="E156" s="1841"/>
      <c r="F156" s="1841"/>
      <c r="G156" s="1841"/>
      <c r="H156" s="1841"/>
    </row>
    <row r="157" spans="1:9" ht="54" customHeight="1">
      <c r="A157" s="1796" t="s">
        <v>1066</v>
      </c>
      <c r="B157" s="1797"/>
      <c r="C157" s="1797"/>
      <c r="D157" s="1797"/>
      <c r="E157" s="1797"/>
      <c r="F157" s="1797"/>
      <c r="G157" s="1797"/>
      <c r="H157" s="1797"/>
    </row>
    <row r="158" spans="1:9" ht="13.5" thickBot="1">
      <c r="A158" s="1842" t="s">
        <v>11</v>
      </c>
      <c r="B158" s="1843"/>
      <c r="C158" s="1843"/>
      <c r="D158" s="1843"/>
      <c r="E158" s="1843"/>
      <c r="F158" s="1844"/>
      <c r="G158" s="1793" t="s">
        <v>518</v>
      </c>
      <c r="H158" s="1795" t="s">
        <v>517</v>
      </c>
    </row>
    <row r="159" spans="1:9" ht="48.75" thickBot="1">
      <c r="A159" s="1107" t="s">
        <v>937</v>
      </c>
      <c r="B159" s="1108" t="s">
        <v>185</v>
      </c>
      <c r="C159" s="1108" t="s">
        <v>938</v>
      </c>
      <c r="D159" s="1108" t="s">
        <v>24</v>
      </c>
      <c r="E159" s="1109" t="s">
        <v>946</v>
      </c>
      <c r="F159" s="1110" t="s">
        <v>22</v>
      </c>
      <c r="G159" s="1794"/>
      <c r="H159" s="1763"/>
    </row>
    <row r="160" spans="1:9" ht="15">
      <c r="A160" s="652" t="s">
        <v>871</v>
      </c>
      <c r="B160" s="653" t="s">
        <v>36</v>
      </c>
      <c r="C160" s="653" t="s">
        <v>36</v>
      </c>
      <c r="D160" s="653" t="s">
        <v>39</v>
      </c>
      <c r="E160" s="653" t="s">
        <v>870</v>
      </c>
      <c r="F160" s="668" t="s">
        <v>34</v>
      </c>
      <c r="G160" s="208" t="s">
        <v>532</v>
      </c>
      <c r="H160" s="10">
        <f>F184</f>
        <v>29604</v>
      </c>
    </row>
    <row r="161" spans="1:8" ht="15">
      <c r="A161" s="652" t="s">
        <v>871</v>
      </c>
      <c r="B161" s="653" t="s">
        <v>36</v>
      </c>
      <c r="C161" s="653" t="s">
        <v>36</v>
      </c>
      <c r="D161" s="653" t="s">
        <v>39</v>
      </c>
      <c r="E161" s="653" t="s">
        <v>870</v>
      </c>
      <c r="F161" s="671" t="s">
        <v>86</v>
      </c>
      <c r="G161" s="209" t="s">
        <v>823</v>
      </c>
      <c r="H161" s="10">
        <f>SUM(F196)</f>
        <v>2467</v>
      </c>
    </row>
    <row r="162" spans="1:8" ht="15">
      <c r="A162" s="652" t="s">
        <v>871</v>
      </c>
      <c r="B162" s="653" t="s">
        <v>36</v>
      </c>
      <c r="C162" s="653" t="s">
        <v>36</v>
      </c>
      <c r="D162" s="653" t="s">
        <v>39</v>
      </c>
      <c r="E162" s="653" t="s">
        <v>870</v>
      </c>
      <c r="F162" s="671" t="s">
        <v>174</v>
      </c>
      <c r="G162" s="209" t="s">
        <v>522</v>
      </c>
      <c r="H162" s="10">
        <f>G196</f>
        <v>2467</v>
      </c>
    </row>
    <row r="163" spans="1:8" ht="42.75">
      <c r="A163" s="652" t="s">
        <v>871</v>
      </c>
      <c r="B163" s="653" t="s">
        <v>36</v>
      </c>
      <c r="C163" s="653" t="s">
        <v>36</v>
      </c>
      <c r="D163" s="653" t="s">
        <v>39</v>
      </c>
      <c r="E163" s="653" t="s">
        <v>870</v>
      </c>
      <c r="F163" s="3">
        <v>51401</v>
      </c>
      <c r="G163" s="209" t="s">
        <v>1025</v>
      </c>
      <c r="H163" s="1081">
        <f>G200+G201</f>
        <v>2992.6800000000003</v>
      </c>
    </row>
    <row r="164" spans="1:8" ht="42.75">
      <c r="A164" s="652" t="s">
        <v>871</v>
      </c>
      <c r="B164" s="653" t="s">
        <v>36</v>
      </c>
      <c r="C164" s="653" t="s">
        <v>36</v>
      </c>
      <c r="D164" s="653" t="s">
        <v>39</v>
      </c>
      <c r="E164" s="653" t="s">
        <v>870</v>
      </c>
      <c r="F164" s="3">
        <v>51501</v>
      </c>
      <c r="G164" s="209" t="s">
        <v>523</v>
      </c>
      <c r="H164" s="1081">
        <f>G202</f>
        <v>2728.6200000000003</v>
      </c>
    </row>
    <row r="165" spans="1:8" ht="29.45" customHeight="1">
      <c r="A165" s="652" t="s">
        <v>871</v>
      </c>
      <c r="B165" s="653" t="s">
        <v>36</v>
      </c>
      <c r="C165" s="653" t="s">
        <v>36</v>
      </c>
      <c r="D165" s="653" t="s">
        <v>39</v>
      </c>
      <c r="E165" s="653" t="s">
        <v>870</v>
      </c>
      <c r="F165" s="1147">
        <v>54104</v>
      </c>
      <c r="G165" s="210" t="s">
        <v>525</v>
      </c>
      <c r="H165" s="1081">
        <v>1500</v>
      </c>
    </row>
    <row r="166" spans="1:8" ht="32.25" customHeight="1">
      <c r="A166" s="652" t="s">
        <v>871</v>
      </c>
      <c r="B166" s="653" t="s">
        <v>36</v>
      </c>
      <c r="C166" s="653" t="s">
        <v>36</v>
      </c>
      <c r="D166" s="653" t="s">
        <v>39</v>
      </c>
      <c r="E166" s="653" t="s">
        <v>870</v>
      </c>
      <c r="F166" s="1148">
        <v>54117</v>
      </c>
      <c r="G166" s="212" t="s">
        <v>824</v>
      </c>
      <c r="H166" s="1081">
        <v>3240.7</v>
      </c>
    </row>
    <row r="167" spans="1:8" ht="31.5" hidden="1" customHeight="1">
      <c r="A167" s="20">
        <v>3</v>
      </c>
      <c r="B167" s="9" t="s">
        <v>40</v>
      </c>
      <c r="C167" s="9" t="s">
        <v>38</v>
      </c>
      <c r="D167" s="9" t="s">
        <v>39</v>
      </c>
      <c r="E167" s="9" t="s">
        <v>41</v>
      </c>
      <c r="F167" s="516" t="s">
        <v>527</v>
      </c>
      <c r="G167" s="212" t="s">
        <v>528</v>
      </c>
      <c r="H167" s="11"/>
    </row>
    <row r="168" spans="1:8" ht="33.75" hidden="1" customHeight="1">
      <c r="A168" s="20">
        <v>3</v>
      </c>
      <c r="B168" s="9" t="s">
        <v>40</v>
      </c>
      <c r="C168" s="9" t="s">
        <v>38</v>
      </c>
      <c r="D168" s="9" t="s">
        <v>39</v>
      </c>
      <c r="E168" s="9" t="s">
        <v>41</v>
      </c>
      <c r="F168" s="516" t="s">
        <v>531</v>
      </c>
      <c r="G168" s="212" t="s">
        <v>955</v>
      </c>
      <c r="H168" s="11"/>
    </row>
    <row r="169" spans="1:8" ht="30.75" hidden="1" customHeight="1">
      <c r="A169" s="20" t="s">
        <v>312</v>
      </c>
      <c r="B169" s="9" t="s">
        <v>40</v>
      </c>
      <c r="C169" s="9" t="s">
        <v>38</v>
      </c>
      <c r="D169" s="9" t="s">
        <v>39</v>
      </c>
      <c r="E169" s="9" t="s">
        <v>41</v>
      </c>
      <c r="F169" s="522">
        <v>54304</v>
      </c>
      <c r="G169" s="212" t="s">
        <v>530</v>
      </c>
      <c r="H169" s="11"/>
    </row>
    <row r="170" spans="1:8" ht="19.899999999999999" customHeight="1" thickBot="1">
      <c r="A170" s="1827" t="s">
        <v>170</v>
      </c>
      <c r="B170" s="1828"/>
      <c r="C170" s="1828"/>
      <c r="D170" s="1828"/>
      <c r="E170" s="1828"/>
      <c r="F170" s="1829"/>
      <c r="G170" s="511"/>
      <c r="H170" s="573">
        <f>SUM(H160:H169)</f>
        <v>45000</v>
      </c>
    </row>
    <row r="171" spans="1:8" ht="26.45" customHeight="1" thickBot="1">
      <c r="A171" s="1111"/>
      <c r="B171" s="1111"/>
      <c r="C171" s="1112"/>
      <c r="D171" s="1113"/>
      <c r="E171" s="1113"/>
      <c r="F171" s="1127"/>
      <c r="G171" s="1114"/>
      <c r="H171" s="1115"/>
    </row>
    <row r="172" spans="1:8" ht="32.450000000000003" customHeight="1">
      <c r="A172" s="1734" t="s">
        <v>1018</v>
      </c>
      <c r="B172" s="1735"/>
      <c r="C172" s="1735"/>
      <c r="D172" s="1735"/>
      <c r="E172" s="1735"/>
      <c r="F172" s="1735"/>
      <c r="G172" s="1736" t="s">
        <v>1122</v>
      </c>
      <c r="H172" s="1737"/>
    </row>
    <row r="173" spans="1:8" s="464" customFormat="1" ht="60" customHeight="1">
      <c r="A173" s="1838" t="s">
        <v>1066</v>
      </c>
      <c r="B173" s="1839"/>
      <c r="C173" s="1839"/>
      <c r="D173" s="1839"/>
      <c r="E173" s="1839"/>
      <c r="F173" s="1840"/>
      <c r="G173" s="1838" t="s">
        <v>1021</v>
      </c>
      <c r="H173" s="1840"/>
    </row>
    <row r="174" spans="1:8" ht="40.15" customHeight="1">
      <c r="A174" s="1776" t="s">
        <v>1105</v>
      </c>
      <c r="B174" s="1777"/>
      <c r="C174" s="1777"/>
      <c r="D174" s="1777"/>
      <c r="E174" s="1777"/>
      <c r="F174" s="1778"/>
      <c r="G174" s="1731" t="s">
        <v>545</v>
      </c>
      <c r="H174" s="1730"/>
    </row>
    <row r="175" spans="1:8" ht="32.450000000000003" customHeight="1" thickBot="1">
      <c r="A175" s="1724" t="s">
        <v>1067</v>
      </c>
      <c r="B175" s="1732"/>
      <c r="C175" s="1732"/>
      <c r="D175" s="1732"/>
      <c r="E175" s="1732"/>
      <c r="F175" s="1733"/>
      <c r="G175" s="1727" t="s">
        <v>546</v>
      </c>
      <c r="H175" s="1733"/>
    </row>
    <row r="176" spans="1:8">
      <c r="A176" s="1850"/>
      <c r="B176" s="1851"/>
      <c r="C176" s="1851"/>
      <c r="D176" s="1851"/>
      <c r="E176" s="1851"/>
      <c r="F176" s="1851"/>
      <c r="G176" s="1852"/>
      <c r="H176" s="1853"/>
    </row>
    <row r="177" spans="1:8" ht="20.25">
      <c r="A177" s="1854" t="s">
        <v>540</v>
      </c>
      <c r="B177" s="1854"/>
      <c r="C177" s="1854"/>
      <c r="D177" s="1854"/>
      <c r="E177" s="1854"/>
      <c r="F177" s="1854"/>
      <c r="G177" s="1854"/>
      <c r="H177" s="1854"/>
    </row>
    <row r="178" spans="1:8" ht="42.75">
      <c r="A178" s="1832" t="s">
        <v>459</v>
      </c>
      <c r="B178" s="1832"/>
      <c r="C178" s="1832"/>
      <c r="D178" s="1832"/>
      <c r="E178" s="1832"/>
      <c r="F178" s="1149" t="s">
        <v>822</v>
      </c>
      <c r="G178" s="1150"/>
      <c r="H178" s="216"/>
    </row>
    <row r="179" spans="1:8" ht="15">
      <c r="A179" s="1836" t="s">
        <v>549</v>
      </c>
      <c r="B179" s="1836"/>
      <c r="C179" s="1836"/>
      <c r="D179" s="1836"/>
      <c r="E179" s="1836"/>
      <c r="F179" s="1151">
        <v>6396</v>
      </c>
      <c r="G179" s="1152"/>
      <c r="H179" s="217"/>
    </row>
    <row r="180" spans="1:8" ht="15">
      <c r="A180" s="1836" t="s">
        <v>549</v>
      </c>
      <c r="B180" s="1836"/>
      <c r="C180" s="1836"/>
      <c r="D180" s="1836"/>
      <c r="E180" s="1836"/>
      <c r="F180" s="1151">
        <v>6396</v>
      </c>
      <c r="G180" s="1152"/>
      <c r="H180" s="217"/>
    </row>
    <row r="181" spans="1:8" ht="15">
      <c r="A181" s="1836" t="s">
        <v>549</v>
      </c>
      <c r="B181" s="1836"/>
      <c r="C181" s="1836"/>
      <c r="D181" s="1836"/>
      <c r="E181" s="1836"/>
      <c r="F181" s="1151">
        <v>5604</v>
      </c>
      <c r="G181" s="1152"/>
      <c r="H181" s="217"/>
    </row>
    <row r="182" spans="1:8" ht="15">
      <c r="A182" s="1836" t="s">
        <v>549</v>
      </c>
      <c r="B182" s="1836"/>
      <c r="C182" s="1836"/>
      <c r="D182" s="1836"/>
      <c r="E182" s="1836"/>
      <c r="F182" s="1151">
        <v>5604</v>
      </c>
      <c r="G182" s="1152"/>
      <c r="H182" s="217"/>
    </row>
    <row r="183" spans="1:8" ht="15">
      <c r="A183" s="1836" t="s">
        <v>549</v>
      </c>
      <c r="B183" s="1836"/>
      <c r="C183" s="1836"/>
      <c r="D183" s="1836"/>
      <c r="E183" s="1836"/>
      <c r="F183" s="1151">
        <v>5604</v>
      </c>
      <c r="G183" s="1153"/>
      <c r="H183" s="217"/>
    </row>
    <row r="184" spans="1:8" ht="15.75" thickBot="1">
      <c r="A184" s="1837" t="s">
        <v>170</v>
      </c>
      <c r="B184" s="1837"/>
      <c r="C184" s="1837"/>
      <c r="D184" s="1837"/>
      <c r="E184" s="1837"/>
      <c r="F184" s="1154">
        <f>SUM(F179:F183)</f>
        <v>29604</v>
      </c>
      <c r="G184" s="218"/>
      <c r="H184" s="218"/>
    </row>
    <row r="185" spans="1:8" ht="15.75" thickTop="1">
      <c r="A185" s="1155"/>
      <c r="B185" s="1155"/>
      <c r="C185" s="1155"/>
      <c r="D185" s="1155"/>
      <c r="E185" s="1155"/>
      <c r="F185" s="1156"/>
      <c r="G185" s="977"/>
      <c r="H185" s="977"/>
    </row>
    <row r="186" spans="1:8" ht="15">
      <c r="A186" s="1151"/>
      <c r="B186" s="1151"/>
      <c r="C186" s="1151"/>
      <c r="D186" s="1151"/>
      <c r="E186" s="1151"/>
      <c r="F186" s="1151"/>
      <c r="G186" s="218"/>
      <c r="H186" s="218"/>
    </row>
    <row r="187" spans="1:8" ht="15">
      <c r="A187" s="1151"/>
      <c r="B187" s="1151"/>
      <c r="C187" s="1151"/>
      <c r="D187" s="1151"/>
      <c r="E187" s="1151"/>
      <c r="F187" s="1151"/>
      <c r="G187" s="218"/>
      <c r="H187" s="218"/>
    </row>
    <row r="188" spans="1:8" ht="14.25">
      <c r="A188" s="215"/>
      <c r="B188" s="215"/>
      <c r="C188" s="215"/>
      <c r="D188" s="215"/>
      <c r="E188" s="215"/>
      <c r="F188" s="1151"/>
      <c r="G188" s="215"/>
      <c r="H188" s="215"/>
    </row>
    <row r="189" spans="1:8" ht="18">
      <c r="A189" s="1833" t="s">
        <v>534</v>
      </c>
      <c r="B189" s="1833"/>
      <c r="C189" s="1833"/>
      <c r="D189" s="1833"/>
      <c r="E189" s="1833"/>
      <c r="F189" s="1833"/>
      <c r="G189" s="1833"/>
      <c r="H189" s="1833"/>
    </row>
    <row r="190" spans="1:8" ht="30" customHeight="1">
      <c r="A190" s="1835" t="s">
        <v>533</v>
      </c>
      <c r="B190" s="1835"/>
      <c r="C190" s="1835"/>
      <c r="D190" s="1835"/>
      <c r="E190" s="1835"/>
      <c r="F190" s="1157" t="s">
        <v>535</v>
      </c>
      <c r="G190" s="1149" t="s">
        <v>826</v>
      </c>
      <c r="H190" s="214"/>
    </row>
    <row r="191" spans="1:8" ht="14.25">
      <c r="A191" s="1836" t="s">
        <v>549</v>
      </c>
      <c r="B191" s="1836"/>
      <c r="C191" s="1836"/>
      <c r="D191" s="1836"/>
      <c r="E191" s="1836"/>
      <c r="F191" s="1151">
        <v>533</v>
      </c>
      <c r="G191" s="1158">
        <f>+F191</f>
        <v>533</v>
      </c>
      <c r="H191" s="215"/>
    </row>
    <row r="192" spans="1:8" ht="14.25" hidden="1">
      <c r="A192" s="1836" t="s">
        <v>549</v>
      </c>
      <c r="B192" s="1836"/>
      <c r="C192" s="1836"/>
      <c r="D192" s="1836"/>
      <c r="E192" s="1836"/>
      <c r="F192" s="1151">
        <v>533</v>
      </c>
      <c r="G192" s="1159">
        <f>+F192</f>
        <v>533</v>
      </c>
      <c r="H192" s="215"/>
    </row>
    <row r="193" spans="1:9" ht="14.25" hidden="1">
      <c r="A193" s="1836" t="s">
        <v>549</v>
      </c>
      <c r="B193" s="1836"/>
      <c r="C193" s="1836"/>
      <c r="D193" s="1836"/>
      <c r="E193" s="1836"/>
      <c r="F193" s="1151">
        <v>467</v>
      </c>
      <c r="G193" s="1159">
        <f>+F193</f>
        <v>467</v>
      </c>
      <c r="H193" s="215"/>
    </row>
    <row r="194" spans="1:9" ht="14.25" hidden="1">
      <c r="A194" s="1836" t="s">
        <v>549</v>
      </c>
      <c r="B194" s="1836"/>
      <c r="C194" s="1836"/>
      <c r="D194" s="1836"/>
      <c r="E194" s="1836"/>
      <c r="F194" s="1151">
        <v>467</v>
      </c>
      <c r="G194" s="1159">
        <f>+F194</f>
        <v>467</v>
      </c>
      <c r="H194" s="215"/>
    </row>
    <row r="195" spans="1:9" ht="14.25">
      <c r="A195" s="1836" t="s">
        <v>549</v>
      </c>
      <c r="B195" s="1836"/>
      <c r="C195" s="1836"/>
      <c r="D195" s="1836"/>
      <c r="E195" s="1836"/>
      <c r="F195" s="1151">
        <v>467</v>
      </c>
      <c r="G195" s="1159">
        <f>+F195</f>
        <v>467</v>
      </c>
      <c r="H195" s="215"/>
      <c r="I195" s="221"/>
    </row>
    <row r="196" spans="1:9" ht="15.75" thickBot="1">
      <c r="A196" s="1837" t="s">
        <v>170</v>
      </c>
      <c r="B196" s="1837"/>
      <c r="C196" s="1837"/>
      <c r="D196" s="1837"/>
      <c r="E196" s="1837"/>
      <c r="F196" s="1154">
        <f>SUM(F191:F195)</f>
        <v>2467</v>
      </c>
      <c r="G196" s="1160">
        <f>SUM(G191:G195)</f>
        <v>2467</v>
      </c>
      <c r="H196" s="215"/>
    </row>
    <row r="197" spans="1:9" ht="29.45" customHeight="1" thickTop="1">
      <c r="A197" s="1161"/>
      <c r="B197" s="1111"/>
      <c r="C197" s="1112"/>
      <c r="D197" s="1113"/>
      <c r="E197" s="1113"/>
      <c r="F197" s="1127"/>
      <c r="G197" s="1114"/>
      <c r="H197" s="1115"/>
    </row>
    <row r="198" spans="1:9" ht="51.75" customHeight="1">
      <c r="A198" s="1834" t="s">
        <v>539</v>
      </c>
      <c r="B198" s="1834"/>
      <c r="C198" s="1834"/>
      <c r="D198" s="1834"/>
      <c r="E198" s="1834"/>
      <c r="F198" s="1834"/>
      <c r="G198" s="1834"/>
      <c r="H198" s="1834"/>
    </row>
    <row r="199" spans="1:9" ht="35.25" customHeight="1">
      <c r="A199" s="1835" t="s">
        <v>825</v>
      </c>
      <c r="B199" s="1835"/>
      <c r="C199" s="1835"/>
      <c r="D199" s="1835"/>
      <c r="E199" s="1835"/>
      <c r="F199" s="1162" t="s">
        <v>647</v>
      </c>
      <c r="G199" s="1163" t="s">
        <v>170</v>
      </c>
      <c r="H199" s="216"/>
    </row>
    <row r="200" spans="1:9" ht="33" customHeight="1">
      <c r="A200" s="1836" t="s">
        <v>536</v>
      </c>
      <c r="B200" s="1836"/>
      <c r="C200" s="1836"/>
      <c r="D200" s="1836"/>
      <c r="E200" s="1836"/>
      <c r="F200" s="1153">
        <f>F191*7.5%*12*2+F193*7.5%*12*3+F195*7.5%*12</f>
        <v>2640.6000000000004</v>
      </c>
      <c r="G200" s="219">
        <f>SUM(E200:F200)</f>
        <v>2640.6000000000004</v>
      </c>
      <c r="H200" s="219"/>
    </row>
    <row r="201" spans="1:9" ht="15">
      <c r="A201" s="1836" t="s">
        <v>537</v>
      </c>
      <c r="B201" s="1836"/>
      <c r="C201" s="1836"/>
      <c r="D201" s="1836"/>
      <c r="E201" s="1836"/>
      <c r="F201" s="1153">
        <f>F191*1%*12*2+F193*1%*12*3+F195*1%*12*1</f>
        <v>352.08000000000004</v>
      </c>
      <c r="G201" s="219">
        <f>SUM(E201:F201)</f>
        <v>352.08000000000004</v>
      </c>
      <c r="H201" s="219"/>
    </row>
    <row r="202" spans="1:9" ht="27.75" customHeight="1">
      <c r="A202" s="1836" t="s">
        <v>538</v>
      </c>
      <c r="B202" s="1836"/>
      <c r="C202" s="1836"/>
      <c r="D202" s="1836"/>
      <c r="E202" s="1836"/>
      <c r="F202" s="1153">
        <f>F191*7.75%*12*2+F193*7.75%*12*3+F195*7.75%*12*1</f>
        <v>2728.6200000000003</v>
      </c>
      <c r="G202" s="219">
        <f>SUM(E202:F202)</f>
        <v>2728.6200000000003</v>
      </c>
      <c r="H202" s="219"/>
    </row>
    <row r="203" spans="1:9" ht="15.75" thickBot="1">
      <c r="A203" s="1830" t="s">
        <v>261</v>
      </c>
      <c r="B203" s="1830"/>
      <c r="C203" s="1830"/>
      <c r="D203" s="1164"/>
      <c r="E203" s="1164"/>
      <c r="F203" s="1154">
        <f>SUM(F200:F202)</f>
        <v>5721.3000000000011</v>
      </c>
      <c r="G203" s="1165">
        <f>SUM(G200:G202)</f>
        <v>5721.3000000000011</v>
      </c>
      <c r="H203" s="220"/>
    </row>
    <row r="204" spans="1:9" ht="15.75" thickTop="1">
      <c r="A204" s="1166"/>
      <c r="B204" s="1166"/>
      <c r="C204" s="1166"/>
      <c r="D204" s="1167"/>
      <c r="E204" s="1167"/>
      <c r="F204" s="1168"/>
      <c r="G204" s="220"/>
      <c r="H204" s="220"/>
    </row>
    <row r="205" spans="1:9" ht="36.6" customHeight="1">
      <c r="A205" s="1712" t="s">
        <v>1123</v>
      </c>
      <c r="B205" s="1712"/>
      <c r="C205" s="1712"/>
      <c r="D205" s="1712"/>
      <c r="E205" s="1712"/>
      <c r="F205" s="1712"/>
      <c r="G205" s="1712"/>
      <c r="H205" s="1712"/>
    </row>
    <row r="206" spans="1:9">
      <c r="A206" s="1111"/>
      <c r="B206" s="1122"/>
      <c r="C206" s="1123"/>
      <c r="D206" s="1124"/>
      <c r="E206" s="1124"/>
      <c r="F206" s="1125"/>
      <c r="G206" s="1114"/>
      <c r="H206" s="1115"/>
    </row>
    <row r="207" spans="1:9" s="513" customFormat="1">
      <c r="A207" s="1142"/>
      <c r="B207" s="1143"/>
      <c r="C207" s="1144"/>
      <c r="D207" s="1145"/>
      <c r="E207" s="1145"/>
      <c r="F207" s="1120"/>
      <c r="G207" s="1089"/>
      <c r="H207" s="1146"/>
    </row>
    <row r="208" spans="1:9">
      <c r="A208" s="1111"/>
      <c r="B208" s="1122"/>
      <c r="C208" s="1123"/>
      <c r="D208" s="1124"/>
      <c r="E208" s="1124"/>
      <c r="F208" s="1125"/>
      <c r="G208" s="1114"/>
      <c r="H208" s="1115"/>
      <c r="I208" s="1915">
        <v>7</v>
      </c>
    </row>
    <row r="209" spans="1:9" ht="18">
      <c r="A209" s="1787" t="s">
        <v>84</v>
      </c>
      <c r="B209" s="1787"/>
      <c r="C209" s="1787"/>
      <c r="D209" s="1787"/>
      <c r="E209" s="1787"/>
      <c r="F209" s="1787"/>
      <c r="G209" s="1787"/>
      <c r="H209" s="1787"/>
      <c r="I209" s="1915"/>
    </row>
    <row r="210" spans="1:9" s="464" customFormat="1" ht="18">
      <c r="A210" s="1787" t="s">
        <v>83</v>
      </c>
      <c r="B210" s="1787"/>
      <c r="C210" s="1787"/>
      <c r="D210" s="1787"/>
      <c r="E210" s="1787"/>
      <c r="F210" s="1787"/>
      <c r="G210" s="1787"/>
      <c r="H210" s="1787"/>
    </row>
    <row r="211" spans="1:9" ht="18">
      <c r="A211" s="1788" t="s">
        <v>180</v>
      </c>
      <c r="B211" s="1462"/>
      <c r="C211" s="1462"/>
      <c r="D211" s="1462"/>
      <c r="E211" s="1462"/>
      <c r="F211" s="1462"/>
      <c r="G211" s="1462"/>
      <c r="H211" s="1462"/>
    </row>
    <row r="212" spans="1:9" ht="18">
      <c r="A212" s="1788" t="s">
        <v>757</v>
      </c>
      <c r="B212" s="1462"/>
      <c r="C212" s="1462"/>
      <c r="D212" s="1462"/>
      <c r="E212" s="1462"/>
      <c r="F212" s="1462"/>
      <c r="G212" s="1462"/>
      <c r="H212" s="1462"/>
    </row>
    <row r="213" spans="1:9" ht="18">
      <c r="A213" s="1788" t="s">
        <v>924</v>
      </c>
      <c r="B213" s="1462"/>
      <c r="C213" s="1462"/>
      <c r="D213" s="1462"/>
      <c r="E213" s="1462"/>
      <c r="F213" s="1462"/>
      <c r="G213" s="1462"/>
      <c r="H213" s="1462"/>
    </row>
    <row r="214" spans="1:9" ht="18.600000000000001" customHeight="1">
      <c r="A214" s="1121"/>
      <c r="B214" s="1122"/>
      <c r="C214" s="1123"/>
      <c r="D214" s="1124"/>
      <c r="E214" s="1124"/>
      <c r="F214" s="1125"/>
      <c r="G214" s="1114"/>
      <c r="H214" s="1115"/>
      <c r="I214" s="221"/>
    </row>
    <row r="215" spans="1:9" ht="18">
      <c r="A215" s="1831" t="s">
        <v>1023</v>
      </c>
      <c r="B215" s="1831"/>
      <c r="C215" s="1831"/>
      <c r="D215" s="1831"/>
      <c r="E215" s="1831"/>
      <c r="F215" s="1831"/>
      <c r="G215" s="1831"/>
      <c r="H215" s="1831"/>
    </row>
    <row r="216" spans="1:9" ht="18">
      <c r="A216" s="1796" t="s">
        <v>827</v>
      </c>
      <c r="B216" s="1797"/>
      <c r="C216" s="1797"/>
      <c r="D216" s="1797"/>
      <c r="E216" s="1797"/>
      <c r="F216" s="1797"/>
      <c r="G216" s="1797"/>
      <c r="H216" s="1797"/>
    </row>
    <row r="217" spans="1:9" ht="13.5" thickBot="1">
      <c r="A217" s="1790" t="s">
        <v>11</v>
      </c>
      <c r="B217" s="1791"/>
      <c r="C217" s="1791"/>
      <c r="D217" s="1791"/>
      <c r="E217" s="1791"/>
      <c r="F217" s="1792"/>
      <c r="G217" s="1793" t="s">
        <v>518</v>
      </c>
      <c r="H217" s="1795" t="s">
        <v>517</v>
      </c>
    </row>
    <row r="218" spans="1:9" ht="48.75" thickBot="1">
      <c r="A218" s="1107" t="s">
        <v>937</v>
      </c>
      <c r="B218" s="1108" t="s">
        <v>185</v>
      </c>
      <c r="C218" s="1108" t="s">
        <v>938</v>
      </c>
      <c r="D218" s="1108" t="s">
        <v>24</v>
      </c>
      <c r="E218" s="1109" t="s">
        <v>946</v>
      </c>
      <c r="F218" s="1110" t="s">
        <v>22</v>
      </c>
      <c r="G218" s="1794"/>
      <c r="H218" s="1763"/>
    </row>
    <row r="219" spans="1:9" ht="18.600000000000001" customHeight="1">
      <c r="A219" s="652" t="s">
        <v>871</v>
      </c>
      <c r="B219" s="653" t="s">
        <v>36</v>
      </c>
      <c r="C219" s="653" t="s">
        <v>36</v>
      </c>
      <c r="D219" s="653" t="s">
        <v>39</v>
      </c>
      <c r="E219" s="653" t="s">
        <v>870</v>
      </c>
      <c r="F219" s="514">
        <v>56305</v>
      </c>
      <c r="G219" s="212" t="s">
        <v>576</v>
      </c>
      <c r="H219" s="211">
        <v>90000</v>
      </c>
    </row>
    <row r="220" spans="1:9" ht="15.75" thickBot="1">
      <c r="A220" s="1827" t="s">
        <v>170</v>
      </c>
      <c r="B220" s="1828"/>
      <c r="C220" s="1828"/>
      <c r="D220" s="1828"/>
      <c r="E220" s="1828"/>
      <c r="F220" s="1829"/>
      <c r="G220" s="511"/>
      <c r="H220" s="573">
        <f>SUM(H219)</f>
        <v>90000</v>
      </c>
    </row>
    <row r="221" spans="1:9" ht="13.5" thickBot="1">
      <c r="A221" s="1111"/>
      <c r="B221" s="1111"/>
      <c r="C221" s="1112"/>
      <c r="D221" s="1113"/>
      <c r="E221" s="1113"/>
      <c r="F221" s="1127"/>
      <c r="G221" s="1114"/>
      <c r="H221" s="1115"/>
    </row>
    <row r="222" spans="1:9" ht="40.15" customHeight="1">
      <c r="A222" s="1734" t="s">
        <v>1018</v>
      </c>
      <c r="B222" s="1824"/>
      <c r="C222" s="1824"/>
      <c r="D222" s="1824"/>
      <c r="E222" s="1824"/>
      <c r="F222" s="1825"/>
      <c r="G222" s="1770" t="s">
        <v>814</v>
      </c>
      <c r="H222" s="1771"/>
    </row>
    <row r="223" spans="1:9" ht="40.5" customHeight="1">
      <c r="A223" s="1716" t="s">
        <v>1024</v>
      </c>
      <c r="B223" s="1729"/>
      <c r="C223" s="1729"/>
      <c r="D223" s="1729"/>
      <c r="E223" s="1729"/>
      <c r="F223" s="1730"/>
      <c r="G223" s="1716" t="s">
        <v>1021</v>
      </c>
      <c r="H223" s="1730"/>
    </row>
    <row r="224" spans="1:9" ht="32.450000000000003" customHeight="1">
      <c r="A224" s="1776" t="s">
        <v>1106</v>
      </c>
      <c r="B224" s="1777"/>
      <c r="C224" s="1777"/>
      <c r="D224" s="1777"/>
      <c r="E224" s="1777"/>
      <c r="F224" s="1778"/>
      <c r="G224" s="1731" t="s">
        <v>545</v>
      </c>
      <c r="H224" s="1730"/>
    </row>
    <row r="225" spans="1:9" ht="37.15" customHeight="1" thickBot="1">
      <c r="A225" s="1724" t="s">
        <v>1060</v>
      </c>
      <c r="B225" s="1732"/>
      <c r="C225" s="1732"/>
      <c r="D225" s="1732"/>
      <c r="E225" s="1732"/>
      <c r="F225" s="1733"/>
      <c r="G225" s="1727" t="s">
        <v>546</v>
      </c>
      <c r="H225" s="1733"/>
      <c r="I225" s="221"/>
    </row>
    <row r="226" spans="1:9">
      <c r="A226" s="1111"/>
      <c r="B226" s="1122"/>
      <c r="C226" s="1123"/>
      <c r="D226" s="1124"/>
      <c r="E226" s="1124"/>
      <c r="F226" s="1125"/>
      <c r="G226" s="1114"/>
      <c r="H226" s="1115"/>
    </row>
    <row r="227" spans="1:9" ht="36.6" customHeight="1">
      <c r="A227" s="1712" t="s">
        <v>1123</v>
      </c>
      <c r="B227" s="1712"/>
      <c r="C227" s="1712"/>
      <c r="D227" s="1712"/>
      <c r="E227" s="1712"/>
      <c r="F227" s="1712"/>
      <c r="G227" s="1712"/>
      <c r="H227" s="1712"/>
    </row>
    <row r="228" spans="1:9">
      <c r="A228" s="1111"/>
      <c r="B228" s="1122"/>
      <c r="C228" s="1123"/>
      <c r="D228" s="1124"/>
      <c r="E228" s="1124"/>
      <c r="F228" s="1125"/>
      <c r="G228" s="1114"/>
      <c r="H228" s="1115"/>
    </row>
    <row r="229" spans="1:9" s="513" customFormat="1">
      <c r="A229" s="1142"/>
      <c r="B229" s="1143"/>
      <c r="C229" s="1144"/>
      <c r="D229" s="1145"/>
      <c r="E229" s="1145"/>
      <c r="F229" s="1120"/>
      <c r="G229" s="1089"/>
      <c r="H229" s="1146"/>
    </row>
    <row r="230" spans="1:9" ht="13.9" customHeight="1">
      <c r="A230" s="1111"/>
      <c r="B230" s="1122"/>
      <c r="C230" s="1123"/>
      <c r="D230" s="1124"/>
      <c r="E230" s="1124"/>
      <c r="F230" s="1125"/>
      <c r="G230" s="1114"/>
      <c r="H230" s="1115"/>
      <c r="I230" s="1915">
        <v>8</v>
      </c>
    </row>
    <row r="231" spans="1:9" ht="18">
      <c r="A231" s="1787" t="s">
        <v>84</v>
      </c>
      <c r="B231" s="1787"/>
      <c r="C231" s="1787"/>
      <c r="D231" s="1787"/>
      <c r="E231" s="1787"/>
      <c r="F231" s="1787"/>
      <c r="G231" s="1787"/>
      <c r="H231" s="1787"/>
      <c r="I231" s="1915"/>
    </row>
    <row r="232" spans="1:9" s="464" customFormat="1" ht="18">
      <c r="A232" s="1798" t="s">
        <v>565</v>
      </c>
      <c r="B232" s="1798"/>
      <c r="C232" s="1798"/>
      <c r="D232" s="1798"/>
      <c r="E232" s="1798"/>
      <c r="F232" s="1798"/>
      <c r="G232" s="1798"/>
      <c r="H232" s="1798"/>
    </row>
    <row r="233" spans="1:9" ht="18">
      <c r="A233" s="1788" t="s">
        <v>180</v>
      </c>
      <c r="B233" s="1788"/>
      <c r="C233" s="1788"/>
      <c r="D233" s="1788"/>
      <c r="E233" s="1788"/>
      <c r="F233" s="1788"/>
      <c r="G233" s="1788"/>
      <c r="H233" s="1788"/>
    </row>
    <row r="234" spans="1:9" ht="18">
      <c r="A234" s="1788" t="s">
        <v>757</v>
      </c>
      <c r="B234" s="1788"/>
      <c r="C234" s="1788"/>
      <c r="D234" s="1788"/>
      <c r="E234" s="1788"/>
      <c r="F234" s="1788"/>
      <c r="G234" s="1788"/>
      <c r="H234" s="1788"/>
    </row>
    <row r="235" spans="1:9" ht="18">
      <c r="A235" s="1788" t="s">
        <v>924</v>
      </c>
      <c r="B235" s="1788"/>
      <c r="C235" s="1788"/>
      <c r="D235" s="1788"/>
      <c r="E235" s="1788"/>
      <c r="F235" s="1788"/>
      <c r="G235" s="1788"/>
      <c r="H235" s="1788"/>
    </row>
    <row r="236" spans="1:9">
      <c r="A236" s="1121"/>
      <c r="B236" s="1122"/>
      <c r="C236" s="1123"/>
      <c r="D236" s="1124"/>
      <c r="E236" s="1124"/>
      <c r="F236" s="1125"/>
      <c r="G236" s="1114"/>
      <c r="H236" s="1115"/>
    </row>
    <row r="237" spans="1:9" ht="18">
      <c r="A237" s="1826" t="s">
        <v>28</v>
      </c>
      <c r="B237" s="1826"/>
      <c r="C237" s="1826"/>
      <c r="D237" s="1826"/>
      <c r="E237" s="1826"/>
      <c r="F237" s="1826"/>
      <c r="G237" s="1826"/>
      <c r="H237" s="1826"/>
    </row>
    <row r="238" spans="1:9" ht="18">
      <c r="A238" s="1796" t="s">
        <v>1087</v>
      </c>
      <c r="B238" s="1797"/>
      <c r="C238" s="1797"/>
      <c r="D238" s="1797"/>
      <c r="E238" s="1797"/>
      <c r="F238" s="1797"/>
      <c r="G238" s="1797"/>
      <c r="H238" s="1797"/>
    </row>
    <row r="239" spans="1:9" ht="13.5" thickBot="1">
      <c r="A239" s="1821" t="s">
        <v>11</v>
      </c>
      <c r="B239" s="1822"/>
      <c r="C239" s="1822"/>
      <c r="D239" s="1822"/>
      <c r="E239" s="1822"/>
      <c r="F239" s="1823"/>
      <c r="G239" s="1793" t="s">
        <v>518</v>
      </c>
      <c r="H239" s="1795" t="s">
        <v>517</v>
      </c>
    </row>
    <row r="240" spans="1:9" ht="48.75" thickBot="1">
      <c r="A240" s="1107" t="s">
        <v>937</v>
      </c>
      <c r="B240" s="1108" t="s">
        <v>185</v>
      </c>
      <c r="C240" s="1108" t="s">
        <v>938</v>
      </c>
      <c r="D240" s="1108" t="s">
        <v>24</v>
      </c>
      <c r="E240" s="1109" t="s">
        <v>946</v>
      </c>
      <c r="F240" s="1110" t="s">
        <v>22</v>
      </c>
      <c r="G240" s="1794"/>
      <c r="H240" s="1795"/>
    </row>
    <row r="241" spans="1:8" ht="30" customHeight="1">
      <c r="A241" s="657" t="s">
        <v>871</v>
      </c>
      <c r="B241" s="658" t="s">
        <v>36</v>
      </c>
      <c r="C241" s="658" t="s">
        <v>36</v>
      </c>
      <c r="D241" s="658" t="s">
        <v>39</v>
      </c>
      <c r="E241" s="658" t="s">
        <v>870</v>
      </c>
      <c r="F241" s="681">
        <v>51101</v>
      </c>
      <c r="G241" s="682" t="s">
        <v>532</v>
      </c>
      <c r="H241" s="683">
        <f>500*12</f>
        <v>6000</v>
      </c>
    </row>
    <row r="242" spans="1:8" ht="15.6" customHeight="1">
      <c r="A242" s="657" t="s">
        <v>871</v>
      </c>
      <c r="B242" s="658" t="s">
        <v>36</v>
      </c>
      <c r="C242" s="658" t="s">
        <v>36</v>
      </c>
      <c r="D242" s="658" t="s">
        <v>39</v>
      </c>
      <c r="E242" s="658" t="s">
        <v>870</v>
      </c>
      <c r="F242" s="681">
        <v>51103</v>
      </c>
      <c r="G242" s="682" t="s">
        <v>258</v>
      </c>
      <c r="H242" s="683">
        <v>500</v>
      </c>
    </row>
    <row r="243" spans="1:8" ht="16.149999999999999" customHeight="1">
      <c r="A243" s="657" t="s">
        <v>871</v>
      </c>
      <c r="B243" s="658" t="s">
        <v>36</v>
      </c>
      <c r="C243" s="658" t="s">
        <v>36</v>
      </c>
      <c r="D243" s="658" t="s">
        <v>39</v>
      </c>
      <c r="E243" s="658" t="s">
        <v>870</v>
      </c>
      <c r="F243" s="684" t="s">
        <v>521</v>
      </c>
      <c r="G243" s="523" t="s">
        <v>522</v>
      </c>
      <c r="H243" s="683">
        <v>500</v>
      </c>
    </row>
    <row r="244" spans="1:8" ht="38.25">
      <c r="A244" s="657" t="s">
        <v>871</v>
      </c>
      <c r="B244" s="658" t="s">
        <v>36</v>
      </c>
      <c r="C244" s="658" t="s">
        <v>36</v>
      </c>
      <c r="D244" s="658" t="s">
        <v>39</v>
      </c>
      <c r="E244" s="658" t="s">
        <v>870</v>
      </c>
      <c r="F244" s="685">
        <v>51401</v>
      </c>
      <c r="G244" s="523" t="s">
        <v>1025</v>
      </c>
      <c r="H244" s="683">
        <v>510</v>
      </c>
    </row>
    <row r="245" spans="1:8" ht="38.25">
      <c r="A245" s="657" t="s">
        <v>871</v>
      </c>
      <c r="B245" s="658" t="s">
        <v>36</v>
      </c>
      <c r="C245" s="658" t="s">
        <v>36</v>
      </c>
      <c r="D245" s="658" t="s">
        <v>39</v>
      </c>
      <c r="E245" s="658" t="s">
        <v>870</v>
      </c>
      <c r="F245" s="685">
        <v>51501</v>
      </c>
      <c r="G245" s="523" t="s">
        <v>523</v>
      </c>
      <c r="H245" s="683">
        <v>465</v>
      </c>
    </row>
    <row r="246" spans="1:8">
      <c r="A246" s="657" t="s">
        <v>871</v>
      </c>
      <c r="B246" s="658" t="s">
        <v>36</v>
      </c>
      <c r="C246" s="658" t="s">
        <v>36</v>
      </c>
      <c r="D246" s="658" t="s">
        <v>39</v>
      </c>
      <c r="E246" s="658" t="s">
        <v>870</v>
      </c>
      <c r="F246" s="681">
        <v>51202</v>
      </c>
      <c r="G246" s="682" t="s">
        <v>550</v>
      </c>
      <c r="H246" s="683">
        <f>H267</f>
        <v>32256</v>
      </c>
    </row>
    <row r="247" spans="1:8" s="651" customFormat="1" ht="29.25" customHeight="1">
      <c r="A247" s="657" t="s">
        <v>871</v>
      </c>
      <c r="B247" s="658" t="s">
        <v>36</v>
      </c>
      <c r="C247" s="658" t="s">
        <v>36</v>
      </c>
      <c r="D247" s="658" t="s">
        <v>39</v>
      </c>
      <c r="E247" s="658" t="s">
        <v>870</v>
      </c>
      <c r="F247" s="681">
        <v>54106</v>
      </c>
      <c r="G247" s="682" t="s">
        <v>699</v>
      </c>
      <c r="H247" s="683">
        <v>500</v>
      </c>
    </row>
    <row r="248" spans="1:8" s="651" customFormat="1" ht="24" customHeight="1">
      <c r="A248" s="657" t="s">
        <v>871</v>
      </c>
      <c r="B248" s="658" t="s">
        <v>36</v>
      </c>
      <c r="C248" s="658" t="s">
        <v>36</v>
      </c>
      <c r="D248" s="658" t="s">
        <v>39</v>
      </c>
      <c r="E248" s="658" t="s">
        <v>870</v>
      </c>
      <c r="F248" s="686">
        <v>54107</v>
      </c>
      <c r="G248" s="449" t="s">
        <v>837</v>
      </c>
      <c r="H248" s="683">
        <v>800</v>
      </c>
    </row>
    <row r="249" spans="1:8" s="651" customFormat="1" ht="26.25" customHeight="1">
      <c r="A249" s="657" t="s">
        <v>871</v>
      </c>
      <c r="B249" s="658" t="s">
        <v>36</v>
      </c>
      <c r="C249" s="658" t="s">
        <v>36</v>
      </c>
      <c r="D249" s="658" t="s">
        <v>39</v>
      </c>
      <c r="E249" s="658" t="s">
        <v>870</v>
      </c>
      <c r="F249" s="686">
        <v>54109</v>
      </c>
      <c r="G249" s="449" t="s">
        <v>956</v>
      </c>
      <c r="H249" s="683">
        <v>1000</v>
      </c>
    </row>
    <row r="250" spans="1:8" s="651" customFormat="1" ht="29.25" customHeight="1">
      <c r="A250" s="657" t="s">
        <v>871</v>
      </c>
      <c r="B250" s="658" t="s">
        <v>36</v>
      </c>
      <c r="C250" s="658" t="s">
        <v>36</v>
      </c>
      <c r="D250" s="658" t="s">
        <v>39</v>
      </c>
      <c r="E250" s="658" t="s">
        <v>870</v>
      </c>
      <c r="F250" s="686">
        <v>54110</v>
      </c>
      <c r="G250" s="449" t="s">
        <v>558</v>
      </c>
      <c r="H250" s="683">
        <v>5000</v>
      </c>
    </row>
    <row r="251" spans="1:8">
      <c r="A251" s="657" t="s">
        <v>871</v>
      </c>
      <c r="B251" s="658" t="s">
        <v>36</v>
      </c>
      <c r="C251" s="658" t="s">
        <v>36</v>
      </c>
      <c r="D251" s="658" t="s">
        <v>39</v>
      </c>
      <c r="E251" s="658" t="s">
        <v>870</v>
      </c>
      <c r="F251" s="686">
        <v>54112</v>
      </c>
      <c r="G251" s="449" t="s">
        <v>1097</v>
      </c>
      <c r="H251" s="683">
        <v>800</v>
      </c>
    </row>
    <row r="252" spans="1:8" ht="39.75" customHeight="1">
      <c r="A252" s="657" t="s">
        <v>871</v>
      </c>
      <c r="B252" s="658" t="s">
        <v>36</v>
      </c>
      <c r="C252" s="658" t="s">
        <v>36</v>
      </c>
      <c r="D252" s="658" t="s">
        <v>39</v>
      </c>
      <c r="E252" s="658" t="s">
        <v>870</v>
      </c>
      <c r="F252" s="686">
        <v>54199</v>
      </c>
      <c r="G252" s="449" t="s">
        <v>528</v>
      </c>
      <c r="H252" s="683">
        <v>769</v>
      </c>
    </row>
    <row r="253" spans="1:8" ht="31.15" customHeight="1">
      <c r="A253" s="657" t="s">
        <v>871</v>
      </c>
      <c r="B253" s="658" t="s">
        <v>36</v>
      </c>
      <c r="C253" s="658" t="s">
        <v>36</v>
      </c>
      <c r="D253" s="658" t="s">
        <v>39</v>
      </c>
      <c r="E253" s="658" t="s">
        <v>870</v>
      </c>
      <c r="F253" s="686">
        <v>54302</v>
      </c>
      <c r="G253" s="449" t="s">
        <v>955</v>
      </c>
      <c r="H253" s="683">
        <v>2500</v>
      </c>
    </row>
    <row r="254" spans="1:8" s="464" customFormat="1" ht="25.5">
      <c r="A254" s="1084" t="s">
        <v>871</v>
      </c>
      <c r="B254" s="1085" t="s">
        <v>36</v>
      </c>
      <c r="C254" s="1085" t="s">
        <v>36</v>
      </c>
      <c r="D254" s="1085" t="s">
        <v>39</v>
      </c>
      <c r="E254" s="1085" t="s">
        <v>870</v>
      </c>
      <c r="F254" s="1086" t="s">
        <v>541</v>
      </c>
      <c r="G254" s="1087" t="s">
        <v>542</v>
      </c>
      <c r="H254" s="1088">
        <v>800</v>
      </c>
    </row>
    <row r="255" spans="1:8" ht="38.25">
      <c r="A255" s="657" t="s">
        <v>871</v>
      </c>
      <c r="B255" s="658" t="s">
        <v>36</v>
      </c>
      <c r="C255" s="658" t="s">
        <v>36</v>
      </c>
      <c r="D255" s="658" t="s">
        <v>39</v>
      </c>
      <c r="E255" s="658" t="s">
        <v>870</v>
      </c>
      <c r="F255" s="687" t="s">
        <v>560</v>
      </c>
      <c r="G255" s="688" t="s">
        <v>629</v>
      </c>
      <c r="H255" s="683">
        <v>33600</v>
      </c>
    </row>
    <row r="256" spans="1:8" ht="15">
      <c r="A256" s="1213"/>
      <c r="B256" s="1214"/>
      <c r="C256" s="1214"/>
      <c r="D256" s="1214"/>
      <c r="E256" s="1215"/>
      <c r="F256" s="676"/>
      <c r="G256" s="1216"/>
      <c r="H256" s="1217"/>
    </row>
    <row r="257" spans="1:8" ht="15" thickBot="1">
      <c r="A257" s="1818" t="s">
        <v>170</v>
      </c>
      <c r="B257" s="1819"/>
      <c r="C257" s="1819"/>
      <c r="D257" s="1819"/>
      <c r="E257" s="1819"/>
      <c r="F257" s="1820"/>
      <c r="G257" s="1093"/>
      <c r="H257" s="1218">
        <f>SUM(H241:H256)</f>
        <v>86000</v>
      </c>
    </row>
    <row r="258" spans="1:8" ht="13.5" thickBot="1">
      <c r="A258" s="1111"/>
      <c r="B258" s="1111"/>
      <c r="C258" s="1112"/>
      <c r="D258" s="1113"/>
      <c r="E258" s="1113"/>
      <c r="F258" s="1127"/>
      <c r="G258" s="1114"/>
      <c r="H258" s="1115"/>
    </row>
    <row r="259" spans="1:8" ht="35.450000000000003" customHeight="1">
      <c r="A259" s="1734" t="s">
        <v>1018</v>
      </c>
      <c r="B259" s="1824"/>
      <c r="C259" s="1824"/>
      <c r="D259" s="1824"/>
      <c r="E259" s="1824"/>
      <c r="F259" s="1825"/>
      <c r="G259" s="1770" t="s">
        <v>1019</v>
      </c>
      <c r="H259" s="1771"/>
    </row>
    <row r="260" spans="1:8" ht="31.15" customHeight="1">
      <c r="A260" s="1716" t="s">
        <v>1088</v>
      </c>
      <c r="B260" s="1729"/>
      <c r="C260" s="1729"/>
      <c r="D260" s="1729"/>
      <c r="E260" s="1729"/>
      <c r="F260" s="1730"/>
      <c r="G260" s="1716" t="s">
        <v>1021</v>
      </c>
      <c r="H260" s="1730"/>
    </row>
    <row r="261" spans="1:8" ht="35.450000000000003" customHeight="1">
      <c r="A261" s="1776" t="s">
        <v>1107</v>
      </c>
      <c r="B261" s="1777"/>
      <c r="C261" s="1777"/>
      <c r="D261" s="1777"/>
      <c r="E261" s="1777"/>
      <c r="F261" s="1778"/>
      <c r="G261" s="1731" t="s">
        <v>545</v>
      </c>
      <c r="H261" s="1730"/>
    </row>
    <row r="262" spans="1:8" ht="24.6" customHeight="1" thickBot="1">
      <c r="A262" s="1724" t="s">
        <v>828</v>
      </c>
      <c r="B262" s="1732"/>
      <c r="C262" s="1732"/>
      <c r="D262" s="1732"/>
      <c r="E262" s="1732"/>
      <c r="F262" s="1733"/>
      <c r="G262" s="1727" t="s">
        <v>546</v>
      </c>
      <c r="H262" s="1733"/>
    </row>
    <row r="263" spans="1:8" ht="30.75" customHeight="1">
      <c r="A263" s="226"/>
      <c r="B263" s="227"/>
      <c r="C263" s="227"/>
      <c r="D263" s="227"/>
      <c r="E263" s="227"/>
      <c r="F263" s="227"/>
      <c r="G263" s="227"/>
      <c r="H263" s="1169"/>
    </row>
    <row r="264" spans="1:8" ht="14.25">
      <c r="A264" s="1835" t="s">
        <v>829</v>
      </c>
      <c r="B264" s="1835"/>
      <c r="C264" s="1835"/>
      <c r="D264" s="1835"/>
      <c r="E264" s="1835"/>
      <c r="F264" s="1149" t="s">
        <v>830</v>
      </c>
      <c r="G264" s="1149" t="s">
        <v>561</v>
      </c>
      <c r="H264" s="1163" t="s">
        <v>562</v>
      </c>
    </row>
    <row r="265" spans="1:8" ht="57.75" customHeight="1">
      <c r="A265" s="1849" t="s">
        <v>957</v>
      </c>
      <c r="B265" s="1849"/>
      <c r="C265" s="1849"/>
      <c r="D265" s="1849"/>
      <c r="E265" s="1849"/>
      <c r="F265" s="664">
        <f>(12*4)</f>
        <v>48</v>
      </c>
      <c r="G265" s="517">
        <f>F265*20</f>
        <v>960</v>
      </c>
      <c r="H265" s="1083">
        <f>G265*12</f>
        <v>11520</v>
      </c>
    </row>
    <row r="266" spans="1:8" s="224" customFormat="1" ht="15">
      <c r="A266" s="1849" t="s">
        <v>831</v>
      </c>
      <c r="B266" s="1849"/>
      <c r="C266" s="1849"/>
      <c r="D266" s="1849"/>
      <c r="E266" s="1849"/>
      <c r="F266" s="664">
        <f>(12*6)</f>
        <v>72</v>
      </c>
      <c r="G266" s="517">
        <f>F266*24</f>
        <v>1728</v>
      </c>
      <c r="H266" s="1083">
        <f>G266*12</f>
        <v>20736</v>
      </c>
    </row>
    <row r="267" spans="1:8" s="224" customFormat="1" ht="15.75" thickBot="1">
      <c r="A267" s="228"/>
      <c r="B267" s="228"/>
      <c r="C267" s="228"/>
      <c r="D267" s="228"/>
      <c r="E267" s="228"/>
      <c r="F267" s="228"/>
      <c r="G267" s="219" t="s">
        <v>170</v>
      </c>
      <c r="H267" s="1077">
        <f>H266+H265</f>
        <v>32256</v>
      </c>
    </row>
    <row r="268" spans="1:8" s="224" customFormat="1" ht="15.75" thickTop="1">
      <c r="A268" s="228"/>
      <c r="B268" s="228"/>
      <c r="C268" s="228"/>
      <c r="D268" s="228"/>
      <c r="E268" s="228"/>
      <c r="F268" s="228"/>
      <c r="G268" s="219"/>
      <c r="H268" s="219"/>
    </row>
    <row r="269" spans="1:8" ht="36.6" customHeight="1">
      <c r="A269" s="1712" t="s">
        <v>1123</v>
      </c>
      <c r="B269" s="1712"/>
      <c r="C269" s="1712"/>
      <c r="D269" s="1712"/>
      <c r="E269" s="1712"/>
      <c r="F269" s="1712"/>
      <c r="G269" s="1712"/>
      <c r="H269" s="1712"/>
    </row>
    <row r="270" spans="1:8" s="224" customFormat="1" ht="28.15" customHeight="1">
      <c r="A270" s="1111"/>
      <c r="B270" s="1122"/>
      <c r="C270" s="1123"/>
      <c r="D270" s="1124"/>
      <c r="E270" s="1124"/>
      <c r="F270" s="1125"/>
      <c r="G270" s="1114"/>
      <c r="H270" s="1115"/>
    </row>
    <row r="271" spans="1:8" s="1089" customFormat="1">
      <c r="A271" s="1142"/>
      <c r="B271" s="1143"/>
      <c r="C271" s="1144"/>
      <c r="D271" s="1145"/>
      <c r="E271" s="1145"/>
      <c r="F271" s="1120"/>
      <c r="H271" s="1146"/>
    </row>
    <row r="272" spans="1:8" s="224" customFormat="1">
      <c r="A272" s="1111"/>
      <c r="B272" s="1122"/>
      <c r="C272" s="1123"/>
      <c r="D272" s="1124"/>
      <c r="E272" s="1124"/>
      <c r="F272" s="1125"/>
      <c r="G272" s="1114"/>
      <c r="H272" s="1115"/>
    </row>
    <row r="273" spans="1:10" s="224" customFormat="1" ht="18">
      <c r="A273" s="1787" t="s">
        <v>84</v>
      </c>
      <c r="B273" s="1787"/>
      <c r="C273" s="1787"/>
      <c r="D273" s="1787"/>
      <c r="E273" s="1787"/>
      <c r="F273" s="1787"/>
      <c r="G273" s="1787"/>
      <c r="H273" s="1787"/>
      <c r="I273" s="1915">
        <v>9</v>
      </c>
    </row>
    <row r="274" spans="1:10" s="224" customFormat="1" ht="18">
      <c r="A274" s="1787" t="s">
        <v>565</v>
      </c>
      <c r="B274" s="1787"/>
      <c r="C274" s="1787"/>
      <c r="D274" s="1787"/>
      <c r="E274" s="1787"/>
      <c r="F274" s="1787"/>
      <c r="G274" s="1787"/>
      <c r="H274" s="1787"/>
      <c r="I274" s="1915"/>
    </row>
    <row r="275" spans="1:10" s="224" customFormat="1" ht="18">
      <c r="A275" s="1788" t="s">
        <v>180</v>
      </c>
      <c r="B275" s="1788"/>
      <c r="C275" s="1788"/>
      <c r="D275" s="1788"/>
      <c r="E275" s="1788"/>
      <c r="F275" s="1788"/>
      <c r="G275" s="1788"/>
      <c r="H275" s="1788"/>
    </row>
    <row r="276" spans="1:10" s="224" customFormat="1" ht="18">
      <c r="A276" s="1788" t="s">
        <v>757</v>
      </c>
      <c r="B276" s="1788"/>
      <c r="C276" s="1788"/>
      <c r="D276" s="1788"/>
      <c r="E276" s="1788"/>
      <c r="F276" s="1788"/>
      <c r="G276" s="1788"/>
      <c r="H276" s="1788"/>
      <c r="J276" s="255"/>
    </row>
    <row r="277" spans="1:10" s="224" customFormat="1" ht="18">
      <c r="A277" s="1788" t="s">
        <v>924</v>
      </c>
      <c r="B277" s="1788"/>
      <c r="C277" s="1788"/>
      <c r="D277" s="1788"/>
      <c r="E277" s="1788"/>
      <c r="F277" s="1788"/>
      <c r="G277" s="1788"/>
      <c r="H277" s="1788"/>
    </row>
    <row r="278" spans="1:10" s="224" customFormat="1">
      <c r="A278" s="1121"/>
      <c r="B278" s="1122"/>
      <c r="C278" s="1123"/>
      <c r="D278" s="1124"/>
      <c r="E278" s="1124"/>
      <c r="F278" s="1125"/>
      <c r="G278" s="1114"/>
      <c r="H278" s="1115"/>
    </row>
    <row r="279" spans="1:10" s="224" customFormat="1" ht="18">
      <c r="A279" s="1866" t="s">
        <v>1023</v>
      </c>
      <c r="B279" s="1866"/>
      <c r="C279" s="1866"/>
      <c r="D279" s="1866"/>
      <c r="E279" s="1866"/>
      <c r="F279" s="1866"/>
      <c r="G279" s="1866"/>
      <c r="H279" s="1866"/>
    </row>
    <row r="280" spans="1:10" s="224" customFormat="1" ht="18">
      <c r="A280" s="1796" t="s">
        <v>832</v>
      </c>
      <c r="B280" s="1797"/>
      <c r="C280" s="1797"/>
      <c r="D280" s="1797"/>
      <c r="E280" s="1797"/>
      <c r="F280" s="1797"/>
      <c r="G280" s="1797"/>
      <c r="H280" s="1797"/>
    </row>
    <row r="281" spans="1:10" ht="19.899999999999999" customHeight="1" thickBot="1">
      <c r="A281" s="1861" t="s">
        <v>11</v>
      </c>
      <c r="B281" s="1862"/>
      <c r="C281" s="1862"/>
      <c r="D281" s="1862"/>
      <c r="E281" s="1862"/>
      <c r="F281" s="1863"/>
      <c r="G281" s="1867" t="s">
        <v>518</v>
      </c>
      <c r="H281" s="1860" t="s">
        <v>517</v>
      </c>
    </row>
    <row r="282" spans="1:10" ht="57.6" customHeight="1" thickBot="1">
      <c r="A282" s="1107" t="s">
        <v>937</v>
      </c>
      <c r="B282" s="1108" t="s">
        <v>185</v>
      </c>
      <c r="C282" s="1108" t="s">
        <v>938</v>
      </c>
      <c r="D282" s="1108" t="s">
        <v>24</v>
      </c>
      <c r="E282" s="1109" t="s">
        <v>946</v>
      </c>
      <c r="F282" s="1110" t="s">
        <v>22</v>
      </c>
      <c r="G282" s="1761"/>
      <c r="H282" s="1763"/>
    </row>
    <row r="283" spans="1:10" ht="20.45" customHeight="1">
      <c r="A283" s="652" t="s">
        <v>871</v>
      </c>
      <c r="B283" s="653" t="s">
        <v>36</v>
      </c>
      <c r="C283" s="653" t="s">
        <v>36</v>
      </c>
      <c r="D283" s="653" t="s">
        <v>39</v>
      </c>
      <c r="E283" s="653" t="s">
        <v>870</v>
      </c>
      <c r="F283" s="516">
        <v>56304</v>
      </c>
      <c r="G283" s="210" t="s">
        <v>577</v>
      </c>
      <c r="H283" s="211">
        <v>20000</v>
      </c>
    </row>
    <row r="284" spans="1:10" s="244" customFormat="1" ht="7.15" customHeight="1">
      <c r="A284" s="4"/>
      <c r="B284" s="5"/>
      <c r="C284" s="5"/>
      <c r="D284" s="5"/>
      <c r="E284" s="6"/>
      <c r="F284" s="676"/>
      <c r="G284" s="12"/>
      <c r="H284" s="229"/>
    </row>
    <row r="285" spans="1:10" s="244" customFormat="1" ht="20.25" customHeight="1" thickBot="1">
      <c r="A285" s="1827" t="s">
        <v>170</v>
      </c>
      <c r="B285" s="1828"/>
      <c r="C285" s="1828"/>
      <c r="D285" s="1828"/>
      <c r="E285" s="1828"/>
      <c r="F285" s="1829"/>
      <c r="G285" s="511"/>
      <c r="H285" s="573">
        <f>SUM(H283:H284)</f>
        <v>20000</v>
      </c>
    </row>
    <row r="286" spans="1:10" s="244" customFormat="1" ht="30.75" customHeight="1">
      <c r="A286" s="1734" t="s">
        <v>1018</v>
      </c>
      <c r="B286" s="1824"/>
      <c r="C286" s="1824"/>
      <c r="D286" s="1824"/>
      <c r="E286" s="1824"/>
      <c r="F286" s="1825"/>
      <c r="G286" s="1770" t="s">
        <v>1019</v>
      </c>
      <c r="H286" s="1771"/>
    </row>
    <row r="287" spans="1:10" s="244" customFormat="1" ht="26.45" customHeight="1">
      <c r="A287" s="1716" t="s">
        <v>564</v>
      </c>
      <c r="B287" s="1717"/>
      <c r="C287" s="1717"/>
      <c r="D287" s="1717"/>
      <c r="E287" s="1717"/>
      <c r="F287" s="1718"/>
      <c r="G287" s="1716" t="s">
        <v>1021</v>
      </c>
      <c r="H287" s="1718"/>
    </row>
    <row r="288" spans="1:10" ht="11.45" customHeight="1">
      <c r="A288" s="1868" t="s">
        <v>1108</v>
      </c>
      <c r="B288" s="1869"/>
      <c r="C288" s="1869"/>
      <c r="D288" s="1869"/>
      <c r="E288" s="1869"/>
      <c r="F288" s="1870"/>
      <c r="G288" s="1874" t="s">
        <v>545</v>
      </c>
      <c r="H288" s="1875"/>
    </row>
    <row r="289" spans="1:9" ht="30.6" customHeight="1">
      <c r="A289" s="1871"/>
      <c r="B289" s="1872"/>
      <c r="C289" s="1872"/>
      <c r="D289" s="1872"/>
      <c r="E289" s="1872"/>
      <c r="F289" s="1873"/>
      <c r="G289" s="1731"/>
      <c r="H289" s="1855"/>
    </row>
    <row r="290" spans="1:9" ht="33.75" customHeight="1" thickBot="1">
      <c r="A290" s="1724" t="s">
        <v>1068</v>
      </c>
      <c r="B290" s="1725"/>
      <c r="C290" s="1725"/>
      <c r="D290" s="1725"/>
      <c r="E290" s="1725"/>
      <c r="F290" s="1726"/>
      <c r="G290" s="1727" t="s">
        <v>546</v>
      </c>
      <c r="H290" s="1728"/>
    </row>
    <row r="291" spans="1:9" ht="27" customHeight="1">
      <c r="A291" s="1116"/>
      <c r="B291" s="1117"/>
      <c r="C291" s="1117"/>
      <c r="D291" s="1117"/>
      <c r="E291" s="1117"/>
      <c r="F291" s="1118"/>
      <c r="G291" s="1119"/>
      <c r="H291" s="1117"/>
    </row>
    <row r="292" spans="1:9" ht="36.6" customHeight="1">
      <c r="A292" s="1712" t="s">
        <v>1123</v>
      </c>
      <c r="B292" s="1712"/>
      <c r="C292" s="1712"/>
      <c r="D292" s="1712"/>
      <c r="E292" s="1712"/>
      <c r="F292" s="1712"/>
      <c r="G292" s="1712"/>
      <c r="H292" s="1712"/>
    </row>
    <row r="293" spans="1:9">
      <c r="A293" s="1111"/>
      <c r="B293" s="1122"/>
      <c r="C293" s="1123"/>
      <c r="D293" s="1124"/>
      <c r="E293" s="1124"/>
      <c r="F293" s="1125"/>
      <c r="G293" s="1114"/>
      <c r="H293" s="1115"/>
    </row>
    <row r="294" spans="1:9" s="513" customFormat="1" ht="24" customHeight="1">
      <c r="A294" s="1142"/>
      <c r="B294" s="1143"/>
      <c r="C294" s="1144"/>
      <c r="D294" s="1145"/>
      <c r="E294" s="1145"/>
      <c r="F294" s="1120"/>
      <c r="G294" s="1089"/>
      <c r="H294" s="1146"/>
    </row>
    <row r="295" spans="1:9" ht="16.149999999999999" customHeight="1">
      <c r="A295" s="1111"/>
      <c r="B295" s="1122"/>
      <c r="C295" s="1123"/>
      <c r="D295" s="1124"/>
      <c r="E295" s="1124"/>
      <c r="F295" s="1125"/>
      <c r="G295" s="1114"/>
      <c r="H295" s="1115"/>
      <c r="I295" s="1915">
        <v>10</v>
      </c>
    </row>
    <row r="296" spans="1:9" s="464" customFormat="1" ht="18">
      <c r="A296" s="1798" t="s">
        <v>84</v>
      </c>
      <c r="B296" s="1798"/>
      <c r="C296" s="1798"/>
      <c r="D296" s="1798"/>
      <c r="E296" s="1798"/>
      <c r="F296" s="1798"/>
      <c r="G296" s="1798"/>
      <c r="H296" s="1798"/>
      <c r="I296" s="1915"/>
    </row>
    <row r="297" spans="1:9" ht="18">
      <c r="A297" s="1787" t="s">
        <v>83</v>
      </c>
      <c r="B297" s="1787"/>
      <c r="C297" s="1787"/>
      <c r="D297" s="1787"/>
      <c r="E297" s="1787"/>
      <c r="F297" s="1787"/>
      <c r="G297" s="1787"/>
      <c r="H297" s="1787"/>
    </row>
    <row r="298" spans="1:9" ht="18">
      <c r="A298" s="1788" t="s">
        <v>180</v>
      </c>
      <c r="B298" s="1788"/>
      <c r="C298" s="1788"/>
      <c r="D298" s="1788"/>
      <c r="E298" s="1788"/>
      <c r="F298" s="1788"/>
      <c r="G298" s="1788"/>
      <c r="H298" s="1788"/>
    </row>
    <row r="299" spans="1:9" ht="18">
      <c r="A299" s="1788" t="s">
        <v>757</v>
      </c>
      <c r="B299" s="1788"/>
      <c r="C299" s="1788"/>
      <c r="D299" s="1788"/>
      <c r="E299" s="1788"/>
      <c r="F299" s="1788"/>
      <c r="G299" s="1788"/>
      <c r="H299" s="1788"/>
    </row>
    <row r="300" spans="1:9" ht="18">
      <c r="A300" s="1788" t="s">
        <v>924</v>
      </c>
      <c r="B300" s="1788"/>
      <c r="C300" s="1788"/>
      <c r="D300" s="1788"/>
      <c r="E300" s="1788"/>
      <c r="F300" s="1788"/>
      <c r="G300" s="1788"/>
      <c r="H300" s="1788"/>
    </row>
    <row r="301" spans="1:9">
      <c r="A301" s="1121"/>
      <c r="B301" s="1122"/>
      <c r="C301" s="1123"/>
      <c r="D301" s="1124"/>
      <c r="E301" s="1124"/>
      <c r="F301" s="1125"/>
      <c r="G301" s="1114"/>
      <c r="H301" s="1115"/>
    </row>
    <row r="302" spans="1:9" ht="18">
      <c r="A302" s="1826" t="s">
        <v>28</v>
      </c>
      <c r="B302" s="1826"/>
      <c r="C302" s="1826"/>
      <c r="D302" s="1826"/>
      <c r="E302" s="1826"/>
      <c r="F302" s="1826"/>
      <c r="G302" s="1826"/>
      <c r="H302" s="1826"/>
    </row>
    <row r="303" spans="1:9" ht="18">
      <c r="A303" s="1796" t="s">
        <v>1022</v>
      </c>
      <c r="B303" s="1797"/>
      <c r="C303" s="1797"/>
      <c r="D303" s="1797"/>
      <c r="E303" s="1797"/>
      <c r="F303" s="1797"/>
      <c r="G303" s="1797"/>
      <c r="H303" s="1797"/>
    </row>
    <row r="304" spans="1:9" ht="13.5" thickBot="1">
      <c r="A304" s="1861" t="s">
        <v>11</v>
      </c>
      <c r="B304" s="1862"/>
      <c r="C304" s="1862"/>
      <c r="D304" s="1862"/>
      <c r="E304" s="1862"/>
      <c r="F304" s="1863"/>
      <c r="G304" s="1793" t="s">
        <v>518</v>
      </c>
      <c r="H304" s="1795" t="s">
        <v>517</v>
      </c>
    </row>
    <row r="305" spans="1:9" ht="34.9" customHeight="1" thickBot="1">
      <c r="A305" s="1107" t="s">
        <v>937</v>
      </c>
      <c r="B305" s="1108" t="s">
        <v>185</v>
      </c>
      <c r="C305" s="1108" t="s">
        <v>938</v>
      </c>
      <c r="D305" s="1108" t="s">
        <v>24</v>
      </c>
      <c r="E305" s="1109" t="s">
        <v>946</v>
      </c>
      <c r="F305" s="1110" t="s">
        <v>22</v>
      </c>
      <c r="G305" s="1794"/>
      <c r="H305" s="1763"/>
    </row>
    <row r="306" spans="1:9" ht="29.25" thickBot="1">
      <c r="A306" s="652" t="s">
        <v>871</v>
      </c>
      <c r="B306" s="653" t="s">
        <v>36</v>
      </c>
      <c r="C306" s="653" t="s">
        <v>36</v>
      </c>
      <c r="D306" s="653" t="s">
        <v>39</v>
      </c>
      <c r="E306" s="653" t="s">
        <v>870</v>
      </c>
      <c r="F306" s="518">
        <v>54101</v>
      </c>
      <c r="G306" s="210" t="s">
        <v>524</v>
      </c>
      <c r="H306" s="10">
        <v>800</v>
      </c>
    </row>
    <row r="307" spans="1:9" ht="29.25" thickBot="1">
      <c r="A307" s="652" t="s">
        <v>871</v>
      </c>
      <c r="B307" s="653" t="s">
        <v>36</v>
      </c>
      <c r="C307" s="653" t="s">
        <v>36</v>
      </c>
      <c r="D307" s="653" t="s">
        <v>39</v>
      </c>
      <c r="E307" s="653" t="s">
        <v>870</v>
      </c>
      <c r="F307" s="518" t="s">
        <v>541</v>
      </c>
      <c r="G307" s="210" t="s">
        <v>542</v>
      </c>
      <c r="H307" s="11">
        <v>500</v>
      </c>
      <c r="I307" s="525" t="s">
        <v>645</v>
      </c>
    </row>
    <row r="308" spans="1:9" ht="21.75" customHeight="1" thickBot="1">
      <c r="A308" s="652" t="s">
        <v>871</v>
      </c>
      <c r="B308" s="653" t="s">
        <v>36</v>
      </c>
      <c r="C308" s="653" t="s">
        <v>36</v>
      </c>
      <c r="D308" s="653" t="s">
        <v>39</v>
      </c>
      <c r="E308" s="653" t="s">
        <v>870</v>
      </c>
      <c r="F308" s="518">
        <v>54505</v>
      </c>
      <c r="G308" s="212" t="s">
        <v>846</v>
      </c>
      <c r="H308" s="11">
        <v>1000</v>
      </c>
    </row>
    <row r="309" spans="1:9" ht="15.75" hidden="1" thickBot="1">
      <c r="A309" s="652" t="s">
        <v>871</v>
      </c>
      <c r="B309" s="653" t="s">
        <v>36</v>
      </c>
      <c r="C309" s="653" t="s">
        <v>36</v>
      </c>
      <c r="D309" s="653" t="s">
        <v>39</v>
      </c>
      <c r="E309" s="653" t="s">
        <v>870</v>
      </c>
      <c r="F309" s="518">
        <v>56304</v>
      </c>
      <c r="G309" s="212" t="s">
        <v>543</v>
      </c>
      <c r="H309" s="11">
        <v>500</v>
      </c>
    </row>
    <row r="310" spans="1:9" ht="15.75" thickBot="1">
      <c r="A310" s="652" t="s">
        <v>871</v>
      </c>
      <c r="B310" s="653" t="s">
        <v>36</v>
      </c>
      <c r="C310" s="653" t="s">
        <v>36</v>
      </c>
      <c r="D310" s="653" t="s">
        <v>39</v>
      </c>
      <c r="E310" s="653" t="s">
        <v>870</v>
      </c>
      <c r="F310" s="518" t="s">
        <v>116</v>
      </c>
      <c r="G310" s="209" t="s">
        <v>958</v>
      </c>
      <c r="H310" s="11">
        <v>200</v>
      </c>
    </row>
    <row r="311" spans="1:9" ht="29.25" customHeight="1" thickBot="1">
      <c r="A311" s="1827" t="s">
        <v>170</v>
      </c>
      <c r="B311" s="1828"/>
      <c r="C311" s="1828"/>
      <c r="D311" s="1828"/>
      <c r="E311" s="1828"/>
      <c r="F311" s="1829"/>
      <c r="G311" s="511"/>
      <c r="H311" s="573">
        <f>SUM(H306:H310)</f>
        <v>3000</v>
      </c>
    </row>
    <row r="312" spans="1:9" ht="22.5" customHeight="1" thickBot="1">
      <c r="A312" s="1111"/>
      <c r="B312" s="1111"/>
      <c r="C312" s="1112"/>
      <c r="D312" s="1113"/>
      <c r="E312" s="1113"/>
      <c r="F312" s="1127"/>
      <c r="G312" s="1114"/>
      <c r="H312" s="1115"/>
    </row>
    <row r="313" spans="1:9" ht="27" customHeight="1">
      <c r="A313" s="1734" t="s">
        <v>1018</v>
      </c>
      <c r="B313" s="1824"/>
      <c r="C313" s="1824"/>
      <c r="D313" s="1824"/>
      <c r="E313" s="1824"/>
      <c r="F313" s="1825"/>
      <c r="G313" s="1770" t="s">
        <v>1019</v>
      </c>
      <c r="H313" s="1771"/>
    </row>
    <row r="314" spans="1:9" ht="16.5" customHeight="1">
      <c r="A314" s="1716" t="s">
        <v>971</v>
      </c>
      <c r="B314" s="1717"/>
      <c r="C314" s="1717"/>
      <c r="D314" s="1717"/>
      <c r="E314" s="1717"/>
      <c r="F314" s="1718"/>
      <c r="G314" s="1716" t="s">
        <v>1021</v>
      </c>
      <c r="H314" s="1730"/>
    </row>
    <row r="315" spans="1:9" ht="58.15" customHeight="1">
      <c r="A315" s="1716" t="s">
        <v>1109</v>
      </c>
      <c r="B315" s="1717"/>
      <c r="C315" s="1717"/>
      <c r="D315" s="1717"/>
      <c r="E315" s="1717"/>
      <c r="F315" s="1718"/>
      <c r="G315" s="1731" t="s">
        <v>545</v>
      </c>
      <c r="H315" s="1730"/>
    </row>
    <row r="316" spans="1:9" ht="36.6" customHeight="1" thickBot="1">
      <c r="A316" s="1724" t="s">
        <v>968</v>
      </c>
      <c r="B316" s="1725"/>
      <c r="C316" s="1725"/>
      <c r="D316" s="1725"/>
      <c r="E316" s="1725"/>
      <c r="F316" s="1726"/>
      <c r="G316" s="1727" t="s">
        <v>546</v>
      </c>
      <c r="H316" s="1733"/>
    </row>
    <row r="317" spans="1:9" ht="19.149999999999999" customHeight="1">
      <c r="A317" s="1111"/>
      <c r="B317" s="1122"/>
      <c r="C317" s="1123"/>
      <c r="D317" s="1124"/>
      <c r="E317" s="1124"/>
      <c r="F317" s="1125"/>
      <c r="G317" s="1114"/>
      <c r="H317" s="1115"/>
    </row>
    <row r="318" spans="1:9" ht="36.6" customHeight="1">
      <c r="A318" s="1712" t="s">
        <v>1123</v>
      </c>
      <c r="B318" s="1712"/>
      <c r="C318" s="1712"/>
      <c r="D318" s="1712"/>
      <c r="E318" s="1712"/>
      <c r="F318" s="1712"/>
      <c r="G318" s="1712"/>
      <c r="H318" s="1712"/>
    </row>
    <row r="319" spans="1:9" s="464" customFormat="1">
      <c r="A319" s="1170"/>
      <c r="B319" s="1171"/>
      <c r="C319" s="1172"/>
      <c r="D319" s="1173"/>
      <c r="E319" s="1173"/>
      <c r="F319" s="1141"/>
      <c r="G319" s="1140"/>
      <c r="H319" s="1174"/>
    </row>
    <row r="320" spans="1:9" s="513" customFormat="1">
      <c r="A320" s="1142"/>
      <c r="B320" s="1143"/>
      <c r="C320" s="1144"/>
      <c r="D320" s="1145"/>
      <c r="E320" s="1145"/>
      <c r="F320" s="1120"/>
      <c r="G320" s="1089"/>
      <c r="H320" s="1146"/>
    </row>
    <row r="321" spans="1:9" ht="18">
      <c r="A321" s="1787" t="s">
        <v>84</v>
      </c>
      <c r="B321" s="1787"/>
      <c r="C321" s="1787"/>
      <c r="D321" s="1787"/>
      <c r="E321" s="1787"/>
      <c r="F321" s="1787"/>
      <c r="G321" s="1787"/>
      <c r="H321" s="1787"/>
      <c r="I321" s="1915">
        <v>11</v>
      </c>
    </row>
    <row r="322" spans="1:9" ht="18">
      <c r="A322" s="1787" t="s">
        <v>565</v>
      </c>
      <c r="B322" s="1787"/>
      <c r="C322" s="1787"/>
      <c r="D322" s="1787"/>
      <c r="E322" s="1787"/>
      <c r="F322" s="1787"/>
      <c r="G322" s="1787"/>
      <c r="H322" s="1787"/>
      <c r="I322" s="1915"/>
    </row>
    <row r="323" spans="1:9" ht="18">
      <c r="A323" s="1788" t="s">
        <v>180</v>
      </c>
      <c r="B323" s="1788"/>
      <c r="C323" s="1788"/>
      <c r="D323" s="1788"/>
      <c r="E323" s="1788"/>
      <c r="F323" s="1788"/>
      <c r="G323" s="1788"/>
      <c r="H323" s="1788"/>
    </row>
    <row r="324" spans="1:9" ht="18">
      <c r="A324" s="1788" t="s">
        <v>757</v>
      </c>
      <c r="B324" s="1788"/>
      <c r="C324" s="1788"/>
      <c r="D324" s="1788"/>
      <c r="E324" s="1788"/>
      <c r="F324" s="1788"/>
      <c r="G324" s="1788"/>
      <c r="H324" s="1788"/>
    </row>
    <row r="325" spans="1:9" ht="18">
      <c r="A325" s="1788" t="s">
        <v>924</v>
      </c>
      <c r="B325" s="1788"/>
      <c r="C325" s="1788"/>
      <c r="D325" s="1788"/>
      <c r="E325" s="1788"/>
      <c r="F325" s="1788"/>
      <c r="G325" s="1788"/>
      <c r="H325" s="1788"/>
    </row>
    <row r="326" spans="1:9">
      <c r="A326" s="1121"/>
      <c r="B326" s="1122"/>
      <c r="C326" s="1123"/>
      <c r="D326" s="1124"/>
      <c r="E326" s="1124"/>
      <c r="F326" s="1125"/>
      <c r="G326" s="1114"/>
      <c r="H326" s="1115"/>
    </row>
    <row r="327" spans="1:9" ht="18">
      <c r="A327" s="1826" t="s">
        <v>28</v>
      </c>
      <c r="B327" s="1826"/>
      <c r="C327" s="1826"/>
      <c r="D327" s="1826"/>
      <c r="E327" s="1826"/>
      <c r="F327" s="1826"/>
      <c r="G327" s="1826"/>
      <c r="H327" s="1826"/>
    </row>
    <row r="328" spans="1:9" ht="31.5" customHeight="1">
      <c r="A328" s="1796" t="s">
        <v>1089</v>
      </c>
      <c r="B328" s="1797"/>
      <c r="C328" s="1797"/>
      <c r="D328" s="1797"/>
      <c r="E328" s="1797"/>
      <c r="F328" s="1797"/>
      <c r="G328" s="1797"/>
      <c r="H328" s="1797"/>
    </row>
    <row r="329" spans="1:9" ht="13.5" thickBot="1">
      <c r="A329" s="1821" t="s">
        <v>11</v>
      </c>
      <c r="B329" s="1822"/>
      <c r="C329" s="1822"/>
      <c r="D329" s="1822"/>
      <c r="E329" s="1822"/>
      <c r="F329" s="1823"/>
      <c r="G329" s="1793" t="s">
        <v>518</v>
      </c>
      <c r="H329" s="1795" t="s">
        <v>517</v>
      </c>
    </row>
    <row r="330" spans="1:9" ht="48.75" thickBot="1">
      <c r="A330" s="1107" t="s">
        <v>937</v>
      </c>
      <c r="B330" s="1108" t="s">
        <v>185</v>
      </c>
      <c r="C330" s="1108" t="s">
        <v>938</v>
      </c>
      <c r="D330" s="1108" t="s">
        <v>24</v>
      </c>
      <c r="E330" s="1109" t="s">
        <v>946</v>
      </c>
      <c r="F330" s="1110" t="s">
        <v>22</v>
      </c>
      <c r="G330" s="1794"/>
      <c r="H330" s="1795"/>
      <c r="I330" s="351" t="s">
        <v>646</v>
      </c>
    </row>
    <row r="331" spans="1:9" ht="14.25">
      <c r="A331" s="652" t="s">
        <v>871</v>
      </c>
      <c r="B331" s="653" t="s">
        <v>36</v>
      </c>
      <c r="C331" s="653" t="s">
        <v>36</v>
      </c>
      <c r="D331" s="653" t="s">
        <v>39</v>
      </c>
      <c r="E331" s="653" t="s">
        <v>870</v>
      </c>
      <c r="F331" s="515">
        <v>51202</v>
      </c>
      <c r="G331" s="213" t="s">
        <v>550</v>
      </c>
      <c r="H331" s="211">
        <v>10000</v>
      </c>
    </row>
    <row r="332" spans="1:9" ht="14.25">
      <c r="A332" s="652" t="s">
        <v>871</v>
      </c>
      <c r="B332" s="653" t="s">
        <v>36</v>
      </c>
      <c r="C332" s="653" t="s">
        <v>36</v>
      </c>
      <c r="D332" s="653" t="s">
        <v>39</v>
      </c>
      <c r="E332" s="653" t="s">
        <v>870</v>
      </c>
      <c r="F332" s="516">
        <v>54105</v>
      </c>
      <c r="G332" s="210" t="s">
        <v>526</v>
      </c>
      <c r="H332" s="211">
        <v>900</v>
      </c>
    </row>
    <row r="333" spans="1:9" ht="28.5">
      <c r="A333" s="652" t="s">
        <v>871</v>
      </c>
      <c r="B333" s="653" t="s">
        <v>36</v>
      </c>
      <c r="C333" s="653" t="s">
        <v>36</v>
      </c>
      <c r="D333" s="653" t="s">
        <v>39</v>
      </c>
      <c r="E333" s="653" t="s">
        <v>870</v>
      </c>
      <c r="F333" s="516">
        <v>54199</v>
      </c>
      <c r="G333" s="210" t="s">
        <v>528</v>
      </c>
      <c r="H333" s="211">
        <v>1000</v>
      </c>
    </row>
    <row r="334" spans="1:9" ht="28.5">
      <c r="A334" s="652" t="s">
        <v>871</v>
      </c>
      <c r="B334" s="653" t="s">
        <v>36</v>
      </c>
      <c r="C334" s="653" t="s">
        <v>36</v>
      </c>
      <c r="D334" s="653" t="s">
        <v>39</v>
      </c>
      <c r="E334" s="653" t="s">
        <v>870</v>
      </c>
      <c r="F334" s="516" t="s">
        <v>541</v>
      </c>
      <c r="G334" s="210" t="s">
        <v>542</v>
      </c>
      <c r="H334" s="211">
        <v>3000</v>
      </c>
    </row>
    <row r="335" spans="1:9" ht="14.25">
      <c r="A335" s="652" t="s">
        <v>871</v>
      </c>
      <c r="B335" s="653" t="s">
        <v>36</v>
      </c>
      <c r="C335" s="653" t="s">
        <v>36</v>
      </c>
      <c r="D335" s="653" t="s">
        <v>39</v>
      </c>
      <c r="E335" s="653" t="s">
        <v>870</v>
      </c>
      <c r="F335" s="516">
        <v>54505</v>
      </c>
      <c r="G335" s="210" t="s">
        <v>846</v>
      </c>
      <c r="H335" s="211">
        <v>1100</v>
      </c>
    </row>
    <row r="336" spans="1:9" ht="28.5">
      <c r="A336" s="652" t="s">
        <v>871</v>
      </c>
      <c r="B336" s="653" t="s">
        <v>36</v>
      </c>
      <c r="C336" s="653" t="s">
        <v>36</v>
      </c>
      <c r="D336" s="653" t="s">
        <v>39</v>
      </c>
      <c r="E336" s="653" t="s">
        <v>870</v>
      </c>
      <c r="F336" s="516">
        <v>61403</v>
      </c>
      <c r="G336" s="210" t="s">
        <v>845</v>
      </c>
      <c r="H336" s="211">
        <v>14000</v>
      </c>
    </row>
    <row r="337" spans="1:13" ht="15" thickBot="1">
      <c r="A337" s="1827" t="s">
        <v>170</v>
      </c>
      <c r="B337" s="1828"/>
      <c r="C337" s="1828"/>
      <c r="D337" s="1828"/>
      <c r="E337" s="1828"/>
      <c r="F337" s="1829"/>
      <c r="G337" s="511"/>
      <c r="H337" s="512">
        <f>SUM(H331:H336)</f>
        <v>30000</v>
      </c>
    </row>
    <row r="338" spans="1:13" s="651" customFormat="1" ht="27.75" customHeight="1" thickBot="1">
      <c r="A338" s="1111"/>
      <c r="B338" s="1111"/>
      <c r="C338" s="1112"/>
      <c r="D338" s="1113"/>
      <c r="E338" s="1113"/>
      <c r="F338" s="1127"/>
      <c r="G338" s="1114"/>
      <c r="H338" s="1115"/>
    </row>
    <row r="339" spans="1:13" s="651" customFormat="1" ht="28.15" customHeight="1">
      <c r="A339" s="1734" t="s">
        <v>1018</v>
      </c>
      <c r="B339" s="1824"/>
      <c r="C339" s="1824"/>
      <c r="D339" s="1824"/>
      <c r="E339" s="1824"/>
      <c r="F339" s="1825"/>
      <c r="G339" s="1770" t="s">
        <v>1019</v>
      </c>
      <c r="H339" s="1771"/>
    </row>
    <row r="340" spans="1:13" s="651" customFormat="1" ht="36.6" customHeight="1">
      <c r="A340" s="1716" t="s">
        <v>1017</v>
      </c>
      <c r="B340" s="1717"/>
      <c r="C340" s="1717"/>
      <c r="D340" s="1717"/>
      <c r="E340" s="1717"/>
      <c r="F340" s="1718"/>
      <c r="G340" s="1716" t="s">
        <v>1021</v>
      </c>
      <c r="H340" s="1730"/>
    </row>
    <row r="341" spans="1:13" s="651" customFormat="1" ht="33" customHeight="1">
      <c r="A341" s="1716" t="s">
        <v>1110</v>
      </c>
      <c r="B341" s="1717"/>
      <c r="C341" s="1717"/>
      <c r="D341" s="1717"/>
      <c r="E341" s="1717"/>
      <c r="F341" s="1718"/>
      <c r="G341" s="1774" t="s">
        <v>545</v>
      </c>
      <c r="H341" s="1775"/>
    </row>
    <row r="342" spans="1:13" ht="13.5" thickBot="1">
      <c r="A342" s="1724" t="s">
        <v>1020</v>
      </c>
      <c r="B342" s="1725"/>
      <c r="C342" s="1725"/>
      <c r="D342" s="1725"/>
      <c r="E342" s="1725"/>
      <c r="F342" s="1726"/>
      <c r="G342" s="1727" t="s">
        <v>546</v>
      </c>
      <c r="H342" s="1733"/>
    </row>
    <row r="343" spans="1:13" ht="29.45" customHeight="1">
      <c r="A343" s="1116"/>
      <c r="B343" s="1116"/>
      <c r="C343" s="1116"/>
      <c r="D343" s="1116"/>
      <c r="E343" s="1116"/>
      <c r="F343" s="1175"/>
      <c r="G343" s="1119"/>
      <c r="H343" s="1117"/>
    </row>
    <row r="344" spans="1:13" ht="36.6" customHeight="1">
      <c r="A344" s="1712" t="s">
        <v>1123</v>
      </c>
      <c r="B344" s="1712"/>
      <c r="C344" s="1712"/>
      <c r="D344" s="1712"/>
      <c r="E344" s="1712"/>
      <c r="F344" s="1712"/>
      <c r="G344" s="1712"/>
      <c r="H344" s="1712"/>
    </row>
    <row r="345" spans="1:13" s="464" customFormat="1">
      <c r="A345" s="1170"/>
      <c r="B345" s="1171"/>
      <c r="C345" s="1172"/>
      <c r="D345" s="1173"/>
      <c r="E345" s="1173"/>
      <c r="F345" s="1141"/>
      <c r="G345" s="1140"/>
      <c r="H345" s="1174"/>
      <c r="M345" s="464" t="s">
        <v>641</v>
      </c>
    </row>
    <row r="346" spans="1:13" s="513" customFormat="1" ht="12.6" customHeight="1">
      <c r="A346" s="1142"/>
      <c r="B346" s="1143"/>
      <c r="C346" s="1144"/>
      <c r="D346" s="1145"/>
      <c r="E346" s="1145"/>
      <c r="F346" s="1120"/>
      <c r="G346" s="1089"/>
      <c r="H346" s="1146"/>
    </row>
    <row r="347" spans="1:13">
      <c r="A347" s="1111"/>
      <c r="B347" s="1122"/>
      <c r="C347" s="1123"/>
      <c r="D347" s="1124"/>
      <c r="E347" s="1124"/>
      <c r="F347" s="1125"/>
      <c r="G347" s="1114"/>
      <c r="H347" s="1115"/>
      <c r="I347" s="1915">
        <v>12</v>
      </c>
    </row>
    <row r="348" spans="1:13" ht="18">
      <c r="A348" s="1787" t="s">
        <v>556</v>
      </c>
      <c r="B348" s="1787"/>
      <c r="C348" s="1787"/>
      <c r="D348" s="1787"/>
      <c r="E348" s="1787"/>
      <c r="F348" s="1787"/>
      <c r="G348" s="1787"/>
      <c r="H348" s="1787"/>
      <c r="I348" s="1915"/>
    </row>
    <row r="349" spans="1:13" ht="18">
      <c r="A349" s="1787" t="s">
        <v>557</v>
      </c>
      <c r="B349" s="1787"/>
      <c r="C349" s="1787"/>
      <c r="D349" s="1787"/>
      <c r="E349" s="1787"/>
      <c r="F349" s="1787"/>
      <c r="G349" s="1787"/>
      <c r="H349" s="1787"/>
    </row>
    <row r="350" spans="1:13" ht="18">
      <c r="A350" s="1787" t="s">
        <v>180</v>
      </c>
      <c r="B350" s="1787"/>
      <c r="C350" s="1787"/>
      <c r="D350" s="1787"/>
      <c r="E350" s="1787"/>
      <c r="F350" s="1787"/>
      <c r="G350" s="1787"/>
      <c r="H350" s="1787"/>
    </row>
    <row r="351" spans="1:13" ht="18">
      <c r="A351" s="1787" t="s">
        <v>757</v>
      </c>
      <c r="B351" s="1787"/>
      <c r="C351" s="1787"/>
      <c r="D351" s="1787"/>
      <c r="E351" s="1787"/>
      <c r="F351" s="1787"/>
      <c r="G351" s="1787"/>
      <c r="H351" s="1787"/>
    </row>
    <row r="352" spans="1:13" ht="18">
      <c r="A352" s="1788" t="s">
        <v>924</v>
      </c>
      <c r="B352" s="1788"/>
      <c r="C352" s="1788"/>
      <c r="D352" s="1788"/>
      <c r="E352" s="1788"/>
      <c r="F352" s="1788"/>
      <c r="G352" s="1788"/>
      <c r="H352" s="1788"/>
    </row>
    <row r="353" spans="1:10" ht="30.75" customHeight="1">
      <c r="A353" s="1121"/>
      <c r="B353" s="1122"/>
      <c r="C353" s="1123"/>
      <c r="D353" s="1124"/>
      <c r="E353" s="1124"/>
      <c r="F353" s="1125"/>
      <c r="G353" s="1114"/>
      <c r="H353" s="1115"/>
    </row>
    <row r="354" spans="1:10" ht="18">
      <c r="A354" s="1826" t="s">
        <v>28</v>
      </c>
      <c r="B354" s="1826"/>
      <c r="C354" s="1826"/>
      <c r="D354" s="1826"/>
      <c r="E354" s="1826"/>
      <c r="F354" s="1826"/>
      <c r="G354" s="1826"/>
      <c r="H354" s="1826"/>
    </row>
    <row r="355" spans="1:10" ht="18">
      <c r="A355" s="1796" t="s">
        <v>1014</v>
      </c>
      <c r="B355" s="1797"/>
      <c r="C355" s="1797"/>
      <c r="D355" s="1797"/>
      <c r="E355" s="1797"/>
      <c r="F355" s="1797"/>
      <c r="G355" s="1797"/>
      <c r="H355" s="1797"/>
    </row>
    <row r="356" spans="1:10" ht="13.9" customHeight="1" thickBot="1">
      <c r="A356" s="1821" t="s">
        <v>11</v>
      </c>
      <c r="B356" s="1822"/>
      <c r="C356" s="1822"/>
      <c r="D356" s="1822"/>
      <c r="E356" s="1822"/>
      <c r="F356" s="1823"/>
      <c r="G356" s="1793" t="s">
        <v>518</v>
      </c>
      <c r="H356" s="1860" t="s">
        <v>517</v>
      </c>
    </row>
    <row r="357" spans="1:10" ht="48.75" thickBot="1">
      <c r="A357" s="1107" t="s">
        <v>937</v>
      </c>
      <c r="B357" s="1108" t="s">
        <v>185</v>
      </c>
      <c r="C357" s="1108" t="s">
        <v>938</v>
      </c>
      <c r="D357" s="1108" t="s">
        <v>24</v>
      </c>
      <c r="E357" s="1109" t="s">
        <v>946</v>
      </c>
      <c r="F357" s="1110" t="s">
        <v>22</v>
      </c>
      <c r="G357" s="1794"/>
      <c r="H357" s="1763"/>
      <c r="J357" s="221"/>
    </row>
    <row r="358" spans="1:10" ht="28.5">
      <c r="A358" s="652" t="s">
        <v>871</v>
      </c>
      <c r="B358" s="653" t="s">
        <v>36</v>
      </c>
      <c r="C358" s="653" t="s">
        <v>36</v>
      </c>
      <c r="D358" s="653" t="s">
        <v>39</v>
      </c>
      <c r="E358" s="653" t="s">
        <v>870</v>
      </c>
      <c r="F358" s="514">
        <v>54119</v>
      </c>
      <c r="G358" s="1034" t="s">
        <v>1016</v>
      </c>
      <c r="H358" s="10">
        <v>6000</v>
      </c>
    </row>
    <row r="359" spans="1:10" ht="32.25" customHeight="1">
      <c r="A359" s="652" t="s">
        <v>871</v>
      </c>
      <c r="B359" s="653" t="s">
        <v>36</v>
      </c>
      <c r="C359" s="653" t="s">
        <v>36</v>
      </c>
      <c r="D359" s="653" t="s">
        <v>39</v>
      </c>
      <c r="E359" s="653" t="s">
        <v>870</v>
      </c>
      <c r="F359" s="514">
        <v>54205</v>
      </c>
      <c r="G359" s="225" t="s">
        <v>789</v>
      </c>
      <c r="H359" s="10">
        <v>70000</v>
      </c>
    </row>
    <row r="360" spans="1:10" ht="31.9" customHeight="1">
      <c r="A360" s="652" t="s">
        <v>871</v>
      </c>
      <c r="B360" s="653" t="s">
        <v>36</v>
      </c>
      <c r="C360" s="653" t="s">
        <v>36</v>
      </c>
      <c r="D360" s="653" t="s">
        <v>39</v>
      </c>
      <c r="E360" s="653" t="s">
        <v>870</v>
      </c>
      <c r="F360" s="514">
        <v>54303</v>
      </c>
      <c r="G360" s="1033" t="s">
        <v>643</v>
      </c>
      <c r="H360" s="10">
        <v>2000</v>
      </c>
    </row>
    <row r="361" spans="1:10" s="651" customFormat="1" ht="30" customHeight="1" thickBot="1">
      <c r="A361" s="1818" t="s">
        <v>170</v>
      </c>
      <c r="B361" s="1819"/>
      <c r="C361" s="1819"/>
      <c r="D361" s="1819"/>
      <c r="E361" s="1819"/>
      <c r="F361" s="1820"/>
      <c r="G361" s="1093"/>
      <c r="H361" s="1094">
        <f>SUM(H358:H360)</f>
        <v>78000</v>
      </c>
      <c r="J361" s="1095"/>
    </row>
    <row r="362" spans="1:10" ht="18.75" customHeight="1" thickBot="1">
      <c r="A362" s="1111"/>
      <c r="B362" s="1111"/>
      <c r="C362" s="1112"/>
      <c r="D362" s="1113"/>
      <c r="E362" s="1113"/>
      <c r="F362" s="1127"/>
      <c r="G362" s="1114"/>
      <c r="H362" s="1115"/>
    </row>
    <row r="363" spans="1:10" ht="32.450000000000003" customHeight="1">
      <c r="A363" s="1734" t="s">
        <v>544</v>
      </c>
      <c r="B363" s="1824"/>
      <c r="C363" s="1824"/>
      <c r="D363" s="1824"/>
      <c r="E363" s="1824"/>
      <c r="F363" s="1825"/>
      <c r="G363" s="1770" t="s">
        <v>1019</v>
      </c>
      <c r="H363" s="1771"/>
    </row>
    <row r="364" spans="1:10" s="651" customFormat="1" ht="27" customHeight="1">
      <c r="A364" s="1716" t="s">
        <v>1015</v>
      </c>
      <c r="B364" s="1717"/>
      <c r="C364" s="1717"/>
      <c r="D364" s="1717"/>
      <c r="E364" s="1717"/>
      <c r="F364" s="1718"/>
      <c r="G364" s="1716" t="s">
        <v>1021</v>
      </c>
      <c r="H364" s="1730"/>
    </row>
    <row r="365" spans="1:10" s="651" customFormat="1" ht="35.450000000000003" customHeight="1">
      <c r="A365" s="1716" t="s">
        <v>1090</v>
      </c>
      <c r="B365" s="1717"/>
      <c r="C365" s="1717"/>
      <c r="D365" s="1717"/>
      <c r="E365" s="1717"/>
      <c r="F365" s="1718"/>
      <c r="G365" s="1731" t="s">
        <v>545</v>
      </c>
      <c r="H365" s="1730"/>
    </row>
    <row r="366" spans="1:10" s="651" customFormat="1" ht="30" customHeight="1" thickBot="1">
      <c r="A366" s="1724" t="s">
        <v>1065</v>
      </c>
      <c r="B366" s="1725"/>
      <c r="C366" s="1725"/>
      <c r="D366" s="1725"/>
      <c r="E366" s="1725"/>
      <c r="F366" s="1726"/>
      <c r="G366" s="1727" t="s">
        <v>546</v>
      </c>
      <c r="H366" s="1733"/>
    </row>
    <row r="367" spans="1:10" s="651" customFormat="1" ht="34.5" customHeight="1">
      <c r="A367" s="1857"/>
      <c r="B367" s="1857"/>
      <c r="C367" s="1857"/>
      <c r="D367" s="1857"/>
      <c r="E367" s="1857"/>
      <c r="F367" s="1857"/>
      <c r="G367" s="1858"/>
      <c r="H367" s="1859"/>
    </row>
    <row r="368" spans="1:10" ht="36.6" customHeight="1">
      <c r="A368" s="1712" t="s">
        <v>1123</v>
      </c>
      <c r="B368" s="1712"/>
      <c r="C368" s="1712"/>
      <c r="D368" s="1712"/>
      <c r="E368" s="1712"/>
      <c r="F368" s="1712"/>
      <c r="G368" s="1712"/>
      <c r="H368" s="1712"/>
    </row>
    <row r="369" spans="1:9" s="520" customFormat="1" ht="38.25" customHeight="1">
      <c r="A369" s="1176"/>
      <c r="B369" s="1176"/>
      <c r="C369" s="1176"/>
      <c r="D369" s="1176"/>
      <c r="E369" s="1176"/>
      <c r="F369" s="1177"/>
      <c r="G369" s="1176"/>
      <c r="H369" s="1176"/>
    </row>
    <row r="370" spans="1:9" s="513" customFormat="1" ht="18">
      <c r="A370" s="1178"/>
      <c r="B370" s="1178"/>
      <c r="C370" s="1178"/>
      <c r="D370" s="1178"/>
      <c r="E370" s="1178"/>
      <c r="F370" s="1179"/>
      <c r="G370" s="1178"/>
      <c r="H370" s="1178"/>
    </row>
    <row r="371" spans="1:9" s="464" customFormat="1" ht="18">
      <c r="A371" s="1180"/>
      <c r="B371" s="1180"/>
      <c r="C371" s="1180"/>
      <c r="D371" s="1180"/>
      <c r="E371" s="1180"/>
      <c r="F371" s="1181"/>
      <c r="G371" s="1180"/>
      <c r="H371" s="1180"/>
    </row>
    <row r="372" spans="1:9" ht="18">
      <c r="A372" s="1787" t="s">
        <v>84</v>
      </c>
      <c r="B372" s="1787"/>
      <c r="C372" s="1787"/>
      <c r="D372" s="1787"/>
      <c r="E372" s="1787"/>
      <c r="F372" s="1787"/>
      <c r="G372" s="1787"/>
      <c r="H372" s="1787"/>
      <c r="I372" s="1915">
        <v>13</v>
      </c>
    </row>
    <row r="373" spans="1:9" ht="18">
      <c r="A373" s="1788" t="s">
        <v>180</v>
      </c>
      <c r="B373" s="1788"/>
      <c r="C373" s="1788"/>
      <c r="D373" s="1788"/>
      <c r="E373" s="1788"/>
      <c r="F373" s="1788"/>
      <c r="G373" s="1788"/>
      <c r="H373" s="1788"/>
      <c r="I373" s="1915"/>
    </row>
    <row r="374" spans="1:9" ht="18">
      <c r="A374" s="1788" t="s">
        <v>757</v>
      </c>
      <c r="B374" s="1788"/>
      <c r="C374" s="1788"/>
      <c r="D374" s="1788"/>
      <c r="E374" s="1788"/>
      <c r="F374" s="1788"/>
      <c r="G374" s="1788"/>
      <c r="H374" s="1788"/>
    </row>
    <row r="375" spans="1:9" ht="18">
      <c r="A375" s="1788" t="s">
        <v>924</v>
      </c>
      <c r="B375" s="1788"/>
      <c r="C375" s="1788"/>
      <c r="D375" s="1788"/>
      <c r="E375" s="1788"/>
      <c r="F375" s="1788"/>
      <c r="G375" s="1788"/>
      <c r="H375" s="1788"/>
    </row>
    <row r="376" spans="1:9">
      <c r="A376" s="1121"/>
      <c r="B376" s="1122"/>
      <c r="C376" s="1123"/>
      <c r="D376" s="1124"/>
      <c r="E376" s="1124"/>
      <c r="F376" s="1125"/>
      <c r="G376" s="1114"/>
      <c r="H376" s="1115"/>
    </row>
    <row r="377" spans="1:9" ht="18">
      <c r="A377" s="1826" t="s">
        <v>1023</v>
      </c>
      <c r="B377" s="1826"/>
      <c r="C377" s="1826"/>
      <c r="D377" s="1826"/>
      <c r="E377" s="1826"/>
      <c r="F377" s="1826"/>
      <c r="G377" s="1826"/>
      <c r="H377" s="1826"/>
    </row>
    <row r="378" spans="1:9" ht="18">
      <c r="A378" s="1796" t="s">
        <v>835</v>
      </c>
      <c r="B378" s="1797"/>
      <c r="C378" s="1797"/>
      <c r="D378" s="1797"/>
      <c r="E378" s="1797"/>
      <c r="F378" s="1797"/>
      <c r="G378" s="1797"/>
      <c r="H378" s="1797"/>
    </row>
    <row r="379" spans="1:9" ht="13.5" thickBot="1">
      <c r="A379" s="1821" t="s">
        <v>11</v>
      </c>
      <c r="B379" s="1822"/>
      <c r="C379" s="1822"/>
      <c r="D379" s="1822"/>
      <c r="E379" s="1822"/>
      <c r="F379" s="1823"/>
      <c r="G379" s="1793" t="s">
        <v>518</v>
      </c>
      <c r="H379" s="1795" t="s">
        <v>517</v>
      </c>
    </row>
    <row r="380" spans="1:9" ht="55.15" customHeight="1" thickBot="1">
      <c r="A380" s="1107" t="s">
        <v>937</v>
      </c>
      <c r="B380" s="1182" t="s">
        <v>185</v>
      </c>
      <c r="C380" s="1108" t="s">
        <v>938</v>
      </c>
      <c r="D380" s="1182" t="s">
        <v>24</v>
      </c>
      <c r="E380" s="1183" t="s">
        <v>946</v>
      </c>
      <c r="F380" s="1110" t="s">
        <v>22</v>
      </c>
      <c r="G380" s="1794"/>
      <c r="H380" s="1763"/>
    </row>
    <row r="381" spans="1:9" ht="21.6" customHeight="1">
      <c r="A381" s="652" t="s">
        <v>871</v>
      </c>
      <c r="B381" s="653" t="s">
        <v>36</v>
      </c>
      <c r="C381" s="653" t="s">
        <v>36</v>
      </c>
      <c r="D381" s="653" t="s">
        <v>39</v>
      </c>
      <c r="E381" s="653" t="s">
        <v>870</v>
      </c>
      <c r="F381" s="668" t="s">
        <v>179</v>
      </c>
      <c r="G381" s="1096" t="s">
        <v>178</v>
      </c>
      <c r="H381" s="1097">
        <v>3500</v>
      </c>
    </row>
    <row r="382" spans="1:9" ht="22.15" customHeight="1">
      <c r="A382" s="652" t="s">
        <v>871</v>
      </c>
      <c r="B382" s="653" t="s">
        <v>36</v>
      </c>
      <c r="C382" s="653" t="s">
        <v>36</v>
      </c>
      <c r="D382" s="653" t="s">
        <v>39</v>
      </c>
      <c r="E382" s="653" t="s">
        <v>870</v>
      </c>
      <c r="F382" s="671" t="s">
        <v>413</v>
      </c>
      <c r="G382" s="1098" t="s">
        <v>837</v>
      </c>
      <c r="H382" s="1097">
        <v>50</v>
      </c>
      <c r="I382" s="351" t="s">
        <v>644</v>
      </c>
    </row>
    <row r="383" spans="1:9" ht="33.6" customHeight="1">
      <c r="A383" s="652" t="s">
        <v>871</v>
      </c>
      <c r="B383" s="653" t="s">
        <v>36</v>
      </c>
      <c r="C383" s="653" t="s">
        <v>36</v>
      </c>
      <c r="D383" s="653" t="s">
        <v>39</v>
      </c>
      <c r="E383" s="653" t="s">
        <v>870</v>
      </c>
      <c r="F383" s="3">
        <v>54111</v>
      </c>
      <c r="G383" s="1100" t="s">
        <v>1099</v>
      </c>
      <c r="H383" s="1081">
        <v>50</v>
      </c>
    </row>
    <row r="384" spans="1:9" ht="34.9" customHeight="1">
      <c r="A384" s="652" t="s">
        <v>871</v>
      </c>
      <c r="B384" s="653" t="s">
        <v>36</v>
      </c>
      <c r="C384" s="653" t="s">
        <v>36</v>
      </c>
      <c r="D384" s="653" t="s">
        <v>39</v>
      </c>
      <c r="E384" s="653" t="s">
        <v>870</v>
      </c>
      <c r="F384" s="3">
        <v>54112</v>
      </c>
      <c r="G384" s="1100" t="s">
        <v>1100</v>
      </c>
      <c r="H384" s="1081">
        <v>50</v>
      </c>
    </row>
    <row r="385" spans="1:9" ht="25.15" customHeight="1">
      <c r="A385" s="652" t="s">
        <v>871</v>
      </c>
      <c r="B385" s="653" t="s">
        <v>36</v>
      </c>
      <c r="C385" s="653" t="s">
        <v>36</v>
      </c>
      <c r="D385" s="653" t="s">
        <v>39</v>
      </c>
      <c r="E385" s="653" t="s">
        <v>870</v>
      </c>
      <c r="F385" s="3">
        <v>54118</v>
      </c>
      <c r="G385" s="1099" t="s">
        <v>959</v>
      </c>
      <c r="H385" s="1081">
        <v>50</v>
      </c>
    </row>
    <row r="386" spans="1:9" ht="21.6" customHeight="1">
      <c r="A386" s="652" t="s">
        <v>871</v>
      </c>
      <c r="B386" s="653" t="s">
        <v>36</v>
      </c>
      <c r="C386" s="653" t="s">
        <v>36</v>
      </c>
      <c r="D386" s="653" t="s">
        <v>39</v>
      </c>
      <c r="E386" s="653" t="s">
        <v>870</v>
      </c>
      <c r="F386" s="3">
        <v>54119</v>
      </c>
      <c r="G386" s="1099" t="s">
        <v>839</v>
      </c>
      <c r="H386" s="1081">
        <v>50</v>
      </c>
    </row>
    <row r="387" spans="1:9" ht="20.45" customHeight="1">
      <c r="A387" s="652" t="s">
        <v>871</v>
      </c>
      <c r="B387" s="653" t="s">
        <v>36</v>
      </c>
      <c r="C387" s="653" t="s">
        <v>36</v>
      </c>
      <c r="D387" s="653" t="s">
        <v>39</v>
      </c>
      <c r="E387" s="653" t="s">
        <v>870</v>
      </c>
      <c r="F387" s="3">
        <v>54199</v>
      </c>
      <c r="G387" s="1099" t="s">
        <v>520</v>
      </c>
      <c r="H387" s="1081">
        <v>10</v>
      </c>
    </row>
    <row r="388" spans="1:9" s="651" customFormat="1" ht="27" customHeight="1">
      <c r="A388" s="652" t="s">
        <v>871</v>
      </c>
      <c r="B388" s="653" t="s">
        <v>36</v>
      </c>
      <c r="C388" s="653" t="s">
        <v>36</v>
      </c>
      <c r="D388" s="653" t="s">
        <v>39</v>
      </c>
      <c r="E388" s="653" t="s">
        <v>870</v>
      </c>
      <c r="F388" s="3">
        <v>54201</v>
      </c>
      <c r="G388" s="1099" t="s">
        <v>960</v>
      </c>
      <c r="H388" s="1081">
        <v>70</v>
      </c>
    </row>
    <row r="389" spans="1:9" s="651" customFormat="1" ht="18" customHeight="1">
      <c r="A389" s="652" t="s">
        <v>871</v>
      </c>
      <c r="B389" s="653" t="s">
        <v>36</v>
      </c>
      <c r="C389" s="653" t="s">
        <v>36</v>
      </c>
      <c r="D389" s="653" t="s">
        <v>39</v>
      </c>
      <c r="E389" s="653" t="s">
        <v>870</v>
      </c>
      <c r="F389" s="3">
        <v>54202</v>
      </c>
      <c r="G389" s="1099" t="s">
        <v>836</v>
      </c>
      <c r="H389" s="1081">
        <v>2170</v>
      </c>
    </row>
    <row r="390" spans="1:9" s="651" customFormat="1" ht="30" customHeight="1" thickBot="1">
      <c r="A390" s="1818" t="s">
        <v>170</v>
      </c>
      <c r="B390" s="1819"/>
      <c r="C390" s="1819"/>
      <c r="D390" s="1819"/>
      <c r="E390" s="1819"/>
      <c r="F390" s="1820"/>
      <c r="G390" s="1093"/>
      <c r="H390" s="1101">
        <f>SUM(H381:H389)</f>
        <v>6000</v>
      </c>
    </row>
    <row r="391" spans="1:9" s="651" customFormat="1" ht="28.15" customHeight="1" thickBot="1">
      <c r="A391" s="1111"/>
      <c r="B391" s="1111"/>
      <c r="C391" s="1112"/>
      <c r="D391" s="1113"/>
      <c r="E391" s="1113"/>
      <c r="F391" s="1127"/>
      <c r="G391" s="1114"/>
      <c r="H391" s="1115"/>
    </row>
    <row r="392" spans="1:9" ht="30" customHeight="1">
      <c r="A392" s="1734" t="s">
        <v>1018</v>
      </c>
      <c r="B392" s="1824"/>
      <c r="C392" s="1824"/>
      <c r="D392" s="1824"/>
      <c r="E392" s="1824"/>
      <c r="F392" s="1825"/>
      <c r="G392" s="1736" t="s">
        <v>1019</v>
      </c>
      <c r="H392" s="1737"/>
    </row>
    <row r="393" spans="1:9" ht="30" customHeight="1">
      <c r="A393" s="1716" t="s">
        <v>547</v>
      </c>
      <c r="B393" s="1717"/>
      <c r="C393" s="1717"/>
      <c r="D393" s="1717"/>
      <c r="E393" s="1717"/>
      <c r="F393" s="1718"/>
      <c r="G393" s="1716" t="s">
        <v>1021</v>
      </c>
      <c r="H393" s="1730"/>
    </row>
    <row r="394" spans="1:9" ht="46.9" customHeight="1">
      <c r="A394" s="1716" t="s">
        <v>1111</v>
      </c>
      <c r="B394" s="1717"/>
      <c r="C394" s="1717"/>
      <c r="D394" s="1717"/>
      <c r="E394" s="1717"/>
      <c r="F394" s="1718"/>
      <c r="G394" s="1716" t="s">
        <v>545</v>
      </c>
      <c r="H394" s="1730"/>
    </row>
    <row r="395" spans="1:9" s="464" customFormat="1" ht="27" customHeight="1" thickBot="1">
      <c r="A395" s="1746" t="s">
        <v>838</v>
      </c>
      <c r="B395" s="1864"/>
      <c r="C395" s="1864"/>
      <c r="D395" s="1864"/>
      <c r="E395" s="1864"/>
      <c r="F395" s="1865"/>
      <c r="G395" s="1749" t="s">
        <v>546</v>
      </c>
      <c r="H395" s="1748"/>
    </row>
    <row r="396" spans="1:9" ht="17.25" customHeight="1">
      <c r="A396" s="1111"/>
      <c r="B396" s="1122"/>
      <c r="C396" s="1123"/>
      <c r="D396" s="1124"/>
      <c r="E396" s="1124"/>
      <c r="F396" s="1125"/>
      <c r="G396" s="1114"/>
      <c r="H396" s="1115"/>
    </row>
    <row r="397" spans="1:9" ht="36.6" customHeight="1">
      <c r="A397" s="1712" t="s">
        <v>1123</v>
      </c>
      <c r="B397" s="1712"/>
      <c r="C397" s="1712"/>
      <c r="D397" s="1712"/>
      <c r="E397" s="1712"/>
      <c r="F397" s="1712"/>
      <c r="G397" s="1712"/>
      <c r="H397" s="1712"/>
    </row>
    <row r="398" spans="1:9">
      <c r="A398" s="1184"/>
      <c r="B398" s="1184"/>
      <c r="C398" s="1184"/>
      <c r="D398" s="1184"/>
      <c r="E398" s="1184"/>
      <c r="F398" s="1127"/>
      <c r="G398" s="1184"/>
      <c r="H398" s="1169"/>
    </row>
    <row r="399" spans="1:9" s="513" customFormat="1">
      <c r="A399" s="1185"/>
      <c r="B399" s="1185"/>
      <c r="C399" s="1185"/>
      <c r="D399" s="1185"/>
      <c r="E399" s="1185"/>
      <c r="F399" s="1186"/>
      <c r="G399" s="1185"/>
      <c r="H399" s="1187"/>
    </row>
    <row r="400" spans="1:9">
      <c r="A400" s="1184"/>
      <c r="B400" s="1184"/>
      <c r="C400" s="1184"/>
      <c r="D400" s="1184"/>
      <c r="E400" s="1184"/>
      <c r="F400" s="1127"/>
      <c r="G400" s="1184"/>
      <c r="H400" s="1169"/>
      <c r="I400" s="1915">
        <v>14</v>
      </c>
    </row>
    <row r="401" spans="1:9" ht="18">
      <c r="A401" s="1787" t="s">
        <v>84</v>
      </c>
      <c r="B401" s="1787"/>
      <c r="C401" s="1787"/>
      <c r="D401" s="1787"/>
      <c r="E401" s="1787"/>
      <c r="F401" s="1787"/>
      <c r="G401" s="1787"/>
      <c r="H401" s="1787"/>
      <c r="I401" s="1915"/>
    </row>
    <row r="402" spans="1:9" ht="18">
      <c r="A402" s="1788" t="s">
        <v>180</v>
      </c>
      <c r="B402" s="1788"/>
      <c r="C402" s="1788"/>
      <c r="D402" s="1788"/>
      <c r="E402" s="1788"/>
      <c r="F402" s="1788"/>
      <c r="G402" s="1788"/>
      <c r="H402" s="1788"/>
    </row>
    <row r="403" spans="1:9" ht="22.15" customHeight="1">
      <c r="A403" s="1788" t="s">
        <v>757</v>
      </c>
      <c r="B403" s="1788"/>
      <c r="C403" s="1788"/>
      <c r="D403" s="1788"/>
      <c r="E403" s="1788"/>
      <c r="F403" s="1788"/>
      <c r="G403" s="1788"/>
      <c r="H403" s="1788"/>
    </row>
    <row r="404" spans="1:9" ht="18">
      <c r="A404" s="1788" t="s">
        <v>924</v>
      </c>
      <c r="B404" s="1788"/>
      <c r="C404" s="1788"/>
      <c r="D404" s="1788"/>
      <c r="E404" s="1788"/>
      <c r="F404" s="1788"/>
      <c r="G404" s="1788"/>
      <c r="H404" s="1788"/>
    </row>
    <row r="405" spans="1:9" ht="23.45" customHeight="1">
      <c r="A405" s="1121"/>
      <c r="B405" s="1122"/>
      <c r="C405" s="1123"/>
      <c r="D405" s="1124"/>
      <c r="E405" s="1124"/>
      <c r="F405" s="1125"/>
      <c r="G405" s="1114"/>
      <c r="H405" s="1115"/>
      <c r="I405" s="350" t="s">
        <v>642</v>
      </c>
    </row>
    <row r="406" spans="1:9" ht="18">
      <c r="A406" s="1826" t="s">
        <v>28</v>
      </c>
      <c r="B406" s="1826"/>
      <c r="C406" s="1826"/>
      <c r="D406" s="1826"/>
      <c r="E406" s="1826"/>
      <c r="F406" s="1826"/>
      <c r="G406" s="1826"/>
      <c r="H406" s="1826"/>
    </row>
    <row r="407" spans="1:9" ht="40.15" customHeight="1">
      <c r="A407" s="1796" t="s">
        <v>1069</v>
      </c>
      <c r="B407" s="1797"/>
      <c r="C407" s="1797"/>
      <c r="D407" s="1797"/>
      <c r="E407" s="1797"/>
      <c r="F407" s="1797"/>
      <c r="G407" s="1797"/>
      <c r="H407" s="1797"/>
    </row>
    <row r="408" spans="1:9" ht="13.5" thickBot="1">
      <c r="A408" s="1861" t="s">
        <v>11</v>
      </c>
      <c r="B408" s="1862"/>
      <c r="C408" s="1862"/>
      <c r="D408" s="1862"/>
      <c r="E408" s="1862"/>
      <c r="F408" s="1863"/>
      <c r="G408" s="1793" t="s">
        <v>518</v>
      </c>
      <c r="H408" s="1795" t="s">
        <v>517</v>
      </c>
    </row>
    <row r="409" spans="1:9" ht="48.75" thickBot="1">
      <c r="A409" s="1107" t="s">
        <v>937</v>
      </c>
      <c r="B409" s="1108" t="s">
        <v>185</v>
      </c>
      <c r="C409" s="1108" t="s">
        <v>938</v>
      </c>
      <c r="D409" s="1108" t="s">
        <v>24</v>
      </c>
      <c r="E409" s="1109" t="s">
        <v>946</v>
      </c>
      <c r="F409" s="1110" t="s">
        <v>22</v>
      </c>
      <c r="G409" s="1794"/>
      <c r="H409" s="1763"/>
    </row>
    <row r="410" spans="1:9" ht="15">
      <c r="A410" s="652" t="s">
        <v>871</v>
      </c>
      <c r="B410" s="653" t="s">
        <v>36</v>
      </c>
      <c r="C410" s="653" t="s">
        <v>36</v>
      </c>
      <c r="D410" s="653" t="s">
        <v>39</v>
      </c>
      <c r="E410" s="653" t="s">
        <v>870</v>
      </c>
      <c r="F410" s="668" t="s">
        <v>179</v>
      </c>
      <c r="G410" s="13" t="s">
        <v>178</v>
      </c>
      <c r="H410" s="10">
        <v>6000</v>
      </c>
    </row>
    <row r="411" spans="1:9" ht="15">
      <c r="A411" s="652" t="s">
        <v>871</v>
      </c>
      <c r="B411" s="653" t="s">
        <v>36</v>
      </c>
      <c r="C411" s="653" t="s">
        <v>36</v>
      </c>
      <c r="D411" s="653" t="s">
        <v>39</v>
      </c>
      <c r="E411" s="653" t="s">
        <v>870</v>
      </c>
      <c r="F411" s="671" t="s">
        <v>413</v>
      </c>
      <c r="G411" s="207" t="s">
        <v>837</v>
      </c>
      <c r="H411" s="10">
        <v>200</v>
      </c>
    </row>
    <row r="412" spans="1:9" ht="15">
      <c r="A412" s="652" t="s">
        <v>871</v>
      </c>
      <c r="B412" s="653" t="s">
        <v>36</v>
      </c>
      <c r="C412" s="653" t="s">
        <v>36</v>
      </c>
      <c r="D412" s="653" t="s">
        <v>39</v>
      </c>
      <c r="E412" s="653" t="s">
        <v>870</v>
      </c>
      <c r="F412" s="3">
        <v>54111</v>
      </c>
      <c r="G412" s="8" t="s">
        <v>1070</v>
      </c>
      <c r="H412" s="11">
        <v>1400</v>
      </c>
    </row>
    <row r="413" spans="1:9" ht="15">
      <c r="A413" s="652" t="s">
        <v>871</v>
      </c>
      <c r="B413" s="653" t="s">
        <v>36</v>
      </c>
      <c r="C413" s="653" t="s">
        <v>36</v>
      </c>
      <c r="D413" s="653" t="s">
        <v>39</v>
      </c>
      <c r="E413" s="653" t="s">
        <v>870</v>
      </c>
      <c r="F413" s="3">
        <v>54112</v>
      </c>
      <c r="G413" s="8" t="s">
        <v>1064</v>
      </c>
      <c r="H413" s="11">
        <v>900</v>
      </c>
    </row>
    <row r="414" spans="1:9" ht="15">
      <c r="A414" s="652" t="s">
        <v>871</v>
      </c>
      <c r="B414" s="653" t="s">
        <v>36</v>
      </c>
      <c r="C414" s="653" t="s">
        <v>36</v>
      </c>
      <c r="D414" s="653" t="s">
        <v>39</v>
      </c>
      <c r="E414" s="653" t="s">
        <v>870</v>
      </c>
      <c r="F414" s="3">
        <v>54118</v>
      </c>
      <c r="G414" s="8" t="s">
        <v>959</v>
      </c>
      <c r="H414" s="11">
        <v>500</v>
      </c>
    </row>
    <row r="415" spans="1:9" ht="15">
      <c r="A415" s="652" t="s">
        <v>871</v>
      </c>
      <c r="B415" s="653" t="s">
        <v>36</v>
      </c>
      <c r="C415" s="653" t="s">
        <v>36</v>
      </c>
      <c r="D415" s="653" t="s">
        <v>39</v>
      </c>
      <c r="E415" s="653" t="s">
        <v>870</v>
      </c>
      <c r="F415" s="3">
        <v>54119</v>
      </c>
      <c r="G415" s="8" t="s">
        <v>839</v>
      </c>
      <c r="H415" s="11">
        <v>200</v>
      </c>
    </row>
    <row r="416" spans="1:9" ht="15">
      <c r="A416" s="652" t="s">
        <v>871</v>
      </c>
      <c r="B416" s="653" t="s">
        <v>36</v>
      </c>
      <c r="C416" s="653" t="s">
        <v>36</v>
      </c>
      <c r="D416" s="653" t="s">
        <v>39</v>
      </c>
      <c r="E416" s="653" t="s">
        <v>870</v>
      </c>
      <c r="F416" s="3">
        <v>54199</v>
      </c>
      <c r="G416" s="8" t="s">
        <v>520</v>
      </c>
      <c r="H416" s="11">
        <v>300</v>
      </c>
    </row>
    <row r="417" spans="1:9" ht="30" customHeight="1">
      <c r="A417" s="652" t="s">
        <v>871</v>
      </c>
      <c r="B417" s="653" t="s">
        <v>36</v>
      </c>
      <c r="C417" s="653" t="s">
        <v>36</v>
      </c>
      <c r="D417" s="653" t="s">
        <v>39</v>
      </c>
      <c r="E417" s="653" t="s">
        <v>870</v>
      </c>
      <c r="F417" s="671" t="s">
        <v>541</v>
      </c>
      <c r="G417" s="207" t="s">
        <v>530</v>
      </c>
      <c r="H417" s="10">
        <v>500</v>
      </c>
    </row>
    <row r="418" spans="1:9" ht="18" customHeight="1" thickBot="1">
      <c r="A418" s="1827" t="s">
        <v>170</v>
      </c>
      <c r="B418" s="1828"/>
      <c r="C418" s="1828"/>
      <c r="D418" s="1828"/>
      <c r="E418" s="1828"/>
      <c r="F418" s="1829"/>
      <c r="G418" s="511"/>
      <c r="H418" s="512">
        <f>SUM(H410:H417)</f>
        <v>10000</v>
      </c>
    </row>
    <row r="419" spans="1:9" ht="31.15" customHeight="1" thickBot="1">
      <c r="A419" s="1111"/>
      <c r="B419" s="1111"/>
      <c r="C419" s="1112"/>
      <c r="D419" s="1113"/>
      <c r="E419" s="1113"/>
      <c r="F419" s="1127"/>
      <c r="G419" s="1114"/>
      <c r="H419" s="1115"/>
    </row>
    <row r="420" spans="1:9" ht="33" customHeight="1">
      <c r="A420" s="1734" t="s">
        <v>1018</v>
      </c>
      <c r="B420" s="1824"/>
      <c r="C420" s="1824"/>
      <c r="D420" s="1824"/>
      <c r="E420" s="1824"/>
      <c r="F420" s="1825"/>
      <c r="G420" s="1770" t="s">
        <v>1019</v>
      </c>
      <c r="H420" s="1771"/>
    </row>
    <row r="421" spans="1:9" ht="33.6" customHeight="1">
      <c r="A421" s="1716" t="s">
        <v>1059</v>
      </c>
      <c r="B421" s="1717"/>
      <c r="C421" s="1717"/>
      <c r="D421" s="1717"/>
      <c r="E421" s="1717"/>
      <c r="F421" s="1718"/>
      <c r="G421" s="1716" t="s">
        <v>1021</v>
      </c>
      <c r="H421" s="1730"/>
    </row>
    <row r="422" spans="1:9" ht="42" customHeight="1">
      <c r="A422" s="1716" t="s">
        <v>1112</v>
      </c>
      <c r="B422" s="1717"/>
      <c r="C422" s="1717"/>
      <c r="D422" s="1717"/>
      <c r="E422" s="1717"/>
      <c r="F422" s="1718"/>
      <c r="G422" s="1731" t="s">
        <v>545</v>
      </c>
      <c r="H422" s="1730"/>
    </row>
    <row r="423" spans="1:9" ht="29.45" customHeight="1" thickBot="1">
      <c r="A423" s="1724" t="s">
        <v>1063</v>
      </c>
      <c r="B423" s="1725"/>
      <c r="C423" s="1725"/>
      <c r="D423" s="1725"/>
      <c r="E423" s="1725"/>
      <c r="F423" s="1726"/>
      <c r="G423" s="1727" t="s">
        <v>546</v>
      </c>
      <c r="H423" s="1733"/>
    </row>
    <row r="424" spans="1:9" s="464" customFormat="1">
      <c r="A424" s="1170"/>
      <c r="B424" s="1171"/>
      <c r="C424" s="1172"/>
      <c r="D424" s="1173"/>
      <c r="E424" s="1173"/>
      <c r="F424" s="1141"/>
      <c r="G424" s="1140"/>
      <c r="H424" s="1174"/>
    </row>
    <row r="425" spans="1:9" ht="36.6" customHeight="1">
      <c r="A425" s="1712" t="s">
        <v>1123</v>
      </c>
      <c r="B425" s="1712"/>
      <c r="C425" s="1712"/>
      <c r="D425" s="1712"/>
      <c r="E425" s="1712"/>
      <c r="F425" s="1712"/>
      <c r="G425" s="1712"/>
      <c r="H425" s="1712"/>
    </row>
    <row r="426" spans="1:9">
      <c r="A426" s="1184"/>
      <c r="B426" s="1184"/>
      <c r="C426" s="1184"/>
      <c r="D426" s="1184"/>
      <c r="E426" s="1184"/>
      <c r="F426" s="1127"/>
      <c r="G426" s="1184"/>
      <c r="H426" s="1169"/>
    </row>
    <row r="427" spans="1:9">
      <c r="A427" s="1185"/>
      <c r="B427" s="1185"/>
      <c r="C427" s="1185"/>
      <c r="D427" s="1185"/>
      <c r="E427" s="1185"/>
      <c r="F427" s="1186"/>
      <c r="G427" s="1185"/>
      <c r="H427" s="1187"/>
      <c r="I427" s="1915">
        <v>15</v>
      </c>
    </row>
    <row r="428" spans="1:9" ht="18">
      <c r="A428" s="1787" t="s">
        <v>84</v>
      </c>
      <c r="B428" s="1787"/>
      <c r="C428" s="1787"/>
      <c r="D428" s="1787"/>
      <c r="E428" s="1787"/>
      <c r="F428" s="1787"/>
      <c r="G428" s="1787"/>
      <c r="H428" s="1787"/>
      <c r="I428" s="1915"/>
    </row>
    <row r="429" spans="1:9" ht="18">
      <c r="A429" s="1787" t="s">
        <v>83</v>
      </c>
      <c r="B429" s="1787"/>
      <c r="C429" s="1787"/>
      <c r="D429" s="1787"/>
      <c r="E429" s="1787"/>
      <c r="F429" s="1787"/>
      <c r="G429" s="1787"/>
      <c r="H429" s="1787"/>
    </row>
    <row r="430" spans="1:9" ht="18">
      <c r="A430" s="1788" t="s">
        <v>180</v>
      </c>
      <c r="B430" s="1788"/>
      <c r="C430" s="1788"/>
      <c r="D430" s="1788"/>
      <c r="E430" s="1788"/>
      <c r="F430" s="1788"/>
      <c r="G430" s="1788"/>
      <c r="H430" s="1788"/>
    </row>
    <row r="431" spans="1:9" ht="18">
      <c r="A431" s="1788" t="s">
        <v>757</v>
      </c>
      <c r="B431" s="1788"/>
      <c r="C431" s="1788"/>
      <c r="D431" s="1788"/>
      <c r="E431" s="1788"/>
      <c r="F431" s="1788"/>
      <c r="G431" s="1788"/>
      <c r="H431" s="1788"/>
    </row>
    <row r="432" spans="1:9" ht="41.25" customHeight="1">
      <c r="A432" s="1788" t="s">
        <v>924</v>
      </c>
      <c r="B432" s="1788"/>
      <c r="C432" s="1788"/>
      <c r="D432" s="1788"/>
      <c r="E432" s="1788"/>
      <c r="F432" s="1788"/>
      <c r="G432" s="1788"/>
      <c r="H432" s="1788"/>
    </row>
    <row r="433" spans="1:9">
      <c r="A433" s="1121"/>
      <c r="B433" s="1122"/>
      <c r="C433" s="1123"/>
      <c r="D433" s="1124"/>
      <c r="E433" s="1124"/>
      <c r="F433" s="1125"/>
      <c r="G433" s="1114"/>
      <c r="H433" s="1115"/>
    </row>
    <row r="434" spans="1:9" ht="30">
      <c r="A434" s="1826" t="s">
        <v>28</v>
      </c>
      <c r="B434" s="1826"/>
      <c r="C434" s="1826"/>
      <c r="D434" s="1826"/>
      <c r="E434" s="1826"/>
      <c r="F434" s="1826"/>
      <c r="G434" s="1826"/>
      <c r="H434" s="1826"/>
      <c r="I434" s="350" t="s">
        <v>642</v>
      </c>
    </row>
    <row r="435" spans="1:9" ht="18">
      <c r="A435" s="1796" t="s">
        <v>840</v>
      </c>
      <c r="B435" s="1797"/>
      <c r="C435" s="1797"/>
      <c r="D435" s="1797"/>
      <c r="E435" s="1797"/>
      <c r="F435" s="1797"/>
      <c r="G435" s="1797"/>
      <c r="H435" s="1797"/>
    </row>
    <row r="436" spans="1:9" ht="13.5" thickBot="1">
      <c r="A436" s="1861" t="s">
        <v>11</v>
      </c>
      <c r="B436" s="1862"/>
      <c r="C436" s="1862"/>
      <c r="D436" s="1862"/>
      <c r="E436" s="1862"/>
      <c r="F436" s="1863"/>
      <c r="G436" s="1793" t="s">
        <v>518</v>
      </c>
      <c r="H436" s="1795" t="s">
        <v>517</v>
      </c>
    </row>
    <row r="437" spans="1:9" ht="48.75" thickBot="1">
      <c r="A437" s="1107" t="s">
        <v>937</v>
      </c>
      <c r="B437" s="1108" t="s">
        <v>185</v>
      </c>
      <c r="C437" s="1108" t="s">
        <v>938</v>
      </c>
      <c r="D437" s="1108" t="s">
        <v>24</v>
      </c>
      <c r="E437" s="1109" t="s">
        <v>946</v>
      </c>
      <c r="F437" s="1110" t="s">
        <v>22</v>
      </c>
      <c r="G437" s="1794"/>
      <c r="H437" s="1763"/>
    </row>
    <row r="438" spans="1:9" ht="29.25" thickBot="1">
      <c r="A438" s="652" t="s">
        <v>871</v>
      </c>
      <c r="B438" s="653" t="s">
        <v>36</v>
      </c>
      <c r="C438" s="653" t="s">
        <v>36</v>
      </c>
      <c r="D438" s="653" t="s">
        <v>39</v>
      </c>
      <c r="E438" s="653" t="s">
        <v>870</v>
      </c>
      <c r="F438" s="518">
        <v>54101</v>
      </c>
      <c r="G438" s="210" t="s">
        <v>524</v>
      </c>
      <c r="H438" s="10">
        <v>5000</v>
      </c>
    </row>
    <row r="439" spans="1:9" ht="29.25" thickBot="1">
      <c r="A439" s="652" t="s">
        <v>871</v>
      </c>
      <c r="B439" s="653" t="s">
        <v>36</v>
      </c>
      <c r="C439" s="653" t="s">
        <v>36</v>
      </c>
      <c r="D439" s="653" t="s">
        <v>39</v>
      </c>
      <c r="E439" s="653" t="s">
        <v>870</v>
      </c>
      <c r="F439" s="518" t="s">
        <v>541</v>
      </c>
      <c r="G439" s="210" t="s">
        <v>542</v>
      </c>
      <c r="H439" s="11">
        <v>500</v>
      </c>
    </row>
    <row r="440" spans="1:9" ht="29.25" thickBot="1">
      <c r="A440" s="652" t="s">
        <v>871</v>
      </c>
      <c r="B440" s="653" t="s">
        <v>36</v>
      </c>
      <c r="C440" s="653" t="s">
        <v>36</v>
      </c>
      <c r="D440" s="653" t="s">
        <v>39</v>
      </c>
      <c r="E440" s="653" t="s">
        <v>870</v>
      </c>
      <c r="F440" s="518">
        <v>54199</v>
      </c>
      <c r="G440" s="209" t="s">
        <v>847</v>
      </c>
      <c r="H440" s="11">
        <v>5000</v>
      </c>
    </row>
    <row r="441" spans="1:9" ht="15.75" thickBot="1">
      <c r="A441" s="652" t="s">
        <v>871</v>
      </c>
      <c r="B441" s="653" t="s">
        <v>36</v>
      </c>
      <c r="C441" s="653" t="s">
        <v>36</v>
      </c>
      <c r="D441" s="653" t="s">
        <v>39</v>
      </c>
      <c r="E441" s="653" t="s">
        <v>870</v>
      </c>
      <c r="F441" s="518">
        <v>54505</v>
      </c>
      <c r="G441" s="212" t="s">
        <v>846</v>
      </c>
      <c r="H441" s="11">
        <v>1000</v>
      </c>
    </row>
    <row r="442" spans="1:9" ht="15.75" thickBot="1">
      <c r="A442" s="652" t="s">
        <v>871</v>
      </c>
      <c r="B442" s="653" t="s">
        <v>36</v>
      </c>
      <c r="C442" s="653" t="s">
        <v>36</v>
      </c>
      <c r="D442" s="653" t="s">
        <v>39</v>
      </c>
      <c r="E442" s="653" t="s">
        <v>870</v>
      </c>
      <c r="F442" s="518">
        <v>56304</v>
      </c>
      <c r="G442" s="212" t="s">
        <v>543</v>
      </c>
      <c r="H442" s="11">
        <v>11000</v>
      </c>
    </row>
    <row r="443" spans="1:9" ht="15.75" thickBot="1">
      <c r="A443" s="1827" t="s">
        <v>170</v>
      </c>
      <c r="B443" s="1828"/>
      <c r="C443" s="1828"/>
      <c r="D443" s="1828"/>
      <c r="E443" s="1828"/>
      <c r="F443" s="1829"/>
      <c r="G443" s="511"/>
      <c r="H443" s="573">
        <f>SUM(H438:H442)</f>
        <v>22500</v>
      </c>
    </row>
    <row r="444" spans="1:9" ht="13.5" thickBot="1">
      <c r="A444" s="1111"/>
      <c r="B444" s="1111"/>
      <c r="C444" s="1112"/>
      <c r="D444" s="1113"/>
      <c r="E444" s="1113"/>
      <c r="F444" s="1127"/>
      <c r="G444" s="1114"/>
      <c r="H444" s="1115"/>
    </row>
    <row r="445" spans="1:9" s="651" customFormat="1" ht="28.9" customHeight="1">
      <c r="A445" s="1734" t="s">
        <v>1018</v>
      </c>
      <c r="B445" s="1824"/>
      <c r="C445" s="1824"/>
      <c r="D445" s="1824"/>
      <c r="E445" s="1824"/>
      <c r="F445" s="1825"/>
      <c r="G445" s="1770" t="s">
        <v>1019</v>
      </c>
      <c r="H445" s="1771"/>
    </row>
    <row r="446" spans="1:9" s="651" customFormat="1" ht="30" customHeight="1">
      <c r="A446" s="1716" t="s">
        <v>969</v>
      </c>
      <c r="B446" s="1717"/>
      <c r="C446" s="1717"/>
      <c r="D446" s="1717"/>
      <c r="E446" s="1717"/>
      <c r="F446" s="1718"/>
      <c r="G446" s="1716" t="s">
        <v>1021</v>
      </c>
      <c r="H446" s="1730"/>
    </row>
    <row r="447" spans="1:9" s="651" customFormat="1" ht="36" customHeight="1">
      <c r="A447" s="1716" t="s">
        <v>1113</v>
      </c>
      <c r="B447" s="1717"/>
      <c r="C447" s="1717"/>
      <c r="D447" s="1717"/>
      <c r="E447" s="1717"/>
      <c r="F447" s="1718"/>
      <c r="G447" s="1731" t="s">
        <v>545</v>
      </c>
      <c r="H447" s="1730"/>
    </row>
    <row r="448" spans="1:9" s="651" customFormat="1" ht="27" customHeight="1" thickBot="1">
      <c r="A448" s="1724" t="s">
        <v>1071</v>
      </c>
      <c r="B448" s="1725"/>
      <c r="C448" s="1725"/>
      <c r="D448" s="1725"/>
      <c r="E448" s="1725"/>
      <c r="F448" s="1726"/>
      <c r="G448" s="1727" t="s">
        <v>546</v>
      </c>
      <c r="H448" s="1733"/>
    </row>
    <row r="449" spans="1:9">
      <c r="A449" s="1111"/>
      <c r="B449" s="1122"/>
      <c r="C449" s="1123"/>
      <c r="D449" s="1124"/>
      <c r="E449" s="1124"/>
      <c r="F449" s="1125"/>
      <c r="G449" s="1114"/>
      <c r="H449" s="1115"/>
    </row>
    <row r="450" spans="1:9" ht="36.6" customHeight="1">
      <c r="A450" s="1712" t="s">
        <v>1123</v>
      </c>
      <c r="B450" s="1712"/>
      <c r="C450" s="1712"/>
      <c r="D450" s="1712"/>
      <c r="E450" s="1712"/>
      <c r="F450" s="1712"/>
      <c r="G450" s="1712"/>
      <c r="H450" s="1712"/>
    </row>
    <row r="451" spans="1:9">
      <c r="A451" s="1184"/>
      <c r="B451" s="1184"/>
      <c r="C451" s="1184"/>
      <c r="D451" s="1184"/>
      <c r="E451" s="1184"/>
      <c r="F451" s="1127"/>
      <c r="G451" s="1184"/>
      <c r="H451" s="1169"/>
    </row>
    <row r="452" spans="1:9" s="513" customFormat="1">
      <c r="A452" s="1185"/>
      <c r="B452" s="1185"/>
      <c r="C452" s="1185"/>
      <c r="D452" s="1185"/>
      <c r="E452" s="1185"/>
      <c r="F452" s="1186"/>
      <c r="G452" s="1185"/>
      <c r="H452" s="1187"/>
    </row>
    <row r="453" spans="1:9">
      <c r="A453" s="1184"/>
      <c r="B453" s="1184"/>
      <c r="C453" s="1184"/>
      <c r="D453" s="1184"/>
      <c r="E453" s="1184"/>
      <c r="F453" s="1127"/>
      <c r="G453" s="1184"/>
      <c r="H453" s="1169"/>
      <c r="I453" s="1915">
        <v>16</v>
      </c>
    </row>
    <row r="454" spans="1:9" ht="18">
      <c r="A454" s="1787" t="s">
        <v>84</v>
      </c>
      <c r="B454" s="1787"/>
      <c r="C454" s="1787"/>
      <c r="D454" s="1787"/>
      <c r="E454" s="1787"/>
      <c r="F454" s="1787"/>
      <c r="G454" s="1787"/>
      <c r="H454" s="1787"/>
      <c r="I454" s="1915"/>
    </row>
    <row r="455" spans="1:9" ht="18">
      <c r="A455" s="1787" t="s">
        <v>83</v>
      </c>
      <c r="B455" s="1787"/>
      <c r="C455" s="1787"/>
      <c r="D455" s="1787"/>
      <c r="E455" s="1787"/>
      <c r="F455" s="1787"/>
      <c r="G455" s="1787"/>
      <c r="H455" s="1787"/>
    </row>
    <row r="456" spans="1:9" ht="18">
      <c r="A456" s="1788" t="s">
        <v>180</v>
      </c>
      <c r="B456" s="1788"/>
      <c r="C456" s="1788"/>
      <c r="D456" s="1788"/>
      <c r="E456" s="1788"/>
      <c r="F456" s="1788"/>
      <c r="G456" s="1788"/>
      <c r="H456" s="1788"/>
    </row>
    <row r="457" spans="1:9" ht="18">
      <c r="A457" s="1788" t="s">
        <v>757</v>
      </c>
      <c r="B457" s="1788"/>
      <c r="C457" s="1788"/>
      <c r="D457" s="1788"/>
      <c r="E457" s="1788"/>
      <c r="F457" s="1788"/>
      <c r="G457" s="1788"/>
      <c r="H457" s="1788"/>
    </row>
    <row r="458" spans="1:9" ht="18">
      <c r="A458" s="1788" t="s">
        <v>924</v>
      </c>
      <c r="B458" s="1788"/>
      <c r="C458" s="1788"/>
      <c r="D458" s="1788"/>
      <c r="E458" s="1788"/>
      <c r="F458" s="1788"/>
      <c r="G458" s="1788"/>
      <c r="H458" s="1788"/>
    </row>
    <row r="459" spans="1:9">
      <c r="A459" s="1121"/>
      <c r="B459" s="1122"/>
      <c r="C459" s="1123"/>
      <c r="D459" s="1124"/>
      <c r="E459" s="1124"/>
      <c r="F459" s="1125"/>
      <c r="G459" s="1114"/>
      <c r="H459" s="1115"/>
    </row>
    <row r="460" spans="1:9" ht="31.5" customHeight="1">
      <c r="A460" s="1876" t="s">
        <v>1023</v>
      </c>
      <c r="B460" s="1876"/>
      <c r="C460" s="1876"/>
      <c r="D460" s="1876"/>
      <c r="E460" s="1876"/>
      <c r="F460" s="1876"/>
      <c r="G460" s="1876"/>
      <c r="H460" s="1876"/>
    </row>
    <row r="461" spans="1:9" ht="18">
      <c r="A461" s="1796" t="s">
        <v>848</v>
      </c>
      <c r="B461" s="1797"/>
      <c r="C461" s="1797"/>
      <c r="D461" s="1797"/>
      <c r="E461" s="1797"/>
      <c r="F461" s="1797"/>
      <c r="G461" s="1797"/>
      <c r="H461" s="1797"/>
    </row>
    <row r="462" spans="1:9" ht="26.25" thickBot="1">
      <c r="A462" s="1821" t="s">
        <v>11</v>
      </c>
      <c r="B462" s="1822"/>
      <c r="C462" s="1822"/>
      <c r="D462" s="1822"/>
      <c r="E462" s="1822"/>
      <c r="F462" s="1823"/>
      <c r="G462" s="1793" t="s">
        <v>518</v>
      </c>
      <c r="H462" s="1793" t="s">
        <v>517</v>
      </c>
      <c r="I462" s="351" t="s">
        <v>646</v>
      </c>
    </row>
    <row r="463" spans="1:9" ht="48.75" thickBot="1">
      <c r="A463" s="1107" t="s">
        <v>937</v>
      </c>
      <c r="B463" s="1108" t="s">
        <v>185</v>
      </c>
      <c r="C463" s="1108" t="s">
        <v>938</v>
      </c>
      <c r="D463" s="1108" t="s">
        <v>24</v>
      </c>
      <c r="E463" s="1109" t="s">
        <v>946</v>
      </c>
      <c r="F463" s="1110" t="s">
        <v>22</v>
      </c>
      <c r="G463" s="1794"/>
      <c r="H463" s="1794"/>
    </row>
    <row r="464" spans="1:9" ht="15">
      <c r="A464" s="652" t="s">
        <v>871</v>
      </c>
      <c r="B464" s="653" t="s">
        <v>36</v>
      </c>
      <c r="C464" s="653" t="s">
        <v>36</v>
      </c>
      <c r="D464" s="653" t="s">
        <v>39</v>
      </c>
      <c r="E464" s="653" t="s">
        <v>870</v>
      </c>
      <c r="F464" s="3">
        <v>51202</v>
      </c>
      <c r="G464" s="1167" t="s">
        <v>550</v>
      </c>
      <c r="H464" s="1219">
        <v>10000</v>
      </c>
    </row>
    <row r="465" spans="1:8" ht="28.5">
      <c r="A465" s="652" t="s">
        <v>871</v>
      </c>
      <c r="B465" s="653" t="s">
        <v>36</v>
      </c>
      <c r="C465" s="653" t="s">
        <v>36</v>
      </c>
      <c r="D465" s="653" t="s">
        <v>39</v>
      </c>
      <c r="E465" s="653" t="s">
        <v>870</v>
      </c>
      <c r="F465" s="3">
        <v>54101</v>
      </c>
      <c r="G465" s="210" t="s">
        <v>524</v>
      </c>
      <c r="H465" s="1219">
        <v>5000</v>
      </c>
    </row>
    <row r="466" spans="1:8" ht="15">
      <c r="A466" s="652" t="s">
        <v>871</v>
      </c>
      <c r="B466" s="653" t="s">
        <v>36</v>
      </c>
      <c r="C466" s="653" t="s">
        <v>36</v>
      </c>
      <c r="D466" s="653" t="s">
        <v>39</v>
      </c>
      <c r="E466" s="653" t="s">
        <v>870</v>
      </c>
      <c r="F466" s="522" t="s">
        <v>563</v>
      </c>
      <c r="G466" s="208" t="s">
        <v>548</v>
      </c>
      <c r="H466" s="1219">
        <v>6000</v>
      </c>
    </row>
    <row r="467" spans="1:8" ht="28.5">
      <c r="A467" s="652" t="s">
        <v>871</v>
      </c>
      <c r="B467" s="653" t="s">
        <v>36</v>
      </c>
      <c r="C467" s="653" t="s">
        <v>36</v>
      </c>
      <c r="D467" s="653" t="s">
        <v>39</v>
      </c>
      <c r="E467" s="653" t="s">
        <v>870</v>
      </c>
      <c r="F467" s="522">
        <v>54111</v>
      </c>
      <c r="G467" s="210" t="s">
        <v>849</v>
      </c>
      <c r="H467" s="1219">
        <v>6000</v>
      </c>
    </row>
    <row r="468" spans="1:8" ht="28.5">
      <c r="A468" s="652" t="s">
        <v>871</v>
      </c>
      <c r="B468" s="653" t="s">
        <v>36</v>
      </c>
      <c r="C468" s="653" t="s">
        <v>36</v>
      </c>
      <c r="D468" s="653" t="s">
        <v>39</v>
      </c>
      <c r="E468" s="653" t="s">
        <v>870</v>
      </c>
      <c r="F468" s="522">
        <v>54112</v>
      </c>
      <c r="G468" s="210" t="s">
        <v>574</v>
      </c>
      <c r="H468" s="1219">
        <v>7000</v>
      </c>
    </row>
    <row r="469" spans="1:8" ht="28.5">
      <c r="A469" s="652" t="s">
        <v>871</v>
      </c>
      <c r="B469" s="653" t="s">
        <v>36</v>
      </c>
      <c r="C469" s="653" t="s">
        <v>36</v>
      </c>
      <c r="D469" s="653" t="s">
        <v>39</v>
      </c>
      <c r="E469" s="653" t="s">
        <v>870</v>
      </c>
      <c r="F469" s="522">
        <v>54303</v>
      </c>
      <c r="G469" s="210" t="s">
        <v>961</v>
      </c>
      <c r="H469" s="1212">
        <v>4000</v>
      </c>
    </row>
    <row r="470" spans="1:8" s="651" customFormat="1" ht="27.75" customHeight="1">
      <c r="A470" s="652" t="s">
        <v>871</v>
      </c>
      <c r="B470" s="653" t="s">
        <v>36</v>
      </c>
      <c r="C470" s="653" t="s">
        <v>36</v>
      </c>
      <c r="D470" s="653" t="s">
        <v>39</v>
      </c>
      <c r="E470" s="653" t="s">
        <v>870</v>
      </c>
      <c r="F470" s="522">
        <v>54305</v>
      </c>
      <c r="G470" s="210" t="s">
        <v>850</v>
      </c>
      <c r="H470" s="1219">
        <v>10000</v>
      </c>
    </row>
    <row r="471" spans="1:8" s="651" customFormat="1" ht="14.25" customHeight="1">
      <c r="A471" s="652" t="s">
        <v>871</v>
      </c>
      <c r="B471" s="653" t="s">
        <v>36</v>
      </c>
      <c r="C471" s="653" t="s">
        <v>36</v>
      </c>
      <c r="D471" s="653" t="s">
        <v>39</v>
      </c>
      <c r="E471" s="653" t="s">
        <v>870</v>
      </c>
      <c r="F471" s="522">
        <v>54313</v>
      </c>
      <c r="G471" s="210" t="s">
        <v>962</v>
      </c>
      <c r="H471" s="1212">
        <v>3000</v>
      </c>
    </row>
    <row r="472" spans="1:8" s="651" customFormat="1" ht="15">
      <c r="A472" s="652" t="s">
        <v>871</v>
      </c>
      <c r="B472" s="653" t="s">
        <v>36</v>
      </c>
      <c r="C472" s="653" t="s">
        <v>36</v>
      </c>
      <c r="D472" s="653" t="s">
        <v>39</v>
      </c>
      <c r="E472" s="653" t="s">
        <v>870</v>
      </c>
      <c r="F472" s="522">
        <v>54403</v>
      </c>
      <c r="G472" s="210" t="s">
        <v>963</v>
      </c>
      <c r="H472" s="1212">
        <v>4000</v>
      </c>
    </row>
    <row r="473" spans="1:8" s="651" customFormat="1" ht="27.75" customHeight="1">
      <c r="A473" s="652" t="s">
        <v>871</v>
      </c>
      <c r="B473" s="653" t="s">
        <v>36</v>
      </c>
      <c r="C473" s="653" t="s">
        <v>36</v>
      </c>
      <c r="D473" s="653" t="s">
        <v>39</v>
      </c>
      <c r="E473" s="653" t="s">
        <v>870</v>
      </c>
      <c r="F473" s="522">
        <v>56304</v>
      </c>
      <c r="G473" s="210" t="s">
        <v>577</v>
      </c>
      <c r="H473" s="1212">
        <v>5000</v>
      </c>
    </row>
    <row r="474" spans="1:8" ht="15" thickBot="1">
      <c r="A474" s="1818" t="s">
        <v>170</v>
      </c>
      <c r="B474" s="1819"/>
      <c r="C474" s="1819"/>
      <c r="D474" s="1819"/>
      <c r="E474" s="1819"/>
      <c r="F474" s="1820"/>
      <c r="G474" s="1093"/>
      <c r="H474" s="1218">
        <f>SUM(H464:H473)</f>
        <v>60000</v>
      </c>
    </row>
    <row r="475" spans="1:8" ht="20.45" customHeight="1" thickBot="1">
      <c r="A475" s="1111"/>
      <c r="B475" s="1111"/>
      <c r="C475" s="1112"/>
      <c r="D475" s="1113"/>
      <c r="E475" s="1113"/>
      <c r="F475" s="1127"/>
      <c r="G475" s="1114"/>
      <c r="H475" s="1115"/>
    </row>
    <row r="476" spans="1:8">
      <c r="A476" s="1734" t="s">
        <v>544</v>
      </c>
      <c r="B476" s="1824"/>
      <c r="C476" s="1824"/>
      <c r="D476" s="1824"/>
      <c r="E476" s="1824"/>
      <c r="F476" s="1825"/>
      <c r="G476" s="1770" t="s">
        <v>814</v>
      </c>
      <c r="H476" s="1771"/>
    </row>
    <row r="477" spans="1:8" s="464" customFormat="1">
      <c r="A477" s="1838" t="s">
        <v>841</v>
      </c>
      <c r="B477" s="1877"/>
      <c r="C477" s="1877"/>
      <c r="D477" s="1877"/>
      <c r="E477" s="1877"/>
      <c r="F477" s="1878"/>
      <c r="G477" s="1838" t="s">
        <v>1021</v>
      </c>
      <c r="H477" s="1840"/>
    </row>
    <row r="478" spans="1:8">
      <c r="A478" s="1716" t="s">
        <v>1114</v>
      </c>
      <c r="B478" s="1717"/>
      <c r="C478" s="1717"/>
      <c r="D478" s="1717"/>
      <c r="E478" s="1717"/>
      <c r="F478" s="1718"/>
      <c r="G478" s="1188" t="s">
        <v>545</v>
      </c>
      <c r="H478" s="1189"/>
    </row>
    <row r="479" spans="1:8" ht="13.5" thickBot="1">
      <c r="A479" s="1724" t="s">
        <v>1058</v>
      </c>
      <c r="B479" s="1725"/>
      <c r="C479" s="1725"/>
      <c r="D479" s="1725"/>
      <c r="E479" s="1725"/>
      <c r="F479" s="1726"/>
      <c r="G479" s="1727" t="s">
        <v>546</v>
      </c>
      <c r="H479" s="1733"/>
    </row>
    <row r="480" spans="1:8">
      <c r="A480" s="1111"/>
      <c r="B480" s="1122"/>
      <c r="C480" s="1123"/>
      <c r="D480" s="1124"/>
      <c r="E480" s="1124"/>
      <c r="F480" s="1125"/>
      <c r="G480" s="1114"/>
      <c r="H480" s="1115"/>
    </row>
    <row r="481" spans="1:9" ht="36.6" customHeight="1">
      <c r="A481" s="1712" t="s">
        <v>1123</v>
      </c>
      <c r="B481" s="1712"/>
      <c r="C481" s="1712"/>
      <c r="D481" s="1712"/>
      <c r="E481" s="1712"/>
      <c r="F481" s="1712"/>
      <c r="G481" s="1712"/>
      <c r="H481" s="1712"/>
    </row>
    <row r="482" spans="1:9">
      <c r="A482" s="1184"/>
      <c r="B482" s="1184"/>
      <c r="C482" s="1184"/>
      <c r="D482" s="1184"/>
      <c r="E482" s="1184"/>
      <c r="F482" s="1127"/>
      <c r="G482" s="1184"/>
      <c r="H482" s="1169"/>
    </row>
    <row r="483" spans="1:9">
      <c r="A483" s="1185"/>
      <c r="B483" s="1185"/>
      <c r="C483" s="1185"/>
      <c r="D483" s="1185"/>
      <c r="E483" s="1185"/>
      <c r="F483" s="1186"/>
      <c r="G483" s="1185"/>
      <c r="H483" s="1187"/>
    </row>
    <row r="484" spans="1:9" ht="18">
      <c r="A484" s="1798" t="s">
        <v>84</v>
      </c>
      <c r="B484" s="1798"/>
      <c r="C484" s="1798"/>
      <c r="D484" s="1798"/>
      <c r="E484" s="1798"/>
      <c r="F484" s="1798"/>
      <c r="G484" s="1798"/>
      <c r="H484" s="1798"/>
      <c r="I484" s="1915">
        <v>17</v>
      </c>
    </row>
    <row r="485" spans="1:9" ht="18">
      <c r="A485" s="1798" t="s">
        <v>83</v>
      </c>
      <c r="B485" s="1798"/>
      <c r="C485" s="1798"/>
      <c r="D485" s="1798"/>
      <c r="E485" s="1798"/>
      <c r="F485" s="1798"/>
      <c r="G485" s="1798"/>
      <c r="H485" s="1798"/>
      <c r="I485" s="1915"/>
    </row>
    <row r="486" spans="1:9" ht="18">
      <c r="A486" s="1809" t="s">
        <v>180</v>
      </c>
      <c r="B486" s="1809"/>
      <c r="C486" s="1809"/>
      <c r="D486" s="1809"/>
      <c r="E486" s="1809"/>
      <c r="F486" s="1809"/>
      <c r="G486" s="1809"/>
      <c r="H486" s="1809"/>
    </row>
    <row r="487" spans="1:9" ht="15.75" customHeight="1">
      <c r="A487" s="1809" t="s">
        <v>757</v>
      </c>
      <c r="B487" s="1809"/>
      <c r="C487" s="1809"/>
      <c r="D487" s="1809"/>
      <c r="E487" s="1809"/>
      <c r="F487" s="1809"/>
      <c r="G487" s="1809"/>
      <c r="H487" s="1809"/>
    </row>
    <row r="488" spans="1:9" ht="18">
      <c r="A488" s="1809" t="s">
        <v>924</v>
      </c>
      <c r="B488" s="1809"/>
      <c r="C488" s="1809"/>
      <c r="D488" s="1809"/>
      <c r="E488" s="1809"/>
      <c r="F488" s="1809"/>
      <c r="G488" s="1809"/>
      <c r="H488" s="1809"/>
    </row>
    <row r="489" spans="1:9">
      <c r="A489" s="1190"/>
      <c r="B489" s="1171"/>
      <c r="C489" s="1172"/>
      <c r="D489" s="1173"/>
      <c r="E489" s="1173"/>
      <c r="F489" s="1141"/>
      <c r="G489" s="1140"/>
      <c r="H489" s="1174"/>
    </row>
    <row r="490" spans="1:9" ht="18">
      <c r="A490" s="1856" t="s">
        <v>1023</v>
      </c>
      <c r="B490" s="1856"/>
      <c r="C490" s="1856"/>
      <c r="D490" s="1856"/>
      <c r="E490" s="1856"/>
      <c r="F490" s="1856"/>
      <c r="G490" s="1856"/>
      <c r="H490" s="1856"/>
    </row>
    <row r="491" spans="1:9" ht="18">
      <c r="A491" s="1796" t="s">
        <v>1072</v>
      </c>
      <c r="B491" s="1797"/>
      <c r="C491" s="1797"/>
      <c r="D491" s="1797"/>
      <c r="E491" s="1797"/>
      <c r="F491" s="1797"/>
      <c r="G491" s="1797"/>
      <c r="H491" s="1797"/>
    </row>
    <row r="492" spans="1:9" ht="13.5" thickBot="1">
      <c r="A492" s="1821" t="s">
        <v>11</v>
      </c>
      <c r="B492" s="1822"/>
      <c r="C492" s="1822"/>
      <c r="D492" s="1822"/>
      <c r="E492" s="1822"/>
      <c r="F492" s="1823"/>
      <c r="G492" s="1793" t="s">
        <v>518</v>
      </c>
      <c r="H492" s="1795" t="s">
        <v>517</v>
      </c>
    </row>
    <row r="493" spans="1:9" ht="48.75" thickBot="1">
      <c r="A493" s="1107" t="s">
        <v>937</v>
      </c>
      <c r="B493" s="1108" t="s">
        <v>185</v>
      </c>
      <c r="C493" s="1108" t="s">
        <v>938</v>
      </c>
      <c r="D493" s="1108" t="s">
        <v>24</v>
      </c>
      <c r="E493" s="1109" t="s">
        <v>946</v>
      </c>
      <c r="F493" s="1110" t="s">
        <v>22</v>
      </c>
      <c r="G493" s="1794"/>
      <c r="H493" s="1795"/>
    </row>
    <row r="494" spans="1:9" ht="15">
      <c r="A494" s="652" t="s">
        <v>871</v>
      </c>
      <c r="B494" s="653" t="s">
        <v>36</v>
      </c>
      <c r="C494" s="653" t="s">
        <v>36</v>
      </c>
      <c r="D494" s="653" t="s">
        <v>39</v>
      </c>
      <c r="E494" s="653" t="s">
        <v>870</v>
      </c>
      <c r="F494" s="654" t="s">
        <v>179</v>
      </c>
      <c r="G494" s="251" t="s">
        <v>550</v>
      </c>
      <c r="H494" s="380">
        <v>5000</v>
      </c>
    </row>
    <row r="495" spans="1:9" ht="28.5">
      <c r="A495" s="652" t="s">
        <v>871</v>
      </c>
      <c r="B495" s="653" t="s">
        <v>36</v>
      </c>
      <c r="C495" s="653" t="s">
        <v>36</v>
      </c>
      <c r="D495" s="653" t="s">
        <v>39</v>
      </c>
      <c r="E495" s="653" t="s">
        <v>870</v>
      </c>
      <c r="F495" s="672" t="s">
        <v>431</v>
      </c>
      <c r="G495" s="378" t="s">
        <v>524</v>
      </c>
      <c r="H495" s="380">
        <v>3000</v>
      </c>
    </row>
    <row r="496" spans="1:9" ht="15">
      <c r="A496" s="652" t="s">
        <v>871</v>
      </c>
      <c r="B496" s="653" t="s">
        <v>36</v>
      </c>
      <c r="C496" s="653" t="s">
        <v>36</v>
      </c>
      <c r="D496" s="653" t="s">
        <v>39</v>
      </c>
      <c r="E496" s="653" t="s">
        <v>870</v>
      </c>
      <c r="F496" s="672" t="s">
        <v>527</v>
      </c>
      <c r="G496" s="245" t="s">
        <v>571</v>
      </c>
      <c r="H496" s="380">
        <v>1900</v>
      </c>
    </row>
    <row r="497" spans="1:9" ht="15">
      <c r="A497" s="652" t="s">
        <v>871</v>
      </c>
      <c r="B497" s="653" t="s">
        <v>36</v>
      </c>
      <c r="C497" s="653" t="s">
        <v>36</v>
      </c>
      <c r="D497" s="653" t="s">
        <v>39</v>
      </c>
      <c r="E497" s="653" t="s">
        <v>870</v>
      </c>
      <c r="F497" s="672" t="s">
        <v>541</v>
      </c>
      <c r="G497" s="245" t="s">
        <v>572</v>
      </c>
      <c r="H497" s="380">
        <v>1500</v>
      </c>
    </row>
    <row r="498" spans="1:9" ht="28.5">
      <c r="A498" s="652" t="s">
        <v>871</v>
      </c>
      <c r="B498" s="653" t="s">
        <v>36</v>
      </c>
      <c r="C498" s="653" t="s">
        <v>36</v>
      </c>
      <c r="D498" s="653" t="s">
        <v>39</v>
      </c>
      <c r="E498" s="653" t="s">
        <v>870</v>
      </c>
      <c r="F498" s="672" t="s">
        <v>648</v>
      </c>
      <c r="G498" s="245" t="s">
        <v>964</v>
      </c>
      <c r="H498" s="380">
        <v>500</v>
      </c>
    </row>
    <row r="499" spans="1:9" ht="15">
      <c r="A499" s="652" t="s">
        <v>871</v>
      </c>
      <c r="B499" s="653" t="s">
        <v>36</v>
      </c>
      <c r="C499" s="653" t="s">
        <v>36</v>
      </c>
      <c r="D499" s="653" t="s">
        <v>39</v>
      </c>
      <c r="E499" s="653" t="s">
        <v>870</v>
      </c>
      <c r="F499" s="672" t="s">
        <v>316</v>
      </c>
      <c r="G499" s="379" t="s">
        <v>842</v>
      </c>
      <c r="H499" s="380">
        <v>8100</v>
      </c>
    </row>
    <row r="500" spans="1:9" ht="15.75" thickBot="1">
      <c r="A500" s="1827" t="s">
        <v>170</v>
      </c>
      <c r="B500" s="1828"/>
      <c r="C500" s="1828"/>
      <c r="D500" s="1828"/>
      <c r="E500" s="1828"/>
      <c r="F500" s="1829"/>
      <c r="G500" s="511"/>
      <c r="H500" s="573">
        <f>SUM(H494:H499)</f>
        <v>20000</v>
      </c>
    </row>
    <row r="501" spans="1:9" s="651" customFormat="1" ht="13.9" customHeight="1" thickBot="1">
      <c r="A501" s="1132"/>
      <c r="B501" s="1132"/>
      <c r="C501" s="1133"/>
      <c r="D501" s="1134"/>
      <c r="E501" s="1134"/>
      <c r="F501" s="1135"/>
      <c r="G501" s="224"/>
      <c r="H501" s="1131"/>
    </row>
    <row r="502" spans="1:9" s="651" customFormat="1" ht="28.9" customHeight="1">
      <c r="A502" s="1767" t="s">
        <v>1018</v>
      </c>
      <c r="B502" s="1768"/>
      <c r="C502" s="1768"/>
      <c r="D502" s="1768"/>
      <c r="E502" s="1768"/>
      <c r="F502" s="1769"/>
      <c r="G502" s="1805" t="s">
        <v>1019</v>
      </c>
      <c r="H502" s="1806"/>
    </row>
    <row r="503" spans="1:9" s="651" customFormat="1" ht="33" customHeight="1">
      <c r="A503" s="1719" t="s">
        <v>1073</v>
      </c>
      <c r="B503" s="1808"/>
      <c r="C503" s="1808"/>
      <c r="D503" s="1808"/>
      <c r="E503" s="1808"/>
      <c r="F503" s="1720"/>
      <c r="G503" s="1719" t="s">
        <v>1021</v>
      </c>
      <c r="H503" s="1730"/>
    </row>
    <row r="504" spans="1:9" s="651" customFormat="1" ht="56.45" customHeight="1">
      <c r="A504" s="1719" t="s">
        <v>1115</v>
      </c>
      <c r="B504" s="1808"/>
      <c r="C504" s="1808"/>
      <c r="D504" s="1808"/>
      <c r="E504" s="1808"/>
      <c r="F504" s="1720"/>
      <c r="G504" s="1801" t="s">
        <v>545</v>
      </c>
      <c r="H504" s="1730"/>
    </row>
    <row r="505" spans="1:9" ht="16.899999999999999" customHeight="1" thickBot="1">
      <c r="A505" s="1816" t="s">
        <v>1057</v>
      </c>
      <c r="B505" s="1879"/>
      <c r="C505" s="1879"/>
      <c r="D505" s="1879"/>
      <c r="E505" s="1879"/>
      <c r="F505" s="1880"/>
      <c r="G505" s="1817" t="s">
        <v>546</v>
      </c>
      <c r="H505" s="1733"/>
    </row>
    <row r="506" spans="1:9" ht="24" customHeight="1">
      <c r="A506" s="1132"/>
      <c r="B506" s="1129"/>
      <c r="C506" s="1130"/>
      <c r="D506" s="817"/>
      <c r="E506" s="817"/>
      <c r="H506" s="1131"/>
    </row>
    <row r="507" spans="1:9" ht="36.6" customHeight="1">
      <c r="A507" s="1712" t="s">
        <v>1123</v>
      </c>
      <c r="B507" s="1712"/>
      <c r="C507" s="1712"/>
      <c r="D507" s="1712"/>
      <c r="E507" s="1712"/>
      <c r="F507" s="1712"/>
      <c r="G507" s="1712"/>
      <c r="H507" s="1712"/>
    </row>
    <row r="508" spans="1:9" s="464" customFormat="1" ht="18">
      <c r="A508" s="1196"/>
      <c r="B508" s="1196"/>
      <c r="C508" s="1196"/>
      <c r="D508" s="1196"/>
      <c r="E508" s="1196"/>
      <c r="F508" s="1181"/>
      <c r="G508" s="1196"/>
      <c r="H508" s="1196"/>
    </row>
    <row r="509" spans="1:9" ht="18">
      <c r="A509" s="1191"/>
      <c r="B509" s="1191"/>
      <c r="C509" s="1191"/>
      <c r="D509" s="1191"/>
      <c r="E509" s="1191"/>
      <c r="F509" s="1192"/>
      <c r="G509" s="1191"/>
      <c r="H509" s="1191"/>
    </row>
    <row r="510" spans="1:9" ht="18">
      <c r="A510" s="1798" t="s">
        <v>84</v>
      </c>
      <c r="B510" s="1798"/>
      <c r="C510" s="1798"/>
      <c r="D510" s="1798"/>
      <c r="E510" s="1798"/>
      <c r="F510" s="1798"/>
      <c r="G510" s="1798"/>
      <c r="H510" s="1798"/>
      <c r="I510" s="1915">
        <v>18</v>
      </c>
    </row>
    <row r="511" spans="1:9" ht="18">
      <c r="A511" s="1798" t="s">
        <v>83</v>
      </c>
      <c r="B511" s="1798"/>
      <c r="C511" s="1798"/>
      <c r="D511" s="1798"/>
      <c r="E511" s="1798"/>
      <c r="F511" s="1798"/>
      <c r="G511" s="1798"/>
      <c r="H511" s="1798"/>
      <c r="I511" s="1915"/>
    </row>
    <row r="512" spans="1:9" ht="18">
      <c r="A512" s="1809" t="s">
        <v>180</v>
      </c>
      <c r="B512" s="1809"/>
      <c r="C512" s="1809"/>
      <c r="D512" s="1809"/>
      <c r="E512" s="1809"/>
      <c r="F512" s="1809"/>
      <c r="G512" s="1809"/>
      <c r="H512" s="1809"/>
    </row>
    <row r="513" spans="1:8" ht="18">
      <c r="A513" s="1809" t="s">
        <v>757</v>
      </c>
      <c r="B513" s="1809"/>
      <c r="C513" s="1809"/>
      <c r="D513" s="1809"/>
      <c r="E513" s="1809"/>
      <c r="F513" s="1809"/>
      <c r="G513" s="1809"/>
      <c r="H513" s="1809"/>
    </row>
    <row r="514" spans="1:8" ht="18">
      <c r="A514" s="1809" t="s">
        <v>924</v>
      </c>
      <c r="B514" s="1809"/>
      <c r="C514" s="1809"/>
      <c r="D514" s="1809"/>
      <c r="E514" s="1809"/>
      <c r="F514" s="1809"/>
      <c r="G514" s="1809"/>
      <c r="H514" s="1809"/>
    </row>
    <row r="515" spans="1:8" ht="7.9" customHeight="1">
      <c r="A515" s="1190"/>
      <c r="B515" s="1171"/>
      <c r="C515" s="1172"/>
      <c r="D515" s="1173"/>
      <c r="E515" s="1173"/>
      <c r="F515" s="1141"/>
      <c r="G515" s="1140"/>
      <c r="H515" s="1174"/>
    </row>
    <row r="516" spans="1:8" ht="16.899999999999999" customHeight="1">
      <c r="A516" s="1683" t="s">
        <v>28</v>
      </c>
      <c r="B516" s="1683"/>
      <c r="C516" s="1683"/>
      <c r="D516" s="1683"/>
      <c r="E516" s="1683"/>
      <c r="F516" s="1683"/>
      <c r="G516" s="1683"/>
      <c r="H516" s="1683"/>
    </row>
    <row r="517" spans="1:8" ht="18">
      <c r="A517" s="1796" t="s">
        <v>1074</v>
      </c>
      <c r="B517" s="1797"/>
      <c r="C517" s="1797"/>
      <c r="D517" s="1797"/>
      <c r="E517" s="1797"/>
      <c r="F517" s="1797"/>
      <c r="G517" s="1797"/>
      <c r="H517" s="1797"/>
    </row>
    <row r="518" spans="1:8" ht="13.5" thickBot="1">
      <c r="A518" s="1790" t="s">
        <v>11</v>
      </c>
      <c r="B518" s="1791"/>
      <c r="C518" s="1791"/>
      <c r="D518" s="1791"/>
      <c r="E518" s="1791"/>
      <c r="F518" s="1792"/>
      <c r="G518" s="1793" t="s">
        <v>518</v>
      </c>
      <c r="H518" s="1795" t="s">
        <v>517</v>
      </c>
    </row>
    <row r="519" spans="1:8" ht="48.75" thickBot="1">
      <c r="A519" s="1107" t="s">
        <v>937</v>
      </c>
      <c r="B519" s="1108" t="s">
        <v>185</v>
      </c>
      <c r="C519" s="1108" t="s">
        <v>938</v>
      </c>
      <c r="D519" s="1108" t="s">
        <v>24</v>
      </c>
      <c r="E519" s="1109" t="s">
        <v>946</v>
      </c>
      <c r="F519" s="1110" t="s">
        <v>22</v>
      </c>
      <c r="G519" s="1794"/>
      <c r="H519" s="1795"/>
    </row>
    <row r="520" spans="1:8" ht="15">
      <c r="A520" s="652" t="s">
        <v>871</v>
      </c>
      <c r="B520" s="653" t="s">
        <v>36</v>
      </c>
      <c r="C520" s="653" t="s">
        <v>36</v>
      </c>
      <c r="D520" s="653" t="s">
        <v>39</v>
      </c>
      <c r="E520" s="653" t="s">
        <v>870</v>
      </c>
      <c r="F520" s="654" t="s">
        <v>179</v>
      </c>
      <c r="G520" s="251" t="s">
        <v>550</v>
      </c>
      <c r="H520" s="380">
        <v>3456</v>
      </c>
    </row>
    <row r="521" spans="1:8" ht="28.5">
      <c r="A521" s="652" t="s">
        <v>871</v>
      </c>
      <c r="B521" s="653" t="s">
        <v>36</v>
      </c>
      <c r="C521" s="653" t="s">
        <v>36</v>
      </c>
      <c r="D521" s="653" t="s">
        <v>39</v>
      </c>
      <c r="E521" s="653" t="s">
        <v>870</v>
      </c>
      <c r="F521" s="673" t="s">
        <v>638</v>
      </c>
      <c r="G521" s="209" t="s">
        <v>952</v>
      </c>
      <c r="H521" s="380">
        <v>200</v>
      </c>
    </row>
    <row r="522" spans="1:8" ht="28.5">
      <c r="A522" s="652" t="s">
        <v>871</v>
      </c>
      <c r="B522" s="653" t="s">
        <v>36</v>
      </c>
      <c r="C522" s="653" t="s">
        <v>36</v>
      </c>
      <c r="D522" s="653" t="s">
        <v>39</v>
      </c>
      <c r="E522" s="653" t="s">
        <v>870</v>
      </c>
      <c r="F522" s="671" t="s">
        <v>551</v>
      </c>
      <c r="G522" s="209" t="s">
        <v>950</v>
      </c>
      <c r="H522" s="380">
        <v>494</v>
      </c>
    </row>
    <row r="523" spans="1:8" ht="28.5">
      <c r="A523" s="652" t="s">
        <v>871</v>
      </c>
      <c r="B523" s="653" t="s">
        <v>36</v>
      </c>
      <c r="C523" s="653" t="s">
        <v>36</v>
      </c>
      <c r="D523" s="653" t="s">
        <v>39</v>
      </c>
      <c r="E523" s="653" t="s">
        <v>870</v>
      </c>
      <c r="F523" s="3">
        <v>54112</v>
      </c>
      <c r="G523" s="209" t="s">
        <v>951</v>
      </c>
      <c r="H523" s="380">
        <v>350</v>
      </c>
    </row>
    <row r="524" spans="1:8" ht="28.5">
      <c r="A524" s="652" t="s">
        <v>871</v>
      </c>
      <c r="B524" s="653" t="s">
        <v>36</v>
      </c>
      <c r="C524" s="653" t="s">
        <v>36</v>
      </c>
      <c r="D524" s="653" t="s">
        <v>39</v>
      </c>
      <c r="E524" s="653" t="s">
        <v>870</v>
      </c>
      <c r="F524" s="3">
        <v>54118</v>
      </c>
      <c r="G524" s="209" t="s">
        <v>552</v>
      </c>
      <c r="H524" s="380">
        <v>200</v>
      </c>
    </row>
    <row r="525" spans="1:8" ht="15">
      <c r="A525" s="652" t="s">
        <v>871</v>
      </c>
      <c r="B525" s="653" t="s">
        <v>36</v>
      </c>
      <c r="C525" s="653" t="s">
        <v>36</v>
      </c>
      <c r="D525" s="653" t="s">
        <v>39</v>
      </c>
      <c r="E525" s="653" t="s">
        <v>870</v>
      </c>
      <c r="F525" s="672" t="s">
        <v>714</v>
      </c>
      <c r="G525" s="245" t="s">
        <v>953</v>
      </c>
      <c r="H525" s="380">
        <v>300</v>
      </c>
    </row>
    <row r="526" spans="1:8" ht="16.5" thickBot="1">
      <c r="A526" s="1764" t="s">
        <v>170</v>
      </c>
      <c r="B526" s="1765"/>
      <c r="C526" s="1765"/>
      <c r="D526" s="1765"/>
      <c r="E526" s="1765"/>
      <c r="F526" s="1766"/>
      <c r="G526" s="424"/>
      <c r="H526" s="510">
        <f>SUM(H520:H525)</f>
        <v>5000</v>
      </c>
    </row>
    <row r="527" spans="1:8" ht="29.25" customHeight="1" thickBot="1">
      <c r="A527" s="1170"/>
      <c r="B527" s="1170"/>
      <c r="C527" s="1193"/>
      <c r="D527" s="1194"/>
      <c r="E527" s="1194"/>
      <c r="F527" s="1195"/>
      <c r="G527" s="1140"/>
      <c r="H527" s="1174"/>
    </row>
    <row r="528" spans="1:8" s="651" customFormat="1" ht="34.9" customHeight="1">
      <c r="A528" s="1767" t="s">
        <v>811</v>
      </c>
      <c r="B528" s="1804"/>
      <c r="C528" s="1804"/>
      <c r="D528" s="1804"/>
      <c r="E528" s="1804"/>
      <c r="F528" s="1804"/>
      <c r="G528" s="1805" t="s">
        <v>1019</v>
      </c>
      <c r="H528" s="1806"/>
    </row>
    <row r="529" spans="1:9" ht="43.15" customHeight="1">
      <c r="A529" s="1802" t="s">
        <v>1056</v>
      </c>
      <c r="B529" s="1807"/>
      <c r="C529" s="1807"/>
      <c r="D529" s="1807"/>
      <c r="E529" s="1807"/>
      <c r="F529" s="1803"/>
      <c r="G529" s="1802" t="s">
        <v>1021</v>
      </c>
      <c r="H529" s="1803"/>
    </row>
    <row r="530" spans="1:9" hidden="1">
      <c r="A530" s="1719"/>
      <c r="B530" s="1808"/>
      <c r="C530" s="1808"/>
      <c r="D530" s="1808"/>
      <c r="E530" s="1808"/>
      <c r="F530" s="1720"/>
      <c r="G530" s="1719"/>
      <c r="H530" s="1720"/>
    </row>
    <row r="531" spans="1:9">
      <c r="A531" s="1810" t="s">
        <v>1116</v>
      </c>
      <c r="B531" s="1811"/>
      <c r="C531" s="1811"/>
      <c r="D531" s="1811"/>
      <c r="E531" s="1811"/>
      <c r="F531" s="1812"/>
      <c r="G531" s="1799" t="s">
        <v>545</v>
      </c>
      <c r="H531" s="1800"/>
    </row>
    <row r="532" spans="1:9" ht="42" customHeight="1">
      <c r="A532" s="1813"/>
      <c r="B532" s="1814"/>
      <c r="C532" s="1814"/>
      <c r="D532" s="1814"/>
      <c r="E532" s="1814"/>
      <c r="F532" s="1815"/>
      <c r="G532" s="1801"/>
      <c r="H532" s="1730"/>
    </row>
    <row r="533" spans="1:9" ht="28.15" customHeight="1" thickBot="1">
      <c r="A533" s="1816" t="s">
        <v>813</v>
      </c>
      <c r="B533" s="1732"/>
      <c r="C533" s="1732"/>
      <c r="D533" s="1732"/>
      <c r="E533" s="1732"/>
      <c r="F533" s="1733"/>
      <c r="G533" s="1817" t="s">
        <v>546</v>
      </c>
      <c r="H533" s="1733"/>
    </row>
    <row r="534" spans="1:9" s="464" customFormat="1" ht="18">
      <c r="A534" s="1196"/>
      <c r="B534" s="1196"/>
      <c r="C534" s="1196"/>
      <c r="D534" s="1196"/>
      <c r="E534" s="1196"/>
      <c r="F534" s="1181"/>
      <c r="G534" s="1196"/>
      <c r="H534" s="1196"/>
    </row>
    <row r="535" spans="1:9" ht="36.6" customHeight="1">
      <c r="A535" s="1712" t="s">
        <v>1123</v>
      </c>
      <c r="B535" s="1712"/>
      <c r="C535" s="1712"/>
      <c r="D535" s="1712"/>
      <c r="E535" s="1712"/>
      <c r="F535" s="1712"/>
      <c r="G535" s="1712"/>
      <c r="H535" s="1712"/>
    </row>
    <row r="536" spans="1:9" ht="18">
      <c r="A536" s="1197"/>
      <c r="B536" s="1197"/>
      <c r="C536" s="1197"/>
      <c r="D536" s="1197"/>
      <c r="E536" s="1197"/>
      <c r="F536" s="1192"/>
      <c r="G536" s="1197"/>
      <c r="H536" s="1197"/>
    </row>
    <row r="537" spans="1:9" ht="18">
      <c r="A537" s="1196"/>
      <c r="B537" s="1196"/>
      <c r="C537" s="1196"/>
      <c r="D537" s="1196"/>
      <c r="E537" s="1196"/>
      <c r="F537" s="1181"/>
      <c r="G537" s="1196"/>
      <c r="H537" s="1196"/>
      <c r="I537" s="1915">
        <v>19</v>
      </c>
    </row>
    <row r="538" spans="1:9" ht="18">
      <c r="A538" s="1798" t="s">
        <v>84</v>
      </c>
      <c r="B538" s="1798"/>
      <c r="C538" s="1798"/>
      <c r="D538" s="1798"/>
      <c r="E538" s="1798"/>
      <c r="F538" s="1798"/>
      <c r="G538" s="1798"/>
      <c r="H538" s="1798"/>
      <c r="I538" s="1915"/>
    </row>
    <row r="539" spans="1:9" ht="18">
      <c r="A539" s="1798" t="s">
        <v>83</v>
      </c>
      <c r="B539" s="1798"/>
      <c r="C539" s="1798"/>
      <c r="D539" s="1798"/>
      <c r="E539" s="1798"/>
      <c r="F539" s="1798"/>
      <c r="G539" s="1798"/>
      <c r="H539" s="1798"/>
    </row>
    <row r="540" spans="1:9" ht="18">
      <c r="A540" s="1809" t="s">
        <v>180</v>
      </c>
      <c r="B540" s="1809"/>
      <c r="C540" s="1809"/>
      <c r="D540" s="1809"/>
      <c r="E540" s="1809"/>
      <c r="F540" s="1809"/>
      <c r="G540" s="1809"/>
      <c r="H540" s="1809"/>
    </row>
    <row r="541" spans="1:9" ht="18">
      <c r="A541" s="1809" t="s">
        <v>757</v>
      </c>
      <c r="B541" s="1809"/>
      <c r="C541" s="1809"/>
      <c r="D541" s="1809"/>
      <c r="E541" s="1809"/>
      <c r="F541" s="1809"/>
      <c r="G541" s="1809"/>
      <c r="H541" s="1809"/>
    </row>
    <row r="542" spans="1:9" ht="19.899999999999999" customHeight="1">
      <c r="A542" s="1809" t="s">
        <v>924</v>
      </c>
      <c r="B542" s="1809"/>
      <c r="C542" s="1809"/>
      <c r="D542" s="1809"/>
      <c r="E542" s="1809"/>
      <c r="F542" s="1809"/>
      <c r="G542" s="1809"/>
      <c r="H542" s="1809"/>
      <c r="I542" s="464"/>
    </row>
    <row r="543" spans="1:9" ht="7.9" customHeight="1">
      <c r="A543" s="1190"/>
      <c r="B543" s="1171"/>
      <c r="C543" s="1172"/>
      <c r="D543" s="1173"/>
      <c r="E543" s="1173"/>
      <c r="F543" s="1141"/>
      <c r="G543" s="1140"/>
      <c r="H543" s="1174"/>
      <c r="I543" s="464"/>
    </row>
    <row r="544" spans="1:9" ht="22.9" customHeight="1">
      <c r="A544" s="1683" t="s">
        <v>28</v>
      </c>
      <c r="B544" s="1683"/>
      <c r="C544" s="1683"/>
      <c r="D544" s="1683"/>
      <c r="E544" s="1683"/>
      <c r="F544" s="1683"/>
      <c r="G544" s="1683"/>
      <c r="H544" s="1683"/>
      <c r="I544" s="464"/>
    </row>
    <row r="545" spans="1:9" ht="18">
      <c r="A545" s="1796" t="s">
        <v>1091</v>
      </c>
      <c r="B545" s="1797"/>
      <c r="C545" s="1797"/>
      <c r="D545" s="1797"/>
      <c r="E545" s="1797"/>
      <c r="F545" s="1797"/>
      <c r="G545" s="1797"/>
      <c r="H545" s="1797"/>
      <c r="I545" s="464"/>
    </row>
    <row r="546" spans="1:9" ht="13.5" thickBot="1">
      <c r="A546" s="1790" t="s">
        <v>11</v>
      </c>
      <c r="B546" s="1791"/>
      <c r="C546" s="1791"/>
      <c r="D546" s="1791"/>
      <c r="E546" s="1791"/>
      <c r="F546" s="1792"/>
      <c r="G546" s="1793" t="s">
        <v>518</v>
      </c>
      <c r="H546" s="1795" t="s">
        <v>517</v>
      </c>
      <c r="I546" s="464"/>
    </row>
    <row r="547" spans="1:9" ht="48.75" thickBot="1">
      <c r="A547" s="1107" t="s">
        <v>937</v>
      </c>
      <c r="B547" s="1108" t="s">
        <v>185</v>
      </c>
      <c r="C547" s="1108" t="s">
        <v>938</v>
      </c>
      <c r="D547" s="1108" t="s">
        <v>24</v>
      </c>
      <c r="E547" s="1109" t="s">
        <v>946</v>
      </c>
      <c r="F547" s="1110" t="s">
        <v>22</v>
      </c>
      <c r="G547" s="1794"/>
      <c r="H547" s="1795"/>
      <c r="I547" s="464"/>
    </row>
    <row r="548" spans="1:9" ht="15">
      <c r="A548" s="652" t="s">
        <v>871</v>
      </c>
      <c r="B548" s="653" t="s">
        <v>36</v>
      </c>
      <c r="C548" s="653" t="s">
        <v>36</v>
      </c>
      <c r="D548" s="653" t="s">
        <v>39</v>
      </c>
      <c r="E548" s="653" t="s">
        <v>870</v>
      </c>
      <c r="F548" s="654" t="s">
        <v>316</v>
      </c>
      <c r="G548" s="251" t="s">
        <v>842</v>
      </c>
      <c r="H548" s="655">
        <v>25000</v>
      </c>
      <c r="I548" s="464"/>
    </row>
    <row r="549" spans="1:9" ht="16.5" thickBot="1">
      <c r="A549" s="1764" t="s">
        <v>170</v>
      </c>
      <c r="B549" s="1765"/>
      <c r="C549" s="1765"/>
      <c r="D549" s="1765"/>
      <c r="E549" s="1765"/>
      <c r="F549" s="1766"/>
      <c r="G549" s="424"/>
      <c r="H549" s="1037">
        <f>SUM(H548:H548)</f>
        <v>25000</v>
      </c>
      <c r="I549" s="464"/>
    </row>
    <row r="550" spans="1:9" ht="13.5" thickBot="1">
      <c r="A550" s="1170"/>
      <c r="B550" s="1170"/>
      <c r="C550" s="1193"/>
      <c r="D550" s="1194"/>
      <c r="E550" s="1194"/>
      <c r="F550" s="1195"/>
      <c r="G550" s="1140"/>
      <c r="H550" s="1174"/>
      <c r="I550" s="464"/>
    </row>
    <row r="551" spans="1:9">
      <c r="A551" s="1767" t="s">
        <v>811</v>
      </c>
      <c r="B551" s="1804"/>
      <c r="C551" s="1804"/>
      <c r="D551" s="1804"/>
      <c r="E551" s="1804"/>
      <c r="F551" s="1804"/>
      <c r="G551" s="1881" t="s">
        <v>1019</v>
      </c>
      <c r="H551" s="1882"/>
      <c r="I551" s="464"/>
    </row>
    <row r="552" spans="1:9">
      <c r="A552" s="1802" t="s">
        <v>1062</v>
      </c>
      <c r="B552" s="1807"/>
      <c r="C552" s="1807"/>
      <c r="D552" s="1807"/>
      <c r="E552" s="1807"/>
      <c r="F552" s="1803"/>
      <c r="G552" s="1802" t="s">
        <v>1021</v>
      </c>
      <c r="H552" s="1803"/>
      <c r="I552" s="464"/>
    </row>
    <row r="553" spans="1:9" ht="23.45" customHeight="1">
      <c r="A553" s="1719"/>
      <c r="B553" s="1808"/>
      <c r="C553" s="1808"/>
      <c r="D553" s="1808"/>
      <c r="E553" s="1808"/>
      <c r="F553" s="1720"/>
      <c r="G553" s="1719"/>
      <c r="H553" s="1720"/>
      <c r="I553" s="464"/>
    </row>
    <row r="554" spans="1:9" ht="15" customHeight="1">
      <c r="A554" s="1740" t="s">
        <v>1117</v>
      </c>
      <c r="B554" s="1741"/>
      <c r="C554" s="1741"/>
      <c r="D554" s="1741"/>
      <c r="E554" s="1741"/>
      <c r="F554" s="1742"/>
      <c r="G554" s="1799" t="s">
        <v>545</v>
      </c>
      <c r="H554" s="1800"/>
      <c r="I554" s="464"/>
    </row>
    <row r="555" spans="1:9" ht="22.15" customHeight="1">
      <c r="A555" s="1743"/>
      <c r="B555" s="1744"/>
      <c r="C555" s="1744"/>
      <c r="D555" s="1744"/>
      <c r="E555" s="1744"/>
      <c r="F555" s="1745"/>
      <c r="G555" s="1801"/>
      <c r="H555" s="1730"/>
      <c r="I555" s="464"/>
    </row>
    <row r="556" spans="1:9" ht="25.9" customHeight="1" thickBot="1">
      <c r="A556" s="1816" t="s">
        <v>1092</v>
      </c>
      <c r="B556" s="1732"/>
      <c r="C556" s="1732"/>
      <c r="D556" s="1732"/>
      <c r="E556" s="1732"/>
      <c r="F556" s="1733"/>
      <c r="G556" s="1817" t="s">
        <v>546</v>
      </c>
      <c r="H556" s="1733"/>
      <c r="I556" s="464"/>
    </row>
    <row r="557" spans="1:9" ht="30" customHeight="1">
      <c r="A557" s="1196"/>
      <c r="B557" s="1196"/>
      <c r="C557" s="1196"/>
      <c r="D557" s="1196"/>
      <c r="E557" s="1196"/>
      <c r="F557" s="1181"/>
      <c r="G557" s="1196"/>
      <c r="H557" s="1196"/>
      <c r="I557" s="464"/>
    </row>
    <row r="558" spans="1:9" ht="36.6" customHeight="1">
      <c r="A558" s="1712" t="s">
        <v>1123</v>
      </c>
      <c r="B558" s="1712"/>
      <c r="C558" s="1712"/>
      <c r="D558" s="1712"/>
      <c r="E558" s="1712"/>
      <c r="F558" s="1712"/>
      <c r="G558" s="1712"/>
      <c r="H558" s="1712"/>
    </row>
    <row r="559" spans="1:9" s="464" customFormat="1" ht="21" customHeight="1">
      <c r="A559" s="1196"/>
      <c r="B559" s="1196"/>
      <c r="C559" s="1196"/>
      <c r="D559" s="1196"/>
      <c r="E559" s="1196"/>
      <c r="F559" s="1181"/>
      <c r="G559" s="1196"/>
      <c r="H559" s="1196"/>
    </row>
    <row r="560" spans="1:9" s="513" customFormat="1" ht="21" customHeight="1">
      <c r="A560" s="1191"/>
      <c r="B560" s="1191"/>
      <c r="C560" s="1191"/>
      <c r="D560" s="1191"/>
      <c r="E560" s="1191"/>
      <c r="F560" s="1192"/>
      <c r="G560" s="1191"/>
      <c r="H560" s="1191"/>
    </row>
    <row r="561" spans="1:9" s="464" customFormat="1">
      <c r="A561" s="1140"/>
      <c r="B561" s="1140"/>
      <c r="C561" s="1140"/>
      <c r="D561" s="1140"/>
      <c r="E561" s="1140"/>
      <c r="F561" s="1141"/>
      <c r="G561" s="1140"/>
      <c r="H561" s="1140"/>
      <c r="I561" s="1915">
        <v>20</v>
      </c>
    </row>
    <row r="562" spans="1:9" s="464" customFormat="1" ht="21" customHeight="1">
      <c r="A562" s="1798" t="s">
        <v>84</v>
      </c>
      <c r="B562" s="1809"/>
      <c r="C562" s="1809"/>
      <c r="D562" s="1809"/>
      <c r="E562" s="1809"/>
      <c r="F562" s="1809"/>
      <c r="G562" s="1809"/>
      <c r="H562" s="1809"/>
      <c r="I562" s="1915"/>
    </row>
    <row r="563" spans="1:9" ht="18">
      <c r="A563" s="1798" t="s">
        <v>565</v>
      </c>
      <c r="B563" s="1809"/>
      <c r="C563" s="1809"/>
      <c r="D563" s="1809"/>
      <c r="E563" s="1809"/>
      <c r="F563" s="1809"/>
      <c r="G563" s="1809"/>
      <c r="H563" s="1809"/>
    </row>
    <row r="564" spans="1:9" ht="18">
      <c r="A564" s="1809" t="s">
        <v>180</v>
      </c>
      <c r="B564" s="1809"/>
      <c r="C564" s="1809"/>
      <c r="D564" s="1809"/>
      <c r="E564" s="1809"/>
      <c r="F564" s="1809"/>
      <c r="G564" s="1809"/>
      <c r="H564" s="1809"/>
    </row>
    <row r="565" spans="1:9" ht="18">
      <c r="A565" s="1809" t="s">
        <v>757</v>
      </c>
      <c r="B565" s="1809"/>
      <c r="C565" s="1809"/>
      <c r="D565" s="1809"/>
      <c r="E565" s="1809"/>
      <c r="F565" s="1809"/>
      <c r="G565" s="1809"/>
      <c r="H565" s="1809"/>
    </row>
    <row r="566" spans="1:9" ht="18">
      <c r="A566" s="1809" t="s">
        <v>924</v>
      </c>
      <c r="B566" s="1809"/>
      <c r="C566" s="1809"/>
      <c r="D566" s="1809"/>
      <c r="E566" s="1809"/>
      <c r="F566" s="1809"/>
      <c r="G566" s="1809"/>
      <c r="H566" s="1809"/>
    </row>
    <row r="567" spans="1:9">
      <c r="A567" s="1190"/>
      <c r="B567" s="1171"/>
      <c r="C567" s="1172"/>
      <c r="D567" s="1173"/>
      <c r="E567" s="1173"/>
      <c r="F567" s="1141"/>
      <c r="G567" s="1140"/>
      <c r="H567" s="1174"/>
    </row>
    <row r="568" spans="1:9" ht="18">
      <c r="A568" s="1841" t="s">
        <v>28</v>
      </c>
      <c r="B568" s="1841"/>
      <c r="C568" s="1841"/>
      <c r="D568" s="1841"/>
      <c r="E568" s="1841"/>
      <c r="F568" s="1841"/>
      <c r="G568" s="1841"/>
      <c r="H568" s="1841"/>
    </row>
    <row r="569" spans="1:9" ht="18">
      <c r="A569" s="1796" t="s">
        <v>1093</v>
      </c>
      <c r="B569" s="1797"/>
      <c r="C569" s="1797"/>
      <c r="D569" s="1797"/>
      <c r="E569" s="1797"/>
      <c r="F569" s="1797"/>
      <c r="G569" s="1797"/>
      <c r="H569" s="1797"/>
    </row>
    <row r="570" spans="1:9" ht="47.25" customHeight="1" thickBot="1">
      <c r="A570" s="1890" t="s">
        <v>11</v>
      </c>
      <c r="B570" s="1891"/>
      <c r="C570" s="1891"/>
      <c r="D570" s="1891"/>
      <c r="E570" s="1891"/>
      <c r="F570" s="1892"/>
      <c r="G570" s="1893" t="s">
        <v>518</v>
      </c>
      <c r="H570" s="1888" t="s">
        <v>517</v>
      </c>
      <c r="I570" s="464"/>
    </row>
    <row r="571" spans="1:9" ht="34.5" thickBot="1">
      <c r="A571" s="1198" t="s">
        <v>937</v>
      </c>
      <c r="B571" s="1199" t="s">
        <v>185</v>
      </c>
      <c r="C571" s="1199" t="s">
        <v>938</v>
      </c>
      <c r="D571" s="1199" t="s">
        <v>24</v>
      </c>
      <c r="E571" s="1200" t="s">
        <v>946</v>
      </c>
      <c r="F571" s="1201" t="s">
        <v>22</v>
      </c>
      <c r="G571" s="1894"/>
      <c r="H571" s="1889"/>
      <c r="I571" s="464"/>
    </row>
    <row r="572" spans="1:9" ht="15">
      <c r="A572" s="1031" t="s">
        <v>871</v>
      </c>
      <c r="B572" s="1032" t="s">
        <v>36</v>
      </c>
      <c r="C572" s="1032" t="s">
        <v>36</v>
      </c>
      <c r="D572" s="1032" t="s">
        <v>39</v>
      </c>
      <c r="E572" s="1032" t="s">
        <v>870</v>
      </c>
      <c r="F572" s="665">
        <v>51202</v>
      </c>
      <c r="G572" s="540" t="s">
        <v>566</v>
      </c>
      <c r="H572" s="541">
        <v>6000</v>
      </c>
      <c r="I572" s="464"/>
    </row>
    <row r="573" spans="1:9" s="651" customFormat="1" ht="28.5">
      <c r="A573" s="1031" t="s">
        <v>871</v>
      </c>
      <c r="B573" s="1032" t="s">
        <v>36</v>
      </c>
      <c r="C573" s="1032" t="s">
        <v>36</v>
      </c>
      <c r="D573" s="1032" t="s">
        <v>39</v>
      </c>
      <c r="E573" s="1032" t="s">
        <v>870</v>
      </c>
      <c r="F573" s="666">
        <v>54112</v>
      </c>
      <c r="G573" s="542" t="s">
        <v>574</v>
      </c>
      <c r="H573" s="541">
        <v>1000</v>
      </c>
      <c r="I573" s="656"/>
    </row>
    <row r="574" spans="1:9" ht="28.5">
      <c r="A574" s="1031" t="s">
        <v>871</v>
      </c>
      <c r="B574" s="1032" t="s">
        <v>36</v>
      </c>
      <c r="C574" s="1032" t="s">
        <v>36</v>
      </c>
      <c r="D574" s="1032" t="s">
        <v>39</v>
      </c>
      <c r="E574" s="1032" t="s">
        <v>870</v>
      </c>
      <c r="F574" s="666">
        <v>54118</v>
      </c>
      <c r="G574" s="542" t="s">
        <v>559</v>
      </c>
      <c r="H574" s="541">
        <v>3000</v>
      </c>
      <c r="I574" s="464"/>
    </row>
    <row r="575" spans="1:9" ht="15">
      <c r="A575" s="1031" t="s">
        <v>871</v>
      </c>
      <c r="B575" s="1032" t="s">
        <v>36</v>
      </c>
      <c r="C575" s="1032" t="s">
        <v>36</v>
      </c>
      <c r="D575" s="1032" t="s">
        <v>39</v>
      </c>
      <c r="E575" s="1032" t="s">
        <v>870</v>
      </c>
      <c r="F575" s="666">
        <v>54119</v>
      </c>
      <c r="G575" s="542" t="s">
        <v>953</v>
      </c>
      <c r="H575" s="541">
        <v>6000</v>
      </c>
      <c r="I575" s="464"/>
    </row>
    <row r="576" spans="1:9" ht="29.25" customHeight="1">
      <c r="A576" s="1031" t="s">
        <v>871</v>
      </c>
      <c r="B576" s="1032" t="s">
        <v>36</v>
      </c>
      <c r="C576" s="1032" t="s">
        <v>36</v>
      </c>
      <c r="D576" s="1032" t="s">
        <v>39</v>
      </c>
      <c r="E576" s="1032" t="s">
        <v>870</v>
      </c>
      <c r="F576" s="666">
        <v>54199</v>
      </c>
      <c r="G576" s="542" t="s">
        <v>528</v>
      </c>
      <c r="H576" s="541">
        <v>1000</v>
      </c>
      <c r="I576" s="464"/>
    </row>
    <row r="577" spans="1:16" ht="28.5">
      <c r="A577" s="1031" t="s">
        <v>871</v>
      </c>
      <c r="B577" s="1032" t="s">
        <v>36</v>
      </c>
      <c r="C577" s="1032" t="s">
        <v>36</v>
      </c>
      <c r="D577" s="1032" t="s">
        <v>39</v>
      </c>
      <c r="E577" s="1032" t="s">
        <v>870</v>
      </c>
      <c r="F577" s="666" t="s">
        <v>541</v>
      </c>
      <c r="G577" s="542" t="s">
        <v>542</v>
      </c>
      <c r="H577" s="541">
        <v>2000</v>
      </c>
      <c r="I577" s="464"/>
    </row>
    <row r="578" spans="1:16" ht="28.5">
      <c r="A578" s="1031" t="s">
        <v>871</v>
      </c>
      <c r="B578" s="1032" t="s">
        <v>36</v>
      </c>
      <c r="C578" s="1032" t="s">
        <v>36</v>
      </c>
      <c r="D578" s="1032" t="s">
        <v>39</v>
      </c>
      <c r="E578" s="1032" t="s">
        <v>870</v>
      </c>
      <c r="F578" s="667">
        <v>61608</v>
      </c>
      <c r="G578" s="543" t="s">
        <v>965</v>
      </c>
      <c r="H578" s="544">
        <v>1000</v>
      </c>
      <c r="I578" s="464"/>
    </row>
    <row r="579" spans="1:16" ht="15" customHeight="1" thickBot="1">
      <c r="A579" s="1827" t="s">
        <v>170</v>
      </c>
      <c r="B579" s="1828"/>
      <c r="C579" s="1828"/>
      <c r="D579" s="1828"/>
      <c r="E579" s="1828"/>
      <c r="F579" s="1829"/>
      <c r="G579" s="511"/>
      <c r="H579" s="573">
        <f>SUM(H572:H578)</f>
        <v>20000</v>
      </c>
      <c r="I579" s="464"/>
    </row>
    <row r="580" spans="1:16" ht="14.25" customHeight="1" thickBot="1">
      <c r="A580" s="1170"/>
      <c r="B580" s="1170"/>
      <c r="C580" s="1193"/>
      <c r="D580" s="1194"/>
      <c r="E580" s="1194"/>
      <c r="F580" s="1195"/>
      <c r="G580" s="1140"/>
      <c r="H580" s="1174"/>
      <c r="I580" s="464"/>
    </row>
    <row r="581" spans="1:16" ht="34.5" customHeight="1">
      <c r="A581" s="1883" t="s">
        <v>1038</v>
      </c>
      <c r="B581" s="1884"/>
      <c r="C581" s="1884"/>
      <c r="D581" s="1884"/>
      <c r="E581" s="1884"/>
      <c r="F581" s="1884"/>
      <c r="G581" s="1885" t="s">
        <v>1019</v>
      </c>
      <c r="H581" s="1886"/>
      <c r="I581" s="464"/>
    </row>
    <row r="582" spans="1:16" s="464" customFormat="1" ht="28.15" customHeight="1">
      <c r="A582" s="1838" t="s">
        <v>1075</v>
      </c>
      <c r="B582" s="1839"/>
      <c r="C582" s="1839"/>
      <c r="D582" s="1839"/>
      <c r="E582" s="1839"/>
      <c r="F582" s="1840"/>
      <c r="G582" s="1838" t="s">
        <v>1035</v>
      </c>
      <c r="H582" s="1840"/>
      <c r="J582"/>
      <c r="K582"/>
      <c r="L582"/>
      <c r="M582"/>
      <c r="N582"/>
      <c r="O582"/>
      <c r="P582"/>
    </row>
    <row r="583" spans="1:16" s="464" customFormat="1" ht="42" customHeight="1">
      <c r="A583" s="1838" t="s">
        <v>1118</v>
      </c>
      <c r="B583" s="1839"/>
      <c r="C583" s="1839"/>
      <c r="D583" s="1839"/>
      <c r="E583" s="1839"/>
      <c r="F583" s="1840"/>
      <c r="G583" s="1887" t="s">
        <v>545</v>
      </c>
      <c r="H583" s="1840"/>
      <c r="J583"/>
      <c r="K583"/>
      <c r="L583"/>
      <c r="M583"/>
      <c r="N583"/>
      <c r="O583"/>
      <c r="P583"/>
    </row>
    <row r="584" spans="1:16" s="464" customFormat="1" ht="31.9" customHeight="1" thickBot="1">
      <c r="A584" s="1746" t="s">
        <v>970</v>
      </c>
      <c r="B584" s="1747"/>
      <c r="C584" s="1747"/>
      <c r="D584" s="1747"/>
      <c r="E584" s="1747"/>
      <c r="F584" s="1748"/>
      <c r="G584" s="1749" t="s">
        <v>546</v>
      </c>
      <c r="H584" s="1748"/>
      <c r="J584"/>
      <c r="K584"/>
      <c r="L584"/>
      <c r="M584"/>
      <c r="N584"/>
      <c r="O584"/>
      <c r="P584"/>
    </row>
    <row r="585" spans="1:16" s="464" customFormat="1">
      <c r="A585" s="1170"/>
      <c r="B585" s="1171"/>
      <c r="C585" s="1172"/>
      <c r="D585" s="1173"/>
      <c r="E585" s="1173"/>
      <c r="F585" s="1141"/>
      <c r="G585" s="1140"/>
      <c r="H585" s="1174"/>
    </row>
    <row r="586" spans="1:16" ht="36.6" customHeight="1">
      <c r="A586" s="1712" t="s">
        <v>1123</v>
      </c>
      <c r="B586" s="1712"/>
      <c r="C586" s="1712"/>
      <c r="D586" s="1712"/>
      <c r="E586" s="1712"/>
      <c r="F586" s="1712"/>
      <c r="G586" s="1712"/>
      <c r="H586" s="1712"/>
    </row>
    <row r="587" spans="1:16">
      <c r="A587" s="1111"/>
      <c r="B587" s="1111"/>
      <c r="C587" s="1111"/>
      <c r="D587" s="1111"/>
      <c r="E587" s="1111"/>
      <c r="F587" s="1202"/>
      <c r="G587" s="1111"/>
      <c r="H587" s="1111"/>
    </row>
    <row r="588" spans="1:16">
      <c r="A588" s="1142"/>
      <c r="B588" s="1143"/>
      <c r="C588" s="1144"/>
      <c r="D588" s="1145"/>
      <c r="E588" s="1145"/>
      <c r="F588" s="1120"/>
      <c r="G588" s="1089"/>
      <c r="H588" s="1146"/>
    </row>
    <row r="589" spans="1:16">
      <c r="A589" s="1111"/>
      <c r="B589" s="1122"/>
      <c r="C589" s="1123"/>
      <c r="D589" s="1124"/>
      <c r="E589" s="1124"/>
      <c r="F589" s="1125"/>
      <c r="G589" s="1114"/>
      <c r="H589" s="1115"/>
      <c r="I589" s="1915">
        <v>21</v>
      </c>
    </row>
    <row r="590" spans="1:16" ht="18">
      <c r="A590" s="1787" t="s">
        <v>84</v>
      </c>
      <c r="B590" s="1462"/>
      <c r="C590" s="1462"/>
      <c r="D590" s="1462"/>
      <c r="E590" s="1462"/>
      <c r="F590" s="1462"/>
      <c r="G590" s="1462"/>
      <c r="H590" s="1462"/>
      <c r="I590" s="1915"/>
    </row>
    <row r="591" spans="1:16" ht="18">
      <c r="A591" s="1787" t="s">
        <v>565</v>
      </c>
      <c r="B591" s="1462"/>
      <c r="C591" s="1462"/>
      <c r="D591" s="1462"/>
      <c r="E591" s="1462"/>
      <c r="F591" s="1462"/>
      <c r="G591" s="1462"/>
      <c r="H591" s="1462"/>
    </row>
    <row r="592" spans="1:16" ht="18">
      <c r="A592" s="1788" t="s">
        <v>180</v>
      </c>
      <c r="B592" s="1462"/>
      <c r="C592" s="1462"/>
      <c r="D592" s="1462"/>
      <c r="E592" s="1462"/>
      <c r="F592" s="1462"/>
      <c r="G592" s="1462"/>
      <c r="H592" s="1462"/>
    </row>
    <row r="593" spans="1:8" ht="18">
      <c r="A593" s="1788" t="s">
        <v>757</v>
      </c>
      <c r="B593" s="1462"/>
      <c r="C593" s="1462"/>
      <c r="D593" s="1462"/>
      <c r="E593" s="1462"/>
      <c r="F593" s="1462"/>
      <c r="G593" s="1462"/>
      <c r="H593" s="1462"/>
    </row>
    <row r="594" spans="1:8" ht="37.5" customHeight="1">
      <c r="A594" s="1788" t="s">
        <v>924</v>
      </c>
      <c r="B594" s="1462"/>
      <c r="C594" s="1462"/>
      <c r="D594" s="1462"/>
      <c r="E594" s="1462"/>
      <c r="F594" s="1462"/>
      <c r="G594" s="1462"/>
      <c r="H594" s="1462"/>
    </row>
    <row r="595" spans="1:8">
      <c r="A595" s="1121"/>
      <c r="B595" s="1122"/>
      <c r="C595" s="1123"/>
      <c r="D595" s="1124"/>
      <c r="E595" s="1124"/>
      <c r="F595" s="1125"/>
      <c r="G595" s="1114"/>
      <c r="H595" s="1115"/>
    </row>
    <row r="596" spans="1:8" ht="18">
      <c r="A596" s="1841" t="s">
        <v>1023</v>
      </c>
      <c r="B596" s="1841"/>
      <c r="C596" s="1841"/>
      <c r="D596" s="1841"/>
      <c r="E596" s="1841"/>
      <c r="F596" s="1841"/>
      <c r="G596" s="1841"/>
      <c r="H596" s="1841"/>
    </row>
    <row r="597" spans="1:8" ht="18.75" thickBot="1">
      <c r="A597" s="1796" t="s">
        <v>1076</v>
      </c>
      <c r="B597" s="1797"/>
      <c r="C597" s="1797"/>
      <c r="D597" s="1797"/>
      <c r="E597" s="1797"/>
      <c r="F597" s="1797"/>
      <c r="G597" s="1797"/>
      <c r="H597" s="1797"/>
    </row>
    <row r="598" spans="1:8" ht="13.5" thickBot="1">
      <c r="A598" s="1757" t="s">
        <v>11</v>
      </c>
      <c r="B598" s="1896"/>
      <c r="C598" s="1896"/>
      <c r="D598" s="1896"/>
      <c r="E598" s="1896"/>
      <c r="F598" s="1897"/>
      <c r="G598" s="1760" t="s">
        <v>518</v>
      </c>
      <c r="H598" s="1762" t="s">
        <v>517</v>
      </c>
    </row>
    <row r="599" spans="1:8" ht="48.75" thickBot="1">
      <c r="A599" s="1107" t="s">
        <v>937</v>
      </c>
      <c r="B599" s="1108" t="s">
        <v>185</v>
      </c>
      <c r="C599" s="1108" t="s">
        <v>938</v>
      </c>
      <c r="D599" s="1108" t="s">
        <v>24</v>
      </c>
      <c r="E599" s="1109" t="s">
        <v>946</v>
      </c>
      <c r="F599" s="1110" t="s">
        <v>22</v>
      </c>
      <c r="G599" s="1794"/>
      <c r="H599" s="1763"/>
    </row>
    <row r="600" spans="1:8" ht="14.25">
      <c r="A600" s="679" t="s">
        <v>871</v>
      </c>
      <c r="B600" s="680" t="s">
        <v>36</v>
      </c>
      <c r="C600" s="680" t="s">
        <v>36</v>
      </c>
      <c r="D600" s="680" t="s">
        <v>39</v>
      </c>
      <c r="E600" s="680" t="s">
        <v>870</v>
      </c>
      <c r="F600" s="516">
        <v>51202</v>
      </c>
      <c r="G600" s="210" t="s">
        <v>566</v>
      </c>
      <c r="H600" s="211">
        <v>20000</v>
      </c>
    </row>
    <row r="601" spans="1:8" ht="14.25">
      <c r="A601" s="679" t="s">
        <v>871</v>
      </c>
      <c r="B601" s="680" t="s">
        <v>36</v>
      </c>
      <c r="C601" s="680" t="s">
        <v>36</v>
      </c>
      <c r="D601" s="680" t="s">
        <v>39</v>
      </c>
      <c r="E601" s="680" t="s">
        <v>870</v>
      </c>
      <c r="F601" s="516">
        <v>54107</v>
      </c>
      <c r="G601" s="210" t="s">
        <v>837</v>
      </c>
      <c r="H601" s="211">
        <v>900</v>
      </c>
    </row>
    <row r="602" spans="1:8" ht="28.5">
      <c r="A602" s="679" t="s">
        <v>871</v>
      </c>
      <c r="B602" s="680" t="s">
        <v>36</v>
      </c>
      <c r="C602" s="680" t="s">
        <v>36</v>
      </c>
      <c r="D602" s="680" t="s">
        <v>39</v>
      </c>
      <c r="E602" s="680" t="s">
        <v>870</v>
      </c>
      <c r="F602" s="516">
        <v>54111</v>
      </c>
      <c r="G602" s="210" t="s">
        <v>573</v>
      </c>
      <c r="H602" s="211">
        <f>9000-2000</f>
        <v>7000</v>
      </c>
    </row>
    <row r="603" spans="1:8" ht="27" customHeight="1">
      <c r="A603" s="679" t="s">
        <v>871</v>
      </c>
      <c r="B603" s="680" t="s">
        <v>36</v>
      </c>
      <c r="C603" s="680" t="s">
        <v>36</v>
      </c>
      <c r="D603" s="680" t="s">
        <v>39</v>
      </c>
      <c r="E603" s="680" t="s">
        <v>870</v>
      </c>
      <c r="F603" s="516">
        <v>54118</v>
      </c>
      <c r="G603" s="210" t="s">
        <v>559</v>
      </c>
      <c r="H603" s="211">
        <v>1500</v>
      </c>
    </row>
    <row r="604" spans="1:8" ht="28.5">
      <c r="A604" s="679" t="s">
        <v>871</v>
      </c>
      <c r="B604" s="680" t="s">
        <v>36</v>
      </c>
      <c r="C604" s="680" t="s">
        <v>36</v>
      </c>
      <c r="D604" s="680" t="s">
        <v>39</v>
      </c>
      <c r="E604" s="680" t="s">
        <v>870</v>
      </c>
      <c r="F604" s="516" t="s">
        <v>541</v>
      </c>
      <c r="G604" s="210" t="s">
        <v>542</v>
      </c>
      <c r="H604" s="211">
        <v>2000</v>
      </c>
    </row>
    <row r="605" spans="1:8" ht="28.5">
      <c r="A605" s="679" t="s">
        <v>871</v>
      </c>
      <c r="B605" s="680" t="s">
        <v>36</v>
      </c>
      <c r="C605" s="680" t="s">
        <v>36</v>
      </c>
      <c r="D605" s="680" t="s">
        <v>39</v>
      </c>
      <c r="E605" s="680" t="s">
        <v>870</v>
      </c>
      <c r="F605" s="514">
        <v>54316</v>
      </c>
      <c r="G605" s="212" t="s">
        <v>575</v>
      </c>
      <c r="H605" s="211">
        <f>12000-2250</f>
        <v>9750</v>
      </c>
    </row>
    <row r="606" spans="1:8" s="651" customFormat="1" ht="29.25" customHeight="1">
      <c r="A606" s="679" t="s">
        <v>871</v>
      </c>
      <c r="B606" s="680" t="s">
        <v>36</v>
      </c>
      <c r="C606" s="680" t="s">
        <v>36</v>
      </c>
      <c r="D606" s="680" t="s">
        <v>39</v>
      </c>
      <c r="E606" s="680" t="s">
        <v>870</v>
      </c>
      <c r="F606" s="514">
        <v>61109</v>
      </c>
      <c r="G606" s="212" t="s">
        <v>1077</v>
      </c>
      <c r="H606" s="250">
        <v>3000</v>
      </c>
    </row>
    <row r="607" spans="1:8" s="651" customFormat="1" ht="38.25" customHeight="1">
      <c r="A607" s="679" t="s">
        <v>871</v>
      </c>
      <c r="B607" s="680" t="s">
        <v>36</v>
      </c>
      <c r="C607" s="680" t="s">
        <v>36</v>
      </c>
      <c r="D607" s="680" t="s">
        <v>39</v>
      </c>
      <c r="E607" s="680" t="s">
        <v>870</v>
      </c>
      <c r="F607" s="514">
        <v>61608</v>
      </c>
      <c r="G607" s="212" t="s">
        <v>965</v>
      </c>
      <c r="H607" s="250">
        <v>5850</v>
      </c>
    </row>
    <row r="608" spans="1:8" s="651" customFormat="1" ht="43.15" customHeight="1" thickBot="1">
      <c r="A608" s="1827" t="s">
        <v>170</v>
      </c>
      <c r="B608" s="1828"/>
      <c r="C608" s="1828"/>
      <c r="D608" s="1828"/>
      <c r="E608" s="1828"/>
      <c r="F608" s="1829"/>
      <c r="G608" s="511"/>
      <c r="H608" s="573">
        <f>SUM(H600:H607)</f>
        <v>50000</v>
      </c>
    </row>
    <row r="609" spans="1:9" s="651" customFormat="1" ht="24" customHeight="1" thickBot="1">
      <c r="A609" s="1111"/>
      <c r="B609" s="1111"/>
      <c r="C609" s="1112"/>
      <c r="D609" s="1113"/>
      <c r="E609" s="1113"/>
      <c r="F609" s="1127"/>
      <c r="G609" s="1114"/>
      <c r="H609" s="1115"/>
    </row>
    <row r="610" spans="1:9" ht="26.45" customHeight="1">
      <c r="A610" s="1767" t="s">
        <v>1038</v>
      </c>
      <c r="B610" s="1804"/>
      <c r="C610" s="1804"/>
      <c r="D610" s="1804"/>
      <c r="E610" s="1804"/>
      <c r="F610" s="1804"/>
      <c r="G610" s="1736" t="s">
        <v>1019</v>
      </c>
      <c r="H610" s="1737"/>
    </row>
    <row r="611" spans="1:9" ht="36" customHeight="1">
      <c r="A611" s="1898" t="s">
        <v>1078</v>
      </c>
      <c r="B611" s="1899"/>
      <c r="C611" s="1899"/>
      <c r="D611" s="1899"/>
      <c r="E611" s="1899"/>
      <c r="F611" s="1900"/>
      <c r="G611" s="1901" t="s">
        <v>1055</v>
      </c>
      <c r="H611" s="1739"/>
    </row>
    <row r="612" spans="1:9">
      <c r="A612" s="1902" t="s">
        <v>1119</v>
      </c>
      <c r="B612" s="1903"/>
      <c r="C612" s="1903"/>
      <c r="D612" s="1903"/>
      <c r="E612" s="1903"/>
      <c r="F612" s="1904"/>
      <c r="G612" s="1874" t="s">
        <v>545</v>
      </c>
      <c r="H612" s="1875"/>
    </row>
    <row r="613" spans="1:9" s="513" customFormat="1" ht="30.6" customHeight="1">
      <c r="A613" s="1905"/>
      <c r="B613" s="1906"/>
      <c r="C613" s="1906"/>
      <c r="D613" s="1906"/>
      <c r="E613" s="1906"/>
      <c r="F613" s="1907"/>
      <c r="G613" s="1731"/>
      <c r="H613" s="1855"/>
    </row>
    <row r="614" spans="1:9" ht="28.15" customHeight="1" thickBot="1">
      <c r="A614" s="1724" t="s">
        <v>1094</v>
      </c>
      <c r="B614" s="1732"/>
      <c r="C614" s="1732"/>
      <c r="D614" s="1732"/>
      <c r="E614" s="1732"/>
      <c r="F614" s="1733"/>
      <c r="G614" s="1727" t="s">
        <v>546</v>
      </c>
      <c r="H614" s="1733"/>
    </row>
    <row r="615" spans="1:9">
      <c r="A615" s="1111"/>
      <c r="B615" s="1122"/>
      <c r="C615" s="1123"/>
      <c r="D615" s="1124"/>
      <c r="E615" s="1124"/>
      <c r="F615" s="1125"/>
      <c r="G615" s="1114"/>
      <c r="H615" s="1115"/>
    </row>
    <row r="616" spans="1:9" ht="36.6" customHeight="1">
      <c r="A616" s="1712" t="s">
        <v>1123</v>
      </c>
      <c r="B616" s="1712"/>
      <c r="C616" s="1712"/>
      <c r="D616" s="1712"/>
      <c r="E616" s="1712"/>
      <c r="F616" s="1712"/>
      <c r="G616" s="1712"/>
      <c r="H616" s="1712"/>
    </row>
    <row r="617" spans="1:9">
      <c r="A617" s="1111"/>
      <c r="B617" s="1122"/>
      <c r="C617" s="1123"/>
      <c r="D617" s="1124"/>
      <c r="E617" s="1124"/>
      <c r="F617" s="1125"/>
      <c r="G617" s="1114"/>
      <c r="H617" s="1115"/>
    </row>
    <row r="618" spans="1:9">
      <c r="A618" s="1142"/>
      <c r="B618" s="1143"/>
      <c r="C618" s="1144"/>
      <c r="D618" s="1145"/>
      <c r="E618" s="1145"/>
      <c r="F618" s="1120"/>
      <c r="G618" s="1089"/>
      <c r="H618" s="1146"/>
      <c r="I618" s="1915">
        <v>22</v>
      </c>
    </row>
    <row r="619" spans="1:9" ht="18">
      <c r="A619" s="1798" t="s">
        <v>84</v>
      </c>
      <c r="B619" s="1809"/>
      <c r="C619" s="1809"/>
      <c r="D619" s="1809"/>
      <c r="E619" s="1809"/>
      <c r="F619" s="1809"/>
      <c r="G619" s="1809"/>
      <c r="H619" s="1809"/>
      <c r="I619" s="1915"/>
    </row>
    <row r="620" spans="1:9" ht="18">
      <c r="A620" s="1798" t="s">
        <v>565</v>
      </c>
      <c r="B620" s="1809"/>
      <c r="C620" s="1809"/>
      <c r="D620" s="1809"/>
      <c r="E620" s="1809"/>
      <c r="F620" s="1809"/>
      <c r="G620" s="1809"/>
      <c r="H620" s="1809"/>
    </row>
    <row r="621" spans="1:9" ht="18">
      <c r="A621" s="1809" t="s">
        <v>180</v>
      </c>
      <c r="B621" s="1809"/>
      <c r="C621" s="1809"/>
      <c r="D621" s="1809"/>
      <c r="E621" s="1809"/>
      <c r="F621" s="1809"/>
      <c r="G621" s="1809"/>
      <c r="H621" s="1809"/>
      <c r="I621" s="1074"/>
    </row>
    <row r="622" spans="1:9" ht="37.5" customHeight="1">
      <c r="A622" s="1809" t="s">
        <v>757</v>
      </c>
      <c r="B622" s="1809"/>
      <c r="C622" s="1809"/>
      <c r="D622" s="1809"/>
      <c r="E622" s="1809"/>
      <c r="F622" s="1809"/>
      <c r="G622" s="1809"/>
      <c r="H622" s="1809"/>
    </row>
    <row r="623" spans="1:9" ht="18">
      <c r="A623" s="1809" t="s">
        <v>924</v>
      </c>
      <c r="B623" s="1809"/>
      <c r="C623" s="1809"/>
      <c r="D623" s="1809"/>
      <c r="E623" s="1809"/>
      <c r="F623" s="1809"/>
      <c r="G623" s="1809"/>
      <c r="H623" s="1809"/>
    </row>
    <row r="624" spans="1:9">
      <c r="A624" s="1190"/>
      <c r="B624" s="1171"/>
      <c r="C624" s="1172"/>
      <c r="D624" s="1173"/>
      <c r="E624" s="1173"/>
      <c r="F624" s="1141"/>
      <c r="G624" s="1140"/>
      <c r="H624" s="1174"/>
    </row>
    <row r="625" spans="1:9" ht="18">
      <c r="A625" s="1841" t="s">
        <v>1023</v>
      </c>
      <c r="B625" s="1841"/>
      <c r="C625" s="1841"/>
      <c r="D625" s="1841"/>
      <c r="E625" s="1841"/>
      <c r="F625" s="1841"/>
      <c r="G625" s="1841"/>
      <c r="H625" s="1841"/>
    </row>
    <row r="626" spans="1:9" ht="18">
      <c r="A626" s="1796" t="s">
        <v>874</v>
      </c>
      <c r="B626" s="1797"/>
      <c r="C626" s="1797"/>
      <c r="D626" s="1797"/>
      <c r="E626" s="1797"/>
      <c r="F626" s="1797"/>
      <c r="G626" s="1797"/>
      <c r="H626" s="1797"/>
    </row>
    <row r="627" spans="1:9" ht="13.5" thickBot="1">
      <c r="A627" s="1890" t="s">
        <v>11</v>
      </c>
      <c r="B627" s="1891"/>
      <c r="C627" s="1891"/>
      <c r="D627" s="1891"/>
      <c r="E627" s="1891"/>
      <c r="F627" s="1892"/>
      <c r="G627" s="1893" t="s">
        <v>518</v>
      </c>
      <c r="H627" s="1888" t="s">
        <v>517</v>
      </c>
    </row>
    <row r="628" spans="1:9" ht="48.75" thickBot="1">
      <c r="A628" s="1203" t="s">
        <v>937</v>
      </c>
      <c r="B628" s="1204" t="s">
        <v>185</v>
      </c>
      <c r="C628" s="1204" t="s">
        <v>938</v>
      </c>
      <c r="D628" s="1204" t="s">
        <v>24</v>
      </c>
      <c r="E628" s="1205" t="s">
        <v>946</v>
      </c>
      <c r="F628" s="1206" t="s">
        <v>22</v>
      </c>
      <c r="G628" s="1894"/>
      <c r="H628" s="1889"/>
    </row>
    <row r="629" spans="1:9" ht="33.75" customHeight="1">
      <c r="A629" s="538" t="s">
        <v>871</v>
      </c>
      <c r="B629" s="539" t="s">
        <v>36</v>
      </c>
      <c r="C629" s="539" t="s">
        <v>36</v>
      </c>
      <c r="D629" s="539" t="s">
        <v>39</v>
      </c>
      <c r="E629" s="539" t="s">
        <v>870</v>
      </c>
      <c r="F629" s="665">
        <v>61201</v>
      </c>
      <c r="G629" s="540" t="s">
        <v>739</v>
      </c>
      <c r="H629" s="541">
        <v>125000</v>
      </c>
    </row>
    <row r="630" spans="1:9" ht="31.5" customHeight="1" thickBot="1">
      <c r="A630" s="1827" t="s">
        <v>170</v>
      </c>
      <c r="B630" s="1828"/>
      <c r="C630" s="1828"/>
      <c r="D630" s="1828"/>
      <c r="E630" s="1828"/>
      <c r="F630" s="1829"/>
      <c r="G630" s="511"/>
      <c r="H630" s="512">
        <f>SUM(H629:H629)</f>
        <v>125000</v>
      </c>
    </row>
    <row r="631" spans="1:9" ht="13.5" thickBot="1">
      <c r="A631" s="1170"/>
      <c r="B631" s="1170"/>
      <c r="C631" s="1193"/>
      <c r="D631" s="1194"/>
      <c r="E631" s="1194"/>
      <c r="F631" s="1195"/>
      <c r="G631" s="1140"/>
      <c r="H631" s="1174"/>
    </row>
    <row r="632" spans="1:9">
      <c r="A632" s="1883" t="s">
        <v>1038</v>
      </c>
      <c r="B632" s="1884"/>
      <c r="C632" s="1884"/>
      <c r="D632" s="1884"/>
      <c r="E632" s="1884"/>
      <c r="F632" s="1884"/>
      <c r="G632" s="1913" t="s">
        <v>814</v>
      </c>
      <c r="H632" s="1914"/>
    </row>
    <row r="633" spans="1:9">
      <c r="A633" s="1838" t="s">
        <v>874</v>
      </c>
      <c r="B633" s="1839"/>
      <c r="C633" s="1839"/>
      <c r="D633" s="1839"/>
      <c r="E633" s="1839"/>
      <c r="F633" s="1840"/>
      <c r="G633" s="1838" t="s">
        <v>1035</v>
      </c>
      <c r="H633" s="1840"/>
    </row>
    <row r="634" spans="1:9">
      <c r="A634" s="1838" t="s">
        <v>1120</v>
      </c>
      <c r="B634" s="1839"/>
      <c r="C634" s="1839"/>
      <c r="D634" s="1839"/>
      <c r="E634" s="1839"/>
      <c r="F634" s="1840"/>
      <c r="G634" s="1887" t="s">
        <v>554</v>
      </c>
      <c r="H634" s="1840"/>
    </row>
    <row r="635" spans="1:9" ht="32.450000000000003" customHeight="1" thickBot="1">
      <c r="A635" s="1746" t="s">
        <v>1079</v>
      </c>
      <c r="B635" s="1747"/>
      <c r="C635" s="1747"/>
      <c r="D635" s="1747"/>
      <c r="E635" s="1747"/>
      <c r="F635" s="1748"/>
      <c r="G635" s="1749" t="s">
        <v>546</v>
      </c>
      <c r="H635" s="1748"/>
    </row>
    <row r="636" spans="1:9" ht="31.5" customHeight="1">
      <c r="A636" s="1170"/>
      <c r="B636" s="1171"/>
      <c r="C636" s="1172"/>
      <c r="D636" s="1173"/>
      <c r="E636" s="1173"/>
      <c r="F636" s="1141"/>
      <c r="G636" s="1140"/>
      <c r="H636" s="1174"/>
    </row>
    <row r="637" spans="1:9" ht="36.6" customHeight="1">
      <c r="A637" s="1712" t="s">
        <v>1123</v>
      </c>
      <c r="B637" s="1712"/>
      <c r="C637" s="1712"/>
      <c r="D637" s="1712"/>
      <c r="E637" s="1712"/>
      <c r="F637" s="1712"/>
      <c r="G637" s="1712"/>
      <c r="H637" s="1712"/>
    </row>
    <row r="638" spans="1:9" s="651" customFormat="1" ht="26.25" customHeight="1">
      <c r="A638" s="1170"/>
      <c r="B638" s="1171"/>
      <c r="C638" s="1172"/>
      <c r="D638" s="1173"/>
      <c r="E638" s="1173"/>
      <c r="F638" s="1141"/>
      <c r="G638" s="1140"/>
      <c r="H638" s="1174"/>
    </row>
    <row r="639" spans="1:9" s="651" customFormat="1" ht="24" customHeight="1">
      <c r="A639" s="1142"/>
      <c r="B639" s="1143"/>
      <c r="C639" s="1144"/>
      <c r="D639" s="1145"/>
      <c r="E639" s="1145"/>
      <c r="F639" s="1120"/>
      <c r="G639" s="1089"/>
      <c r="H639" s="1146"/>
    </row>
    <row r="640" spans="1:9">
      <c r="A640" s="1111"/>
      <c r="B640" s="1122"/>
      <c r="C640" s="1123"/>
      <c r="D640" s="1124"/>
      <c r="E640" s="1124"/>
      <c r="F640" s="1125"/>
      <c r="G640" s="1114"/>
      <c r="H640" s="1115"/>
      <c r="I640" s="1915">
        <v>23</v>
      </c>
    </row>
    <row r="641" spans="1:9" ht="42" customHeight="1">
      <c r="A641" s="1895" t="s">
        <v>84</v>
      </c>
      <c r="B641" s="1895"/>
      <c r="C641" s="1895"/>
      <c r="D641" s="1895"/>
      <c r="E641" s="1895"/>
      <c r="F641" s="1895"/>
      <c r="G641" s="1895"/>
      <c r="H641" s="1895"/>
      <c r="I641" s="1915"/>
    </row>
    <row r="642" spans="1:9" ht="18">
      <c r="A642" s="1895" t="s">
        <v>565</v>
      </c>
      <c r="B642" s="1895"/>
      <c r="C642" s="1895"/>
      <c r="D642" s="1895"/>
      <c r="E642" s="1895"/>
      <c r="F642" s="1895"/>
      <c r="G642" s="1895"/>
      <c r="H642" s="1895"/>
    </row>
    <row r="643" spans="1:9" s="513" customFormat="1" ht="18">
      <c r="A643" s="1841" t="s">
        <v>180</v>
      </c>
      <c r="B643" s="1841"/>
      <c r="C643" s="1841"/>
      <c r="D643" s="1841"/>
      <c r="E643" s="1841"/>
      <c r="F643" s="1841"/>
      <c r="G643" s="1841"/>
      <c r="H643" s="1841"/>
    </row>
    <row r="644" spans="1:9" ht="18">
      <c r="A644" s="1841" t="s">
        <v>757</v>
      </c>
      <c r="B644" s="1841"/>
      <c r="C644" s="1841"/>
      <c r="D644" s="1841"/>
      <c r="E644" s="1841"/>
      <c r="F644" s="1841"/>
      <c r="G644" s="1841"/>
      <c r="H644" s="1841"/>
    </row>
    <row r="645" spans="1:9" ht="18">
      <c r="A645" s="1841" t="s">
        <v>924</v>
      </c>
      <c r="B645" s="1841"/>
      <c r="C645" s="1841"/>
      <c r="D645" s="1841"/>
      <c r="E645" s="1841"/>
      <c r="F645" s="1841"/>
      <c r="G645" s="1841"/>
      <c r="H645" s="1841"/>
    </row>
    <row r="646" spans="1:9" ht="18">
      <c r="A646" s="1025"/>
      <c r="B646" s="1026"/>
      <c r="C646" s="1027"/>
      <c r="D646" s="1076"/>
      <c r="E646" s="1076"/>
      <c r="F646" s="1028"/>
      <c r="G646" s="1029"/>
      <c r="H646" s="1030"/>
    </row>
    <row r="647" spans="1:9" ht="18">
      <c r="A647" s="1826" t="s">
        <v>1023</v>
      </c>
      <c r="B647" s="1826"/>
      <c r="C647" s="1826"/>
      <c r="D647" s="1826"/>
      <c r="E647" s="1826"/>
      <c r="F647" s="1826"/>
      <c r="G647" s="1826"/>
      <c r="H647" s="1826"/>
    </row>
    <row r="648" spans="1:9" ht="18">
      <c r="A648" s="1908" t="s">
        <v>1080</v>
      </c>
      <c r="B648" s="1909"/>
      <c r="C648" s="1909"/>
      <c r="D648" s="1909"/>
      <c r="E648" s="1909"/>
      <c r="F648" s="1909"/>
      <c r="G648" s="1909"/>
      <c r="H648" s="1910"/>
    </row>
    <row r="649" spans="1:9" ht="13.5" thickBot="1">
      <c r="A649" s="1861" t="s">
        <v>11</v>
      </c>
      <c r="B649" s="1862"/>
      <c r="C649" s="1862"/>
      <c r="D649" s="1862"/>
      <c r="E649" s="1862"/>
      <c r="F649" s="1863"/>
      <c r="G649" s="1867" t="s">
        <v>518</v>
      </c>
      <c r="H649" s="1860" t="s">
        <v>517</v>
      </c>
    </row>
    <row r="650" spans="1:9" ht="48.75" thickBot="1">
      <c r="A650" s="1107" t="s">
        <v>937</v>
      </c>
      <c r="B650" s="1108" t="s">
        <v>185</v>
      </c>
      <c r="C650" s="1108" t="s">
        <v>938</v>
      </c>
      <c r="D650" s="1108" t="s">
        <v>24</v>
      </c>
      <c r="E650" s="1109" t="s">
        <v>946</v>
      </c>
      <c r="F650" s="1110" t="s">
        <v>22</v>
      </c>
      <c r="G650" s="1761"/>
      <c r="H650" s="1763"/>
    </row>
    <row r="651" spans="1:9" ht="37.5" customHeight="1">
      <c r="A651" s="1031" t="s">
        <v>871</v>
      </c>
      <c r="B651" s="1032" t="s">
        <v>36</v>
      </c>
      <c r="C651" s="1032" t="s">
        <v>36</v>
      </c>
      <c r="D651" s="1032" t="s">
        <v>39</v>
      </c>
      <c r="E651" s="1032" t="s">
        <v>870</v>
      </c>
      <c r="F651" s="516">
        <v>51202</v>
      </c>
      <c r="G651" s="210" t="s">
        <v>566</v>
      </c>
      <c r="H651" s="248">
        <v>7000</v>
      </c>
    </row>
    <row r="652" spans="1:9" ht="15">
      <c r="A652" s="1031" t="s">
        <v>871</v>
      </c>
      <c r="B652" s="1032" t="s">
        <v>36</v>
      </c>
      <c r="C652" s="1032" t="s">
        <v>36</v>
      </c>
      <c r="D652" s="1032" t="s">
        <v>39</v>
      </c>
      <c r="E652" s="1032" t="s">
        <v>870</v>
      </c>
      <c r="F652" s="516">
        <v>54107</v>
      </c>
      <c r="G652" s="210" t="s">
        <v>966</v>
      </c>
      <c r="H652" s="248">
        <v>550</v>
      </c>
    </row>
    <row r="653" spans="1:9" ht="28.5">
      <c r="A653" s="1031" t="s">
        <v>871</v>
      </c>
      <c r="B653" s="1032" t="s">
        <v>36</v>
      </c>
      <c r="C653" s="1032" t="s">
        <v>36</v>
      </c>
      <c r="D653" s="1032" t="s">
        <v>39</v>
      </c>
      <c r="E653" s="1032" t="s">
        <v>870</v>
      </c>
      <c r="F653" s="516">
        <v>54111</v>
      </c>
      <c r="G653" s="210" t="s">
        <v>573</v>
      </c>
      <c r="H653" s="248">
        <v>450</v>
      </c>
    </row>
    <row r="654" spans="1:9" ht="19.5" customHeight="1">
      <c r="A654" s="1031" t="s">
        <v>871</v>
      </c>
      <c r="B654" s="1032" t="s">
        <v>36</v>
      </c>
      <c r="C654" s="1032" t="s">
        <v>36</v>
      </c>
      <c r="D654" s="1032" t="s">
        <v>39</v>
      </c>
      <c r="E654" s="1032" t="s">
        <v>870</v>
      </c>
      <c r="F654" s="516">
        <v>54112</v>
      </c>
      <c r="G654" s="210" t="s">
        <v>967</v>
      </c>
      <c r="H654" s="248">
        <v>80</v>
      </c>
    </row>
    <row r="655" spans="1:9" ht="28.5">
      <c r="A655" s="1031" t="s">
        <v>871</v>
      </c>
      <c r="B655" s="1032" t="s">
        <v>36</v>
      </c>
      <c r="C655" s="1032" t="s">
        <v>36</v>
      </c>
      <c r="D655" s="1032" t="s">
        <v>39</v>
      </c>
      <c r="E655" s="1032" t="s">
        <v>870</v>
      </c>
      <c r="F655" s="516">
        <v>54118</v>
      </c>
      <c r="G655" s="210" t="s">
        <v>559</v>
      </c>
      <c r="H655" s="248">
        <v>380</v>
      </c>
    </row>
    <row r="656" spans="1:9" ht="28.5">
      <c r="A656" s="1031" t="s">
        <v>871</v>
      </c>
      <c r="B656" s="1032" t="s">
        <v>36</v>
      </c>
      <c r="C656" s="1032" t="s">
        <v>36</v>
      </c>
      <c r="D656" s="1032" t="s">
        <v>39</v>
      </c>
      <c r="E656" s="1032" t="s">
        <v>870</v>
      </c>
      <c r="F656" s="516">
        <v>54199</v>
      </c>
      <c r="G656" s="210" t="s">
        <v>528</v>
      </c>
      <c r="H656" s="248">
        <v>430</v>
      </c>
    </row>
    <row r="657" spans="1:11" ht="28.15" customHeight="1">
      <c r="A657" s="1031" t="s">
        <v>871</v>
      </c>
      <c r="B657" s="1032" t="s">
        <v>36</v>
      </c>
      <c r="C657" s="1032" t="s">
        <v>36</v>
      </c>
      <c r="D657" s="1032" t="s">
        <v>39</v>
      </c>
      <c r="E657" s="1032" t="s">
        <v>870</v>
      </c>
      <c r="F657" s="516" t="s">
        <v>541</v>
      </c>
      <c r="G657" s="210" t="s">
        <v>542</v>
      </c>
      <c r="H657" s="248">
        <v>290</v>
      </c>
    </row>
    <row r="658" spans="1:11" s="651" customFormat="1" ht="30.75" customHeight="1">
      <c r="A658" s="1031" t="s">
        <v>871</v>
      </c>
      <c r="B658" s="1032" t="s">
        <v>36</v>
      </c>
      <c r="C658" s="1032" t="s">
        <v>36</v>
      </c>
      <c r="D658" s="1032" t="s">
        <v>39</v>
      </c>
      <c r="E658" s="1032" t="s">
        <v>870</v>
      </c>
      <c r="F658" s="514">
        <v>61608</v>
      </c>
      <c r="G658" s="210" t="s">
        <v>965</v>
      </c>
      <c r="H658" s="249">
        <v>820</v>
      </c>
    </row>
    <row r="659" spans="1:11" s="651" customFormat="1" ht="19.899999999999999" customHeight="1" thickBot="1">
      <c r="A659" s="1827" t="s">
        <v>170</v>
      </c>
      <c r="B659" s="1911"/>
      <c r="C659" s="1911"/>
      <c r="D659" s="1911"/>
      <c r="E659" s="1911"/>
      <c r="F659" s="1912"/>
      <c r="G659" s="511"/>
      <c r="H659" s="512">
        <f>SUM(H651:H658)</f>
        <v>10000</v>
      </c>
    </row>
    <row r="660" spans="1:11" s="651" customFormat="1" ht="32.25" customHeight="1" thickBot="1">
      <c r="A660" s="1111"/>
      <c r="B660" s="1111"/>
      <c r="C660" s="1112"/>
      <c r="D660" s="1113"/>
      <c r="E660" s="1113"/>
      <c r="F660" s="1127"/>
      <c r="G660" s="1114"/>
      <c r="H660" s="1115"/>
    </row>
    <row r="661" spans="1:11">
      <c r="A661" s="1767" t="s">
        <v>1038</v>
      </c>
      <c r="B661" s="1768"/>
      <c r="C661" s="1768"/>
      <c r="D661" s="1768"/>
      <c r="E661" s="1768"/>
      <c r="F661" s="1769"/>
      <c r="G661" s="1770" t="s">
        <v>1019</v>
      </c>
      <c r="H661" s="1771"/>
      <c r="K661" s="224" t="s">
        <v>429</v>
      </c>
    </row>
    <row r="662" spans="1:11" ht="40.5" customHeight="1">
      <c r="A662" s="1716" t="s">
        <v>1081</v>
      </c>
      <c r="B662" s="1717"/>
      <c r="C662" s="1717"/>
      <c r="D662" s="1717"/>
      <c r="E662" s="1717"/>
      <c r="F662" s="1718"/>
      <c r="G662" s="1719" t="s">
        <v>1035</v>
      </c>
      <c r="H662" s="1720"/>
    </row>
    <row r="663" spans="1:11" s="464" customFormat="1">
      <c r="A663" s="1721" t="s">
        <v>1121</v>
      </c>
      <c r="B663" s="1722"/>
      <c r="C663" s="1722"/>
      <c r="D663" s="1722"/>
      <c r="E663" s="1722"/>
      <c r="F663" s="1723"/>
      <c r="G663" s="1774" t="s">
        <v>554</v>
      </c>
      <c r="H663" s="1775"/>
    </row>
    <row r="664" spans="1:11" s="513" customFormat="1" ht="13.5" thickBot="1">
      <c r="A664" s="1724" t="s">
        <v>1061</v>
      </c>
      <c r="B664" s="1725"/>
      <c r="C664" s="1725"/>
      <c r="D664" s="1725"/>
      <c r="E664" s="1725"/>
      <c r="F664" s="1726"/>
      <c r="G664" s="1727" t="s">
        <v>546</v>
      </c>
      <c r="H664" s="1728"/>
    </row>
    <row r="665" spans="1:11">
      <c r="A665" s="1116"/>
      <c r="B665" s="1117"/>
      <c r="C665" s="1117"/>
      <c r="D665" s="1117"/>
      <c r="E665" s="1117"/>
      <c r="F665" s="1118"/>
      <c r="G665" s="1119"/>
      <c r="H665" s="1117"/>
    </row>
    <row r="666" spans="1:11" ht="34.9" customHeight="1">
      <c r="A666" s="1712" t="s">
        <v>1123</v>
      </c>
      <c r="B666" s="1712"/>
      <c r="C666" s="1712"/>
      <c r="D666" s="1712"/>
      <c r="E666" s="1712"/>
      <c r="F666" s="1712"/>
      <c r="G666" s="1712"/>
      <c r="H666" s="1712"/>
    </row>
    <row r="667" spans="1:11" ht="18">
      <c r="A667" s="1207"/>
      <c r="B667" s="1207"/>
      <c r="C667" s="1207"/>
      <c r="D667" s="1207"/>
      <c r="E667" s="1207"/>
      <c r="F667" s="1207"/>
      <c r="G667" s="1207"/>
      <c r="H667" s="1207"/>
    </row>
    <row r="669" spans="1:11" ht="15.75">
      <c r="A669" s="1751" t="s">
        <v>84</v>
      </c>
      <c r="B669" s="1751"/>
      <c r="C669" s="1751"/>
      <c r="D669" s="1751"/>
      <c r="E669" s="1751"/>
      <c r="F669" s="1751"/>
      <c r="G669" s="1751"/>
      <c r="H669" s="1751"/>
      <c r="I669" s="1915">
        <v>24</v>
      </c>
    </row>
    <row r="670" spans="1:11" ht="15.75">
      <c r="A670" s="1751" t="s">
        <v>565</v>
      </c>
      <c r="B670" s="1751"/>
      <c r="C670" s="1751"/>
      <c r="D670" s="1751"/>
      <c r="E670" s="1751"/>
      <c r="F670" s="1751"/>
      <c r="G670" s="1751"/>
      <c r="H670" s="1751"/>
      <c r="I670" s="1915"/>
    </row>
    <row r="671" spans="1:11" ht="15.75">
      <c r="A671" s="1752" t="s">
        <v>180</v>
      </c>
      <c r="B671" s="1752"/>
      <c r="C671" s="1752"/>
      <c r="D671" s="1752"/>
      <c r="E671" s="1752"/>
      <c r="F671" s="1752"/>
      <c r="G671" s="1752"/>
      <c r="H671" s="1752"/>
    </row>
    <row r="672" spans="1:11" ht="15.75">
      <c r="A672" s="1752" t="s">
        <v>757</v>
      </c>
      <c r="B672" s="1752"/>
      <c r="C672" s="1752"/>
      <c r="D672" s="1752"/>
      <c r="E672" s="1752"/>
      <c r="F672" s="1752"/>
      <c r="G672" s="1752"/>
      <c r="H672" s="1752"/>
    </row>
    <row r="673" spans="1:10" ht="19.899999999999999" customHeight="1">
      <c r="A673" s="1752" t="s">
        <v>924</v>
      </c>
      <c r="B673" s="1752"/>
      <c r="C673" s="1752"/>
      <c r="D673" s="1752"/>
      <c r="E673" s="1752"/>
      <c r="F673" s="1752"/>
      <c r="G673" s="1752"/>
      <c r="H673" s="1752"/>
    </row>
    <row r="674" spans="1:10" ht="7.15" customHeight="1">
      <c r="A674" s="660"/>
      <c r="B674" s="661"/>
      <c r="C674" s="662"/>
      <c r="D674" s="1075"/>
      <c r="E674" s="1075"/>
      <c r="F674" s="678"/>
      <c r="G674" s="663"/>
      <c r="H674" s="659"/>
    </row>
    <row r="675" spans="1:10" ht="15.75">
      <c r="A675" s="1753" t="s">
        <v>28</v>
      </c>
      <c r="B675" s="1753"/>
      <c r="C675" s="1753"/>
      <c r="D675" s="1753"/>
      <c r="E675" s="1753"/>
      <c r="F675" s="1753"/>
      <c r="G675" s="1753"/>
      <c r="H675" s="1753"/>
    </row>
    <row r="676" spans="1:10" ht="36" customHeight="1" thickBot="1">
      <c r="A676" s="1908" t="s">
        <v>1124</v>
      </c>
      <c r="B676" s="1909"/>
      <c r="C676" s="1909"/>
      <c r="D676" s="1909"/>
      <c r="E676" s="1909"/>
      <c r="F676" s="1909"/>
      <c r="G676" s="1909"/>
      <c r="H676" s="1910"/>
      <c r="J676" s="224" t="s">
        <v>429</v>
      </c>
    </row>
    <row r="677" spans="1:10" ht="13.5" thickBot="1">
      <c r="A677" s="1757" t="s">
        <v>11</v>
      </c>
      <c r="B677" s="1896"/>
      <c r="C677" s="1896"/>
      <c r="D677" s="1896"/>
      <c r="E677" s="1896"/>
      <c r="F677" s="1897"/>
      <c r="G677" s="1760" t="s">
        <v>518</v>
      </c>
      <c r="H677" s="1762" t="s">
        <v>517</v>
      </c>
    </row>
    <row r="678" spans="1:10" ht="48.75" thickBot="1">
      <c r="A678" s="1107" t="s">
        <v>19</v>
      </c>
      <c r="B678" s="1108" t="s">
        <v>997</v>
      </c>
      <c r="C678" s="1108" t="s">
        <v>20</v>
      </c>
      <c r="D678" s="1108" t="s">
        <v>24</v>
      </c>
      <c r="E678" s="1109" t="s">
        <v>21</v>
      </c>
      <c r="F678" s="1110" t="s">
        <v>22</v>
      </c>
      <c r="G678" s="1794"/>
      <c r="H678" s="1763"/>
    </row>
    <row r="679" spans="1:10" ht="15">
      <c r="A679" s="538" t="s">
        <v>871</v>
      </c>
      <c r="B679" s="539" t="s">
        <v>36</v>
      </c>
      <c r="C679" s="539" t="s">
        <v>36</v>
      </c>
      <c r="D679" s="539" t="s">
        <v>39</v>
      </c>
      <c r="E679" s="539" t="s">
        <v>870</v>
      </c>
      <c r="F679" s="1022" t="s">
        <v>179</v>
      </c>
      <c r="G679" s="208" t="s">
        <v>550</v>
      </c>
      <c r="H679" s="10">
        <v>8000</v>
      </c>
    </row>
    <row r="680" spans="1:10" ht="28.5">
      <c r="A680" s="538" t="s">
        <v>871</v>
      </c>
      <c r="B680" s="539" t="s">
        <v>36</v>
      </c>
      <c r="C680" s="539" t="s">
        <v>36</v>
      </c>
      <c r="D680" s="539" t="s">
        <v>39</v>
      </c>
      <c r="E680" s="539" t="s">
        <v>870</v>
      </c>
      <c r="F680" s="1023" t="s">
        <v>551</v>
      </c>
      <c r="G680" s="209" t="s">
        <v>950</v>
      </c>
      <c r="H680" s="10">
        <v>2000</v>
      </c>
    </row>
    <row r="681" spans="1:10" ht="28.5">
      <c r="A681" s="538" t="s">
        <v>871</v>
      </c>
      <c r="B681" s="539" t="s">
        <v>36</v>
      </c>
      <c r="C681" s="539" t="s">
        <v>36</v>
      </c>
      <c r="D681" s="539" t="s">
        <v>39</v>
      </c>
      <c r="E681" s="539" t="s">
        <v>870</v>
      </c>
      <c r="F681" s="3">
        <v>54112</v>
      </c>
      <c r="G681" s="209" t="s">
        <v>951</v>
      </c>
      <c r="H681" s="11">
        <v>2150</v>
      </c>
    </row>
    <row r="682" spans="1:10" ht="28.5">
      <c r="A682" s="538" t="s">
        <v>871</v>
      </c>
      <c r="B682" s="539" t="s">
        <v>36</v>
      </c>
      <c r="C682" s="539" t="s">
        <v>36</v>
      </c>
      <c r="D682" s="539" t="s">
        <v>39</v>
      </c>
      <c r="E682" s="539" t="s">
        <v>870</v>
      </c>
      <c r="F682" s="3">
        <v>54118</v>
      </c>
      <c r="G682" s="209" t="s">
        <v>552</v>
      </c>
      <c r="H682" s="11">
        <v>700</v>
      </c>
    </row>
    <row r="683" spans="1:10" ht="28.5">
      <c r="A683" s="538" t="s">
        <v>871</v>
      </c>
      <c r="B683" s="539" t="s">
        <v>36</v>
      </c>
      <c r="C683" s="539" t="s">
        <v>36</v>
      </c>
      <c r="D683" s="539" t="s">
        <v>39</v>
      </c>
      <c r="E683" s="539" t="s">
        <v>870</v>
      </c>
      <c r="F683" s="3">
        <v>54199</v>
      </c>
      <c r="G683" s="210" t="s">
        <v>998</v>
      </c>
      <c r="H683" s="11">
        <v>900</v>
      </c>
    </row>
    <row r="684" spans="1:10" ht="15">
      <c r="A684" s="538" t="s">
        <v>871</v>
      </c>
      <c r="B684" s="539" t="s">
        <v>36</v>
      </c>
      <c r="C684" s="539" t="s">
        <v>36</v>
      </c>
      <c r="D684" s="539" t="s">
        <v>39</v>
      </c>
      <c r="E684" s="539" t="s">
        <v>870</v>
      </c>
      <c r="F684" s="3">
        <v>34304</v>
      </c>
      <c r="G684" s="210" t="s">
        <v>999</v>
      </c>
      <c r="H684" s="11">
        <v>1000</v>
      </c>
    </row>
    <row r="685" spans="1:10" ht="28.5">
      <c r="A685" s="538" t="s">
        <v>871</v>
      </c>
      <c r="B685" s="539" t="s">
        <v>36</v>
      </c>
      <c r="C685" s="539" t="s">
        <v>36</v>
      </c>
      <c r="D685" s="539" t="s">
        <v>39</v>
      </c>
      <c r="E685" s="539" t="s">
        <v>870</v>
      </c>
      <c r="F685" s="3">
        <v>61608</v>
      </c>
      <c r="G685" s="210" t="s">
        <v>1000</v>
      </c>
      <c r="H685" s="11">
        <v>250</v>
      </c>
    </row>
    <row r="686" spans="1:10" s="651" customFormat="1" ht="30.6" customHeight="1" thickBot="1">
      <c r="A686" s="1713" t="s">
        <v>170</v>
      </c>
      <c r="B686" s="1714"/>
      <c r="C686" s="1714"/>
      <c r="D686" s="1714"/>
      <c r="E686" s="1714"/>
      <c r="F686" s="1715"/>
      <c r="G686" s="511"/>
      <c r="H686" s="1024">
        <f>SUM(H678:H685)</f>
        <v>15000</v>
      </c>
    </row>
    <row r="687" spans="1:10" s="651" customFormat="1" ht="35.25" customHeight="1" thickBot="1">
      <c r="A687" s="1111"/>
      <c r="B687" s="1111"/>
      <c r="C687" s="1112"/>
      <c r="D687" s="1113"/>
      <c r="E687" s="1113"/>
      <c r="F687" s="1113"/>
      <c r="G687" s="1114"/>
      <c r="H687" s="1115"/>
    </row>
    <row r="688" spans="1:10" s="651" customFormat="1" ht="32.450000000000003" customHeight="1">
      <c r="A688" s="1767" t="s">
        <v>1038</v>
      </c>
      <c r="B688" s="1768"/>
      <c r="C688" s="1768"/>
      <c r="D688" s="1768"/>
      <c r="E688" s="1768"/>
      <c r="F688" s="1769"/>
      <c r="G688" s="1770" t="s">
        <v>1019</v>
      </c>
      <c r="H688" s="1771"/>
    </row>
    <row r="689" spans="1:8" s="651" customFormat="1" ht="32.450000000000003" customHeight="1">
      <c r="A689" s="1716" t="s">
        <v>1126</v>
      </c>
      <c r="B689" s="1717"/>
      <c r="C689" s="1717"/>
      <c r="D689" s="1717"/>
      <c r="E689" s="1717"/>
      <c r="F689" s="1718"/>
      <c r="G689" s="1719" t="s">
        <v>1035</v>
      </c>
      <c r="H689" s="1720"/>
    </row>
    <row r="690" spans="1:8" ht="29.45" customHeight="1">
      <c r="A690" s="1721" t="s">
        <v>1125</v>
      </c>
      <c r="B690" s="1722"/>
      <c r="C690" s="1722"/>
      <c r="D690" s="1722"/>
      <c r="E690" s="1722"/>
      <c r="F690" s="1723"/>
      <c r="G690" s="1774" t="s">
        <v>554</v>
      </c>
      <c r="H690" s="1775"/>
    </row>
    <row r="691" spans="1:8" ht="35.450000000000003" customHeight="1" thickBot="1">
      <c r="A691" s="1724" t="s">
        <v>1036</v>
      </c>
      <c r="B691" s="1725"/>
      <c r="C691" s="1725"/>
      <c r="D691" s="1725"/>
      <c r="E691" s="1725"/>
      <c r="F691" s="1726"/>
      <c r="G691" s="1727" t="s">
        <v>546</v>
      </c>
      <c r="H691" s="1728"/>
    </row>
    <row r="692" spans="1:8" ht="20.45" customHeight="1">
      <c r="A692" s="1116"/>
      <c r="B692" s="1117"/>
      <c r="C692" s="1117"/>
      <c r="D692" s="1117"/>
      <c r="E692" s="1117"/>
      <c r="F692" s="1118"/>
      <c r="G692" s="1119"/>
      <c r="H692" s="1117"/>
    </row>
    <row r="693" spans="1:8" ht="34.9" customHeight="1">
      <c r="A693" s="1712" t="s">
        <v>1123</v>
      </c>
      <c r="B693" s="1712"/>
      <c r="C693" s="1712"/>
      <c r="D693" s="1712"/>
      <c r="E693" s="1712"/>
      <c r="F693" s="1712"/>
      <c r="G693" s="1712"/>
      <c r="H693" s="1712"/>
    </row>
    <row r="701" spans="1:8" ht="37.5" customHeight="1"/>
    <row r="708" spans="1:8" ht="30.75" customHeight="1"/>
    <row r="713" spans="1:8" s="651" customFormat="1" ht="28.5" customHeight="1">
      <c r="A713" s="224"/>
      <c r="B713" s="224"/>
      <c r="C713" s="224"/>
      <c r="D713" s="224"/>
      <c r="E713" s="224"/>
      <c r="F713" s="824"/>
      <c r="G713" s="224"/>
      <c r="H713" s="224"/>
    </row>
    <row r="714" spans="1:8" s="651" customFormat="1" ht="35.25" customHeight="1">
      <c r="A714" s="224"/>
      <c r="B714" s="224"/>
      <c r="C714" s="224"/>
      <c r="D714" s="224"/>
      <c r="E714" s="224"/>
      <c r="F714" s="824"/>
      <c r="G714" s="224"/>
      <c r="H714" s="224"/>
    </row>
    <row r="715" spans="1:8" s="651" customFormat="1" ht="45.75" customHeight="1">
      <c r="A715" s="224"/>
      <c r="B715" s="224"/>
      <c r="C715" s="224"/>
      <c r="D715" s="224"/>
      <c r="E715" s="224"/>
      <c r="F715" s="824"/>
      <c r="G715" s="224"/>
      <c r="H715" s="224"/>
    </row>
    <row r="716" spans="1:8" s="651" customFormat="1" ht="27.75" customHeight="1">
      <c r="A716" s="224"/>
      <c r="B716" s="224"/>
      <c r="C716" s="224"/>
      <c r="D716" s="224"/>
      <c r="E716" s="224"/>
      <c r="F716" s="824"/>
      <c r="G716" s="224"/>
      <c r="H716" s="224"/>
    </row>
    <row r="718" spans="1:8" ht="42" customHeight="1"/>
  </sheetData>
  <mergeCells count="530">
    <mergeCell ref="I537:I538"/>
    <mergeCell ref="I561:I562"/>
    <mergeCell ref="I589:I590"/>
    <mergeCell ref="I618:I619"/>
    <mergeCell ref="I640:I641"/>
    <mergeCell ref="I669:I670"/>
    <mergeCell ref="I295:I296"/>
    <mergeCell ref="I321:I322"/>
    <mergeCell ref="I347:I348"/>
    <mergeCell ref="I372:I373"/>
    <mergeCell ref="I400:I401"/>
    <mergeCell ref="I427:I428"/>
    <mergeCell ref="I453:I454"/>
    <mergeCell ref="I484:I485"/>
    <mergeCell ref="I510:I511"/>
    <mergeCell ref="I1:I2"/>
    <mergeCell ref="I30:I31"/>
    <mergeCell ref="I58:I59"/>
    <mergeCell ref="I86:I87"/>
    <mergeCell ref="I122:I123"/>
    <mergeCell ref="I149:I150"/>
    <mergeCell ref="I208:I209"/>
    <mergeCell ref="I230:I231"/>
    <mergeCell ref="I273:I274"/>
    <mergeCell ref="A688:F688"/>
    <mergeCell ref="G688:H688"/>
    <mergeCell ref="G690:H690"/>
    <mergeCell ref="A669:H669"/>
    <mergeCell ref="A670:H670"/>
    <mergeCell ref="A671:H671"/>
    <mergeCell ref="A672:H672"/>
    <mergeCell ref="A673:H673"/>
    <mergeCell ref="A675:H675"/>
    <mergeCell ref="A676:H676"/>
    <mergeCell ref="A677:F677"/>
    <mergeCell ref="G677:G678"/>
    <mergeCell ref="H677:H678"/>
    <mergeCell ref="G649:G650"/>
    <mergeCell ref="H649:H650"/>
    <mergeCell ref="A644:H644"/>
    <mergeCell ref="A645:H645"/>
    <mergeCell ref="A647:H647"/>
    <mergeCell ref="A648:H648"/>
    <mergeCell ref="A661:F661"/>
    <mergeCell ref="G661:H661"/>
    <mergeCell ref="G598:G599"/>
    <mergeCell ref="H598:H599"/>
    <mergeCell ref="A637:H637"/>
    <mergeCell ref="A659:F659"/>
    <mergeCell ref="A649:F649"/>
    <mergeCell ref="G632:H632"/>
    <mergeCell ref="A633:F633"/>
    <mergeCell ref="G633:H633"/>
    <mergeCell ref="G634:H634"/>
    <mergeCell ref="A635:F635"/>
    <mergeCell ref="G635:H635"/>
    <mergeCell ref="A630:F630"/>
    <mergeCell ref="A632:F632"/>
    <mergeCell ref="A597:H597"/>
    <mergeCell ref="A598:F598"/>
    <mergeCell ref="A608:F608"/>
    <mergeCell ref="A610:F610"/>
    <mergeCell ref="G610:H610"/>
    <mergeCell ref="A611:F611"/>
    <mergeCell ref="G611:H611"/>
    <mergeCell ref="A612:F613"/>
    <mergeCell ref="G612:H613"/>
    <mergeCell ref="A662:F662"/>
    <mergeCell ref="G662:H662"/>
    <mergeCell ref="G663:H663"/>
    <mergeCell ref="A666:H666"/>
    <mergeCell ref="A664:F664"/>
    <mergeCell ref="G664:H664"/>
    <mergeCell ref="A663:F663"/>
    <mergeCell ref="A614:F614"/>
    <mergeCell ref="G614:H614"/>
    <mergeCell ref="A641:H641"/>
    <mergeCell ref="A642:H642"/>
    <mergeCell ref="A643:H643"/>
    <mergeCell ref="A619:H619"/>
    <mergeCell ref="A620:H620"/>
    <mergeCell ref="A621:H621"/>
    <mergeCell ref="A622:H622"/>
    <mergeCell ref="A623:H623"/>
    <mergeCell ref="A625:H625"/>
    <mergeCell ref="A626:H626"/>
    <mergeCell ref="A616:H616"/>
    <mergeCell ref="A634:F634"/>
    <mergeCell ref="A627:F627"/>
    <mergeCell ref="G627:G628"/>
    <mergeCell ref="H627:H628"/>
    <mergeCell ref="A586:H586"/>
    <mergeCell ref="A593:H593"/>
    <mergeCell ref="A594:H594"/>
    <mergeCell ref="A596:H596"/>
    <mergeCell ref="H570:H571"/>
    <mergeCell ref="A579:F579"/>
    <mergeCell ref="A583:F583"/>
    <mergeCell ref="A570:F570"/>
    <mergeCell ref="G570:G571"/>
    <mergeCell ref="A590:H590"/>
    <mergeCell ref="A591:H591"/>
    <mergeCell ref="A592:H592"/>
    <mergeCell ref="A562:H562"/>
    <mergeCell ref="A563:H563"/>
    <mergeCell ref="A564:H564"/>
    <mergeCell ref="A584:F584"/>
    <mergeCell ref="G584:H584"/>
    <mergeCell ref="A581:F581"/>
    <mergeCell ref="G581:H581"/>
    <mergeCell ref="A582:F582"/>
    <mergeCell ref="G582:H582"/>
    <mergeCell ref="G583:H583"/>
    <mergeCell ref="A565:H565"/>
    <mergeCell ref="A566:H566"/>
    <mergeCell ref="A568:H568"/>
    <mergeCell ref="A569:H569"/>
    <mergeCell ref="A558:H558"/>
    <mergeCell ref="A549:F549"/>
    <mergeCell ref="A551:F551"/>
    <mergeCell ref="G551:H551"/>
    <mergeCell ref="A552:F553"/>
    <mergeCell ref="G552:H553"/>
    <mergeCell ref="A554:F555"/>
    <mergeCell ref="G554:H555"/>
    <mergeCell ref="A556:F556"/>
    <mergeCell ref="G556:H556"/>
    <mergeCell ref="A477:F477"/>
    <mergeCell ref="G477:H477"/>
    <mergeCell ref="A544:H544"/>
    <mergeCell ref="A545:H545"/>
    <mergeCell ref="A546:F546"/>
    <mergeCell ref="G546:G547"/>
    <mergeCell ref="H546:H547"/>
    <mergeCell ref="A538:H538"/>
    <mergeCell ref="A539:H539"/>
    <mergeCell ref="A540:H540"/>
    <mergeCell ref="A541:H541"/>
    <mergeCell ref="A542:H542"/>
    <mergeCell ref="A507:H507"/>
    <mergeCell ref="G504:H504"/>
    <mergeCell ref="A505:F505"/>
    <mergeCell ref="G505:H505"/>
    <mergeCell ref="A479:F479"/>
    <mergeCell ref="A481:H481"/>
    <mergeCell ref="A478:F478"/>
    <mergeCell ref="G479:H479"/>
    <mergeCell ref="A484:H484"/>
    <mergeCell ref="A503:F503"/>
    <mergeCell ref="G503:H503"/>
    <mergeCell ref="A504:F504"/>
    <mergeCell ref="A456:H456"/>
    <mergeCell ref="A457:H457"/>
    <mergeCell ref="A458:H458"/>
    <mergeCell ref="A460:H460"/>
    <mergeCell ref="A461:H461"/>
    <mergeCell ref="A443:F443"/>
    <mergeCell ref="A445:F445"/>
    <mergeCell ref="G445:H445"/>
    <mergeCell ref="G476:H476"/>
    <mergeCell ref="A474:F474"/>
    <mergeCell ref="A446:F446"/>
    <mergeCell ref="G446:H446"/>
    <mergeCell ref="A447:F447"/>
    <mergeCell ref="G447:H447"/>
    <mergeCell ref="A448:F448"/>
    <mergeCell ref="G448:H448"/>
    <mergeCell ref="A450:H450"/>
    <mergeCell ref="A454:H454"/>
    <mergeCell ref="A455:H455"/>
    <mergeCell ref="A462:F462"/>
    <mergeCell ref="G462:G463"/>
    <mergeCell ref="H462:H463"/>
    <mergeCell ref="A476:F476"/>
    <mergeCell ref="A432:H432"/>
    <mergeCell ref="A434:H434"/>
    <mergeCell ref="A435:H435"/>
    <mergeCell ref="A436:F436"/>
    <mergeCell ref="G436:G437"/>
    <mergeCell ref="H436:H437"/>
    <mergeCell ref="A431:H431"/>
    <mergeCell ref="A430:H430"/>
    <mergeCell ref="A420:F420"/>
    <mergeCell ref="G420:H420"/>
    <mergeCell ref="A429:H429"/>
    <mergeCell ref="A425:H425"/>
    <mergeCell ref="A375:H375"/>
    <mergeCell ref="A377:H377"/>
    <mergeCell ref="A378:H378"/>
    <mergeCell ref="A379:F379"/>
    <mergeCell ref="G379:G380"/>
    <mergeCell ref="H379:H380"/>
    <mergeCell ref="A361:F361"/>
    <mergeCell ref="A365:F365"/>
    <mergeCell ref="A372:H372"/>
    <mergeCell ref="A373:H373"/>
    <mergeCell ref="A374:H374"/>
    <mergeCell ref="A364:F364"/>
    <mergeCell ref="G364:H364"/>
    <mergeCell ref="G365:H365"/>
    <mergeCell ref="G363:H363"/>
    <mergeCell ref="G341:H341"/>
    <mergeCell ref="A342:F342"/>
    <mergeCell ref="G342:H342"/>
    <mergeCell ref="A321:H321"/>
    <mergeCell ref="A322:H322"/>
    <mergeCell ref="A323:H323"/>
    <mergeCell ref="A324:H324"/>
    <mergeCell ref="A325:H325"/>
    <mergeCell ref="A327:H327"/>
    <mergeCell ref="A328:H328"/>
    <mergeCell ref="A329:F329"/>
    <mergeCell ref="G329:G330"/>
    <mergeCell ref="H329:H330"/>
    <mergeCell ref="A337:F337"/>
    <mergeCell ref="A339:F339"/>
    <mergeCell ref="G339:H339"/>
    <mergeCell ref="A340:F340"/>
    <mergeCell ref="G340:H340"/>
    <mergeCell ref="A318:H318"/>
    <mergeCell ref="A311:F311"/>
    <mergeCell ref="A315:F315"/>
    <mergeCell ref="A299:H299"/>
    <mergeCell ref="A300:H300"/>
    <mergeCell ref="A302:H302"/>
    <mergeCell ref="A303:H303"/>
    <mergeCell ref="A304:F304"/>
    <mergeCell ref="G304:G305"/>
    <mergeCell ref="H304:H305"/>
    <mergeCell ref="A313:F313"/>
    <mergeCell ref="G313:H313"/>
    <mergeCell ref="G314:H314"/>
    <mergeCell ref="G315:H315"/>
    <mergeCell ref="A316:F316"/>
    <mergeCell ref="G316:H316"/>
    <mergeCell ref="A286:F286"/>
    <mergeCell ref="G286:H286"/>
    <mergeCell ref="A287:F287"/>
    <mergeCell ref="G287:H287"/>
    <mergeCell ref="A288:F289"/>
    <mergeCell ref="A290:F290"/>
    <mergeCell ref="G290:H290"/>
    <mergeCell ref="A292:H292"/>
    <mergeCell ref="G288:H289"/>
    <mergeCell ref="A395:F395"/>
    <mergeCell ref="G395:H395"/>
    <mergeCell ref="A273:H273"/>
    <mergeCell ref="A274:H274"/>
    <mergeCell ref="A275:H275"/>
    <mergeCell ref="A276:H276"/>
    <mergeCell ref="A277:H277"/>
    <mergeCell ref="A279:H279"/>
    <mergeCell ref="A280:H280"/>
    <mergeCell ref="A281:F281"/>
    <mergeCell ref="G281:G282"/>
    <mergeCell ref="H281:H282"/>
    <mergeCell ref="A285:F285"/>
    <mergeCell ref="A296:H296"/>
    <mergeCell ref="A297:H297"/>
    <mergeCell ref="A298:H298"/>
    <mergeCell ref="A390:F390"/>
    <mergeCell ref="A394:F394"/>
    <mergeCell ref="A392:F392"/>
    <mergeCell ref="G392:H392"/>
    <mergeCell ref="A393:F393"/>
    <mergeCell ref="G393:H393"/>
    <mergeCell ref="G394:H394"/>
    <mergeCell ref="A352:H352"/>
    <mergeCell ref="A418:F418"/>
    <mergeCell ref="A428:H428"/>
    <mergeCell ref="A401:H401"/>
    <mergeCell ref="A402:H402"/>
    <mergeCell ref="A403:H403"/>
    <mergeCell ref="A404:H404"/>
    <mergeCell ref="A406:H406"/>
    <mergeCell ref="A407:H407"/>
    <mergeCell ref="A408:F408"/>
    <mergeCell ref="G408:G409"/>
    <mergeCell ref="H408:H409"/>
    <mergeCell ref="A422:F422"/>
    <mergeCell ref="A397:H397"/>
    <mergeCell ref="A421:F421"/>
    <mergeCell ref="G421:H421"/>
    <mergeCell ref="G422:H422"/>
    <mergeCell ref="A423:F423"/>
    <mergeCell ref="G423:H423"/>
    <mergeCell ref="A368:H368"/>
    <mergeCell ref="A269:H269"/>
    <mergeCell ref="A266:E266"/>
    <mergeCell ref="A367:F367"/>
    <mergeCell ref="G367:H367"/>
    <mergeCell ref="A366:F366"/>
    <mergeCell ref="G366:H366"/>
    <mergeCell ref="A341:F341"/>
    <mergeCell ref="A355:H355"/>
    <mergeCell ref="A356:F356"/>
    <mergeCell ref="G356:G357"/>
    <mergeCell ref="H356:H357"/>
    <mergeCell ref="A363:F363"/>
    <mergeCell ref="A348:H348"/>
    <mergeCell ref="A349:H349"/>
    <mergeCell ref="A314:F314"/>
    <mergeCell ref="A350:H350"/>
    <mergeCell ref="A351:H351"/>
    <mergeCell ref="A485:H485"/>
    <mergeCell ref="A486:H486"/>
    <mergeCell ref="A487:H487"/>
    <mergeCell ref="A488:H488"/>
    <mergeCell ref="A490:H490"/>
    <mergeCell ref="A491:H491"/>
    <mergeCell ref="A492:F492"/>
    <mergeCell ref="G492:G493"/>
    <mergeCell ref="H492:H493"/>
    <mergeCell ref="G117:H117"/>
    <mergeCell ref="A124:H124"/>
    <mergeCell ref="A125:H125"/>
    <mergeCell ref="A126:H126"/>
    <mergeCell ref="G114:H114"/>
    <mergeCell ref="A115:F115"/>
    <mergeCell ref="G115:H115"/>
    <mergeCell ref="A116:F116"/>
    <mergeCell ref="G116:H116"/>
    <mergeCell ref="A119:H119"/>
    <mergeCell ref="A123:H123"/>
    <mergeCell ref="A127:H127"/>
    <mergeCell ref="A129:H129"/>
    <mergeCell ref="A130:H130"/>
    <mergeCell ref="A131:F131"/>
    <mergeCell ref="G131:G132"/>
    <mergeCell ref="H131:H132"/>
    <mergeCell ref="A265:E265"/>
    <mergeCell ref="A262:F262"/>
    <mergeCell ref="G262:H262"/>
    <mergeCell ref="A264:E264"/>
    <mergeCell ref="G143:H143"/>
    <mergeCell ref="A144:F144"/>
    <mergeCell ref="G144:H144"/>
    <mergeCell ref="A146:H146"/>
    <mergeCell ref="A194:E194"/>
    <mergeCell ref="A175:F175"/>
    <mergeCell ref="G175:H175"/>
    <mergeCell ref="A176:F176"/>
    <mergeCell ref="G176:H176"/>
    <mergeCell ref="A179:E179"/>
    <mergeCell ref="A180:E180"/>
    <mergeCell ref="A205:H205"/>
    <mergeCell ref="A170:F170"/>
    <mergeCell ref="A177:H177"/>
    <mergeCell ref="A86:H86"/>
    <mergeCell ref="A87:H87"/>
    <mergeCell ref="A88:H88"/>
    <mergeCell ref="A89:H89"/>
    <mergeCell ref="A90:H90"/>
    <mergeCell ref="A92:H92"/>
    <mergeCell ref="A93:H93"/>
    <mergeCell ref="A94:F94"/>
    <mergeCell ref="G94:G95"/>
    <mergeCell ref="H94:H95"/>
    <mergeCell ref="A112:F112"/>
    <mergeCell ref="A114:F114"/>
    <mergeCell ref="A173:F173"/>
    <mergeCell ref="G173:H173"/>
    <mergeCell ref="G174:H174"/>
    <mergeCell ref="A139:F139"/>
    <mergeCell ref="A143:F143"/>
    <mergeCell ref="A150:H150"/>
    <mergeCell ref="A151:H151"/>
    <mergeCell ref="A152:H152"/>
    <mergeCell ref="A153:H153"/>
    <mergeCell ref="A154:H154"/>
    <mergeCell ref="A156:H156"/>
    <mergeCell ref="A157:H157"/>
    <mergeCell ref="A141:F141"/>
    <mergeCell ref="G141:H141"/>
    <mergeCell ref="A142:F142"/>
    <mergeCell ref="G142:H142"/>
    <mergeCell ref="A158:F158"/>
    <mergeCell ref="G158:G159"/>
    <mergeCell ref="H158:H159"/>
    <mergeCell ref="A172:F172"/>
    <mergeCell ref="G172:H172"/>
    <mergeCell ref="A117:F117"/>
    <mergeCell ref="A174:F174"/>
    <mergeCell ref="A182:E182"/>
    <mergeCell ref="A181:E181"/>
    <mergeCell ref="A183:E183"/>
    <mergeCell ref="A184:E184"/>
    <mergeCell ref="A191:E191"/>
    <mergeCell ref="A192:E192"/>
    <mergeCell ref="A193:E193"/>
    <mergeCell ref="A195:E195"/>
    <mergeCell ref="G224:H224"/>
    <mergeCell ref="A178:E178"/>
    <mergeCell ref="A189:H189"/>
    <mergeCell ref="A198:H198"/>
    <mergeCell ref="A190:E190"/>
    <mergeCell ref="A199:E199"/>
    <mergeCell ref="A200:E200"/>
    <mergeCell ref="A201:E201"/>
    <mergeCell ref="A202:E202"/>
    <mergeCell ref="A196:E196"/>
    <mergeCell ref="A354:H354"/>
    <mergeCell ref="A502:F502"/>
    <mergeCell ref="G502:H502"/>
    <mergeCell ref="A500:F500"/>
    <mergeCell ref="A203:C203"/>
    <mergeCell ref="A225:F225"/>
    <mergeCell ref="G225:H225"/>
    <mergeCell ref="A227:H227"/>
    <mergeCell ref="A215:H215"/>
    <mergeCell ref="A216:H216"/>
    <mergeCell ref="A217:F217"/>
    <mergeCell ref="G217:G218"/>
    <mergeCell ref="H217:H218"/>
    <mergeCell ref="A209:H209"/>
    <mergeCell ref="A210:H210"/>
    <mergeCell ref="A211:H211"/>
    <mergeCell ref="A212:H212"/>
    <mergeCell ref="A213:H213"/>
    <mergeCell ref="A220:F220"/>
    <mergeCell ref="A224:F224"/>
    <mergeCell ref="A222:F222"/>
    <mergeCell ref="G222:H222"/>
    <mergeCell ref="A223:F223"/>
    <mergeCell ref="G223:H223"/>
    <mergeCell ref="G261:H261"/>
    <mergeCell ref="A257:F257"/>
    <mergeCell ref="A238:H238"/>
    <mergeCell ref="A239:F239"/>
    <mergeCell ref="G239:G240"/>
    <mergeCell ref="H239:H240"/>
    <mergeCell ref="A259:F259"/>
    <mergeCell ref="G259:H259"/>
    <mergeCell ref="A234:H234"/>
    <mergeCell ref="A237:H237"/>
    <mergeCell ref="A235:H235"/>
    <mergeCell ref="A535:H535"/>
    <mergeCell ref="A526:F526"/>
    <mergeCell ref="A528:F528"/>
    <mergeCell ref="G528:H528"/>
    <mergeCell ref="A529:F530"/>
    <mergeCell ref="G529:H530"/>
    <mergeCell ref="A531:F532"/>
    <mergeCell ref="G531:H532"/>
    <mergeCell ref="A533:F533"/>
    <mergeCell ref="G533:H533"/>
    <mergeCell ref="A516:H516"/>
    <mergeCell ref="A517:H517"/>
    <mergeCell ref="A518:F518"/>
    <mergeCell ref="G518:G519"/>
    <mergeCell ref="H518:H519"/>
    <mergeCell ref="A510:H510"/>
    <mergeCell ref="A66:F66"/>
    <mergeCell ref="G66:G67"/>
    <mergeCell ref="H66:H67"/>
    <mergeCell ref="A74:F74"/>
    <mergeCell ref="G79:H80"/>
    <mergeCell ref="G77:H78"/>
    <mergeCell ref="A76:F76"/>
    <mergeCell ref="G76:H76"/>
    <mergeCell ref="A77:F78"/>
    <mergeCell ref="A511:H511"/>
    <mergeCell ref="A512:H512"/>
    <mergeCell ref="A513:H513"/>
    <mergeCell ref="A514:H514"/>
    <mergeCell ref="A231:H231"/>
    <mergeCell ref="A232:H232"/>
    <mergeCell ref="A233:H233"/>
    <mergeCell ref="A260:F260"/>
    <mergeCell ref="G260:H260"/>
    <mergeCell ref="A64:H64"/>
    <mergeCell ref="A65:H65"/>
    <mergeCell ref="A30:H30"/>
    <mergeCell ref="A31:H31"/>
    <mergeCell ref="A32:H32"/>
    <mergeCell ref="A34:H34"/>
    <mergeCell ref="A33:H33"/>
    <mergeCell ref="A36:H36"/>
    <mergeCell ref="A37:H37"/>
    <mergeCell ref="A38:F38"/>
    <mergeCell ref="G38:G39"/>
    <mergeCell ref="H38:H39"/>
    <mergeCell ref="A693:H693"/>
    <mergeCell ref="A2:H2"/>
    <mergeCell ref="A3:H3"/>
    <mergeCell ref="A4:H4"/>
    <mergeCell ref="A5:H5"/>
    <mergeCell ref="A6:H6"/>
    <mergeCell ref="A8:H8"/>
    <mergeCell ref="A9:H9"/>
    <mergeCell ref="A10:F10"/>
    <mergeCell ref="G10:G11"/>
    <mergeCell ref="H10:H11"/>
    <mergeCell ref="A19:F19"/>
    <mergeCell ref="A21:F21"/>
    <mergeCell ref="G21:H21"/>
    <mergeCell ref="A22:F22"/>
    <mergeCell ref="G22:H22"/>
    <mergeCell ref="A23:F23"/>
    <mergeCell ref="G23:H23"/>
    <mergeCell ref="A54:H54"/>
    <mergeCell ref="A261:F261"/>
    <mergeCell ref="A83:H83"/>
    <mergeCell ref="A344:H344"/>
    <mergeCell ref="A47:F47"/>
    <mergeCell ref="A24:F24"/>
    <mergeCell ref="G24:H24"/>
    <mergeCell ref="A26:H26"/>
    <mergeCell ref="A686:F686"/>
    <mergeCell ref="A689:F689"/>
    <mergeCell ref="G689:H689"/>
    <mergeCell ref="A690:F690"/>
    <mergeCell ref="A691:F691"/>
    <mergeCell ref="G691:H691"/>
    <mergeCell ref="A51:F51"/>
    <mergeCell ref="G51:H51"/>
    <mergeCell ref="A52:F52"/>
    <mergeCell ref="G52:H52"/>
    <mergeCell ref="A50:F50"/>
    <mergeCell ref="A49:F49"/>
    <mergeCell ref="G49:H49"/>
    <mergeCell ref="G50:H50"/>
    <mergeCell ref="A79:F80"/>
    <mergeCell ref="A81:F81"/>
    <mergeCell ref="G81:H81"/>
    <mergeCell ref="A58:H58"/>
    <mergeCell ref="A59:H59"/>
    <mergeCell ref="A60:H60"/>
    <mergeCell ref="A61:H61"/>
    <mergeCell ref="A62:H62"/>
  </mergeCells>
  <phoneticPr fontId="11" type="noConversion"/>
  <pageMargins left="0.78740157480314965" right="0" top="0.70866141732283472" bottom="0.35433070866141736" header="0.31496062992125984" footer="0.31496062992125984"/>
  <pageSetup scale="90" orientation="portrait" r:id="rId1"/>
  <rowBreaks count="13" manualBreakCount="13">
    <brk id="254" max="8" man="1"/>
    <brk id="297" max="8" man="1"/>
    <brk id="318" max="8" man="1"/>
    <brk id="452" max="8" man="1"/>
    <brk id="477" max="8" man="1"/>
    <brk id="508" max="8" man="1"/>
    <brk id="534" max="8" man="1"/>
    <brk id="561" max="8" man="1"/>
    <brk id="585" max="8" man="1"/>
    <brk id="613" max="8" man="1"/>
    <brk id="643" max="8" man="1"/>
    <brk id="664" max="8" man="1"/>
    <brk id="692" max="8"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5"/>
  <sheetViews>
    <sheetView topLeftCell="A24" zoomScaleNormal="100" workbookViewId="0">
      <selection activeCell="E38" sqref="A2:E38"/>
    </sheetView>
  </sheetViews>
  <sheetFormatPr baseColWidth="10" defaultRowHeight="12.75"/>
  <cols>
    <col min="2" max="2" width="11.28515625" customWidth="1"/>
    <col min="3" max="3" width="43.140625" customWidth="1"/>
    <col min="4" max="4" width="47.85546875" customWidth="1"/>
  </cols>
  <sheetData>
    <row r="2" spans="1:5" ht="12.75" customHeight="1">
      <c r="A2" s="1916" t="s">
        <v>984</v>
      </c>
      <c r="B2" s="1916"/>
      <c r="C2" s="1916"/>
      <c r="D2" s="1916"/>
      <c r="E2" s="1916"/>
    </row>
    <row r="3" spans="1:5" ht="12.75" customHeight="1">
      <c r="A3" s="1916"/>
      <c r="B3" s="1916"/>
      <c r="C3" s="1916"/>
      <c r="D3" s="1916"/>
      <c r="E3" s="1916"/>
    </row>
    <row r="4" spans="1:5" ht="15">
      <c r="A4" s="1014" t="s">
        <v>483</v>
      </c>
      <c r="B4" s="1014" t="s">
        <v>982</v>
      </c>
      <c r="C4" s="1014" t="s">
        <v>981</v>
      </c>
      <c r="D4" s="1014" t="s">
        <v>983</v>
      </c>
      <c r="E4" s="1014" t="s">
        <v>985</v>
      </c>
    </row>
    <row r="5" spans="1:5" ht="24.75" customHeight="1">
      <c r="A5" s="1016"/>
      <c r="B5" s="1016"/>
      <c r="C5" s="1016"/>
      <c r="D5" s="1016"/>
      <c r="E5" s="1016"/>
    </row>
    <row r="6" spans="1:5" ht="25.5" customHeight="1">
      <c r="A6" s="1016"/>
      <c r="B6" s="1015"/>
      <c r="C6" s="1015"/>
      <c r="D6" s="1015"/>
      <c r="E6" s="1016"/>
    </row>
    <row r="7" spans="1:5" ht="24" customHeight="1">
      <c r="A7" s="1016"/>
      <c r="B7" s="1015"/>
      <c r="C7" s="1015"/>
      <c r="D7" s="1015"/>
      <c r="E7" s="1016"/>
    </row>
    <row r="8" spans="1:5" ht="25.5" customHeight="1">
      <c r="A8" s="1016"/>
      <c r="B8" s="1015"/>
      <c r="C8" s="1015"/>
      <c r="D8" s="1015"/>
      <c r="E8" s="1016"/>
    </row>
    <row r="9" spans="1:5" ht="24.75" customHeight="1">
      <c r="A9" s="1016"/>
      <c r="B9" s="1016"/>
      <c r="C9" s="1016"/>
      <c r="D9" s="1016"/>
      <c r="E9" s="1016"/>
    </row>
    <row r="10" spans="1:5" ht="25.5" customHeight="1">
      <c r="A10" s="1016"/>
      <c r="B10" s="1015"/>
      <c r="C10" s="1015"/>
      <c r="D10" s="1015"/>
      <c r="E10" s="1016"/>
    </row>
    <row r="11" spans="1:5" ht="24" customHeight="1">
      <c r="A11" s="1016"/>
      <c r="B11" s="1015"/>
      <c r="C11" s="1015"/>
      <c r="D11" s="1015"/>
      <c r="E11" s="1016"/>
    </row>
    <row r="12" spans="1:5" ht="25.5" customHeight="1">
      <c r="A12" s="1016"/>
      <c r="B12" s="1015"/>
      <c r="C12" s="1015"/>
      <c r="D12" s="1015"/>
      <c r="E12" s="1016"/>
    </row>
    <row r="13" spans="1:5" ht="24.75" customHeight="1">
      <c r="A13" s="1016"/>
      <c r="B13" s="1016"/>
      <c r="C13" s="1016"/>
      <c r="D13" s="1016"/>
      <c r="E13" s="1016"/>
    </row>
    <row r="14" spans="1:5" ht="25.5" customHeight="1">
      <c r="A14" s="1016"/>
      <c r="B14" s="1015"/>
      <c r="C14" s="1015"/>
      <c r="D14" s="1015"/>
      <c r="E14" s="1016"/>
    </row>
    <row r="15" spans="1:5" ht="24" customHeight="1">
      <c r="A15" s="1016"/>
      <c r="B15" s="1015"/>
      <c r="C15" s="1015"/>
      <c r="D15" s="1015"/>
      <c r="E15" s="1016"/>
    </row>
    <row r="16" spans="1:5" ht="25.5" customHeight="1">
      <c r="A16" s="1016"/>
      <c r="B16" s="1015"/>
      <c r="C16" s="1015"/>
      <c r="D16" s="1015"/>
      <c r="E16" s="1016"/>
    </row>
    <row r="17" spans="1:5" ht="24.75" customHeight="1">
      <c r="A17" s="1016"/>
      <c r="B17" s="1016"/>
      <c r="C17" s="1016"/>
      <c r="D17" s="1016"/>
      <c r="E17" s="1016"/>
    </row>
    <row r="18" spans="1:5" ht="25.5" customHeight="1">
      <c r="A18" s="1016"/>
      <c r="B18" s="1015"/>
      <c r="C18" s="1015"/>
      <c r="D18" s="1015"/>
      <c r="E18" s="1016"/>
    </row>
    <row r="19" spans="1:5" ht="24" customHeight="1">
      <c r="A19" s="1016"/>
      <c r="B19" s="1015"/>
      <c r="C19" s="1015"/>
      <c r="D19" s="1015"/>
      <c r="E19" s="1016"/>
    </row>
    <row r="20" spans="1:5" ht="25.5" customHeight="1">
      <c r="A20" s="1016"/>
      <c r="B20" s="1015"/>
      <c r="C20" s="1015"/>
      <c r="D20" s="1015"/>
      <c r="E20" s="1016"/>
    </row>
    <row r="21" spans="1:5" ht="24.75" customHeight="1">
      <c r="A21" s="1016"/>
      <c r="B21" s="1016"/>
      <c r="C21" s="1016"/>
      <c r="D21" s="1016"/>
      <c r="E21" s="1016"/>
    </row>
    <row r="22" spans="1:5" ht="25.5" customHeight="1">
      <c r="A22" s="1016"/>
      <c r="B22" s="1015"/>
      <c r="C22" s="1015"/>
      <c r="D22" s="1015"/>
      <c r="E22" s="1016"/>
    </row>
    <row r="23" spans="1:5" ht="24" customHeight="1">
      <c r="A23" s="1016"/>
      <c r="B23" s="1015"/>
      <c r="C23" s="1015"/>
      <c r="D23" s="1015"/>
      <c r="E23" s="1016"/>
    </row>
    <row r="24" spans="1:5" ht="25.5" customHeight="1">
      <c r="A24" s="1016"/>
      <c r="B24" s="1015"/>
      <c r="C24" s="1015"/>
      <c r="D24" s="1015"/>
      <c r="E24" s="1016"/>
    </row>
    <row r="25" spans="1:5" ht="24.75" customHeight="1">
      <c r="A25" s="1016"/>
      <c r="B25" s="1016"/>
      <c r="C25" s="1016"/>
      <c r="D25" s="1016"/>
      <c r="E25" s="1016"/>
    </row>
    <row r="26" spans="1:5" ht="25.5" customHeight="1">
      <c r="A26" s="1016"/>
      <c r="B26" s="1015"/>
      <c r="C26" s="1015"/>
      <c r="D26" s="1015"/>
      <c r="E26" s="1016"/>
    </row>
    <row r="27" spans="1:5" ht="24" customHeight="1">
      <c r="A27" s="1016"/>
      <c r="B27" s="1015"/>
      <c r="C27" s="1015"/>
      <c r="D27" s="1015"/>
      <c r="E27" s="1016"/>
    </row>
    <row r="28" spans="1:5" ht="25.5" customHeight="1">
      <c r="A28" s="1016"/>
      <c r="B28" s="1015"/>
      <c r="C28" s="1015"/>
      <c r="D28" s="1015"/>
      <c r="E28" s="1016"/>
    </row>
    <row r="29" spans="1:5" ht="24.75" customHeight="1">
      <c r="A29" s="1016"/>
      <c r="B29" s="1016"/>
      <c r="C29" s="1016"/>
      <c r="D29" s="1016"/>
      <c r="E29" s="1016"/>
    </row>
    <row r="30" spans="1:5" ht="25.5" customHeight="1">
      <c r="A30" s="1016"/>
      <c r="B30" s="1015"/>
      <c r="C30" s="1015"/>
      <c r="D30" s="1015"/>
      <c r="E30" s="1016"/>
    </row>
    <row r="31" spans="1:5" ht="24" customHeight="1">
      <c r="A31" s="1016"/>
      <c r="B31" s="1015"/>
      <c r="C31" s="1015"/>
      <c r="D31" s="1015"/>
      <c r="E31" s="1016"/>
    </row>
    <row r="32" spans="1:5" ht="25.5" customHeight="1">
      <c r="A32" s="1016"/>
      <c r="B32" s="1015"/>
      <c r="C32" s="1015"/>
      <c r="D32" s="1015"/>
      <c r="E32" s="1016"/>
    </row>
    <row r="33" spans="1:5" ht="24.75" customHeight="1">
      <c r="A33" s="1016"/>
      <c r="B33" s="1016"/>
      <c r="C33" s="1016"/>
      <c r="D33" s="1016"/>
      <c r="E33" s="1016"/>
    </row>
    <row r="34" spans="1:5" ht="25.5" customHeight="1">
      <c r="A34" s="1016"/>
      <c r="B34" s="1015"/>
      <c r="C34" s="1015"/>
      <c r="D34" s="1015"/>
      <c r="E34" s="1016"/>
    </row>
    <row r="35" spans="1:5" ht="24" customHeight="1">
      <c r="A35" s="1016"/>
      <c r="B35" s="1015"/>
      <c r="C35" s="1015"/>
      <c r="D35" s="1015"/>
      <c r="E35" s="1016"/>
    </row>
    <row r="36" spans="1:5" ht="25.5" customHeight="1">
      <c r="A36" s="1016"/>
      <c r="B36" s="1015"/>
      <c r="C36" s="1015"/>
      <c r="D36" s="1015"/>
      <c r="E36" s="1016"/>
    </row>
    <row r="37" spans="1:5" ht="24.75" customHeight="1">
      <c r="A37" s="1016"/>
      <c r="B37" s="1016"/>
      <c r="C37" s="1016"/>
      <c r="D37" s="1016"/>
      <c r="E37" s="1016"/>
    </row>
    <row r="38" spans="1:5" ht="25.5" customHeight="1">
      <c r="A38" s="1016"/>
      <c r="B38" s="1015"/>
      <c r="C38" s="1015"/>
      <c r="D38" s="1015"/>
      <c r="E38" s="1015" t="s">
        <v>986</v>
      </c>
    </row>
    <row r="39" spans="1:5" ht="24" customHeight="1">
      <c r="A39" s="1016"/>
      <c r="B39" s="1015"/>
      <c r="C39" s="1015"/>
      <c r="D39" s="1015"/>
      <c r="E39" s="1015"/>
    </row>
    <row r="40" spans="1:5" ht="25.5" customHeight="1">
      <c r="A40" s="1016"/>
      <c r="B40" s="1015"/>
      <c r="C40" s="1015"/>
      <c r="D40" s="1015"/>
      <c r="E40" s="1015"/>
    </row>
    <row r="41" spans="1:5" ht="24" customHeight="1">
      <c r="B41" s="1015"/>
      <c r="C41" s="1015"/>
      <c r="D41" s="1015"/>
      <c r="E41" s="1015"/>
    </row>
    <row r="42" spans="1:5" ht="19.5" customHeight="1">
      <c r="B42" s="1015"/>
      <c r="C42" s="1015"/>
      <c r="D42" s="1015"/>
      <c r="E42" s="1015"/>
    </row>
    <row r="43" spans="1:5" ht="19.5" customHeight="1">
      <c r="B43" s="1015"/>
      <c r="C43" s="1015"/>
      <c r="D43" s="1015"/>
      <c r="E43" s="1015"/>
    </row>
    <row r="44" spans="1:5" ht="19.5" customHeight="1"/>
    <row r="45" spans="1:5" ht="18" customHeight="1"/>
  </sheetData>
  <mergeCells count="1">
    <mergeCell ref="A2:E3"/>
  </mergeCells>
  <pageMargins left="0.31496062992125984" right="0.11811023622047245" top="0.55118110236220474" bottom="0.55118110236220474" header="0.31496062992125984" footer="0.31496062992125984"/>
  <pageSetup paperSize="9" scale="80"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2060"/>
  </sheetPr>
  <dimension ref="A1:N489"/>
  <sheetViews>
    <sheetView zoomScale="110" zoomScaleNormal="110" workbookViewId="0">
      <selection activeCell="M58" sqref="M58"/>
    </sheetView>
  </sheetViews>
  <sheetFormatPr baseColWidth="10" defaultRowHeight="17.25"/>
  <cols>
    <col min="1" max="1" width="12" style="50" customWidth="1"/>
    <col min="2" max="2" width="32.28515625" style="42" customWidth="1"/>
    <col min="3" max="3" width="11.85546875" style="135" customWidth="1"/>
    <col min="4" max="4" width="13" style="135" customWidth="1"/>
    <col min="5" max="5" width="12.42578125" style="135" customWidth="1"/>
    <col min="6" max="6" width="12.5703125" style="135" customWidth="1"/>
    <col min="7" max="7" width="12.7109375" style="135" hidden="1" customWidth="1"/>
    <col min="8" max="8" width="13.85546875" style="179" customWidth="1"/>
    <col min="9" max="9" width="12" style="135" customWidth="1"/>
    <col min="10" max="10" width="7.140625" style="135" hidden="1" customWidth="1"/>
    <col min="11" max="11" width="15.5703125" style="136" hidden="1" customWidth="1"/>
    <col min="12" max="12" width="0.140625" style="135" customWidth="1"/>
    <col min="13" max="13" width="13.85546875" style="137" customWidth="1"/>
    <col min="14" max="14" width="14.28515625" style="1" customWidth="1"/>
    <col min="18" max="18" width="14.28515625" customWidth="1"/>
  </cols>
  <sheetData>
    <row r="1" spans="1:14" ht="21.75" customHeight="1">
      <c r="A1" s="1359" t="s">
        <v>84</v>
      </c>
      <c r="B1" s="1360"/>
      <c r="C1" s="1360"/>
      <c r="D1" s="1360"/>
      <c r="E1" s="1360"/>
      <c r="F1" s="1360"/>
      <c r="G1" s="1360"/>
      <c r="H1" s="1360"/>
      <c r="I1" s="1360"/>
      <c r="J1" s="1360"/>
      <c r="K1" s="1360"/>
      <c r="L1" s="1360"/>
      <c r="M1" s="1360"/>
    </row>
    <row r="2" spans="1:14" ht="24.75" customHeight="1">
      <c r="A2" s="1359" t="s">
        <v>83</v>
      </c>
      <c r="B2" s="1360"/>
      <c r="C2" s="1360"/>
      <c r="D2" s="1360"/>
      <c r="E2" s="1360"/>
      <c r="F2" s="1360"/>
      <c r="G2" s="1360"/>
      <c r="H2" s="1360"/>
      <c r="I2" s="1360"/>
      <c r="J2" s="1360"/>
      <c r="K2" s="1360"/>
      <c r="L2" s="1360"/>
      <c r="M2" s="1360"/>
    </row>
    <row r="3" spans="1:14" ht="21.75" customHeight="1">
      <c r="A3" s="1361" t="s">
        <v>756</v>
      </c>
      <c r="B3" s="1362"/>
      <c r="C3" s="1362"/>
      <c r="D3" s="1362"/>
      <c r="E3" s="1362"/>
      <c r="F3" s="1362"/>
      <c r="G3" s="1362"/>
      <c r="H3" s="1362"/>
      <c r="I3" s="1362"/>
      <c r="J3" s="1362"/>
      <c r="K3" s="1362"/>
      <c r="L3" s="1362"/>
      <c r="M3" s="1362"/>
    </row>
    <row r="4" spans="1:14" ht="23.25" customHeight="1">
      <c r="A4" s="1365" t="s">
        <v>924</v>
      </c>
      <c r="B4" s="1365"/>
      <c r="C4" s="1365"/>
      <c r="D4" s="1365"/>
      <c r="E4" s="1365"/>
      <c r="F4" s="1365"/>
      <c r="G4" s="1365"/>
      <c r="H4" s="1365"/>
      <c r="I4" s="1365"/>
      <c r="J4" s="1365"/>
      <c r="K4" s="1365"/>
      <c r="L4" s="1365"/>
      <c r="M4" s="1365"/>
    </row>
    <row r="5" spans="1:14" ht="29.25" customHeight="1">
      <c r="A5" s="1363" t="s">
        <v>27</v>
      </c>
      <c r="B5" s="1363"/>
      <c r="C5" s="1363"/>
      <c r="D5" s="1363"/>
      <c r="E5" s="1363"/>
      <c r="F5" s="1363"/>
      <c r="G5" s="1363"/>
      <c r="H5" s="1363"/>
      <c r="I5" s="1363"/>
      <c r="J5" s="1363"/>
      <c r="K5" s="1363"/>
      <c r="L5" s="1363"/>
      <c r="M5" s="1363"/>
    </row>
    <row r="6" spans="1:14" ht="18" customHeight="1">
      <c r="A6" s="1366" t="s">
        <v>694</v>
      </c>
      <c r="B6" s="962"/>
      <c r="C6" s="1364" t="s">
        <v>761</v>
      </c>
      <c r="D6" s="1364"/>
      <c r="E6" s="1364"/>
      <c r="F6" s="1364"/>
      <c r="G6" s="1364"/>
      <c r="H6" s="1364"/>
      <c r="I6" s="963"/>
      <c r="J6" s="963"/>
      <c r="K6" s="963"/>
      <c r="L6" s="963"/>
      <c r="M6" s="963"/>
      <c r="N6" s="447"/>
    </row>
    <row r="7" spans="1:14" ht="17.25" customHeight="1">
      <c r="A7" s="1366"/>
      <c r="B7" s="1374" t="s">
        <v>734</v>
      </c>
      <c r="C7" s="1368" t="s">
        <v>783</v>
      </c>
      <c r="D7" s="1368" t="s">
        <v>784</v>
      </c>
      <c r="E7" s="960"/>
      <c r="F7" s="1368" t="s">
        <v>728</v>
      </c>
      <c r="G7" s="1368" t="s">
        <v>729</v>
      </c>
      <c r="H7" s="1368" t="s">
        <v>730</v>
      </c>
      <c r="I7" s="1368" t="s">
        <v>198</v>
      </c>
      <c r="J7" s="964"/>
      <c r="K7" s="1370"/>
      <c r="L7" s="964"/>
      <c r="M7" s="1372" t="s">
        <v>695</v>
      </c>
      <c r="N7" s="447"/>
    </row>
    <row r="8" spans="1:14" ht="67.5" customHeight="1">
      <c r="A8" s="1367"/>
      <c r="B8" s="1375"/>
      <c r="C8" s="1369"/>
      <c r="D8" s="1369"/>
      <c r="E8" s="961" t="s">
        <v>786</v>
      </c>
      <c r="F8" s="1369"/>
      <c r="G8" s="1369"/>
      <c r="H8" s="1369"/>
      <c r="I8" s="1369"/>
      <c r="J8" s="965"/>
      <c r="K8" s="1371"/>
      <c r="L8" s="965"/>
      <c r="M8" s="1373"/>
      <c r="N8" s="447"/>
    </row>
    <row r="9" spans="1:14" s="955" customFormat="1" ht="21" customHeight="1">
      <c r="A9" s="966">
        <v>11801</v>
      </c>
      <c r="B9" s="967" t="s">
        <v>46</v>
      </c>
      <c r="C9" s="968"/>
      <c r="D9" s="968"/>
      <c r="E9" s="968"/>
      <c r="F9" s="968"/>
      <c r="G9" s="968"/>
      <c r="H9" s="968">
        <v>0</v>
      </c>
      <c r="I9" s="968">
        <v>909.89</v>
      </c>
      <c r="J9" s="968">
        <v>0</v>
      </c>
      <c r="K9" s="969"/>
      <c r="L9" s="968"/>
      <c r="M9" s="958">
        <f>+H9+I9+J9+K9+L9</f>
        <v>909.89</v>
      </c>
      <c r="N9" s="954"/>
    </row>
    <row r="10" spans="1:14" s="955" customFormat="1" ht="21" hidden="1" customHeight="1">
      <c r="A10" s="966">
        <v>11802</v>
      </c>
      <c r="B10" s="967" t="s">
        <v>47</v>
      </c>
      <c r="C10" s="968"/>
      <c r="D10" s="968"/>
      <c r="E10" s="968"/>
      <c r="F10" s="968"/>
      <c r="G10" s="968"/>
      <c r="H10" s="968">
        <v>0</v>
      </c>
      <c r="I10" s="968"/>
      <c r="J10" s="968">
        <v>0</v>
      </c>
      <c r="K10" s="969"/>
      <c r="L10" s="968"/>
      <c r="M10" s="958">
        <f t="shared" ref="M10:M16" si="0">+H10+I10+J10+K10+L10</f>
        <v>0</v>
      </c>
      <c r="N10" s="954"/>
    </row>
    <row r="11" spans="1:14" s="955" customFormat="1" ht="21" hidden="1" customHeight="1">
      <c r="A11" s="966">
        <v>11804</v>
      </c>
      <c r="B11" s="967" t="s">
        <v>48</v>
      </c>
      <c r="C11" s="968"/>
      <c r="D11" s="968"/>
      <c r="E11" s="968"/>
      <c r="F11" s="968"/>
      <c r="G11" s="968"/>
      <c r="H11" s="968">
        <v>0</v>
      </c>
      <c r="I11" s="968"/>
      <c r="J11" s="968">
        <v>0</v>
      </c>
      <c r="K11" s="969"/>
      <c r="L11" s="968"/>
      <c r="M11" s="958">
        <f t="shared" si="0"/>
        <v>0</v>
      </c>
      <c r="N11" s="954"/>
    </row>
    <row r="12" spans="1:14" s="955" customFormat="1" ht="21" hidden="1" customHeight="1">
      <c r="A12" s="966">
        <v>11806</v>
      </c>
      <c r="B12" s="967" t="s">
        <v>49</v>
      </c>
      <c r="C12" s="968"/>
      <c r="D12" s="968"/>
      <c r="E12" s="968"/>
      <c r="F12" s="968"/>
      <c r="G12" s="968"/>
      <c r="H12" s="968">
        <v>0</v>
      </c>
      <c r="I12" s="968"/>
      <c r="J12" s="968">
        <v>0</v>
      </c>
      <c r="K12" s="969"/>
      <c r="L12" s="968"/>
      <c r="M12" s="958">
        <f t="shared" si="0"/>
        <v>0</v>
      </c>
      <c r="N12" s="954"/>
    </row>
    <row r="13" spans="1:14" s="955" customFormat="1" ht="21" hidden="1" customHeight="1">
      <c r="A13" s="970">
        <v>11816</v>
      </c>
      <c r="B13" s="971" t="s">
        <v>50</v>
      </c>
      <c r="C13" s="968"/>
      <c r="D13" s="968"/>
      <c r="E13" s="968"/>
      <c r="F13" s="968"/>
      <c r="G13" s="968"/>
      <c r="H13" s="968">
        <v>0</v>
      </c>
      <c r="I13" s="968"/>
      <c r="J13" s="968"/>
      <c r="K13" s="969"/>
      <c r="L13" s="968"/>
      <c r="M13" s="958">
        <f t="shared" si="0"/>
        <v>0</v>
      </c>
      <c r="N13" s="954"/>
    </row>
    <row r="14" spans="1:14" s="955" customFormat="1" ht="21" hidden="1" customHeight="1">
      <c r="A14" s="970">
        <v>11817</v>
      </c>
      <c r="B14" s="971" t="s">
        <v>398</v>
      </c>
      <c r="C14" s="968"/>
      <c r="D14" s="968"/>
      <c r="E14" s="968"/>
      <c r="F14" s="968"/>
      <c r="G14" s="968"/>
      <c r="H14" s="968"/>
      <c r="I14" s="968"/>
      <c r="J14" s="968"/>
      <c r="K14" s="969"/>
      <c r="L14" s="968"/>
      <c r="M14" s="958">
        <f t="shared" si="0"/>
        <v>0</v>
      </c>
      <c r="N14" s="954"/>
    </row>
    <row r="15" spans="1:14" s="955" customFormat="1" ht="21" customHeight="1">
      <c r="A15" s="966">
        <v>11818</v>
      </c>
      <c r="B15" s="967" t="s">
        <v>214</v>
      </c>
      <c r="C15" s="968"/>
      <c r="D15" s="968"/>
      <c r="E15" s="968"/>
      <c r="F15" s="968"/>
      <c r="G15" s="968"/>
      <c r="H15" s="968">
        <v>0</v>
      </c>
      <c r="I15" s="968">
        <v>987.87</v>
      </c>
      <c r="J15" s="968"/>
      <c r="K15" s="969"/>
      <c r="L15" s="968"/>
      <c r="M15" s="958">
        <f t="shared" si="0"/>
        <v>987.87</v>
      </c>
      <c r="N15" s="954"/>
    </row>
    <row r="16" spans="1:14" s="955" customFormat="1" ht="21" customHeight="1">
      <c r="A16" s="966">
        <v>11899</v>
      </c>
      <c r="B16" s="967" t="s">
        <v>51</v>
      </c>
      <c r="C16" s="968"/>
      <c r="D16" s="968"/>
      <c r="E16" s="968"/>
      <c r="F16" s="968"/>
      <c r="G16" s="968"/>
      <c r="H16" s="968">
        <v>0</v>
      </c>
      <c r="I16" s="968">
        <v>32852.54</v>
      </c>
      <c r="J16" s="968"/>
      <c r="K16" s="969"/>
      <c r="L16" s="968"/>
      <c r="M16" s="958">
        <f t="shared" si="0"/>
        <v>32852.54</v>
      </c>
      <c r="N16" s="956">
        <f>SUM(M9:M16)</f>
        <v>34750.300000000003</v>
      </c>
    </row>
    <row r="17" spans="1:14" s="955" customFormat="1" ht="21" customHeight="1">
      <c r="A17" s="966">
        <v>12105</v>
      </c>
      <c r="B17" s="967" t="s">
        <v>52</v>
      </c>
      <c r="C17" s="968"/>
      <c r="D17" s="968"/>
      <c r="E17" s="968"/>
      <c r="F17" s="968"/>
      <c r="G17" s="968"/>
      <c r="H17" s="968">
        <v>0</v>
      </c>
      <c r="I17" s="968">
        <v>15126.71</v>
      </c>
      <c r="J17" s="968"/>
      <c r="K17" s="969"/>
      <c r="L17" s="968"/>
      <c r="M17" s="958">
        <f t="shared" ref="M17:M49" si="1">+H17+I17+J17+K17+L17</f>
        <v>15126.71</v>
      </c>
      <c r="N17" s="954"/>
    </row>
    <row r="18" spans="1:14" s="955" customFormat="1" ht="21" customHeight="1">
      <c r="A18" s="966">
        <v>12106</v>
      </c>
      <c r="B18" s="967" t="s">
        <v>925</v>
      </c>
      <c r="C18" s="968"/>
      <c r="D18" s="968"/>
      <c r="E18" s="968"/>
      <c r="F18" s="968"/>
      <c r="G18" s="968"/>
      <c r="H18" s="968">
        <v>0</v>
      </c>
      <c r="I18" s="968">
        <v>217</v>
      </c>
      <c r="J18" s="968"/>
      <c r="K18" s="969"/>
      <c r="L18" s="968"/>
      <c r="M18" s="958">
        <f t="shared" si="1"/>
        <v>217</v>
      </c>
      <c r="N18" s="954"/>
    </row>
    <row r="19" spans="1:14" s="955" customFormat="1" ht="21" customHeight="1">
      <c r="A19" s="966">
        <v>12108</v>
      </c>
      <c r="B19" s="967" t="s">
        <v>31</v>
      </c>
      <c r="C19" s="968"/>
      <c r="D19" s="968"/>
      <c r="E19" s="968"/>
      <c r="F19" s="968"/>
      <c r="G19" s="968"/>
      <c r="H19" s="968">
        <v>0</v>
      </c>
      <c r="I19" s="968">
        <v>14411.21</v>
      </c>
      <c r="J19" s="968"/>
      <c r="K19" s="969"/>
      <c r="L19" s="968"/>
      <c r="M19" s="958">
        <f t="shared" si="1"/>
        <v>14411.21</v>
      </c>
      <c r="N19" s="954"/>
    </row>
    <row r="20" spans="1:14" s="955" customFormat="1" ht="21" hidden="1" customHeight="1">
      <c r="A20" s="966">
        <v>12110</v>
      </c>
      <c r="B20" s="967" t="s">
        <v>799</v>
      </c>
      <c r="C20" s="968"/>
      <c r="D20" s="968"/>
      <c r="E20" s="968"/>
      <c r="F20" s="968"/>
      <c r="G20" s="968"/>
      <c r="H20" s="968">
        <v>0</v>
      </c>
      <c r="I20" s="968"/>
      <c r="J20" s="968"/>
      <c r="K20" s="969"/>
      <c r="L20" s="968"/>
      <c r="M20" s="958">
        <f t="shared" si="1"/>
        <v>0</v>
      </c>
      <c r="N20" s="954"/>
    </row>
    <row r="21" spans="1:14" s="955" customFormat="1" ht="21" customHeight="1">
      <c r="A21" s="966">
        <v>12111</v>
      </c>
      <c r="B21" s="967" t="s">
        <v>53</v>
      </c>
      <c r="C21" s="968"/>
      <c r="D21" s="968"/>
      <c r="E21" s="968"/>
      <c r="F21" s="968"/>
      <c r="G21" s="968"/>
      <c r="H21" s="968">
        <v>0</v>
      </c>
      <c r="I21" s="968">
        <v>1250</v>
      </c>
      <c r="J21" s="968"/>
      <c r="K21" s="969"/>
      <c r="L21" s="968"/>
      <c r="M21" s="958">
        <f t="shared" si="1"/>
        <v>1250</v>
      </c>
      <c r="N21" s="954"/>
    </row>
    <row r="22" spans="1:14" s="955" customFormat="1" ht="21" customHeight="1">
      <c r="A22" s="966">
        <v>12112</v>
      </c>
      <c r="B22" s="967" t="s">
        <v>54</v>
      </c>
      <c r="C22" s="968"/>
      <c r="D22" s="968"/>
      <c r="E22" s="968"/>
      <c r="F22" s="968"/>
      <c r="G22" s="968"/>
      <c r="H22" s="968">
        <v>0</v>
      </c>
      <c r="I22" s="968">
        <v>22973.279999999999</v>
      </c>
      <c r="J22" s="968"/>
      <c r="K22" s="969"/>
      <c r="L22" s="968"/>
      <c r="M22" s="958">
        <f t="shared" si="1"/>
        <v>22973.279999999999</v>
      </c>
      <c r="N22" s="954"/>
    </row>
    <row r="23" spans="1:14" s="955" customFormat="1" ht="21" customHeight="1">
      <c r="A23" s="966">
        <v>12114</v>
      </c>
      <c r="B23" s="967" t="s">
        <v>55</v>
      </c>
      <c r="C23" s="968"/>
      <c r="D23" s="968"/>
      <c r="E23" s="968"/>
      <c r="F23" s="968"/>
      <c r="G23" s="968"/>
      <c r="H23" s="968">
        <v>0</v>
      </c>
      <c r="I23" s="968">
        <v>11310.25</v>
      </c>
      <c r="J23" s="968"/>
      <c r="K23" s="969"/>
      <c r="L23" s="968"/>
      <c r="M23" s="958">
        <f t="shared" si="1"/>
        <v>11310.25</v>
      </c>
      <c r="N23" s="954"/>
    </row>
    <row r="24" spans="1:14" s="955" customFormat="1" ht="21" customHeight="1">
      <c r="A24" s="966">
        <v>12115</v>
      </c>
      <c r="B24" s="967" t="s">
        <v>56</v>
      </c>
      <c r="C24" s="968"/>
      <c r="D24" s="968"/>
      <c r="E24" s="968"/>
      <c r="F24" s="968"/>
      <c r="G24" s="968"/>
      <c r="H24" s="968">
        <v>0</v>
      </c>
      <c r="I24" s="968">
        <v>424.8</v>
      </c>
      <c r="J24" s="968"/>
      <c r="K24" s="969"/>
      <c r="L24" s="968"/>
      <c r="M24" s="958">
        <f t="shared" si="1"/>
        <v>424.8</v>
      </c>
      <c r="N24" s="954"/>
    </row>
    <row r="25" spans="1:14" s="955" customFormat="1" ht="21" customHeight="1">
      <c r="A25" s="966">
        <v>12117</v>
      </c>
      <c r="B25" s="967" t="s">
        <v>57</v>
      </c>
      <c r="C25" s="968"/>
      <c r="D25" s="968"/>
      <c r="E25" s="968"/>
      <c r="F25" s="968"/>
      <c r="G25" s="968"/>
      <c r="H25" s="968">
        <v>0</v>
      </c>
      <c r="I25" s="968">
        <v>3404.37</v>
      </c>
      <c r="J25" s="968"/>
      <c r="K25" s="969"/>
      <c r="L25" s="968"/>
      <c r="M25" s="958">
        <f t="shared" si="1"/>
        <v>3404.37</v>
      </c>
      <c r="N25" s="954"/>
    </row>
    <row r="26" spans="1:14" s="955" customFormat="1" ht="21" customHeight="1">
      <c r="A26" s="966">
        <v>12118</v>
      </c>
      <c r="B26" s="967" t="s">
        <v>58</v>
      </c>
      <c r="C26" s="968"/>
      <c r="D26" s="968"/>
      <c r="E26" s="968"/>
      <c r="F26" s="968"/>
      <c r="G26" s="968"/>
      <c r="H26" s="968">
        <v>0</v>
      </c>
      <c r="I26" s="968">
        <v>56023.37</v>
      </c>
      <c r="J26" s="968"/>
      <c r="K26" s="969"/>
      <c r="L26" s="968"/>
      <c r="M26" s="958">
        <f t="shared" si="1"/>
        <v>56023.37</v>
      </c>
      <c r="N26" s="954"/>
    </row>
    <row r="27" spans="1:14" s="955" customFormat="1" ht="21" customHeight="1">
      <c r="A27" s="966">
        <v>12119</v>
      </c>
      <c r="B27" s="967" t="s">
        <v>59</v>
      </c>
      <c r="C27" s="968"/>
      <c r="D27" s="968"/>
      <c r="E27" s="968"/>
      <c r="F27" s="968"/>
      <c r="G27" s="968"/>
      <c r="H27" s="968">
        <v>0</v>
      </c>
      <c r="I27" s="968">
        <v>985.18</v>
      </c>
      <c r="J27" s="968"/>
      <c r="K27" s="969"/>
      <c r="L27" s="968"/>
      <c r="M27" s="958">
        <f t="shared" si="1"/>
        <v>985.18</v>
      </c>
      <c r="N27" s="954"/>
    </row>
    <row r="28" spans="1:14" s="955" customFormat="1" ht="21" customHeight="1">
      <c r="A28" s="966">
        <v>12199</v>
      </c>
      <c r="B28" s="967" t="s">
        <v>60</v>
      </c>
      <c r="C28" s="968"/>
      <c r="D28" s="968"/>
      <c r="E28" s="968"/>
      <c r="F28" s="968"/>
      <c r="G28" s="968"/>
      <c r="H28" s="968">
        <v>0</v>
      </c>
      <c r="I28" s="968">
        <v>776.4</v>
      </c>
      <c r="J28" s="968"/>
      <c r="K28" s="969"/>
      <c r="L28" s="968"/>
      <c r="M28" s="958">
        <f t="shared" si="1"/>
        <v>776.4</v>
      </c>
      <c r="N28" s="954"/>
    </row>
    <row r="29" spans="1:14" s="955" customFormat="1" ht="21" customHeight="1">
      <c r="A29" s="966">
        <v>12210</v>
      </c>
      <c r="B29" s="967" t="s">
        <v>32</v>
      </c>
      <c r="C29" s="968"/>
      <c r="D29" s="968"/>
      <c r="E29" s="968"/>
      <c r="F29" s="968"/>
      <c r="G29" s="968"/>
      <c r="H29" s="968">
        <v>0</v>
      </c>
      <c r="I29" s="968">
        <v>36871.58</v>
      </c>
      <c r="J29" s="968"/>
      <c r="K29" s="969"/>
      <c r="L29" s="968"/>
      <c r="M29" s="958">
        <f t="shared" si="1"/>
        <v>36871.58</v>
      </c>
      <c r="N29" s="954"/>
    </row>
    <row r="30" spans="1:14" s="955" customFormat="1" ht="21" customHeight="1">
      <c r="A30" s="966">
        <v>12211</v>
      </c>
      <c r="B30" s="972" t="s">
        <v>33</v>
      </c>
      <c r="C30" s="968"/>
      <c r="D30" s="968"/>
      <c r="E30" s="968"/>
      <c r="F30" s="968"/>
      <c r="G30" s="968"/>
      <c r="H30" s="968">
        <v>0</v>
      </c>
      <c r="I30" s="968">
        <v>22.71</v>
      </c>
      <c r="J30" s="968"/>
      <c r="K30" s="969"/>
      <c r="L30" s="968"/>
      <c r="M30" s="958">
        <f t="shared" si="1"/>
        <v>22.71</v>
      </c>
      <c r="N30" s="954"/>
    </row>
    <row r="31" spans="1:14" s="955" customFormat="1" ht="21" customHeight="1">
      <c r="A31" s="966">
        <v>12299</v>
      </c>
      <c r="B31" s="967" t="s">
        <v>61</v>
      </c>
      <c r="C31" s="968"/>
      <c r="D31" s="968"/>
      <c r="E31" s="968"/>
      <c r="F31" s="968"/>
      <c r="G31" s="968"/>
      <c r="H31" s="968">
        <v>0</v>
      </c>
      <c r="I31" s="968">
        <v>1335</v>
      </c>
      <c r="J31" s="968"/>
      <c r="K31" s="969"/>
      <c r="L31" s="968"/>
      <c r="M31" s="958">
        <f t="shared" si="1"/>
        <v>1335</v>
      </c>
      <c r="N31" s="956">
        <f>SUM(M17:M31)</f>
        <v>165131.85999999996</v>
      </c>
    </row>
    <row r="32" spans="1:14" s="955" customFormat="1" ht="21" customHeight="1">
      <c r="A32" s="966">
        <v>14201</v>
      </c>
      <c r="B32" s="967" t="s">
        <v>62</v>
      </c>
      <c r="C32" s="968"/>
      <c r="D32" s="968"/>
      <c r="E32" s="968"/>
      <c r="F32" s="968"/>
      <c r="G32" s="968"/>
      <c r="H32" s="968">
        <v>0</v>
      </c>
      <c r="I32" s="968">
        <v>12659.24</v>
      </c>
      <c r="J32" s="968"/>
      <c r="K32" s="969"/>
      <c r="L32" s="968"/>
      <c r="M32" s="958">
        <f t="shared" si="1"/>
        <v>12659.24</v>
      </c>
      <c r="N32" s="954"/>
    </row>
    <row r="33" spans="1:14" s="955" customFormat="1" ht="20.25" customHeight="1">
      <c r="A33" s="966">
        <v>14299</v>
      </c>
      <c r="B33" s="967" t="s">
        <v>63</v>
      </c>
      <c r="C33" s="968"/>
      <c r="D33" s="968"/>
      <c r="E33" s="968"/>
      <c r="F33" s="968"/>
      <c r="G33" s="968"/>
      <c r="H33" s="968">
        <v>0</v>
      </c>
      <c r="I33" s="968">
        <v>806</v>
      </c>
      <c r="J33" s="968"/>
      <c r="K33" s="969"/>
      <c r="L33" s="968"/>
      <c r="M33" s="958">
        <f t="shared" si="1"/>
        <v>806</v>
      </c>
      <c r="N33" s="956">
        <f>SUM(M32:M33)</f>
        <v>13465.24</v>
      </c>
    </row>
    <row r="34" spans="1:14" s="955" customFormat="1" ht="9.75" hidden="1" customHeight="1">
      <c r="A34" s="966"/>
      <c r="B34" s="967"/>
      <c r="C34" s="968"/>
      <c r="D34" s="968"/>
      <c r="E34" s="968"/>
      <c r="F34" s="968"/>
      <c r="G34" s="968"/>
      <c r="H34" s="968"/>
      <c r="I34" s="968"/>
      <c r="J34" s="968"/>
      <c r="K34" s="969"/>
      <c r="L34" s="968"/>
      <c r="M34" s="958"/>
      <c r="N34" s="954"/>
    </row>
    <row r="35" spans="1:14" s="955" customFormat="1" ht="21" customHeight="1">
      <c r="A35" s="966">
        <v>15301</v>
      </c>
      <c r="B35" s="967" t="s">
        <v>64</v>
      </c>
      <c r="C35" s="968"/>
      <c r="D35" s="968"/>
      <c r="E35" s="968"/>
      <c r="F35" s="968"/>
      <c r="G35" s="968"/>
      <c r="H35" s="968">
        <v>0</v>
      </c>
      <c r="I35" s="968">
        <v>310.97000000000003</v>
      </c>
      <c r="J35" s="968"/>
      <c r="K35" s="969"/>
      <c r="L35" s="968"/>
      <c r="M35" s="958">
        <f t="shared" si="1"/>
        <v>310.97000000000003</v>
      </c>
      <c r="N35" s="954"/>
    </row>
    <row r="36" spans="1:14" s="955" customFormat="1" ht="21" customHeight="1">
      <c r="A36" s="966">
        <v>15302</v>
      </c>
      <c r="B36" s="967" t="s">
        <v>65</v>
      </c>
      <c r="C36" s="968"/>
      <c r="D36" s="968"/>
      <c r="E36" s="968"/>
      <c r="F36" s="968"/>
      <c r="G36" s="968"/>
      <c r="H36" s="968">
        <v>0</v>
      </c>
      <c r="I36" s="968">
        <v>44.55</v>
      </c>
      <c r="J36" s="968"/>
      <c r="K36" s="969"/>
      <c r="L36" s="968"/>
      <c r="M36" s="958">
        <f t="shared" si="1"/>
        <v>44.55</v>
      </c>
      <c r="N36" s="954"/>
    </row>
    <row r="37" spans="1:14" s="955" customFormat="1" ht="21" hidden="1" customHeight="1">
      <c r="A37" s="966">
        <v>15312</v>
      </c>
      <c r="B37" s="967" t="s">
        <v>66</v>
      </c>
      <c r="C37" s="968"/>
      <c r="D37" s="968"/>
      <c r="E37" s="968"/>
      <c r="F37" s="968"/>
      <c r="G37" s="968"/>
      <c r="H37" s="968"/>
      <c r="I37" s="968"/>
      <c r="J37" s="968"/>
      <c r="K37" s="969"/>
      <c r="L37" s="968"/>
      <c r="M37" s="958">
        <f t="shared" si="1"/>
        <v>0</v>
      </c>
      <c r="N37" s="954"/>
    </row>
    <row r="38" spans="1:14" s="955" customFormat="1" ht="21" hidden="1" customHeight="1">
      <c r="A38" s="973">
        <v>15314</v>
      </c>
      <c r="B38" s="973" t="s">
        <v>378</v>
      </c>
      <c r="C38" s="968"/>
      <c r="D38" s="968"/>
      <c r="E38" s="968"/>
      <c r="F38" s="968"/>
      <c r="G38" s="968"/>
      <c r="H38" s="968">
        <v>0</v>
      </c>
      <c r="I38" s="968"/>
      <c r="J38" s="968"/>
      <c r="K38" s="969"/>
      <c r="L38" s="968"/>
      <c r="M38" s="958">
        <f t="shared" si="1"/>
        <v>0</v>
      </c>
      <c r="N38" s="954"/>
    </row>
    <row r="39" spans="1:14" s="955" customFormat="1" ht="21" customHeight="1">
      <c r="A39" s="966">
        <v>15703</v>
      </c>
      <c r="B39" s="967" t="s">
        <v>67</v>
      </c>
      <c r="C39" s="968"/>
      <c r="D39" s="968"/>
      <c r="E39" s="968"/>
      <c r="F39" s="968"/>
      <c r="G39" s="968"/>
      <c r="H39" s="968">
        <v>0</v>
      </c>
      <c r="I39" s="969">
        <v>346.7</v>
      </c>
      <c r="J39" s="968"/>
      <c r="K39" s="969"/>
      <c r="L39" s="968"/>
      <c r="M39" s="958">
        <f t="shared" si="1"/>
        <v>346.7</v>
      </c>
      <c r="N39" s="954"/>
    </row>
    <row r="40" spans="1:14" s="955" customFormat="1" ht="21" customHeight="1">
      <c r="A40" s="966">
        <v>15799</v>
      </c>
      <c r="B40" s="967" t="s">
        <v>68</v>
      </c>
      <c r="C40" s="968"/>
      <c r="D40" s="968"/>
      <c r="E40" s="968"/>
      <c r="F40" s="968"/>
      <c r="G40" s="968"/>
      <c r="H40" s="968">
        <v>0</v>
      </c>
      <c r="I40" s="968">
        <v>4442.6899999999996</v>
      </c>
      <c r="J40" s="968"/>
      <c r="K40" s="969"/>
      <c r="L40" s="968"/>
      <c r="M40" s="958">
        <f>+H40+I40+J40+K40+L40</f>
        <v>4442.6899999999996</v>
      </c>
      <c r="N40" s="956">
        <f>SUM(M35:M40)</f>
        <v>5144.91</v>
      </c>
    </row>
    <row r="41" spans="1:14" s="955" customFormat="1" ht="21" customHeight="1">
      <c r="A41" s="966">
        <v>16201</v>
      </c>
      <c r="B41" s="967" t="s">
        <v>69</v>
      </c>
      <c r="C41" s="974">
        <f>SUM('Saldos de ctas. Bancarias'!C54)</f>
        <v>359385.28</v>
      </c>
      <c r="D41" s="974"/>
      <c r="E41" s="974"/>
      <c r="F41" s="974"/>
      <c r="G41" s="974"/>
      <c r="H41" s="968">
        <f t="shared" ref="H41:H49" si="2">+C41+D41+F41</f>
        <v>359385.28</v>
      </c>
      <c r="I41" s="968"/>
      <c r="J41" s="974"/>
      <c r="K41" s="969"/>
      <c r="L41" s="974"/>
      <c r="M41" s="958">
        <f>+H41+I41+J41+K41+L41</f>
        <v>359385.28</v>
      </c>
      <c r="N41" s="957">
        <f>+I41+J41+K41+L41+M41</f>
        <v>359385.28</v>
      </c>
    </row>
    <row r="42" spans="1:14" s="955" customFormat="1" ht="27.75" hidden="1" customHeight="1">
      <c r="A42" s="966">
        <v>22201</v>
      </c>
      <c r="B42" s="975" t="s">
        <v>70</v>
      </c>
      <c r="C42" s="968"/>
      <c r="D42" s="968"/>
      <c r="E42" s="968"/>
      <c r="F42" s="968">
        <f>SUM('Saldos de ctas. Bancarias'!C63)</f>
        <v>0</v>
      </c>
      <c r="G42" s="968"/>
      <c r="H42" s="968">
        <f>+C42+D42+F42</f>
        <v>0</v>
      </c>
      <c r="I42" s="968"/>
      <c r="J42" s="968"/>
      <c r="K42" s="969"/>
      <c r="L42" s="968"/>
      <c r="M42" s="958">
        <f>+H42+I42+J42+K42+L42</f>
        <v>0</v>
      </c>
      <c r="N42" s="954"/>
    </row>
    <row r="43" spans="1:14" s="955" customFormat="1" ht="29.25" hidden="1" customHeight="1">
      <c r="A43" s="966">
        <v>22201</v>
      </c>
      <c r="B43" s="976" t="s">
        <v>71</v>
      </c>
      <c r="C43" s="968"/>
      <c r="D43" s="968"/>
      <c r="E43" s="968"/>
      <c r="F43" s="968"/>
      <c r="G43" s="968"/>
      <c r="H43" s="968">
        <f>+C43+D43+F43</f>
        <v>0</v>
      </c>
      <c r="I43" s="968"/>
      <c r="J43" s="968"/>
      <c r="K43" s="969"/>
      <c r="L43" s="968"/>
      <c r="M43" s="958">
        <f t="shared" si="1"/>
        <v>0</v>
      </c>
      <c r="N43" s="954"/>
    </row>
    <row r="44" spans="1:14" s="955" customFormat="1" ht="27.75" hidden="1" customHeight="1">
      <c r="A44" s="966">
        <v>22201</v>
      </c>
      <c r="B44" s="976" t="s">
        <v>72</v>
      </c>
      <c r="C44" s="968"/>
      <c r="D44" s="968"/>
      <c r="E44" s="968"/>
      <c r="F44" s="968"/>
      <c r="G44" s="968"/>
      <c r="H44" s="968">
        <f t="shared" si="2"/>
        <v>0</v>
      </c>
      <c r="I44" s="968"/>
      <c r="J44" s="968"/>
      <c r="K44" s="969"/>
      <c r="L44" s="968"/>
      <c r="M44" s="958">
        <f t="shared" si="1"/>
        <v>0</v>
      </c>
      <c r="N44" s="956">
        <f>SUM(M42:M44)</f>
        <v>0</v>
      </c>
    </row>
    <row r="45" spans="1:14" s="955" customFormat="1" ht="26.25" hidden="1" customHeight="1">
      <c r="A45" s="966">
        <v>22224</v>
      </c>
      <c r="B45" s="976" t="s">
        <v>663</v>
      </c>
      <c r="C45" s="968"/>
      <c r="D45" s="968"/>
      <c r="E45" s="968"/>
      <c r="F45" s="968"/>
      <c r="G45" s="968"/>
      <c r="H45" s="968">
        <f>G45</f>
        <v>0</v>
      </c>
      <c r="I45" s="968"/>
      <c r="J45" s="968"/>
      <c r="K45" s="969"/>
      <c r="L45" s="968"/>
      <c r="M45" s="958">
        <f t="shared" si="1"/>
        <v>0</v>
      </c>
      <c r="N45" s="954"/>
    </row>
    <row r="46" spans="1:14" s="955" customFormat="1" ht="21" hidden="1" customHeight="1">
      <c r="A46" s="966">
        <v>31304</v>
      </c>
      <c r="B46" s="967" t="s">
        <v>76</v>
      </c>
      <c r="C46" s="968"/>
      <c r="D46" s="968"/>
      <c r="E46" s="968"/>
      <c r="F46" s="968"/>
      <c r="G46" s="968"/>
      <c r="H46" s="968">
        <f t="shared" si="2"/>
        <v>0</v>
      </c>
      <c r="I46" s="968"/>
      <c r="J46" s="968"/>
      <c r="K46" s="969"/>
      <c r="L46" s="968"/>
      <c r="M46" s="958">
        <f>+H46+I46+J46+K46+L46</f>
        <v>0</v>
      </c>
      <c r="N46" s="954"/>
    </row>
    <row r="47" spans="1:14" s="955" customFormat="1" ht="21" hidden="1" customHeight="1">
      <c r="A47" s="966">
        <v>32101</v>
      </c>
      <c r="B47" s="967" t="s">
        <v>73</v>
      </c>
      <c r="C47" s="968"/>
      <c r="D47" s="968"/>
      <c r="E47" s="968"/>
      <c r="F47" s="968"/>
      <c r="G47" s="968"/>
      <c r="H47" s="968">
        <f t="shared" si="2"/>
        <v>0</v>
      </c>
      <c r="I47" s="968"/>
      <c r="J47" s="968"/>
      <c r="K47" s="969"/>
      <c r="L47" s="968"/>
      <c r="M47" s="958">
        <f>+H47+I47+J47+K47+L47</f>
        <v>0</v>
      </c>
      <c r="N47" s="954"/>
    </row>
    <row r="48" spans="1:14" s="955" customFormat="1" ht="21" customHeight="1">
      <c r="A48" s="966">
        <v>32102</v>
      </c>
      <c r="B48" s="967" t="s">
        <v>74</v>
      </c>
      <c r="C48" s="968">
        <f>SUM('Saldos de ctas. Bancarias'!C55,'Saldos de ctas. Bancarias'!C57)</f>
        <v>2742.53</v>
      </c>
      <c r="D48" s="968">
        <f>SUM('Saldos de ctas. Bancarias'!C62)</f>
        <v>385618.3</v>
      </c>
      <c r="E48" s="968">
        <f>SUM('Saldos de ctas. Bancarias'!C68)</f>
        <v>270308.05</v>
      </c>
      <c r="F48" s="968">
        <f>SUM('Saldos de ctas. Bancarias'!C64)</f>
        <v>174346.37</v>
      </c>
      <c r="G48" s="968"/>
      <c r="H48" s="968">
        <f>+C48+D48+E48+F48+G48</f>
        <v>833015.25</v>
      </c>
      <c r="I48" s="968">
        <f>SUM('Saldos de ctas. Bancarias'!C49)</f>
        <v>64381.58</v>
      </c>
      <c r="J48" s="968"/>
      <c r="K48" s="969">
        <f>SUM('Saldos de ctas. Bancarias'!C70)</f>
        <v>0</v>
      </c>
      <c r="L48" s="968"/>
      <c r="M48" s="958">
        <f>+H48+I48+J48+K48+L48</f>
        <v>897396.83</v>
      </c>
      <c r="N48" s="954"/>
    </row>
    <row r="49" spans="1:14" s="955" customFormat="1" ht="27" customHeight="1">
      <c r="A49" s="966">
        <v>32201</v>
      </c>
      <c r="B49" s="976" t="s">
        <v>75</v>
      </c>
      <c r="C49" s="968"/>
      <c r="D49" s="968">
        <f>'Saldos de ctas. Bancarias'!C61</f>
        <v>269670.13</v>
      </c>
      <c r="E49" s="968"/>
      <c r="F49" s="968">
        <f>SUM('Saldos de ctas. Bancarias'!C65)</f>
        <v>0</v>
      </c>
      <c r="G49" s="968"/>
      <c r="H49" s="968">
        <f t="shared" si="2"/>
        <v>269670.13</v>
      </c>
      <c r="I49" s="968">
        <f>SUM('Media Simple 5 años ingresos'!G63)</f>
        <v>57532.020000000004</v>
      </c>
      <c r="J49" s="968"/>
      <c r="K49" s="969"/>
      <c r="L49" s="968"/>
      <c r="M49" s="958">
        <f t="shared" si="1"/>
        <v>327202.15000000002</v>
      </c>
      <c r="N49" s="954"/>
    </row>
    <row r="50" spans="1:14" s="53" customFormat="1" ht="31.5" customHeight="1">
      <c r="A50" s="1358" t="s">
        <v>77</v>
      </c>
      <c r="B50" s="1358"/>
      <c r="C50" s="959">
        <f t="shared" ref="C50:L50" si="3">SUM(C9:C49)</f>
        <v>362127.81000000006</v>
      </c>
      <c r="D50" s="959">
        <f>SUM(D9:D49)</f>
        <v>655288.42999999993</v>
      </c>
      <c r="E50" s="959">
        <f>SUM(E9:E49)</f>
        <v>270308.05</v>
      </c>
      <c r="F50" s="959">
        <f t="shared" si="3"/>
        <v>174346.37</v>
      </c>
      <c r="G50" s="959">
        <f>SUM(G9:G49)</f>
        <v>0</v>
      </c>
      <c r="H50" s="959">
        <f>SUM(H9:H49)</f>
        <v>1462070.6600000001</v>
      </c>
      <c r="I50" s="959">
        <f>SUM(I9:I49)</f>
        <v>340405.91000000003</v>
      </c>
      <c r="J50" s="959">
        <f t="shared" si="3"/>
        <v>0</v>
      </c>
      <c r="K50" s="959">
        <f>SUM(K9:K49)</f>
        <v>0</v>
      </c>
      <c r="L50" s="959">
        <f t="shared" si="3"/>
        <v>0</v>
      </c>
      <c r="M50" s="959">
        <f>SUM(M9:M49)</f>
        <v>1802476.5699999998</v>
      </c>
      <c r="N50" s="611">
        <f>SUM(M50)</f>
        <v>1802476.5699999998</v>
      </c>
    </row>
    <row r="51" spans="1:14">
      <c r="A51" s="492"/>
      <c r="B51" s="493"/>
      <c r="C51" s="138"/>
      <c r="D51" s="138"/>
      <c r="E51" s="138"/>
      <c r="F51" s="138"/>
      <c r="G51" s="138"/>
      <c r="H51" s="494"/>
      <c r="I51" s="138"/>
      <c r="J51" s="138"/>
      <c r="K51" s="138"/>
      <c r="L51" s="490"/>
      <c r="M51"/>
      <c r="N51"/>
    </row>
    <row r="52" spans="1:14">
      <c r="A52" s="495"/>
      <c r="B52" s="23"/>
      <c r="C52" s="136"/>
      <c r="D52" s="136"/>
      <c r="E52" s="136"/>
      <c r="F52" s="136"/>
      <c r="G52" s="136"/>
      <c r="H52" s="491"/>
      <c r="I52" s="136"/>
      <c r="J52" s="136"/>
      <c r="L52" s="490"/>
      <c r="M52"/>
      <c r="N52"/>
    </row>
    <row r="53" spans="1:14">
      <c r="A53" s="495"/>
      <c r="B53" s="23"/>
      <c r="C53" s="136"/>
      <c r="D53" s="136"/>
      <c r="E53" s="136"/>
      <c r="F53" s="136"/>
      <c r="G53" s="136"/>
      <c r="H53" s="491"/>
      <c r="I53" s="136"/>
      <c r="J53" s="136"/>
      <c r="L53" s="490"/>
      <c r="M53"/>
      <c r="N53"/>
    </row>
    <row r="54" spans="1:14">
      <c r="A54" s="495"/>
      <c r="B54" s="23"/>
      <c r="C54" s="136"/>
      <c r="D54" s="136"/>
      <c r="E54" s="136"/>
      <c r="F54" s="136"/>
      <c r="G54" s="136"/>
      <c r="H54" s="491"/>
      <c r="I54" s="136"/>
      <c r="J54" s="136"/>
      <c r="L54" s="490"/>
      <c r="M54"/>
      <c r="N54"/>
    </row>
    <row r="55" spans="1:14">
      <c r="A55" s="495"/>
      <c r="B55" s="23"/>
      <c r="C55" s="136"/>
      <c r="D55" s="136"/>
      <c r="E55" s="136"/>
      <c r="F55" s="136"/>
      <c r="G55" s="136"/>
      <c r="H55" s="491"/>
      <c r="I55" s="136"/>
      <c r="J55" s="136"/>
      <c r="L55" s="490"/>
      <c r="M55"/>
      <c r="N55"/>
    </row>
    <row r="56" spans="1:14">
      <c r="A56" s="495"/>
      <c r="B56" s="23"/>
      <c r="C56" s="136"/>
      <c r="D56" s="136"/>
      <c r="E56" s="136"/>
      <c r="F56" s="136"/>
      <c r="G56" s="136"/>
      <c r="H56" s="491"/>
      <c r="I56" s="136"/>
      <c r="J56" s="136"/>
      <c r="L56" s="490"/>
      <c r="M56"/>
      <c r="N56"/>
    </row>
    <row r="57" spans="1:14">
      <c r="A57" s="495"/>
      <c r="B57" s="23"/>
      <c r="C57" s="136"/>
      <c r="D57" s="136"/>
      <c r="E57" s="136"/>
      <c r="F57" s="136"/>
      <c r="G57" s="136"/>
      <c r="H57" s="491"/>
      <c r="I57" s="136"/>
      <c r="J57" s="136"/>
      <c r="L57" s="490"/>
      <c r="M57"/>
      <c r="N57"/>
    </row>
    <row r="58" spans="1:14">
      <c r="A58" s="495"/>
      <c r="B58" s="23"/>
      <c r="C58" s="136"/>
      <c r="D58" s="136"/>
      <c r="E58" s="136"/>
      <c r="F58" s="136"/>
      <c r="G58" s="136"/>
      <c r="H58" s="491"/>
      <c r="I58" s="136"/>
      <c r="J58" s="136"/>
      <c r="L58" s="490"/>
      <c r="M58"/>
      <c r="N58"/>
    </row>
    <row r="59" spans="1:14">
      <c r="A59" s="495"/>
      <c r="B59" s="23"/>
      <c r="C59" s="136"/>
      <c r="D59" s="136"/>
      <c r="E59" s="136"/>
      <c r="F59" s="136"/>
      <c r="G59" s="136"/>
      <c r="H59" s="491"/>
      <c r="I59" s="136"/>
      <c r="J59" s="136"/>
      <c r="L59" s="490"/>
      <c r="M59"/>
      <c r="N59"/>
    </row>
    <row r="60" spans="1:14">
      <c r="A60" s="495"/>
      <c r="B60" s="23"/>
      <c r="C60" s="136"/>
      <c r="D60" s="136"/>
      <c r="E60" s="136"/>
      <c r="F60" s="136"/>
      <c r="G60" s="136"/>
      <c r="H60" s="491"/>
      <c r="I60" s="136"/>
      <c r="J60" s="136"/>
      <c r="L60" s="490"/>
      <c r="M60"/>
      <c r="N60"/>
    </row>
    <row r="61" spans="1:14">
      <c r="A61" s="495"/>
      <c r="B61" s="23"/>
      <c r="C61" s="136"/>
      <c r="D61" s="136"/>
      <c r="E61" s="136"/>
      <c r="F61" s="136"/>
      <c r="G61" s="136"/>
      <c r="H61" s="491"/>
      <c r="I61" s="136"/>
      <c r="J61" s="136"/>
      <c r="L61" s="490"/>
      <c r="M61"/>
      <c r="N61"/>
    </row>
    <row r="62" spans="1:14">
      <c r="A62" s="495"/>
      <c r="B62" s="23"/>
      <c r="C62" s="136"/>
      <c r="D62" s="136"/>
      <c r="E62" s="136"/>
      <c r="F62" s="136"/>
      <c r="G62" s="136"/>
      <c r="H62" s="491"/>
      <c r="I62" s="136"/>
      <c r="J62" s="136"/>
      <c r="L62" s="490"/>
      <c r="M62"/>
      <c r="N62"/>
    </row>
    <row r="63" spans="1:14">
      <c r="A63" s="495"/>
      <c r="B63" s="23"/>
      <c r="C63" s="136"/>
      <c r="D63" s="136"/>
      <c r="E63" s="136"/>
      <c r="F63" s="136"/>
      <c r="G63" s="136"/>
      <c r="H63" s="491"/>
      <c r="I63" s="136"/>
      <c r="J63" s="136"/>
      <c r="L63" s="490"/>
      <c r="M63"/>
      <c r="N63"/>
    </row>
    <row r="64" spans="1:14">
      <c r="A64" s="495"/>
      <c r="B64" s="23"/>
      <c r="C64" s="136"/>
      <c r="D64" s="136"/>
      <c r="E64" s="136"/>
      <c r="F64" s="136"/>
      <c r="G64" s="136"/>
      <c r="H64" s="491"/>
      <c r="I64" s="136"/>
      <c r="J64" s="136"/>
      <c r="L64" s="490"/>
      <c r="M64"/>
      <c r="N64"/>
    </row>
    <row r="65" spans="1:14">
      <c r="A65" s="495"/>
      <c r="B65" s="23"/>
      <c r="C65" s="136"/>
      <c r="D65" s="136"/>
      <c r="E65" s="136"/>
      <c r="F65" s="136"/>
      <c r="G65" s="136"/>
      <c r="H65" s="491"/>
      <c r="I65" s="136"/>
      <c r="J65" s="136"/>
      <c r="L65" s="490"/>
      <c r="M65"/>
      <c r="N65"/>
    </row>
    <row r="66" spans="1:14">
      <c r="A66" s="495"/>
      <c r="B66" s="23"/>
      <c r="C66" s="136"/>
      <c r="D66" s="136"/>
      <c r="E66" s="136"/>
      <c r="F66" s="136"/>
      <c r="G66" s="136"/>
      <c r="H66" s="491"/>
      <c r="I66" s="136"/>
      <c r="J66" s="136"/>
      <c r="L66" s="490"/>
      <c r="M66"/>
      <c r="N66"/>
    </row>
    <row r="67" spans="1:14">
      <c r="A67" s="495"/>
      <c r="B67" s="23"/>
      <c r="C67" s="136"/>
      <c r="D67" s="136"/>
      <c r="E67" s="136"/>
      <c r="F67" s="136"/>
      <c r="G67" s="136"/>
      <c r="H67" s="491"/>
      <c r="I67" s="136"/>
      <c r="J67" s="136"/>
      <c r="L67" s="490"/>
      <c r="M67"/>
      <c r="N67"/>
    </row>
    <row r="68" spans="1:14">
      <c r="A68" s="495"/>
      <c r="B68" s="23"/>
      <c r="C68" s="136"/>
      <c r="D68" s="136"/>
      <c r="E68" s="136"/>
      <c r="F68" s="136"/>
      <c r="G68" s="136"/>
      <c r="H68" s="491"/>
      <c r="I68" s="136"/>
      <c r="J68" s="136"/>
      <c r="L68" s="490"/>
      <c r="M68"/>
      <c r="N68"/>
    </row>
    <row r="69" spans="1:14">
      <c r="A69" s="495"/>
      <c r="B69" s="23"/>
      <c r="C69" s="136"/>
      <c r="D69" s="136"/>
      <c r="E69" s="136"/>
      <c r="F69" s="136"/>
      <c r="G69" s="136"/>
      <c r="H69" s="491"/>
      <c r="I69" s="136"/>
      <c r="J69" s="136"/>
      <c r="L69" s="490"/>
      <c r="M69"/>
      <c r="N69"/>
    </row>
    <row r="70" spans="1:14">
      <c r="A70" s="495"/>
      <c r="B70" s="23"/>
      <c r="C70" s="136"/>
      <c r="D70" s="136"/>
      <c r="E70" s="136"/>
      <c r="F70" s="136"/>
      <c r="G70" s="136"/>
      <c r="H70" s="491"/>
      <c r="I70" s="136"/>
      <c r="J70" s="136"/>
      <c r="L70" s="490"/>
      <c r="M70"/>
      <c r="N70"/>
    </row>
    <row r="71" spans="1:14">
      <c r="A71" s="495"/>
      <c r="B71" s="23"/>
      <c r="C71" s="136"/>
      <c r="D71" s="136"/>
      <c r="E71" s="136"/>
      <c r="F71" s="136"/>
      <c r="G71" s="136"/>
      <c r="H71" s="491"/>
      <c r="I71" s="136"/>
      <c r="J71" s="136"/>
      <c r="L71" s="490"/>
      <c r="M71"/>
      <c r="N71"/>
    </row>
    <row r="72" spans="1:14">
      <c r="A72" s="495"/>
      <c r="B72" s="23"/>
      <c r="C72" s="136"/>
      <c r="D72" s="136"/>
      <c r="E72" s="136"/>
      <c r="F72" s="136"/>
      <c r="G72" s="136"/>
      <c r="H72" s="491"/>
      <c r="I72" s="136"/>
      <c r="J72" s="136"/>
      <c r="L72" s="490"/>
      <c r="M72"/>
      <c r="N72"/>
    </row>
    <row r="73" spans="1:14">
      <c r="A73" s="495"/>
      <c r="B73" s="23"/>
      <c r="C73" s="136"/>
      <c r="D73" s="136"/>
      <c r="E73" s="136"/>
      <c r="F73" s="136"/>
      <c r="G73" s="136"/>
      <c r="H73" s="491"/>
      <c r="I73" s="136"/>
      <c r="J73" s="136"/>
      <c r="L73" s="490"/>
      <c r="M73"/>
      <c r="N73"/>
    </row>
    <row r="74" spans="1:14">
      <c r="A74" s="495"/>
      <c r="B74" s="23"/>
      <c r="C74" s="136"/>
      <c r="D74" s="136"/>
      <c r="E74" s="136"/>
      <c r="F74" s="136"/>
      <c r="G74" s="136"/>
      <c r="H74" s="491"/>
      <c r="I74" s="136"/>
      <c r="J74" s="136"/>
      <c r="L74" s="490"/>
      <c r="M74"/>
      <c r="N74"/>
    </row>
    <row r="75" spans="1:14">
      <c r="A75" s="495"/>
      <c r="B75" s="23"/>
      <c r="C75" s="136"/>
      <c r="D75" s="136"/>
      <c r="E75" s="136"/>
      <c r="F75" s="136"/>
      <c r="G75" s="136"/>
      <c r="H75" s="491"/>
      <c r="I75" s="136"/>
      <c r="J75" s="136"/>
      <c r="L75" s="490"/>
      <c r="M75"/>
      <c r="N75"/>
    </row>
    <row r="76" spans="1:14">
      <c r="A76" s="495"/>
      <c r="B76" s="23"/>
      <c r="C76" s="136"/>
      <c r="D76" s="136"/>
      <c r="E76" s="136"/>
      <c r="F76" s="136"/>
      <c r="G76" s="136"/>
      <c r="H76" s="491"/>
      <c r="I76" s="136"/>
      <c r="J76" s="136"/>
      <c r="L76" s="490"/>
      <c r="M76"/>
      <c r="N76"/>
    </row>
    <row r="77" spans="1:14">
      <c r="A77" s="495"/>
      <c r="B77" s="23"/>
      <c r="C77" s="136"/>
      <c r="D77" s="136"/>
      <c r="E77" s="136"/>
      <c r="F77" s="136"/>
      <c r="G77" s="136"/>
      <c r="H77" s="491"/>
      <c r="I77" s="136"/>
      <c r="J77" s="136"/>
      <c r="L77" s="490"/>
      <c r="M77"/>
      <c r="N77"/>
    </row>
    <row r="78" spans="1:14">
      <c r="A78" s="495"/>
      <c r="B78" s="23"/>
      <c r="C78" s="136"/>
      <c r="D78" s="136"/>
      <c r="E78" s="136"/>
      <c r="F78" s="136"/>
      <c r="G78" s="136"/>
      <c r="H78" s="491"/>
      <c r="I78" s="136"/>
      <c r="J78" s="136"/>
      <c r="L78" s="490"/>
      <c r="M78"/>
      <c r="N78"/>
    </row>
    <row r="79" spans="1:14">
      <c r="A79" s="495"/>
      <c r="B79" s="23"/>
      <c r="C79" s="136"/>
      <c r="D79" s="136"/>
      <c r="E79" s="136"/>
      <c r="F79" s="136"/>
      <c r="G79" s="136"/>
      <c r="H79" s="491"/>
      <c r="I79" s="136"/>
      <c r="J79" s="136"/>
      <c r="L79" s="490"/>
      <c r="M79"/>
      <c r="N79"/>
    </row>
    <row r="80" spans="1:14">
      <c r="A80" s="495"/>
      <c r="B80" s="23"/>
      <c r="C80" s="136"/>
      <c r="D80" s="136"/>
      <c r="E80" s="136"/>
      <c r="F80" s="136"/>
      <c r="G80" s="136"/>
      <c r="H80" s="491"/>
      <c r="I80" s="136"/>
      <c r="J80" s="136"/>
      <c r="L80" s="490"/>
      <c r="M80"/>
      <c r="N80"/>
    </row>
    <row r="81" spans="1:14">
      <c r="A81" s="495"/>
      <c r="B81" s="23"/>
      <c r="C81" s="136"/>
      <c r="D81" s="136"/>
      <c r="E81" s="136"/>
      <c r="F81" s="136"/>
      <c r="G81" s="136"/>
      <c r="H81" s="491"/>
      <c r="I81" s="136"/>
      <c r="J81" s="136"/>
      <c r="L81" s="490"/>
      <c r="M81"/>
      <c r="N81"/>
    </row>
    <row r="82" spans="1:14">
      <c r="A82" s="495"/>
      <c r="B82" s="23"/>
      <c r="C82" s="136"/>
      <c r="D82" s="136"/>
      <c r="E82" s="136"/>
      <c r="F82" s="136"/>
      <c r="G82" s="136"/>
      <c r="H82" s="491"/>
      <c r="I82" s="136"/>
      <c r="J82" s="136"/>
      <c r="L82" s="490"/>
      <c r="M82"/>
      <c r="N82"/>
    </row>
    <row r="83" spans="1:14">
      <c r="A83" s="495"/>
      <c r="B83" s="23"/>
      <c r="C83" s="136"/>
      <c r="D83" s="136"/>
      <c r="E83" s="136"/>
      <c r="F83" s="136"/>
      <c r="G83" s="136"/>
      <c r="H83" s="491"/>
      <c r="I83" s="136"/>
      <c r="J83" s="136"/>
      <c r="L83" s="490"/>
      <c r="M83"/>
      <c r="N83"/>
    </row>
    <row r="84" spans="1:14">
      <c r="A84" s="495"/>
      <c r="B84" s="23"/>
      <c r="C84" s="136"/>
      <c r="D84" s="136"/>
      <c r="E84" s="136"/>
      <c r="F84" s="136"/>
      <c r="G84" s="136"/>
      <c r="H84" s="491"/>
      <c r="I84" s="136"/>
      <c r="J84" s="136"/>
      <c r="L84" s="490"/>
      <c r="M84"/>
      <c r="N84"/>
    </row>
    <row r="85" spans="1:14">
      <c r="A85" s="495"/>
      <c r="B85" s="23"/>
      <c r="C85" s="136"/>
      <c r="D85" s="136"/>
      <c r="E85" s="136"/>
      <c r="F85" s="136"/>
      <c r="G85" s="136"/>
      <c r="H85" s="491"/>
      <c r="I85" s="136"/>
      <c r="J85" s="136"/>
      <c r="L85" s="490"/>
      <c r="M85"/>
      <c r="N85"/>
    </row>
    <row r="86" spans="1:14">
      <c r="A86" s="495"/>
      <c r="B86" s="23"/>
      <c r="C86" s="136"/>
      <c r="D86" s="136"/>
      <c r="E86" s="136"/>
      <c r="F86" s="136"/>
      <c r="G86" s="136"/>
      <c r="H86" s="491"/>
      <c r="I86" s="136"/>
      <c r="J86" s="136"/>
      <c r="L86" s="490"/>
      <c r="M86"/>
      <c r="N86"/>
    </row>
    <row r="87" spans="1:14">
      <c r="A87" s="495"/>
      <c r="B87" s="23"/>
      <c r="C87" s="136"/>
      <c r="D87" s="136"/>
      <c r="E87" s="136"/>
      <c r="F87" s="136"/>
      <c r="G87" s="136"/>
      <c r="H87" s="491"/>
      <c r="I87" s="136"/>
      <c r="J87" s="136"/>
      <c r="L87" s="490"/>
      <c r="M87"/>
      <c r="N87"/>
    </row>
    <row r="88" spans="1:14">
      <c r="J88" s="136"/>
      <c r="K88" s="135"/>
      <c r="L88" s="137"/>
      <c r="M88" s="1"/>
      <c r="N88"/>
    </row>
    <row r="89" spans="1:14">
      <c r="J89" s="136"/>
      <c r="K89" s="135"/>
      <c r="L89" s="137"/>
      <c r="M89" s="1"/>
      <c r="N89"/>
    </row>
    <row r="90" spans="1:14">
      <c r="J90" s="136"/>
      <c r="K90" s="135"/>
      <c r="L90" s="137"/>
      <c r="M90" s="1"/>
      <c r="N90"/>
    </row>
    <row r="91" spans="1:14">
      <c r="J91" s="136"/>
      <c r="K91" s="135"/>
      <c r="L91" s="137"/>
      <c r="M91" s="1"/>
      <c r="N91"/>
    </row>
    <row r="92" spans="1:14">
      <c r="J92" s="136"/>
      <c r="K92" s="135"/>
      <c r="L92" s="137"/>
      <c r="M92" s="1"/>
      <c r="N92"/>
    </row>
    <row r="93" spans="1:14">
      <c r="J93" s="136"/>
      <c r="K93" s="135"/>
      <c r="L93" s="137"/>
      <c r="M93" s="1"/>
      <c r="N93"/>
    </row>
    <row r="94" spans="1:14">
      <c r="J94" s="136"/>
      <c r="K94" s="135"/>
      <c r="L94" s="137"/>
      <c r="M94" s="1"/>
      <c r="N94"/>
    </row>
    <row r="95" spans="1:14">
      <c r="J95" s="136"/>
      <c r="K95" s="135"/>
      <c r="L95" s="137"/>
      <c r="M95" s="1"/>
      <c r="N95"/>
    </row>
    <row r="96" spans="1:14">
      <c r="J96" s="136"/>
      <c r="K96" s="135"/>
      <c r="L96" s="137"/>
      <c r="M96" s="1"/>
      <c r="N96"/>
    </row>
    <row r="97" spans="10:14">
      <c r="J97" s="136"/>
      <c r="K97" s="135"/>
      <c r="L97" s="137"/>
      <c r="M97" s="1"/>
      <c r="N97"/>
    </row>
    <row r="98" spans="10:14">
      <c r="J98" s="136"/>
      <c r="K98" s="135"/>
      <c r="L98" s="137"/>
      <c r="M98" s="1"/>
      <c r="N98"/>
    </row>
    <row r="99" spans="10:14">
      <c r="J99" s="136"/>
      <c r="K99" s="135"/>
      <c r="L99" s="137"/>
      <c r="M99" s="1"/>
      <c r="N99"/>
    </row>
    <row r="100" spans="10:14">
      <c r="J100" s="136"/>
      <c r="K100" s="135"/>
      <c r="L100" s="137"/>
      <c r="M100" s="1"/>
      <c r="N100"/>
    </row>
    <row r="101" spans="10:14">
      <c r="J101" s="136"/>
      <c r="K101" s="135"/>
      <c r="L101" s="137"/>
      <c r="M101" s="1"/>
      <c r="N101"/>
    </row>
    <row r="102" spans="10:14">
      <c r="J102" s="136"/>
      <c r="K102" s="135"/>
      <c r="L102" s="137"/>
      <c r="M102" s="1"/>
      <c r="N102"/>
    </row>
    <row r="103" spans="10:14">
      <c r="J103" s="136"/>
      <c r="K103" s="135"/>
      <c r="L103" s="137"/>
      <c r="M103" s="1"/>
      <c r="N103"/>
    </row>
    <row r="104" spans="10:14">
      <c r="J104" s="136"/>
      <c r="K104" s="135"/>
      <c r="L104" s="137"/>
      <c r="M104" s="1"/>
      <c r="N104"/>
    </row>
    <row r="105" spans="10:14">
      <c r="J105" s="136"/>
      <c r="K105" s="135"/>
      <c r="L105" s="137"/>
      <c r="M105" s="1"/>
      <c r="N105"/>
    </row>
    <row r="106" spans="10:14">
      <c r="J106" s="136"/>
      <c r="K106" s="135"/>
      <c r="L106" s="137"/>
      <c r="M106" s="1"/>
      <c r="N106"/>
    </row>
    <row r="107" spans="10:14">
      <c r="J107" s="136"/>
      <c r="K107" s="135"/>
      <c r="L107" s="137"/>
      <c r="M107" s="1"/>
      <c r="N107"/>
    </row>
    <row r="108" spans="10:14">
      <c r="J108" s="136"/>
      <c r="K108" s="135"/>
      <c r="L108" s="137"/>
      <c r="M108" s="1"/>
      <c r="N108"/>
    </row>
    <row r="109" spans="10:14">
      <c r="J109" s="136"/>
      <c r="K109" s="135"/>
      <c r="L109" s="137"/>
      <c r="M109" s="1"/>
      <c r="N109"/>
    </row>
    <row r="110" spans="10:14">
      <c r="J110" s="136"/>
      <c r="K110" s="135"/>
      <c r="L110" s="137"/>
      <c r="M110" s="1"/>
      <c r="N110"/>
    </row>
    <row r="111" spans="10:14">
      <c r="J111" s="136"/>
      <c r="K111" s="135"/>
      <c r="L111" s="137"/>
      <c r="M111" s="1"/>
      <c r="N111"/>
    </row>
    <row r="112" spans="10:14">
      <c r="J112" s="136"/>
      <c r="K112" s="135"/>
      <c r="L112" s="137"/>
      <c r="M112" s="1"/>
      <c r="N112"/>
    </row>
    <row r="113" spans="10:14">
      <c r="J113" s="136"/>
      <c r="K113" s="135"/>
      <c r="L113" s="137"/>
      <c r="M113" s="1"/>
      <c r="N113"/>
    </row>
    <row r="114" spans="10:14">
      <c r="J114" s="136"/>
      <c r="K114" s="135"/>
      <c r="L114" s="137"/>
      <c r="M114" s="1"/>
      <c r="N114"/>
    </row>
    <row r="115" spans="10:14">
      <c r="J115" s="136"/>
      <c r="K115" s="135"/>
      <c r="L115" s="137"/>
      <c r="M115" s="1"/>
      <c r="N115"/>
    </row>
    <row r="116" spans="10:14">
      <c r="J116" s="136"/>
      <c r="K116" s="135"/>
      <c r="L116" s="137"/>
      <c r="M116" s="1"/>
      <c r="N116"/>
    </row>
    <row r="117" spans="10:14">
      <c r="J117" s="136"/>
      <c r="K117" s="135"/>
      <c r="L117" s="137"/>
      <c r="M117" s="1"/>
      <c r="N117"/>
    </row>
    <row r="118" spans="10:14">
      <c r="J118" s="136"/>
      <c r="K118" s="135"/>
      <c r="L118" s="137"/>
      <c r="M118" s="1"/>
      <c r="N118"/>
    </row>
    <row r="119" spans="10:14">
      <c r="J119" s="136"/>
      <c r="K119" s="135"/>
      <c r="L119" s="137"/>
      <c r="M119" s="1"/>
      <c r="N119"/>
    </row>
    <row r="120" spans="10:14">
      <c r="J120" s="136"/>
      <c r="K120" s="135"/>
      <c r="L120" s="137"/>
      <c r="M120" s="1"/>
      <c r="N120"/>
    </row>
    <row r="121" spans="10:14">
      <c r="J121" s="136"/>
      <c r="K121" s="135"/>
      <c r="L121" s="137"/>
      <c r="M121" s="1"/>
      <c r="N121"/>
    </row>
    <row r="122" spans="10:14">
      <c r="J122" s="136"/>
      <c r="K122" s="135"/>
      <c r="L122" s="137"/>
      <c r="M122" s="1"/>
      <c r="N122"/>
    </row>
    <row r="123" spans="10:14">
      <c r="J123" s="136"/>
      <c r="K123" s="135"/>
      <c r="L123" s="137"/>
      <c r="M123" s="1"/>
      <c r="N123"/>
    </row>
    <row r="124" spans="10:14">
      <c r="J124" s="136"/>
      <c r="K124" s="135"/>
      <c r="L124" s="137"/>
      <c r="M124" s="1"/>
      <c r="N124"/>
    </row>
    <row r="125" spans="10:14">
      <c r="J125" s="136"/>
      <c r="K125" s="135"/>
      <c r="L125" s="137"/>
      <c r="M125" s="1"/>
      <c r="N125"/>
    </row>
    <row r="126" spans="10:14">
      <c r="J126" s="136"/>
      <c r="K126" s="135"/>
      <c r="L126" s="137"/>
      <c r="M126" s="1"/>
      <c r="N126"/>
    </row>
    <row r="127" spans="10:14">
      <c r="J127" s="136"/>
      <c r="K127" s="135"/>
      <c r="L127" s="137"/>
      <c r="M127" s="1"/>
      <c r="N127"/>
    </row>
    <row r="128" spans="10:14">
      <c r="J128" s="136"/>
      <c r="K128" s="135"/>
      <c r="L128" s="137"/>
      <c r="M128" s="1"/>
      <c r="N128"/>
    </row>
    <row r="129" spans="10:14">
      <c r="J129" s="136"/>
      <c r="K129" s="135"/>
      <c r="L129" s="137"/>
      <c r="M129" s="1"/>
      <c r="N129"/>
    </row>
    <row r="130" spans="10:14">
      <c r="J130" s="136"/>
      <c r="K130" s="135"/>
      <c r="L130" s="137"/>
      <c r="M130" s="1"/>
      <c r="N130"/>
    </row>
    <row r="131" spans="10:14">
      <c r="J131" s="136"/>
      <c r="K131" s="135"/>
      <c r="L131" s="137"/>
      <c r="M131" s="1"/>
      <c r="N131"/>
    </row>
    <row r="132" spans="10:14">
      <c r="J132" s="136"/>
      <c r="K132" s="135"/>
      <c r="L132" s="137"/>
      <c r="M132" s="1"/>
      <c r="N132"/>
    </row>
    <row r="133" spans="10:14">
      <c r="J133" s="136"/>
      <c r="K133" s="135"/>
      <c r="L133" s="137"/>
      <c r="M133" s="1"/>
      <c r="N133"/>
    </row>
    <row r="134" spans="10:14">
      <c r="J134" s="136"/>
      <c r="K134" s="135"/>
      <c r="L134" s="137"/>
      <c r="M134" s="1"/>
      <c r="N134"/>
    </row>
    <row r="135" spans="10:14">
      <c r="J135" s="136"/>
      <c r="K135" s="135"/>
      <c r="L135" s="137"/>
      <c r="M135" s="1"/>
      <c r="N135"/>
    </row>
    <row r="136" spans="10:14">
      <c r="J136" s="136"/>
      <c r="K136" s="135"/>
      <c r="L136" s="137"/>
      <c r="M136" s="1"/>
      <c r="N136"/>
    </row>
    <row r="137" spans="10:14">
      <c r="J137" s="136"/>
      <c r="K137" s="135"/>
      <c r="L137" s="137"/>
      <c r="M137" s="1"/>
      <c r="N137"/>
    </row>
    <row r="138" spans="10:14">
      <c r="J138" s="136"/>
      <c r="K138" s="135"/>
      <c r="L138" s="137"/>
      <c r="M138" s="1"/>
      <c r="N138"/>
    </row>
    <row r="139" spans="10:14">
      <c r="J139" s="136"/>
      <c r="K139" s="135"/>
      <c r="L139" s="137"/>
      <c r="M139" s="1"/>
      <c r="N139"/>
    </row>
    <row r="140" spans="10:14">
      <c r="J140" s="136"/>
      <c r="K140" s="135"/>
      <c r="L140" s="137"/>
      <c r="M140" s="1"/>
      <c r="N140"/>
    </row>
    <row r="141" spans="10:14">
      <c r="J141" s="136"/>
      <c r="K141" s="135"/>
      <c r="L141" s="137"/>
      <c r="M141" s="1"/>
      <c r="N141"/>
    </row>
    <row r="142" spans="10:14">
      <c r="J142" s="136"/>
      <c r="K142" s="135"/>
      <c r="L142" s="137"/>
      <c r="M142" s="1"/>
      <c r="N142"/>
    </row>
    <row r="143" spans="10:14">
      <c r="J143" s="136"/>
      <c r="K143" s="135"/>
      <c r="L143" s="137"/>
      <c r="M143" s="1"/>
      <c r="N143"/>
    </row>
    <row r="144" spans="10:14">
      <c r="J144" s="136"/>
      <c r="K144" s="135"/>
      <c r="L144" s="137"/>
      <c r="M144" s="1"/>
      <c r="N144"/>
    </row>
    <row r="145" spans="10:14">
      <c r="J145" s="136"/>
      <c r="K145" s="135"/>
      <c r="L145" s="137"/>
      <c r="M145" s="1"/>
      <c r="N145"/>
    </row>
    <row r="146" spans="10:14">
      <c r="J146" s="136"/>
      <c r="K146" s="135"/>
      <c r="L146" s="137"/>
      <c r="M146" s="1"/>
      <c r="N146"/>
    </row>
    <row r="147" spans="10:14">
      <c r="J147" s="136"/>
      <c r="K147" s="135"/>
      <c r="L147" s="137"/>
      <c r="M147" s="1"/>
      <c r="N147"/>
    </row>
    <row r="148" spans="10:14">
      <c r="J148" s="136"/>
      <c r="K148" s="135"/>
      <c r="L148" s="137"/>
      <c r="M148" s="1"/>
      <c r="N148"/>
    </row>
    <row r="149" spans="10:14">
      <c r="J149" s="136"/>
      <c r="K149" s="135"/>
      <c r="L149" s="137"/>
      <c r="M149" s="1"/>
      <c r="N149"/>
    </row>
    <row r="150" spans="10:14">
      <c r="J150" s="136"/>
      <c r="K150" s="135"/>
      <c r="L150" s="137"/>
      <c r="M150" s="1"/>
      <c r="N150"/>
    </row>
    <row r="151" spans="10:14">
      <c r="J151" s="136"/>
      <c r="K151" s="135"/>
      <c r="L151" s="137"/>
      <c r="M151" s="1"/>
      <c r="N151"/>
    </row>
    <row r="152" spans="10:14">
      <c r="J152" s="136"/>
      <c r="K152" s="135"/>
      <c r="L152" s="137"/>
      <c r="M152" s="1"/>
      <c r="N152"/>
    </row>
    <row r="153" spans="10:14">
      <c r="J153" s="136"/>
      <c r="K153" s="135"/>
      <c r="L153" s="137"/>
      <c r="M153" s="1"/>
      <c r="N153"/>
    </row>
    <row r="154" spans="10:14">
      <c r="J154" s="136"/>
      <c r="K154" s="135"/>
      <c r="L154" s="137"/>
      <c r="M154" s="1"/>
      <c r="N154"/>
    </row>
    <row r="155" spans="10:14">
      <c r="J155" s="136"/>
      <c r="K155" s="135"/>
      <c r="L155" s="137"/>
      <c r="M155" s="1"/>
      <c r="N155"/>
    </row>
    <row r="156" spans="10:14">
      <c r="J156" s="136"/>
      <c r="K156" s="135"/>
      <c r="L156" s="137"/>
      <c r="M156" s="1"/>
      <c r="N156"/>
    </row>
    <row r="157" spans="10:14">
      <c r="J157" s="136"/>
      <c r="K157" s="135"/>
      <c r="L157" s="137"/>
      <c r="M157" s="1"/>
      <c r="N157"/>
    </row>
    <row r="158" spans="10:14">
      <c r="J158" s="136"/>
      <c r="K158" s="135"/>
      <c r="L158" s="137"/>
      <c r="M158" s="1"/>
      <c r="N158"/>
    </row>
    <row r="159" spans="10:14">
      <c r="J159" s="136"/>
      <c r="K159" s="135"/>
      <c r="L159" s="137"/>
      <c r="M159" s="1"/>
      <c r="N159"/>
    </row>
    <row r="160" spans="10:14">
      <c r="J160" s="136"/>
      <c r="K160" s="135"/>
      <c r="L160" s="137"/>
      <c r="M160" s="1"/>
      <c r="N160"/>
    </row>
    <row r="161" spans="10:14">
      <c r="J161" s="136"/>
      <c r="K161" s="135"/>
      <c r="L161" s="137"/>
      <c r="M161" s="1"/>
      <c r="N161"/>
    </row>
    <row r="162" spans="10:14">
      <c r="J162" s="136"/>
      <c r="K162" s="135"/>
      <c r="L162" s="137"/>
      <c r="M162" s="1"/>
      <c r="N162"/>
    </row>
    <row r="163" spans="10:14">
      <c r="J163" s="136"/>
      <c r="K163" s="135"/>
      <c r="L163" s="137"/>
      <c r="M163" s="1"/>
      <c r="N163"/>
    </row>
    <row r="164" spans="10:14">
      <c r="J164" s="136"/>
      <c r="K164" s="135"/>
      <c r="L164" s="137"/>
      <c r="M164" s="1"/>
      <c r="N164"/>
    </row>
    <row r="165" spans="10:14">
      <c r="J165" s="136"/>
      <c r="K165" s="135"/>
      <c r="L165" s="137"/>
      <c r="M165" s="1"/>
      <c r="N165"/>
    </row>
    <row r="166" spans="10:14">
      <c r="J166" s="136"/>
      <c r="K166" s="135"/>
      <c r="L166" s="137"/>
      <c r="M166" s="1"/>
      <c r="N166"/>
    </row>
    <row r="167" spans="10:14">
      <c r="J167" s="136"/>
      <c r="K167" s="135"/>
      <c r="L167" s="137"/>
      <c r="M167" s="1"/>
      <c r="N167"/>
    </row>
    <row r="168" spans="10:14">
      <c r="J168" s="136"/>
      <c r="K168" s="135"/>
      <c r="L168" s="137"/>
      <c r="M168" s="1"/>
      <c r="N168"/>
    </row>
    <row r="169" spans="10:14">
      <c r="J169" s="136"/>
      <c r="K169" s="135"/>
      <c r="L169" s="137"/>
      <c r="M169" s="1"/>
      <c r="N169"/>
    </row>
    <row r="170" spans="10:14">
      <c r="J170" s="136"/>
      <c r="K170" s="135"/>
      <c r="L170" s="137"/>
      <c r="M170" s="1"/>
      <c r="N170"/>
    </row>
    <row r="171" spans="10:14">
      <c r="J171" s="136"/>
      <c r="K171" s="135"/>
      <c r="L171" s="137"/>
      <c r="M171" s="1"/>
      <c r="N171"/>
    </row>
    <row r="172" spans="10:14">
      <c r="J172" s="136"/>
      <c r="K172" s="135"/>
      <c r="L172" s="137"/>
      <c r="M172" s="1"/>
      <c r="N172"/>
    </row>
    <row r="173" spans="10:14">
      <c r="J173" s="136"/>
      <c r="K173" s="135"/>
      <c r="L173" s="137"/>
      <c r="M173" s="1"/>
      <c r="N173"/>
    </row>
    <row r="174" spans="10:14">
      <c r="J174" s="136"/>
      <c r="K174" s="135"/>
      <c r="L174" s="137"/>
      <c r="M174" s="1"/>
      <c r="N174"/>
    </row>
    <row r="175" spans="10:14">
      <c r="J175" s="136"/>
      <c r="K175" s="135"/>
      <c r="L175" s="137"/>
      <c r="M175" s="1"/>
      <c r="N175"/>
    </row>
    <row r="176" spans="10:14">
      <c r="J176" s="136"/>
      <c r="K176" s="135"/>
      <c r="L176" s="137"/>
      <c r="M176" s="1"/>
      <c r="N176"/>
    </row>
    <row r="177" spans="10:14">
      <c r="J177" s="136"/>
      <c r="K177" s="135"/>
      <c r="L177" s="137"/>
      <c r="M177" s="1"/>
      <c r="N177"/>
    </row>
    <row r="178" spans="10:14">
      <c r="J178" s="136"/>
      <c r="K178" s="135"/>
      <c r="L178" s="137"/>
      <c r="M178" s="1"/>
      <c r="N178"/>
    </row>
    <row r="179" spans="10:14">
      <c r="J179" s="136"/>
      <c r="K179" s="135"/>
      <c r="L179" s="137"/>
      <c r="M179" s="1"/>
      <c r="N179"/>
    </row>
    <row r="180" spans="10:14">
      <c r="J180" s="136"/>
      <c r="K180" s="135"/>
      <c r="L180" s="137"/>
      <c r="M180" s="1"/>
      <c r="N180"/>
    </row>
    <row r="181" spans="10:14">
      <c r="J181" s="136"/>
      <c r="K181" s="135"/>
      <c r="L181" s="137"/>
      <c r="M181" s="1"/>
      <c r="N181"/>
    </row>
    <row r="182" spans="10:14">
      <c r="J182" s="136"/>
      <c r="K182" s="135"/>
      <c r="L182" s="137"/>
      <c r="M182" s="1"/>
      <c r="N182"/>
    </row>
    <row r="183" spans="10:14">
      <c r="J183" s="136"/>
      <c r="K183" s="135"/>
      <c r="L183" s="137"/>
      <c r="M183" s="1"/>
      <c r="N183"/>
    </row>
    <row r="184" spans="10:14">
      <c r="J184" s="136"/>
      <c r="K184" s="135"/>
      <c r="L184" s="137"/>
      <c r="M184" s="1"/>
      <c r="N184"/>
    </row>
    <row r="185" spans="10:14">
      <c r="J185" s="136"/>
      <c r="K185" s="135"/>
      <c r="L185" s="137"/>
      <c r="M185" s="1"/>
      <c r="N185"/>
    </row>
    <row r="186" spans="10:14">
      <c r="J186" s="136"/>
      <c r="K186" s="135"/>
      <c r="L186" s="137"/>
      <c r="M186" s="1"/>
      <c r="N186"/>
    </row>
    <row r="187" spans="10:14">
      <c r="J187" s="136"/>
      <c r="K187" s="135"/>
      <c r="L187" s="137"/>
      <c r="M187" s="1"/>
      <c r="N187"/>
    </row>
    <row r="188" spans="10:14">
      <c r="J188" s="136"/>
      <c r="K188" s="135"/>
      <c r="L188" s="137"/>
      <c r="M188" s="1"/>
      <c r="N188"/>
    </row>
    <row r="189" spans="10:14">
      <c r="J189" s="136"/>
      <c r="K189" s="135"/>
      <c r="L189" s="137"/>
      <c r="M189" s="1"/>
      <c r="N189"/>
    </row>
    <row r="190" spans="10:14">
      <c r="J190" s="136"/>
      <c r="K190" s="135"/>
      <c r="L190" s="137"/>
      <c r="M190" s="1"/>
      <c r="N190"/>
    </row>
    <row r="191" spans="10:14">
      <c r="J191" s="136"/>
      <c r="K191" s="135"/>
      <c r="L191" s="137"/>
      <c r="M191" s="1"/>
      <c r="N191"/>
    </row>
    <row r="192" spans="10:14">
      <c r="J192" s="136"/>
      <c r="K192" s="135"/>
      <c r="L192" s="137"/>
      <c r="M192" s="1"/>
      <c r="N192"/>
    </row>
    <row r="193" spans="10:14">
      <c r="J193" s="136"/>
      <c r="K193" s="135"/>
      <c r="L193" s="137"/>
      <c r="M193" s="1"/>
      <c r="N193"/>
    </row>
    <row r="194" spans="10:14">
      <c r="J194" s="136"/>
      <c r="K194" s="135"/>
      <c r="L194" s="137"/>
      <c r="M194" s="1"/>
      <c r="N194"/>
    </row>
    <row r="195" spans="10:14">
      <c r="J195" s="136"/>
      <c r="K195" s="135"/>
      <c r="L195" s="137"/>
      <c r="M195" s="1"/>
      <c r="N195"/>
    </row>
    <row r="196" spans="10:14">
      <c r="J196" s="136"/>
      <c r="K196" s="135"/>
      <c r="L196" s="137"/>
      <c r="M196" s="1"/>
      <c r="N196"/>
    </row>
    <row r="197" spans="10:14">
      <c r="J197" s="136"/>
      <c r="K197" s="135"/>
      <c r="L197" s="137"/>
      <c r="M197" s="1"/>
      <c r="N197"/>
    </row>
    <row r="198" spans="10:14">
      <c r="J198" s="136"/>
      <c r="K198" s="135"/>
      <c r="L198" s="137"/>
      <c r="M198" s="1"/>
      <c r="N198"/>
    </row>
    <row r="199" spans="10:14">
      <c r="J199" s="136"/>
      <c r="K199" s="135"/>
      <c r="L199" s="137"/>
      <c r="M199" s="1"/>
      <c r="N199"/>
    </row>
    <row r="200" spans="10:14">
      <c r="J200" s="136"/>
      <c r="K200" s="135"/>
      <c r="L200" s="137"/>
      <c r="M200" s="1"/>
      <c r="N200"/>
    </row>
    <row r="201" spans="10:14">
      <c r="J201" s="136"/>
      <c r="K201" s="135"/>
      <c r="L201" s="137"/>
      <c r="M201" s="1"/>
      <c r="N201"/>
    </row>
    <row r="202" spans="10:14">
      <c r="J202" s="136"/>
      <c r="K202" s="135"/>
      <c r="L202" s="137"/>
      <c r="M202" s="1"/>
      <c r="N202"/>
    </row>
    <row r="203" spans="10:14">
      <c r="J203" s="136"/>
      <c r="K203" s="135"/>
      <c r="L203" s="137"/>
      <c r="M203" s="1"/>
      <c r="N203"/>
    </row>
    <row r="204" spans="10:14">
      <c r="J204" s="136"/>
      <c r="K204" s="135"/>
      <c r="L204" s="137"/>
      <c r="M204" s="1"/>
      <c r="N204"/>
    </row>
    <row r="205" spans="10:14">
      <c r="J205" s="136"/>
      <c r="K205" s="135"/>
      <c r="L205" s="137"/>
      <c r="M205" s="1"/>
      <c r="N205"/>
    </row>
    <row r="206" spans="10:14">
      <c r="J206" s="136"/>
      <c r="K206" s="135"/>
      <c r="L206" s="137"/>
      <c r="M206" s="1"/>
      <c r="N206"/>
    </row>
    <row r="207" spans="10:14">
      <c r="J207" s="136"/>
      <c r="K207" s="135"/>
      <c r="L207" s="137"/>
      <c r="M207" s="1"/>
      <c r="N207"/>
    </row>
    <row r="208" spans="10:14">
      <c r="J208" s="136"/>
      <c r="K208" s="135"/>
      <c r="L208" s="137"/>
      <c r="M208" s="1"/>
      <c r="N208"/>
    </row>
    <row r="209" spans="10:14">
      <c r="J209" s="136"/>
      <c r="K209" s="135"/>
      <c r="L209" s="137"/>
      <c r="M209" s="1"/>
      <c r="N209"/>
    </row>
    <row r="210" spans="10:14">
      <c r="J210" s="136"/>
      <c r="K210" s="135"/>
      <c r="L210" s="137"/>
      <c r="M210" s="1"/>
      <c r="N210"/>
    </row>
    <row r="211" spans="10:14">
      <c r="J211" s="136"/>
      <c r="K211" s="135"/>
      <c r="L211" s="137"/>
      <c r="M211" s="1"/>
      <c r="N211"/>
    </row>
    <row r="212" spans="10:14">
      <c r="J212" s="136"/>
      <c r="K212" s="135"/>
      <c r="L212" s="137"/>
      <c r="M212" s="1"/>
      <c r="N212"/>
    </row>
    <row r="213" spans="10:14">
      <c r="J213" s="136"/>
      <c r="K213" s="135"/>
      <c r="L213" s="137"/>
      <c r="M213" s="1"/>
      <c r="N213"/>
    </row>
    <row r="214" spans="10:14">
      <c r="J214" s="136"/>
      <c r="K214" s="135"/>
      <c r="L214" s="137"/>
      <c r="M214" s="1"/>
      <c r="N214"/>
    </row>
    <row r="215" spans="10:14">
      <c r="J215" s="136"/>
      <c r="K215" s="135"/>
      <c r="L215" s="137"/>
      <c r="M215" s="1"/>
      <c r="N215"/>
    </row>
    <row r="216" spans="10:14">
      <c r="J216" s="136"/>
      <c r="K216" s="135"/>
      <c r="L216" s="137"/>
      <c r="M216" s="1"/>
      <c r="N216"/>
    </row>
    <row r="217" spans="10:14">
      <c r="J217" s="136"/>
      <c r="K217" s="135"/>
      <c r="L217" s="137"/>
      <c r="M217" s="1"/>
      <c r="N217"/>
    </row>
    <row r="218" spans="10:14">
      <c r="J218" s="136"/>
      <c r="K218" s="135"/>
      <c r="L218" s="137"/>
      <c r="M218" s="1"/>
      <c r="N218"/>
    </row>
    <row r="219" spans="10:14">
      <c r="J219" s="136"/>
      <c r="K219" s="135"/>
      <c r="L219" s="137"/>
      <c r="M219" s="1"/>
      <c r="N219"/>
    </row>
    <row r="220" spans="10:14">
      <c r="J220" s="136"/>
      <c r="K220" s="135"/>
      <c r="L220" s="137"/>
      <c r="M220" s="1"/>
      <c r="N220"/>
    </row>
    <row r="221" spans="10:14">
      <c r="J221" s="136"/>
      <c r="K221" s="135"/>
      <c r="L221" s="137"/>
      <c r="M221" s="1"/>
      <c r="N221"/>
    </row>
    <row r="222" spans="10:14">
      <c r="J222" s="136"/>
      <c r="K222" s="135"/>
      <c r="L222" s="137"/>
      <c r="M222" s="1"/>
      <c r="N222"/>
    </row>
    <row r="223" spans="10:14">
      <c r="J223" s="136"/>
      <c r="K223" s="135"/>
      <c r="L223" s="137"/>
      <c r="M223" s="1"/>
      <c r="N223"/>
    </row>
    <row r="224" spans="10:14">
      <c r="J224" s="136"/>
      <c r="K224" s="135"/>
      <c r="L224" s="137"/>
      <c r="M224" s="1"/>
      <c r="N224"/>
    </row>
    <row r="225" spans="10:14">
      <c r="J225" s="136"/>
      <c r="K225" s="135"/>
      <c r="L225" s="137"/>
      <c r="M225" s="1"/>
      <c r="N225"/>
    </row>
    <row r="226" spans="10:14">
      <c r="J226" s="136"/>
      <c r="K226" s="135"/>
      <c r="L226" s="137"/>
      <c r="M226" s="1"/>
      <c r="N226"/>
    </row>
    <row r="227" spans="10:14">
      <c r="J227" s="136"/>
      <c r="K227" s="135"/>
      <c r="L227" s="137"/>
      <c r="M227" s="1"/>
      <c r="N227"/>
    </row>
    <row r="228" spans="10:14">
      <c r="J228" s="136"/>
      <c r="K228" s="135"/>
      <c r="L228" s="137"/>
      <c r="M228" s="1"/>
      <c r="N228"/>
    </row>
    <row r="229" spans="10:14">
      <c r="J229" s="136"/>
      <c r="K229" s="135"/>
      <c r="L229" s="137"/>
      <c r="M229" s="1"/>
      <c r="N229"/>
    </row>
    <row r="230" spans="10:14">
      <c r="J230" s="136"/>
      <c r="K230" s="135"/>
      <c r="L230" s="137"/>
      <c r="M230" s="1"/>
      <c r="N230"/>
    </row>
    <row r="231" spans="10:14">
      <c r="J231" s="136"/>
      <c r="K231" s="135"/>
      <c r="L231" s="137"/>
      <c r="M231" s="1"/>
      <c r="N231"/>
    </row>
    <row r="232" spans="10:14">
      <c r="J232" s="136"/>
      <c r="K232" s="135"/>
      <c r="L232" s="137"/>
      <c r="M232" s="1"/>
      <c r="N232"/>
    </row>
    <row r="233" spans="10:14">
      <c r="J233" s="136"/>
      <c r="K233" s="135"/>
      <c r="L233" s="137"/>
      <c r="M233" s="1"/>
      <c r="N233"/>
    </row>
    <row r="234" spans="10:14">
      <c r="J234" s="136"/>
      <c r="K234" s="135"/>
      <c r="L234" s="137"/>
      <c r="M234" s="1"/>
      <c r="N234"/>
    </row>
    <row r="235" spans="10:14">
      <c r="J235" s="136"/>
      <c r="K235" s="135"/>
      <c r="L235" s="137"/>
      <c r="M235" s="1"/>
      <c r="N235"/>
    </row>
    <row r="236" spans="10:14">
      <c r="J236" s="136"/>
      <c r="K236" s="135"/>
      <c r="L236" s="137"/>
      <c r="M236" s="1"/>
      <c r="N236"/>
    </row>
    <row r="237" spans="10:14">
      <c r="J237" s="136"/>
      <c r="K237" s="135"/>
      <c r="L237" s="137"/>
      <c r="M237" s="1"/>
      <c r="N237"/>
    </row>
    <row r="238" spans="10:14">
      <c r="J238" s="136"/>
      <c r="K238" s="135"/>
      <c r="L238" s="137"/>
      <c r="M238" s="1"/>
      <c r="N238"/>
    </row>
    <row r="239" spans="10:14">
      <c r="J239" s="136"/>
      <c r="K239" s="135"/>
      <c r="L239" s="137"/>
      <c r="M239" s="1"/>
      <c r="N239"/>
    </row>
    <row r="240" spans="10:14">
      <c r="J240" s="136"/>
      <c r="K240" s="135"/>
      <c r="L240" s="137"/>
      <c r="M240" s="1"/>
      <c r="N240"/>
    </row>
    <row r="241" spans="10:14">
      <c r="J241" s="136"/>
      <c r="K241" s="135"/>
      <c r="L241" s="137"/>
      <c r="M241" s="1"/>
      <c r="N241"/>
    </row>
    <row r="242" spans="10:14">
      <c r="J242" s="136"/>
      <c r="K242" s="135"/>
      <c r="L242" s="137"/>
      <c r="M242" s="1"/>
      <c r="N242"/>
    </row>
    <row r="243" spans="10:14">
      <c r="J243" s="136"/>
      <c r="K243" s="135"/>
      <c r="L243" s="137"/>
      <c r="M243" s="1"/>
      <c r="N243"/>
    </row>
    <row r="244" spans="10:14">
      <c r="J244" s="136"/>
      <c r="K244" s="135"/>
      <c r="L244" s="137"/>
      <c r="M244" s="1"/>
      <c r="N244"/>
    </row>
    <row r="245" spans="10:14">
      <c r="J245" s="136"/>
      <c r="K245" s="135"/>
      <c r="L245" s="137"/>
      <c r="M245" s="1"/>
      <c r="N245"/>
    </row>
    <row r="246" spans="10:14">
      <c r="J246" s="136"/>
      <c r="K246" s="135"/>
      <c r="L246" s="137"/>
      <c r="M246" s="1"/>
      <c r="N246"/>
    </row>
    <row r="247" spans="10:14">
      <c r="J247" s="136"/>
      <c r="K247" s="135"/>
      <c r="L247" s="137"/>
      <c r="M247" s="1"/>
      <c r="N247"/>
    </row>
    <row r="248" spans="10:14">
      <c r="J248" s="136"/>
      <c r="K248" s="135"/>
      <c r="L248" s="137"/>
      <c r="M248" s="1"/>
      <c r="N248"/>
    </row>
    <row r="249" spans="10:14">
      <c r="J249" s="136"/>
      <c r="K249" s="135"/>
      <c r="L249" s="137"/>
      <c r="M249" s="1"/>
      <c r="N249"/>
    </row>
    <row r="250" spans="10:14">
      <c r="J250" s="136"/>
      <c r="K250" s="135"/>
      <c r="L250" s="137"/>
      <c r="M250" s="1"/>
      <c r="N250"/>
    </row>
    <row r="251" spans="10:14">
      <c r="J251" s="136"/>
      <c r="K251" s="135"/>
      <c r="L251" s="137"/>
      <c r="M251" s="1"/>
      <c r="N251"/>
    </row>
    <row r="252" spans="10:14">
      <c r="J252" s="136"/>
      <c r="K252" s="135"/>
      <c r="L252" s="137"/>
      <c r="M252" s="1"/>
      <c r="N252"/>
    </row>
    <row r="253" spans="10:14">
      <c r="J253" s="136"/>
      <c r="K253" s="135"/>
      <c r="L253" s="137"/>
      <c r="M253" s="1"/>
      <c r="N253"/>
    </row>
    <row r="254" spans="10:14">
      <c r="J254" s="136"/>
      <c r="K254" s="135"/>
      <c r="L254" s="137"/>
      <c r="M254" s="1"/>
      <c r="N254"/>
    </row>
    <row r="255" spans="10:14">
      <c r="J255" s="136"/>
      <c r="K255" s="135"/>
      <c r="L255" s="137"/>
      <c r="M255" s="1"/>
      <c r="N255"/>
    </row>
    <row r="256" spans="10:14">
      <c r="J256" s="136"/>
      <c r="K256" s="135"/>
      <c r="L256" s="137"/>
      <c r="M256" s="1"/>
      <c r="N256"/>
    </row>
    <row r="257" spans="10:14">
      <c r="J257" s="136"/>
      <c r="K257" s="135"/>
      <c r="L257" s="137"/>
      <c r="M257" s="1"/>
      <c r="N257"/>
    </row>
    <row r="258" spans="10:14">
      <c r="J258" s="136"/>
      <c r="K258" s="135"/>
      <c r="L258" s="137"/>
      <c r="M258" s="1"/>
      <c r="N258"/>
    </row>
    <row r="259" spans="10:14">
      <c r="J259" s="136"/>
      <c r="K259" s="135"/>
      <c r="L259" s="137"/>
      <c r="M259" s="1"/>
      <c r="N259"/>
    </row>
    <row r="260" spans="10:14">
      <c r="J260" s="136"/>
      <c r="K260" s="135"/>
      <c r="L260" s="137"/>
      <c r="M260" s="1"/>
      <c r="N260"/>
    </row>
    <row r="261" spans="10:14">
      <c r="J261" s="136"/>
      <c r="K261" s="135"/>
      <c r="L261" s="137"/>
      <c r="M261" s="1"/>
      <c r="N261"/>
    </row>
    <row r="262" spans="10:14">
      <c r="J262" s="136"/>
      <c r="K262" s="135"/>
      <c r="L262" s="137"/>
      <c r="M262" s="1"/>
      <c r="N262"/>
    </row>
    <row r="263" spans="10:14">
      <c r="J263" s="136"/>
      <c r="K263" s="135"/>
      <c r="L263" s="137"/>
      <c r="M263" s="1"/>
      <c r="N263"/>
    </row>
    <row r="264" spans="10:14">
      <c r="J264" s="136"/>
      <c r="K264" s="135"/>
      <c r="L264" s="137"/>
      <c r="M264" s="1"/>
      <c r="N264"/>
    </row>
    <row r="265" spans="10:14">
      <c r="J265" s="136"/>
      <c r="K265" s="135"/>
      <c r="L265" s="137"/>
      <c r="M265" s="1"/>
      <c r="N265"/>
    </row>
    <row r="266" spans="10:14">
      <c r="J266" s="136"/>
      <c r="K266" s="135"/>
      <c r="L266" s="137"/>
      <c r="M266" s="1"/>
      <c r="N266"/>
    </row>
    <row r="267" spans="10:14">
      <c r="J267" s="136"/>
      <c r="K267" s="135"/>
      <c r="L267" s="137"/>
      <c r="M267" s="1"/>
      <c r="N267"/>
    </row>
    <row r="268" spans="10:14">
      <c r="J268" s="136"/>
      <c r="K268" s="135"/>
      <c r="L268" s="137"/>
      <c r="M268" s="1"/>
      <c r="N268"/>
    </row>
    <row r="269" spans="10:14">
      <c r="J269" s="136"/>
      <c r="K269" s="135"/>
      <c r="L269" s="137"/>
      <c r="M269" s="1"/>
      <c r="N269"/>
    </row>
    <row r="270" spans="10:14">
      <c r="J270" s="136"/>
      <c r="K270" s="135"/>
      <c r="L270" s="137"/>
      <c r="M270" s="1"/>
      <c r="N270"/>
    </row>
    <row r="271" spans="10:14">
      <c r="J271" s="136"/>
      <c r="K271" s="135"/>
      <c r="L271" s="137"/>
      <c r="M271" s="1"/>
      <c r="N271"/>
    </row>
    <row r="272" spans="10:14">
      <c r="J272" s="136"/>
      <c r="K272" s="135"/>
      <c r="L272" s="137"/>
      <c r="M272" s="1"/>
      <c r="N272"/>
    </row>
    <row r="273" spans="10:14">
      <c r="J273" s="136"/>
      <c r="K273" s="135"/>
      <c r="L273" s="137"/>
      <c r="M273" s="1"/>
      <c r="N273"/>
    </row>
    <row r="274" spans="10:14">
      <c r="J274" s="136"/>
      <c r="K274" s="135"/>
      <c r="L274" s="137"/>
      <c r="M274" s="1"/>
      <c r="N274"/>
    </row>
    <row r="275" spans="10:14">
      <c r="J275" s="136"/>
      <c r="K275" s="135"/>
      <c r="L275" s="137"/>
      <c r="M275" s="1"/>
      <c r="N275"/>
    </row>
    <row r="276" spans="10:14">
      <c r="J276" s="136"/>
      <c r="K276" s="135"/>
      <c r="L276" s="137"/>
      <c r="M276" s="1"/>
      <c r="N276"/>
    </row>
    <row r="277" spans="10:14">
      <c r="J277" s="136"/>
      <c r="K277" s="135"/>
      <c r="L277" s="137"/>
      <c r="M277" s="1"/>
      <c r="N277"/>
    </row>
    <row r="278" spans="10:14">
      <c r="J278" s="136"/>
      <c r="K278" s="135"/>
      <c r="L278" s="137"/>
      <c r="M278" s="1"/>
      <c r="N278"/>
    </row>
    <row r="279" spans="10:14">
      <c r="J279" s="136"/>
      <c r="K279" s="135"/>
      <c r="L279" s="137"/>
      <c r="M279" s="1"/>
      <c r="N279"/>
    </row>
    <row r="280" spans="10:14">
      <c r="J280" s="136"/>
      <c r="K280" s="135"/>
      <c r="L280" s="137"/>
      <c r="M280" s="1"/>
      <c r="N280"/>
    </row>
    <row r="281" spans="10:14">
      <c r="J281" s="136"/>
      <c r="K281" s="135"/>
      <c r="L281" s="137"/>
      <c r="M281" s="1"/>
      <c r="N281"/>
    </row>
    <row r="282" spans="10:14">
      <c r="J282" s="136"/>
      <c r="K282" s="135"/>
      <c r="L282" s="137"/>
      <c r="M282" s="1"/>
      <c r="N282"/>
    </row>
    <row r="283" spans="10:14">
      <c r="J283" s="136"/>
      <c r="K283" s="135"/>
      <c r="L283" s="137"/>
      <c r="M283" s="1"/>
      <c r="N283"/>
    </row>
    <row r="284" spans="10:14">
      <c r="J284" s="136"/>
      <c r="K284" s="135"/>
      <c r="L284" s="137"/>
      <c r="M284" s="1"/>
      <c r="N284"/>
    </row>
    <row r="285" spans="10:14">
      <c r="J285" s="136"/>
      <c r="K285" s="135"/>
      <c r="L285" s="137"/>
      <c r="M285" s="1"/>
      <c r="N285"/>
    </row>
    <row r="286" spans="10:14">
      <c r="J286" s="136"/>
      <c r="K286" s="135"/>
      <c r="L286" s="137"/>
      <c r="M286" s="1"/>
      <c r="N286"/>
    </row>
    <row r="287" spans="10:14">
      <c r="J287" s="136"/>
      <c r="K287" s="135"/>
      <c r="L287" s="137"/>
      <c r="M287" s="1"/>
      <c r="N287"/>
    </row>
    <row r="288" spans="10:14">
      <c r="J288" s="136"/>
      <c r="K288" s="135"/>
      <c r="L288" s="137"/>
      <c r="M288" s="1"/>
      <c r="N288"/>
    </row>
    <row r="289" spans="10:14">
      <c r="J289" s="136"/>
      <c r="K289" s="135"/>
      <c r="L289" s="137"/>
      <c r="M289" s="1"/>
      <c r="N289"/>
    </row>
    <row r="290" spans="10:14">
      <c r="J290" s="136"/>
      <c r="K290" s="135"/>
      <c r="L290" s="137"/>
      <c r="M290" s="1"/>
      <c r="N290"/>
    </row>
    <row r="291" spans="10:14">
      <c r="J291" s="136"/>
      <c r="K291" s="135"/>
      <c r="L291" s="137"/>
      <c r="M291" s="1"/>
      <c r="N291"/>
    </row>
    <row r="292" spans="10:14">
      <c r="J292" s="136"/>
      <c r="K292" s="135"/>
      <c r="L292" s="137"/>
      <c r="M292" s="1"/>
      <c r="N292"/>
    </row>
    <row r="293" spans="10:14">
      <c r="J293" s="136"/>
      <c r="K293" s="135"/>
      <c r="L293" s="137"/>
      <c r="M293" s="1"/>
      <c r="N293"/>
    </row>
    <row r="294" spans="10:14">
      <c r="J294" s="136"/>
      <c r="K294" s="135"/>
      <c r="L294" s="137"/>
      <c r="M294" s="1"/>
      <c r="N294"/>
    </row>
    <row r="295" spans="10:14">
      <c r="J295" s="136"/>
      <c r="K295" s="135"/>
      <c r="L295" s="137"/>
      <c r="M295" s="1"/>
      <c r="N295"/>
    </row>
    <row r="296" spans="10:14">
      <c r="J296" s="136"/>
      <c r="K296" s="135"/>
      <c r="L296" s="137"/>
      <c r="M296" s="1"/>
      <c r="N296"/>
    </row>
    <row r="297" spans="10:14">
      <c r="J297" s="136"/>
      <c r="K297" s="135"/>
      <c r="L297" s="137"/>
      <c r="M297" s="1"/>
      <c r="N297"/>
    </row>
    <row r="298" spans="10:14">
      <c r="J298" s="136"/>
      <c r="K298" s="135"/>
      <c r="L298" s="137"/>
      <c r="M298" s="1"/>
      <c r="N298"/>
    </row>
    <row r="299" spans="10:14">
      <c r="J299" s="136"/>
      <c r="K299" s="135"/>
      <c r="L299" s="137"/>
      <c r="M299" s="1"/>
      <c r="N299"/>
    </row>
    <row r="300" spans="10:14">
      <c r="J300" s="136"/>
      <c r="K300" s="135"/>
      <c r="L300" s="137"/>
      <c r="M300" s="1"/>
      <c r="N300"/>
    </row>
    <row r="301" spans="10:14">
      <c r="J301" s="136"/>
      <c r="K301" s="135"/>
      <c r="L301" s="137"/>
      <c r="M301" s="1"/>
      <c r="N301"/>
    </row>
    <row r="302" spans="10:14">
      <c r="J302" s="136"/>
      <c r="K302" s="135"/>
      <c r="L302" s="137"/>
      <c r="M302" s="1"/>
      <c r="N302"/>
    </row>
    <row r="303" spans="10:14">
      <c r="J303" s="136"/>
      <c r="K303" s="135"/>
      <c r="L303" s="137"/>
      <c r="M303" s="1"/>
      <c r="N303"/>
    </row>
    <row r="304" spans="10:14">
      <c r="J304" s="136"/>
      <c r="K304" s="135"/>
      <c r="L304" s="137"/>
      <c r="M304" s="1"/>
      <c r="N304"/>
    </row>
    <row r="305" spans="10:14">
      <c r="J305" s="136"/>
      <c r="K305" s="135"/>
      <c r="L305" s="137"/>
      <c r="M305" s="1"/>
      <c r="N305"/>
    </row>
    <row r="306" spans="10:14">
      <c r="J306" s="136"/>
      <c r="K306" s="135"/>
      <c r="L306" s="137"/>
      <c r="M306" s="1"/>
      <c r="N306"/>
    </row>
    <row r="307" spans="10:14">
      <c r="J307" s="136"/>
      <c r="K307" s="135"/>
      <c r="L307" s="137"/>
      <c r="M307" s="1"/>
      <c r="N307"/>
    </row>
    <row r="308" spans="10:14">
      <c r="J308" s="136"/>
      <c r="K308" s="135"/>
      <c r="L308" s="137"/>
      <c r="M308" s="1"/>
      <c r="N308"/>
    </row>
    <row r="309" spans="10:14">
      <c r="J309" s="136"/>
      <c r="K309" s="135"/>
      <c r="L309" s="137"/>
      <c r="M309" s="1"/>
      <c r="N309"/>
    </row>
    <row r="310" spans="10:14">
      <c r="J310" s="136"/>
      <c r="K310" s="135"/>
      <c r="L310" s="137"/>
      <c r="M310" s="1"/>
      <c r="N310"/>
    </row>
    <row r="311" spans="10:14">
      <c r="J311" s="136"/>
      <c r="K311" s="135"/>
      <c r="L311" s="137"/>
      <c r="M311" s="1"/>
      <c r="N311"/>
    </row>
    <row r="312" spans="10:14">
      <c r="J312" s="136"/>
      <c r="K312" s="135"/>
      <c r="L312" s="137"/>
      <c r="M312" s="1"/>
      <c r="N312"/>
    </row>
    <row r="313" spans="10:14">
      <c r="J313" s="136"/>
      <c r="K313" s="135"/>
      <c r="L313" s="137"/>
      <c r="M313" s="1"/>
      <c r="N313"/>
    </row>
    <row r="314" spans="10:14">
      <c r="J314" s="136"/>
      <c r="K314" s="135"/>
      <c r="L314" s="137"/>
      <c r="M314" s="1"/>
      <c r="N314"/>
    </row>
    <row r="315" spans="10:14">
      <c r="J315" s="136"/>
      <c r="K315" s="135"/>
      <c r="L315" s="137"/>
      <c r="M315" s="1"/>
      <c r="N315"/>
    </row>
    <row r="316" spans="10:14">
      <c r="J316" s="136"/>
      <c r="K316" s="135"/>
      <c r="L316" s="137"/>
      <c r="M316" s="1"/>
      <c r="N316"/>
    </row>
    <row r="317" spans="10:14">
      <c r="J317" s="136"/>
      <c r="K317" s="135"/>
      <c r="L317" s="137"/>
      <c r="M317" s="1"/>
      <c r="N317"/>
    </row>
    <row r="318" spans="10:14">
      <c r="J318" s="136"/>
      <c r="K318" s="135"/>
      <c r="L318" s="137"/>
      <c r="M318" s="1"/>
      <c r="N318"/>
    </row>
    <row r="319" spans="10:14">
      <c r="J319" s="136"/>
      <c r="K319" s="135"/>
      <c r="L319" s="137"/>
      <c r="M319" s="1"/>
      <c r="N319"/>
    </row>
    <row r="320" spans="10:14">
      <c r="J320" s="136"/>
      <c r="K320" s="135"/>
      <c r="L320" s="137"/>
      <c r="M320" s="1"/>
      <c r="N320"/>
    </row>
    <row r="321" spans="10:14">
      <c r="J321" s="136"/>
      <c r="K321" s="135"/>
      <c r="L321" s="137"/>
      <c r="M321" s="1"/>
      <c r="N321"/>
    </row>
    <row r="322" spans="10:14">
      <c r="J322" s="136"/>
      <c r="K322" s="135"/>
      <c r="L322" s="137"/>
      <c r="M322" s="1"/>
      <c r="N322"/>
    </row>
    <row r="323" spans="10:14">
      <c r="J323" s="136"/>
      <c r="K323" s="135"/>
      <c r="L323" s="137"/>
      <c r="M323" s="1"/>
      <c r="N323"/>
    </row>
    <row r="324" spans="10:14">
      <c r="J324" s="136"/>
      <c r="K324" s="135"/>
      <c r="L324" s="137"/>
      <c r="M324" s="1"/>
      <c r="N324"/>
    </row>
    <row r="325" spans="10:14">
      <c r="J325" s="136"/>
      <c r="K325" s="135"/>
      <c r="L325" s="137"/>
      <c r="M325" s="1"/>
      <c r="N325"/>
    </row>
    <row r="326" spans="10:14">
      <c r="J326" s="136"/>
      <c r="K326" s="135"/>
      <c r="L326" s="137"/>
      <c r="M326" s="1"/>
      <c r="N326"/>
    </row>
    <row r="327" spans="10:14">
      <c r="J327" s="136"/>
      <c r="K327" s="135"/>
      <c r="L327" s="137"/>
      <c r="M327" s="1"/>
      <c r="N327"/>
    </row>
    <row r="328" spans="10:14">
      <c r="J328" s="136"/>
      <c r="K328" s="135"/>
      <c r="L328" s="137"/>
      <c r="M328" s="1"/>
      <c r="N328"/>
    </row>
    <row r="329" spans="10:14">
      <c r="J329" s="136"/>
      <c r="K329" s="135"/>
      <c r="L329" s="137"/>
      <c r="M329" s="1"/>
      <c r="N329"/>
    </row>
    <row r="330" spans="10:14">
      <c r="J330" s="136"/>
      <c r="K330" s="135"/>
      <c r="L330" s="137"/>
      <c r="M330" s="1"/>
      <c r="N330"/>
    </row>
    <row r="331" spans="10:14">
      <c r="J331" s="136"/>
      <c r="K331" s="135"/>
      <c r="L331" s="137"/>
      <c r="M331" s="1"/>
      <c r="N331"/>
    </row>
    <row r="332" spans="10:14">
      <c r="J332" s="136"/>
      <c r="K332" s="135"/>
      <c r="L332" s="137"/>
      <c r="M332" s="1"/>
      <c r="N332"/>
    </row>
    <row r="333" spans="10:14">
      <c r="J333" s="136"/>
      <c r="K333" s="135"/>
      <c r="L333" s="137"/>
      <c r="M333" s="1"/>
      <c r="N333"/>
    </row>
    <row r="334" spans="10:14">
      <c r="J334" s="136"/>
      <c r="K334" s="135"/>
      <c r="L334" s="137"/>
      <c r="M334" s="1"/>
      <c r="N334"/>
    </row>
    <row r="335" spans="10:14">
      <c r="J335" s="136"/>
      <c r="K335" s="135"/>
      <c r="L335" s="137"/>
      <c r="M335" s="1"/>
      <c r="N335"/>
    </row>
    <row r="336" spans="10:14">
      <c r="J336" s="136"/>
      <c r="K336" s="135"/>
      <c r="L336" s="137"/>
      <c r="M336" s="1"/>
      <c r="N336"/>
    </row>
    <row r="337" spans="10:14">
      <c r="J337" s="136"/>
      <c r="K337" s="135"/>
      <c r="L337" s="137"/>
      <c r="M337" s="1"/>
      <c r="N337"/>
    </row>
    <row r="338" spans="10:14">
      <c r="J338" s="136"/>
      <c r="K338" s="135"/>
      <c r="L338" s="137"/>
      <c r="M338" s="1"/>
      <c r="N338"/>
    </row>
    <row r="339" spans="10:14">
      <c r="J339" s="136"/>
      <c r="K339" s="135"/>
      <c r="L339" s="137"/>
      <c r="M339" s="1"/>
      <c r="N339"/>
    </row>
    <row r="340" spans="10:14">
      <c r="J340" s="136"/>
      <c r="K340" s="135"/>
      <c r="L340" s="137"/>
      <c r="M340" s="1"/>
      <c r="N340"/>
    </row>
    <row r="341" spans="10:14">
      <c r="J341" s="136"/>
      <c r="K341" s="135"/>
      <c r="L341" s="137"/>
      <c r="M341" s="1"/>
      <c r="N341"/>
    </row>
    <row r="342" spans="10:14">
      <c r="J342" s="136"/>
      <c r="K342" s="135"/>
      <c r="L342" s="137"/>
      <c r="M342" s="1"/>
      <c r="N342"/>
    </row>
    <row r="343" spans="10:14">
      <c r="J343" s="136"/>
      <c r="K343" s="135"/>
      <c r="L343" s="137"/>
      <c r="M343" s="1"/>
      <c r="N343"/>
    </row>
    <row r="344" spans="10:14">
      <c r="J344" s="136"/>
      <c r="K344" s="135"/>
      <c r="L344" s="137"/>
      <c r="M344" s="1"/>
      <c r="N344"/>
    </row>
    <row r="345" spans="10:14">
      <c r="J345" s="136"/>
      <c r="K345" s="135"/>
      <c r="L345" s="137"/>
      <c r="M345" s="1"/>
      <c r="N345"/>
    </row>
    <row r="346" spans="10:14">
      <c r="J346" s="136"/>
      <c r="K346" s="135"/>
      <c r="L346" s="137"/>
      <c r="M346" s="1"/>
      <c r="N346"/>
    </row>
    <row r="347" spans="10:14">
      <c r="J347" s="136"/>
      <c r="K347" s="135"/>
      <c r="L347" s="137"/>
      <c r="M347" s="1"/>
      <c r="N347"/>
    </row>
    <row r="348" spans="10:14">
      <c r="J348" s="136"/>
      <c r="K348" s="135"/>
      <c r="L348" s="137"/>
      <c r="M348" s="1"/>
      <c r="N348"/>
    </row>
    <row r="349" spans="10:14">
      <c r="J349" s="136"/>
      <c r="K349" s="135"/>
      <c r="L349" s="137"/>
      <c r="M349" s="1"/>
      <c r="N349"/>
    </row>
    <row r="350" spans="10:14">
      <c r="J350" s="136"/>
      <c r="K350" s="135"/>
      <c r="L350" s="137"/>
      <c r="M350" s="1"/>
      <c r="N350"/>
    </row>
    <row r="351" spans="10:14">
      <c r="J351" s="136"/>
      <c r="K351" s="135"/>
      <c r="L351" s="137"/>
      <c r="M351" s="1"/>
      <c r="N351"/>
    </row>
    <row r="352" spans="10:14">
      <c r="J352" s="136"/>
      <c r="K352" s="135"/>
      <c r="L352" s="137"/>
      <c r="M352" s="1"/>
      <c r="N352"/>
    </row>
    <row r="353" spans="10:14">
      <c r="J353" s="136"/>
      <c r="K353" s="135"/>
      <c r="L353" s="137"/>
      <c r="M353" s="1"/>
      <c r="N353"/>
    </row>
    <row r="354" spans="10:14">
      <c r="J354" s="136"/>
      <c r="K354" s="135"/>
      <c r="L354" s="137"/>
      <c r="M354" s="1"/>
      <c r="N354"/>
    </row>
    <row r="355" spans="10:14">
      <c r="J355" s="136"/>
      <c r="K355" s="135"/>
      <c r="L355" s="137"/>
      <c r="M355" s="1"/>
      <c r="N355"/>
    </row>
    <row r="356" spans="10:14">
      <c r="J356" s="136"/>
      <c r="K356" s="135"/>
      <c r="L356" s="137"/>
      <c r="M356" s="1"/>
      <c r="N356"/>
    </row>
    <row r="357" spans="10:14">
      <c r="J357" s="136"/>
      <c r="K357" s="135"/>
      <c r="L357" s="137"/>
      <c r="M357" s="1"/>
      <c r="N357"/>
    </row>
    <row r="358" spans="10:14">
      <c r="J358" s="136"/>
      <c r="K358" s="135"/>
      <c r="L358" s="137"/>
      <c r="M358" s="1"/>
      <c r="N358"/>
    </row>
    <row r="359" spans="10:14">
      <c r="J359" s="136"/>
      <c r="K359" s="135"/>
      <c r="L359" s="137"/>
      <c r="M359" s="1"/>
      <c r="N359"/>
    </row>
    <row r="360" spans="10:14">
      <c r="J360" s="136"/>
      <c r="K360" s="135"/>
      <c r="L360" s="137"/>
      <c r="M360" s="1"/>
      <c r="N360"/>
    </row>
    <row r="361" spans="10:14">
      <c r="J361" s="136"/>
      <c r="K361" s="135"/>
      <c r="L361" s="137"/>
      <c r="M361" s="1"/>
      <c r="N361"/>
    </row>
    <row r="362" spans="10:14">
      <c r="J362" s="136"/>
      <c r="K362" s="135"/>
      <c r="L362" s="137"/>
      <c r="M362" s="1"/>
      <c r="N362"/>
    </row>
    <row r="363" spans="10:14">
      <c r="J363" s="136"/>
      <c r="K363" s="135"/>
      <c r="L363" s="137"/>
      <c r="M363" s="1"/>
      <c r="N363"/>
    </row>
    <row r="364" spans="10:14">
      <c r="J364" s="136"/>
      <c r="K364" s="135"/>
      <c r="L364" s="137"/>
      <c r="M364" s="1"/>
      <c r="N364"/>
    </row>
    <row r="365" spans="10:14">
      <c r="J365" s="136"/>
      <c r="K365" s="135"/>
      <c r="L365" s="137"/>
      <c r="M365" s="1"/>
      <c r="N365"/>
    </row>
    <row r="366" spans="10:14">
      <c r="J366" s="136"/>
      <c r="K366" s="135"/>
      <c r="L366" s="137"/>
      <c r="M366" s="1"/>
      <c r="N366"/>
    </row>
    <row r="367" spans="10:14">
      <c r="J367" s="136"/>
      <c r="K367" s="135"/>
      <c r="L367" s="137"/>
      <c r="M367" s="1"/>
      <c r="N367"/>
    </row>
    <row r="368" spans="10:14">
      <c r="J368" s="136"/>
      <c r="K368" s="135"/>
      <c r="L368" s="137"/>
      <c r="M368" s="1"/>
      <c r="N368"/>
    </row>
    <row r="369" spans="10:14">
      <c r="J369" s="136"/>
      <c r="K369" s="135"/>
      <c r="L369" s="137"/>
      <c r="M369" s="1"/>
      <c r="N369"/>
    </row>
    <row r="370" spans="10:14">
      <c r="J370" s="136"/>
      <c r="K370" s="135"/>
      <c r="L370" s="137"/>
      <c r="M370" s="1"/>
      <c r="N370"/>
    </row>
    <row r="371" spans="10:14">
      <c r="J371" s="136"/>
      <c r="K371" s="135"/>
      <c r="L371" s="137"/>
      <c r="M371" s="1"/>
      <c r="N371"/>
    </row>
    <row r="372" spans="10:14">
      <c r="J372" s="136"/>
      <c r="K372" s="135"/>
      <c r="L372" s="137"/>
      <c r="M372" s="1"/>
      <c r="N372"/>
    </row>
    <row r="373" spans="10:14">
      <c r="J373" s="136"/>
      <c r="K373" s="135"/>
      <c r="L373" s="137"/>
      <c r="M373" s="1"/>
      <c r="N373"/>
    </row>
    <row r="374" spans="10:14">
      <c r="J374" s="136"/>
      <c r="K374" s="135"/>
      <c r="L374" s="137"/>
      <c r="M374" s="1"/>
      <c r="N374"/>
    </row>
    <row r="375" spans="10:14">
      <c r="J375" s="136"/>
      <c r="K375" s="135"/>
      <c r="L375" s="137"/>
      <c r="M375" s="1"/>
      <c r="N375"/>
    </row>
    <row r="376" spans="10:14">
      <c r="J376" s="136"/>
      <c r="K376" s="135"/>
      <c r="L376" s="137"/>
      <c r="M376" s="1"/>
      <c r="N376"/>
    </row>
    <row r="377" spans="10:14">
      <c r="J377" s="136"/>
      <c r="K377" s="135"/>
      <c r="L377" s="137"/>
      <c r="M377" s="1"/>
      <c r="N377"/>
    </row>
    <row r="378" spans="10:14">
      <c r="J378" s="136"/>
      <c r="K378" s="135"/>
      <c r="L378" s="137"/>
      <c r="M378" s="1"/>
      <c r="N378"/>
    </row>
    <row r="379" spans="10:14">
      <c r="J379" s="136"/>
      <c r="K379" s="135"/>
      <c r="L379" s="137"/>
      <c r="M379" s="1"/>
      <c r="N379"/>
    </row>
    <row r="380" spans="10:14">
      <c r="J380" s="136"/>
      <c r="K380" s="135"/>
      <c r="L380" s="137"/>
      <c r="M380" s="1"/>
      <c r="N380"/>
    </row>
    <row r="381" spans="10:14">
      <c r="J381" s="136"/>
      <c r="K381" s="135"/>
      <c r="L381" s="137"/>
      <c r="M381" s="1"/>
      <c r="N381"/>
    </row>
    <row r="382" spans="10:14">
      <c r="J382" s="136"/>
      <c r="K382" s="135"/>
      <c r="L382" s="137"/>
      <c r="M382" s="1"/>
      <c r="N382"/>
    </row>
    <row r="383" spans="10:14">
      <c r="J383" s="136"/>
      <c r="K383" s="135"/>
      <c r="L383" s="137"/>
      <c r="M383" s="1"/>
      <c r="N383"/>
    </row>
    <row r="384" spans="10:14">
      <c r="J384" s="136"/>
      <c r="K384" s="135"/>
      <c r="L384" s="137"/>
      <c r="M384" s="1"/>
      <c r="N384"/>
    </row>
    <row r="385" spans="10:14">
      <c r="J385" s="136"/>
      <c r="K385" s="135"/>
      <c r="L385" s="137"/>
      <c r="M385" s="1"/>
      <c r="N385"/>
    </row>
    <row r="386" spans="10:14">
      <c r="J386" s="136"/>
      <c r="K386" s="135"/>
      <c r="L386" s="137"/>
      <c r="M386" s="1"/>
      <c r="N386"/>
    </row>
    <row r="387" spans="10:14">
      <c r="J387" s="136"/>
      <c r="K387" s="135"/>
      <c r="L387" s="137"/>
      <c r="M387" s="1"/>
      <c r="N387"/>
    </row>
    <row r="388" spans="10:14">
      <c r="J388" s="136"/>
      <c r="K388" s="135"/>
      <c r="L388" s="137"/>
      <c r="M388" s="1"/>
      <c r="N388"/>
    </row>
    <row r="389" spans="10:14">
      <c r="J389" s="136"/>
      <c r="K389" s="135"/>
      <c r="L389" s="137"/>
      <c r="M389" s="1"/>
      <c r="N389"/>
    </row>
    <row r="390" spans="10:14">
      <c r="J390" s="136"/>
      <c r="K390" s="135"/>
      <c r="L390" s="137"/>
      <c r="M390" s="1"/>
      <c r="N390"/>
    </row>
    <row r="391" spans="10:14">
      <c r="J391" s="136"/>
      <c r="K391" s="135"/>
      <c r="L391" s="137"/>
      <c r="M391" s="1"/>
      <c r="N391"/>
    </row>
    <row r="392" spans="10:14">
      <c r="J392" s="136"/>
      <c r="K392" s="135"/>
      <c r="L392" s="137"/>
      <c r="M392" s="1"/>
      <c r="N392"/>
    </row>
    <row r="393" spans="10:14">
      <c r="J393" s="136"/>
      <c r="K393" s="135"/>
      <c r="L393" s="137"/>
      <c r="M393" s="1"/>
      <c r="N393"/>
    </row>
    <row r="394" spans="10:14">
      <c r="J394" s="136"/>
      <c r="K394" s="135"/>
      <c r="L394" s="137"/>
      <c r="M394" s="1"/>
      <c r="N394"/>
    </row>
    <row r="395" spans="10:14">
      <c r="J395" s="136"/>
      <c r="K395" s="135"/>
      <c r="L395" s="137"/>
      <c r="M395" s="1"/>
      <c r="N395"/>
    </row>
    <row r="396" spans="10:14">
      <c r="J396" s="136"/>
      <c r="K396" s="135"/>
      <c r="L396" s="137"/>
      <c r="M396" s="1"/>
      <c r="N396"/>
    </row>
    <row r="397" spans="10:14">
      <c r="J397" s="136"/>
      <c r="K397" s="135"/>
      <c r="L397" s="137"/>
      <c r="M397" s="1"/>
      <c r="N397"/>
    </row>
    <row r="398" spans="10:14">
      <c r="J398" s="136"/>
      <c r="K398" s="135"/>
      <c r="L398" s="137"/>
      <c r="M398" s="1"/>
      <c r="N398"/>
    </row>
    <row r="399" spans="10:14">
      <c r="J399" s="136"/>
      <c r="K399" s="135"/>
      <c r="L399" s="137"/>
      <c r="M399" s="1"/>
      <c r="N399"/>
    </row>
    <row r="400" spans="10:14">
      <c r="J400" s="136"/>
      <c r="K400" s="135"/>
      <c r="L400" s="137"/>
      <c r="M400" s="1"/>
      <c r="N400"/>
    </row>
    <row r="401" spans="10:14">
      <c r="J401" s="136"/>
      <c r="K401" s="135"/>
      <c r="L401" s="137"/>
      <c r="M401" s="1"/>
      <c r="N401"/>
    </row>
    <row r="402" spans="10:14">
      <c r="J402" s="136"/>
      <c r="K402" s="135"/>
      <c r="L402" s="137"/>
      <c r="M402" s="1"/>
      <c r="N402"/>
    </row>
    <row r="403" spans="10:14">
      <c r="J403" s="136"/>
      <c r="K403" s="135"/>
      <c r="L403" s="137"/>
      <c r="M403" s="1"/>
      <c r="N403"/>
    </row>
    <row r="404" spans="10:14">
      <c r="J404" s="136"/>
      <c r="K404" s="135"/>
      <c r="L404" s="137"/>
      <c r="M404" s="1"/>
      <c r="N404"/>
    </row>
    <row r="405" spans="10:14">
      <c r="J405" s="136"/>
      <c r="K405" s="135"/>
      <c r="L405" s="137"/>
      <c r="M405" s="1"/>
      <c r="N405"/>
    </row>
    <row r="406" spans="10:14">
      <c r="J406" s="136"/>
      <c r="K406" s="135"/>
      <c r="L406" s="137"/>
      <c r="M406" s="1"/>
      <c r="N406"/>
    </row>
    <row r="407" spans="10:14">
      <c r="J407" s="136"/>
      <c r="K407" s="135"/>
      <c r="L407" s="137"/>
      <c r="M407" s="1"/>
      <c r="N407"/>
    </row>
    <row r="408" spans="10:14">
      <c r="J408" s="136"/>
      <c r="K408" s="135"/>
      <c r="L408" s="137"/>
      <c r="M408" s="1"/>
      <c r="N408"/>
    </row>
    <row r="409" spans="10:14">
      <c r="J409" s="136"/>
      <c r="K409" s="135"/>
      <c r="L409" s="137"/>
      <c r="M409" s="1"/>
      <c r="N409"/>
    </row>
    <row r="410" spans="10:14">
      <c r="J410" s="136"/>
      <c r="K410" s="135"/>
      <c r="L410" s="137"/>
      <c r="M410" s="1"/>
      <c r="N410"/>
    </row>
    <row r="411" spans="10:14">
      <c r="J411" s="136"/>
      <c r="K411" s="135"/>
      <c r="L411" s="137"/>
      <c r="M411" s="1"/>
      <c r="N411"/>
    </row>
    <row r="412" spans="10:14">
      <c r="J412" s="136"/>
      <c r="K412" s="135"/>
      <c r="L412" s="137"/>
      <c r="M412" s="1"/>
      <c r="N412"/>
    </row>
    <row r="413" spans="10:14">
      <c r="J413" s="136"/>
      <c r="K413" s="135"/>
      <c r="L413" s="137"/>
      <c r="M413" s="1"/>
      <c r="N413"/>
    </row>
    <row r="414" spans="10:14">
      <c r="J414" s="136"/>
      <c r="K414" s="135"/>
      <c r="L414" s="137"/>
      <c r="M414" s="1"/>
      <c r="N414"/>
    </row>
    <row r="415" spans="10:14">
      <c r="J415" s="136"/>
      <c r="K415" s="135"/>
      <c r="L415" s="137"/>
      <c r="M415" s="1"/>
      <c r="N415"/>
    </row>
    <row r="416" spans="10:14">
      <c r="J416" s="136"/>
      <c r="K416" s="135"/>
      <c r="L416" s="137"/>
      <c r="M416" s="1"/>
      <c r="N416"/>
    </row>
    <row r="417" spans="10:14">
      <c r="J417" s="136"/>
      <c r="K417" s="135"/>
      <c r="L417" s="137"/>
      <c r="M417" s="1"/>
      <c r="N417"/>
    </row>
    <row r="418" spans="10:14">
      <c r="J418" s="136"/>
      <c r="K418" s="135"/>
      <c r="L418" s="137"/>
      <c r="M418" s="1"/>
      <c r="N418"/>
    </row>
    <row r="419" spans="10:14">
      <c r="J419" s="136"/>
      <c r="K419" s="135"/>
      <c r="L419" s="137"/>
      <c r="M419" s="1"/>
      <c r="N419"/>
    </row>
    <row r="420" spans="10:14">
      <c r="J420" s="136"/>
      <c r="K420" s="135"/>
      <c r="L420" s="137"/>
      <c r="M420" s="1"/>
      <c r="N420"/>
    </row>
    <row r="421" spans="10:14">
      <c r="J421" s="136"/>
      <c r="K421" s="135"/>
      <c r="L421" s="137"/>
      <c r="M421" s="1"/>
      <c r="N421"/>
    </row>
    <row r="422" spans="10:14">
      <c r="J422" s="136"/>
      <c r="K422" s="135"/>
      <c r="L422" s="137"/>
      <c r="M422" s="1"/>
      <c r="N422"/>
    </row>
    <row r="423" spans="10:14">
      <c r="J423" s="136"/>
      <c r="K423" s="135"/>
      <c r="L423" s="137"/>
      <c r="M423" s="1"/>
      <c r="N423"/>
    </row>
    <row r="424" spans="10:14">
      <c r="J424" s="136"/>
      <c r="K424" s="135"/>
      <c r="L424" s="137"/>
      <c r="M424" s="1"/>
      <c r="N424"/>
    </row>
    <row r="425" spans="10:14">
      <c r="J425" s="136"/>
      <c r="K425" s="135"/>
      <c r="L425" s="137"/>
      <c r="M425" s="1"/>
      <c r="N425"/>
    </row>
    <row r="426" spans="10:14">
      <c r="J426" s="136"/>
      <c r="K426" s="135"/>
      <c r="L426" s="137"/>
      <c r="M426" s="1"/>
      <c r="N426"/>
    </row>
    <row r="427" spans="10:14">
      <c r="J427" s="136"/>
      <c r="K427" s="135"/>
      <c r="L427" s="137"/>
      <c r="M427" s="1"/>
      <c r="N427"/>
    </row>
    <row r="428" spans="10:14">
      <c r="J428" s="136"/>
      <c r="K428" s="135"/>
      <c r="L428" s="137"/>
      <c r="M428" s="1"/>
      <c r="N428"/>
    </row>
    <row r="429" spans="10:14">
      <c r="J429" s="136"/>
      <c r="K429" s="135"/>
      <c r="L429" s="137"/>
      <c r="M429" s="1"/>
      <c r="N429"/>
    </row>
    <row r="430" spans="10:14">
      <c r="J430" s="136"/>
      <c r="K430" s="135"/>
      <c r="L430" s="137"/>
      <c r="M430" s="1"/>
      <c r="N430"/>
    </row>
    <row r="431" spans="10:14">
      <c r="J431" s="136"/>
      <c r="K431" s="135"/>
      <c r="L431" s="137"/>
      <c r="M431" s="1"/>
      <c r="N431"/>
    </row>
    <row r="432" spans="10:14">
      <c r="J432" s="136"/>
      <c r="K432" s="135"/>
      <c r="L432" s="137"/>
      <c r="M432" s="1"/>
      <c r="N432"/>
    </row>
    <row r="433" spans="10:14">
      <c r="J433" s="136"/>
      <c r="K433" s="135"/>
      <c r="L433" s="137"/>
      <c r="M433" s="1"/>
      <c r="N433"/>
    </row>
    <row r="434" spans="10:14">
      <c r="J434" s="136"/>
      <c r="K434" s="135"/>
      <c r="L434" s="137"/>
      <c r="M434" s="1"/>
      <c r="N434"/>
    </row>
    <row r="435" spans="10:14">
      <c r="J435" s="136"/>
      <c r="K435" s="135"/>
      <c r="L435" s="137"/>
      <c r="M435" s="1"/>
      <c r="N435"/>
    </row>
    <row r="436" spans="10:14">
      <c r="J436" s="136"/>
      <c r="K436" s="135"/>
      <c r="L436" s="137"/>
      <c r="M436" s="1"/>
      <c r="N436"/>
    </row>
    <row r="437" spans="10:14">
      <c r="J437" s="136"/>
      <c r="K437" s="135"/>
      <c r="L437" s="137"/>
      <c r="M437" s="1"/>
      <c r="N437"/>
    </row>
    <row r="438" spans="10:14">
      <c r="J438" s="136"/>
      <c r="K438" s="135"/>
      <c r="L438" s="137"/>
      <c r="M438" s="1"/>
      <c r="N438"/>
    </row>
    <row r="439" spans="10:14">
      <c r="J439" s="136"/>
      <c r="K439" s="135"/>
      <c r="L439" s="137"/>
      <c r="M439" s="1"/>
      <c r="N439"/>
    </row>
    <row r="440" spans="10:14">
      <c r="J440" s="136"/>
      <c r="K440" s="135"/>
      <c r="L440" s="137"/>
      <c r="M440" s="1"/>
      <c r="N440"/>
    </row>
    <row r="441" spans="10:14">
      <c r="J441" s="136"/>
      <c r="K441" s="135"/>
      <c r="L441" s="137"/>
      <c r="M441" s="1"/>
      <c r="N441"/>
    </row>
    <row r="442" spans="10:14">
      <c r="J442" s="136"/>
      <c r="K442" s="135"/>
      <c r="L442" s="137"/>
      <c r="M442" s="1"/>
      <c r="N442"/>
    </row>
    <row r="443" spans="10:14">
      <c r="J443" s="136"/>
      <c r="K443" s="135"/>
      <c r="L443" s="137"/>
      <c r="M443" s="1"/>
      <c r="N443"/>
    </row>
    <row r="444" spans="10:14">
      <c r="J444" s="136"/>
      <c r="K444" s="135"/>
      <c r="L444" s="137"/>
      <c r="M444" s="1"/>
      <c r="N444"/>
    </row>
    <row r="445" spans="10:14">
      <c r="J445" s="136"/>
      <c r="K445" s="135"/>
      <c r="L445" s="137"/>
      <c r="M445" s="1"/>
      <c r="N445"/>
    </row>
    <row r="446" spans="10:14">
      <c r="J446" s="136"/>
      <c r="K446" s="135"/>
      <c r="L446" s="137"/>
      <c r="M446" s="1"/>
      <c r="N446"/>
    </row>
    <row r="447" spans="10:14">
      <c r="J447" s="136"/>
      <c r="K447" s="135"/>
      <c r="L447" s="137"/>
      <c r="M447" s="1"/>
      <c r="N447"/>
    </row>
    <row r="448" spans="10:14">
      <c r="J448" s="136"/>
      <c r="K448" s="135"/>
      <c r="L448" s="137"/>
      <c r="M448" s="1"/>
      <c r="N448"/>
    </row>
    <row r="449" spans="10:14">
      <c r="J449" s="136"/>
      <c r="K449" s="135"/>
      <c r="L449" s="137"/>
      <c r="M449" s="1"/>
      <c r="N449"/>
    </row>
    <row r="450" spans="10:14">
      <c r="J450" s="136"/>
      <c r="K450" s="135"/>
      <c r="L450" s="137"/>
      <c r="M450" s="1"/>
      <c r="N450"/>
    </row>
    <row r="451" spans="10:14">
      <c r="J451" s="136"/>
      <c r="K451" s="135"/>
      <c r="L451" s="137"/>
      <c r="M451" s="1"/>
      <c r="N451"/>
    </row>
    <row r="452" spans="10:14">
      <c r="J452" s="136"/>
      <c r="K452" s="135"/>
      <c r="L452" s="137"/>
      <c r="M452" s="1"/>
      <c r="N452"/>
    </row>
    <row r="453" spans="10:14">
      <c r="J453" s="136"/>
      <c r="K453" s="135"/>
      <c r="L453" s="137"/>
      <c r="M453" s="1"/>
      <c r="N453"/>
    </row>
    <row r="454" spans="10:14">
      <c r="J454" s="136"/>
      <c r="K454" s="135"/>
      <c r="L454" s="137"/>
      <c r="M454" s="1"/>
      <c r="N454"/>
    </row>
    <row r="455" spans="10:14">
      <c r="J455" s="136"/>
      <c r="K455" s="135"/>
      <c r="L455" s="137"/>
      <c r="M455" s="1"/>
      <c r="N455"/>
    </row>
    <row r="456" spans="10:14">
      <c r="J456" s="136"/>
      <c r="K456" s="135"/>
      <c r="L456" s="137"/>
      <c r="M456" s="1"/>
      <c r="N456"/>
    </row>
    <row r="457" spans="10:14">
      <c r="J457" s="136"/>
      <c r="K457" s="135"/>
      <c r="L457" s="137"/>
      <c r="M457" s="1"/>
      <c r="N457"/>
    </row>
    <row r="458" spans="10:14">
      <c r="J458" s="136"/>
      <c r="K458" s="135"/>
      <c r="L458" s="137"/>
      <c r="M458" s="1"/>
      <c r="N458"/>
    </row>
    <row r="459" spans="10:14">
      <c r="J459" s="136"/>
      <c r="K459" s="135"/>
      <c r="L459" s="137"/>
      <c r="M459" s="1"/>
      <c r="N459"/>
    </row>
    <row r="460" spans="10:14">
      <c r="J460" s="136"/>
      <c r="K460" s="135"/>
      <c r="L460" s="137"/>
      <c r="M460" s="1"/>
      <c r="N460"/>
    </row>
    <row r="461" spans="10:14">
      <c r="J461" s="136"/>
      <c r="K461" s="135"/>
      <c r="L461" s="137"/>
      <c r="M461" s="1"/>
      <c r="N461"/>
    </row>
    <row r="462" spans="10:14">
      <c r="J462" s="136"/>
      <c r="K462" s="135"/>
      <c r="L462" s="137"/>
      <c r="M462" s="1"/>
      <c r="N462"/>
    </row>
    <row r="463" spans="10:14">
      <c r="J463" s="136"/>
      <c r="K463" s="135"/>
      <c r="L463" s="137"/>
      <c r="M463" s="1"/>
      <c r="N463"/>
    </row>
    <row r="464" spans="10:14">
      <c r="J464" s="136"/>
      <c r="K464" s="135"/>
      <c r="L464" s="137"/>
      <c r="M464" s="1"/>
      <c r="N464"/>
    </row>
    <row r="465" spans="10:14">
      <c r="J465" s="136"/>
      <c r="K465" s="135"/>
      <c r="L465" s="137"/>
      <c r="M465" s="1"/>
      <c r="N465"/>
    </row>
    <row r="466" spans="10:14">
      <c r="J466" s="136"/>
      <c r="K466" s="135"/>
      <c r="L466" s="137"/>
      <c r="M466" s="1"/>
      <c r="N466"/>
    </row>
    <row r="467" spans="10:14">
      <c r="J467" s="136"/>
      <c r="K467" s="135"/>
      <c r="L467" s="137"/>
      <c r="M467" s="1"/>
      <c r="N467"/>
    </row>
    <row r="468" spans="10:14">
      <c r="J468" s="136"/>
      <c r="K468" s="135"/>
      <c r="L468" s="137"/>
      <c r="M468" s="1"/>
      <c r="N468"/>
    </row>
    <row r="469" spans="10:14">
      <c r="J469" s="136"/>
      <c r="K469" s="135"/>
      <c r="L469" s="137"/>
      <c r="M469" s="1"/>
      <c r="N469"/>
    </row>
    <row r="470" spans="10:14">
      <c r="J470" s="136"/>
      <c r="K470" s="135"/>
      <c r="L470" s="137"/>
      <c r="M470" s="1"/>
      <c r="N470"/>
    </row>
    <row r="471" spans="10:14">
      <c r="J471" s="136"/>
      <c r="K471" s="135"/>
      <c r="L471" s="137"/>
      <c r="M471" s="1"/>
      <c r="N471"/>
    </row>
    <row r="472" spans="10:14">
      <c r="J472" s="136"/>
      <c r="K472" s="135"/>
      <c r="L472" s="137"/>
      <c r="M472" s="1"/>
      <c r="N472"/>
    </row>
    <row r="473" spans="10:14">
      <c r="J473" s="136"/>
      <c r="K473" s="135"/>
      <c r="L473" s="137"/>
      <c r="M473" s="1"/>
      <c r="N473"/>
    </row>
    <row r="474" spans="10:14">
      <c r="J474" s="136"/>
      <c r="K474" s="135"/>
      <c r="L474" s="137"/>
      <c r="M474" s="1"/>
      <c r="N474"/>
    </row>
    <row r="475" spans="10:14">
      <c r="J475" s="136"/>
      <c r="K475" s="135"/>
      <c r="L475" s="137"/>
      <c r="M475" s="1"/>
      <c r="N475"/>
    </row>
    <row r="476" spans="10:14">
      <c r="J476" s="136"/>
      <c r="K476" s="135"/>
      <c r="L476" s="137"/>
      <c r="M476" s="1"/>
      <c r="N476"/>
    </row>
    <row r="477" spans="10:14">
      <c r="J477" s="136"/>
      <c r="K477" s="135"/>
      <c r="L477" s="137"/>
      <c r="M477" s="1"/>
      <c r="N477"/>
    </row>
    <row r="478" spans="10:14">
      <c r="J478" s="136"/>
      <c r="K478" s="135"/>
      <c r="L478" s="137"/>
      <c r="M478" s="1"/>
      <c r="N478"/>
    </row>
    <row r="479" spans="10:14">
      <c r="J479" s="136"/>
      <c r="K479" s="135"/>
      <c r="L479" s="137"/>
      <c r="M479" s="1"/>
      <c r="N479"/>
    </row>
    <row r="480" spans="10:14">
      <c r="J480" s="136"/>
      <c r="K480" s="135"/>
      <c r="L480" s="137"/>
      <c r="M480" s="1"/>
      <c r="N480"/>
    </row>
    <row r="481" spans="10:14">
      <c r="J481" s="136"/>
      <c r="K481" s="135"/>
      <c r="L481" s="137"/>
      <c r="M481" s="1"/>
      <c r="N481"/>
    </row>
    <row r="482" spans="10:14">
      <c r="J482" s="136"/>
      <c r="K482" s="135"/>
      <c r="L482" s="137"/>
      <c r="M482" s="1"/>
      <c r="N482"/>
    </row>
    <row r="483" spans="10:14">
      <c r="J483" s="136"/>
      <c r="K483" s="135"/>
      <c r="L483" s="137"/>
      <c r="M483" s="1"/>
      <c r="N483"/>
    </row>
    <row r="484" spans="10:14">
      <c r="J484" s="136"/>
      <c r="K484" s="135"/>
      <c r="L484" s="137"/>
      <c r="M484" s="1"/>
      <c r="N484"/>
    </row>
    <row r="485" spans="10:14">
      <c r="J485" s="136"/>
      <c r="K485" s="135"/>
      <c r="L485" s="137"/>
      <c r="M485" s="1"/>
      <c r="N485"/>
    </row>
    <row r="486" spans="10:14">
      <c r="J486" s="136"/>
      <c r="K486" s="135"/>
      <c r="L486" s="137"/>
      <c r="M486" s="1"/>
      <c r="N486"/>
    </row>
    <row r="487" spans="10:14">
      <c r="J487" s="136"/>
      <c r="K487" s="135"/>
      <c r="L487" s="137"/>
      <c r="M487" s="1"/>
      <c r="N487"/>
    </row>
    <row r="488" spans="10:14">
      <c r="J488" s="136"/>
      <c r="K488" s="135"/>
      <c r="L488" s="137"/>
      <c r="M488" s="1"/>
      <c r="N488"/>
    </row>
    <row r="489" spans="10:14">
      <c r="J489" s="136"/>
      <c r="K489" s="135"/>
      <c r="L489" s="137"/>
      <c r="M489" s="1"/>
      <c r="N489"/>
    </row>
  </sheetData>
  <mergeCells count="17">
    <mergeCell ref="B7:B8"/>
    <mergeCell ref="A50:B50"/>
    <mergeCell ref="A1:M1"/>
    <mergeCell ref="A2:M2"/>
    <mergeCell ref="A3:M3"/>
    <mergeCell ref="A5:M5"/>
    <mergeCell ref="C6:H6"/>
    <mergeCell ref="A4:M4"/>
    <mergeCell ref="A6:A8"/>
    <mergeCell ref="I7:I8"/>
    <mergeCell ref="K7:K8"/>
    <mergeCell ref="M7:M8"/>
    <mergeCell ref="H7:H8"/>
    <mergeCell ref="G7:G8"/>
    <mergeCell ref="F7:F8"/>
    <mergeCell ref="D7:D8"/>
    <mergeCell ref="C7:C8"/>
  </mergeCells>
  <phoneticPr fontId="11" type="noConversion"/>
  <pageMargins left="0.82677165354330717" right="0" top="0.82677165354330717" bottom="0.27559055118110237" header="0" footer="0"/>
  <pageSetup scale="70" orientation="portrait" verticalDpi="300" r:id="rId1"/>
  <headerFooter alignWithMargins="0"/>
  <colBreaks count="1" manualBreakCount="1">
    <brk id="13" max="72"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L449"/>
  <sheetViews>
    <sheetView zoomScale="90" zoomScaleNormal="90" workbookViewId="0">
      <selection activeCell="K1" sqref="K1"/>
    </sheetView>
  </sheetViews>
  <sheetFormatPr baseColWidth="10" defaultRowHeight="13.5"/>
  <cols>
    <col min="1" max="1" width="6" style="54" customWidth="1"/>
    <col min="2" max="2" width="32.28515625" style="150" customWidth="1"/>
    <col min="3" max="3" width="13.7109375" style="57" customWidth="1"/>
    <col min="4" max="4" width="12.42578125" style="57" customWidth="1"/>
    <col min="5" max="5" width="11.42578125" style="57" customWidth="1"/>
    <col min="6" max="6" width="12.7109375" style="57" customWidth="1"/>
    <col min="7" max="7" width="20.140625" style="57" bestFit="1" customWidth="1"/>
    <col min="8" max="8" width="20.140625" style="57" customWidth="1"/>
    <col min="9" max="9" width="14.85546875" style="57" customWidth="1"/>
    <col min="10" max="10" width="17.42578125" style="57" bestFit="1" customWidth="1"/>
    <col min="11" max="11" width="22.140625" customWidth="1"/>
    <col min="12" max="12" width="15.5703125" customWidth="1"/>
  </cols>
  <sheetData>
    <row r="1" spans="1:10" ht="21">
      <c r="A1" s="1380"/>
      <c r="B1" s="1380"/>
      <c r="C1" s="1380"/>
      <c r="D1" s="1380"/>
      <c r="E1" s="1380"/>
      <c r="F1" s="1380"/>
      <c r="G1" s="1380"/>
      <c r="H1" s="1380"/>
      <c r="I1" s="1380"/>
      <c r="J1" s="1380"/>
    </row>
    <row r="2" spans="1:10" ht="24" customHeight="1">
      <c r="A2" s="1381" t="s">
        <v>565</v>
      </c>
      <c r="B2" s="1381"/>
      <c r="C2" s="1381"/>
      <c r="D2" s="1381"/>
      <c r="E2" s="1381"/>
      <c r="F2" s="1381"/>
      <c r="G2" s="1381"/>
      <c r="H2" s="1381"/>
      <c r="I2" s="1381"/>
      <c r="J2" s="1381"/>
    </row>
    <row r="3" spans="1:10" ht="24" customHeight="1">
      <c r="A3" s="1382" t="s">
        <v>1146</v>
      </c>
      <c r="B3" s="1382"/>
      <c r="C3" s="1382"/>
      <c r="D3" s="1382"/>
      <c r="E3" s="1382"/>
      <c r="F3" s="1382"/>
      <c r="G3" s="1382"/>
      <c r="H3" s="1382"/>
      <c r="I3" s="1382"/>
      <c r="J3" s="1382"/>
    </row>
    <row r="4" spans="1:10" ht="24" customHeight="1">
      <c r="A4" s="1382" t="s">
        <v>757</v>
      </c>
      <c r="B4" s="1382"/>
      <c r="C4" s="1382"/>
      <c r="D4" s="1382"/>
      <c r="E4" s="1382"/>
      <c r="F4" s="1382"/>
      <c r="G4" s="1382"/>
      <c r="H4" s="1382"/>
      <c r="I4" s="1382"/>
      <c r="J4" s="1382"/>
    </row>
    <row r="5" spans="1:10" ht="26.25">
      <c r="A5" s="1382" t="s">
        <v>924</v>
      </c>
      <c r="B5" s="1382"/>
      <c r="C5" s="1382"/>
      <c r="D5" s="1382"/>
      <c r="E5" s="1382"/>
      <c r="F5" s="1382"/>
      <c r="G5" s="1382"/>
      <c r="H5" s="1382"/>
      <c r="I5" s="1382"/>
      <c r="J5" s="1382"/>
    </row>
    <row r="6" spans="1:10" ht="28.5" customHeight="1">
      <c r="A6" s="1383" t="s">
        <v>15</v>
      </c>
      <c r="B6" s="1383"/>
      <c r="C6" s="1383"/>
      <c r="D6" s="1383"/>
      <c r="E6" s="1383"/>
      <c r="F6" s="1383"/>
      <c r="G6" s="1383"/>
      <c r="H6" s="1383"/>
      <c r="I6" s="1383"/>
      <c r="J6" s="1383"/>
    </row>
    <row r="7" spans="1:10" ht="18.75">
      <c r="A7" s="1387" t="s">
        <v>16</v>
      </c>
      <c r="B7" s="1252"/>
      <c r="C7" s="1376" t="s">
        <v>585</v>
      </c>
      <c r="D7" s="1376"/>
      <c r="E7" s="1376"/>
      <c r="F7" s="1376"/>
      <c r="G7" s="1376"/>
      <c r="H7" s="1376"/>
      <c r="I7" s="1376"/>
      <c r="J7" s="1377" t="s">
        <v>1147</v>
      </c>
    </row>
    <row r="8" spans="1:10" ht="71.25" customHeight="1">
      <c r="A8" s="1388"/>
      <c r="B8" s="1253" t="s">
        <v>926</v>
      </c>
      <c r="C8" s="1254" t="s">
        <v>416</v>
      </c>
      <c r="D8" s="1254" t="s">
        <v>417</v>
      </c>
      <c r="E8" s="1254" t="s">
        <v>410</v>
      </c>
      <c r="F8" s="1255" t="s">
        <v>411</v>
      </c>
      <c r="G8" s="1256" t="s">
        <v>882</v>
      </c>
      <c r="H8" s="1256" t="s">
        <v>1145</v>
      </c>
      <c r="I8" s="1256" t="s">
        <v>884</v>
      </c>
      <c r="J8" s="1378"/>
    </row>
    <row r="9" spans="1:10" ht="24" customHeight="1">
      <c r="A9" s="576" t="s">
        <v>34</v>
      </c>
      <c r="B9" s="577" t="s">
        <v>85</v>
      </c>
      <c r="C9" s="390">
        <f>SUM('Concen. de  Recursos Huma'!C20)</f>
        <v>78161</v>
      </c>
      <c r="D9" s="292">
        <f>SUM('Concen. de  Recursos Huma'!D20)</f>
        <v>0</v>
      </c>
      <c r="E9" s="390">
        <f>SUM('Concen. de  Recursos Huma'!E20)</f>
        <v>0</v>
      </c>
      <c r="F9" s="292">
        <f>SUM('Concen. de  Recursos Huma'!F20)</f>
        <v>0</v>
      </c>
      <c r="G9" s="950">
        <f>SUM('Concen. de  Recursos Huma'!C7)</f>
        <v>231265</v>
      </c>
      <c r="H9" s="950"/>
      <c r="I9" s="950">
        <f>SUM('Proy. de recur.Humanos'!C105)</f>
        <v>40044</v>
      </c>
      <c r="J9" s="388">
        <f>+SUM(C9:I9)</f>
        <v>349470</v>
      </c>
    </row>
    <row r="10" spans="1:10" ht="24" customHeight="1">
      <c r="A10" s="576" t="s">
        <v>86</v>
      </c>
      <c r="B10" s="577" t="s">
        <v>87</v>
      </c>
      <c r="C10" s="578"/>
      <c r="D10" s="292"/>
      <c r="E10" s="388"/>
      <c r="F10" s="388"/>
      <c r="G10" s="950">
        <f>SUM('Concen. de  Recursos Huma'!C8)</f>
        <v>23126.5</v>
      </c>
      <c r="H10" s="950"/>
      <c r="I10" s="950">
        <f>SUM('Proy. de recur.Humanos'!C108)</f>
        <v>3337</v>
      </c>
      <c r="J10" s="388">
        <f t="shared" ref="J10:J73" si="0">+SUM(C10:I10)</f>
        <v>26463.5</v>
      </c>
    </row>
    <row r="11" spans="1:10" ht="24" customHeight="1">
      <c r="A11" s="576" t="s">
        <v>88</v>
      </c>
      <c r="B11" s="577" t="s">
        <v>89</v>
      </c>
      <c r="C11" s="390">
        <f>SUM('Concen. de  Recursos Huma'!C22)</f>
        <v>85280</v>
      </c>
      <c r="D11" s="292"/>
      <c r="E11" s="388"/>
      <c r="F11" s="388"/>
      <c r="G11" s="950"/>
      <c r="H11" s="950"/>
      <c r="I11" s="950"/>
      <c r="J11" s="388">
        <f t="shared" si="0"/>
        <v>85280</v>
      </c>
    </row>
    <row r="12" spans="1:10" ht="24" customHeight="1">
      <c r="A12" s="579">
        <v>51202</v>
      </c>
      <c r="B12" s="580" t="s">
        <v>90</v>
      </c>
      <c r="C12" s="388"/>
      <c r="D12" s="388"/>
      <c r="E12" s="388"/>
      <c r="F12" s="388">
        <f>SUM('FONDOS PROPIOS'!H46)</f>
        <v>77137.002000000008</v>
      </c>
      <c r="G12" s="950"/>
      <c r="H12" s="950"/>
      <c r="I12" s="950">
        <f>'120- Libre disp, social'!H10</f>
        <v>125212</v>
      </c>
      <c r="J12" s="388">
        <f t="shared" si="0"/>
        <v>202349.00200000001</v>
      </c>
    </row>
    <row r="13" spans="1:10" ht="24" customHeight="1">
      <c r="A13" s="579">
        <v>51203</v>
      </c>
      <c r="B13" s="580" t="s">
        <v>87</v>
      </c>
      <c r="C13" s="388">
        <f>SUM('FONDOS PROPIOS'!H12)</f>
        <v>2659</v>
      </c>
      <c r="D13" s="388">
        <f>SUM('Proy. de recur.Humanos'!F89:G89)</f>
        <v>0</v>
      </c>
      <c r="E13" s="388"/>
      <c r="F13" s="388">
        <f>SUM('Proy. de recur.Humanos'!F91:G91)</f>
        <v>0</v>
      </c>
      <c r="G13" s="950"/>
      <c r="H13" s="950"/>
      <c r="I13" s="950"/>
      <c r="J13" s="388">
        <f t="shared" si="0"/>
        <v>2659</v>
      </c>
    </row>
    <row r="14" spans="1:10" ht="24" customHeight="1">
      <c r="A14" s="576" t="s">
        <v>174</v>
      </c>
      <c r="B14" s="577" t="s">
        <v>175</v>
      </c>
      <c r="C14" s="390">
        <f>SUM('Concen. de  Recursos Huma'!C25)</f>
        <v>25785.5</v>
      </c>
      <c r="D14" s="390">
        <f>SUM('Concen. de  Recursos Huma'!D25)</f>
        <v>0</v>
      </c>
      <c r="E14" s="390">
        <f>SUM('Concen. de  Recursos Huma'!E25)</f>
        <v>0</v>
      </c>
      <c r="F14" s="390">
        <f>SUM('Concen. de  Recursos Huma'!F25)</f>
        <v>0</v>
      </c>
      <c r="G14" s="950"/>
      <c r="H14" s="950"/>
      <c r="I14" s="950">
        <f>'120- Libre disp, social'!H12</f>
        <v>3337</v>
      </c>
      <c r="J14" s="388">
        <f t="shared" si="0"/>
        <v>29122.5</v>
      </c>
    </row>
    <row r="15" spans="1:10" ht="24" hidden="1" customHeight="1">
      <c r="A15" s="576" t="s">
        <v>307</v>
      </c>
      <c r="B15" s="577" t="s">
        <v>42</v>
      </c>
      <c r="C15" s="388"/>
      <c r="D15" s="388"/>
      <c r="E15" s="581"/>
      <c r="F15" s="388"/>
      <c r="G15" s="950"/>
      <c r="H15" s="950"/>
      <c r="I15" s="950"/>
      <c r="J15" s="388">
        <f t="shared" si="0"/>
        <v>0</v>
      </c>
    </row>
    <row r="16" spans="1:10" ht="24" hidden="1" customHeight="1">
      <c r="A16" s="579">
        <v>51302</v>
      </c>
      <c r="B16" s="580" t="s">
        <v>93</v>
      </c>
      <c r="C16" s="388"/>
      <c r="D16" s="388"/>
      <c r="E16" s="388"/>
      <c r="F16" s="388"/>
      <c r="G16" s="950"/>
      <c r="H16" s="950"/>
      <c r="I16" s="950"/>
      <c r="J16" s="388">
        <f t="shared" si="0"/>
        <v>0</v>
      </c>
    </row>
    <row r="17" spans="1:12" ht="24" customHeight="1">
      <c r="A17" s="576" t="s">
        <v>94</v>
      </c>
      <c r="B17" s="577" t="s">
        <v>95</v>
      </c>
      <c r="C17" s="390">
        <f>SUM('Concen. de  Recursos Huma'!C27)</f>
        <v>12981.43</v>
      </c>
      <c r="D17" s="390">
        <f>SUM('Concen. de  Recursos Huma'!D27)</f>
        <v>0</v>
      </c>
      <c r="E17" s="390">
        <f>SUM('Concen. de  Recursos Huma'!E27)</f>
        <v>0</v>
      </c>
      <c r="F17" s="390">
        <f>SUM('Concen. de  Recursos Huma'!F27)</f>
        <v>0</v>
      </c>
      <c r="G17" s="950">
        <f>SUM('Concen. de  Recursos Huma'!C12)</f>
        <v>15430.275</v>
      </c>
      <c r="H17" s="950"/>
      <c r="I17" s="950">
        <f>'120- Libre disp, social'!H13</f>
        <v>3880.08</v>
      </c>
      <c r="J17" s="388">
        <f t="shared" si="0"/>
        <v>32291.785000000003</v>
      </c>
    </row>
    <row r="18" spans="1:12" ht="24" customHeight="1">
      <c r="A18" s="576" t="s">
        <v>96</v>
      </c>
      <c r="B18" s="577" t="s">
        <v>97</v>
      </c>
      <c r="C18" s="390">
        <f>SUM('Concen. de  Recursos Huma'!C28)</f>
        <v>12648.08</v>
      </c>
      <c r="D18" s="390">
        <f>SUM('Concen. de  Recursos Huma'!D28)</f>
        <v>0</v>
      </c>
      <c r="E18" s="390">
        <f>SUM('Concen. de  Recursos Huma'!E28)</f>
        <v>0</v>
      </c>
      <c r="F18" s="390">
        <f>SUM('Concen. de  Recursos Huma'!F28)</f>
        <v>0</v>
      </c>
      <c r="G18" s="950">
        <f>SUM('Concen. de  Recursos Huma'!C13)</f>
        <v>17148.037499999999</v>
      </c>
      <c r="H18" s="950"/>
      <c r="I18" s="950">
        <f>'120- Libre disp, social'!H14</f>
        <v>3537.72</v>
      </c>
      <c r="J18" s="388">
        <f t="shared" si="0"/>
        <v>33333.837500000001</v>
      </c>
    </row>
    <row r="19" spans="1:12" ht="24" hidden="1" customHeight="1">
      <c r="A19" s="579">
        <v>51901</v>
      </c>
      <c r="B19" s="580" t="s">
        <v>164</v>
      </c>
      <c r="C19" s="388"/>
      <c r="D19" s="388"/>
      <c r="E19" s="388"/>
      <c r="F19" s="388"/>
      <c r="G19" s="950"/>
      <c r="H19" s="950"/>
      <c r="I19" s="950"/>
      <c r="J19" s="388">
        <f t="shared" si="0"/>
        <v>0</v>
      </c>
    </row>
    <row r="20" spans="1:12" ht="24" hidden="1" customHeight="1">
      <c r="A20" s="579">
        <v>51999</v>
      </c>
      <c r="B20" s="580" t="s">
        <v>98</v>
      </c>
      <c r="C20" s="388"/>
      <c r="D20" s="388"/>
      <c r="E20" s="388"/>
      <c r="F20" s="388"/>
      <c r="G20" s="950"/>
      <c r="H20" s="950"/>
      <c r="I20" s="950"/>
      <c r="J20" s="388">
        <f t="shared" si="0"/>
        <v>0</v>
      </c>
      <c r="K20" s="48">
        <f>SUM(J9:J20)</f>
        <v>760969.62450000003</v>
      </c>
    </row>
    <row r="21" spans="1:12" ht="24" customHeight="1">
      <c r="A21" s="579">
        <v>54101</v>
      </c>
      <c r="B21" s="580" t="s">
        <v>132</v>
      </c>
      <c r="C21" s="388">
        <f>SUM('FONDOS PROPIOS'!H16)</f>
        <v>2000</v>
      </c>
      <c r="D21" s="388"/>
      <c r="E21" s="388"/>
      <c r="F21" s="388"/>
      <c r="G21" s="950">
        <f>SUM('120 libre Administ.'!H16)</f>
        <v>500</v>
      </c>
      <c r="H21" s="950"/>
      <c r="I21" s="950">
        <f>'120- Libre disp, social'!H15</f>
        <v>15200</v>
      </c>
      <c r="J21" s="388">
        <f t="shared" si="0"/>
        <v>17700</v>
      </c>
    </row>
    <row r="22" spans="1:12" ht="24" customHeight="1">
      <c r="A22" s="579">
        <v>54103</v>
      </c>
      <c r="B22" s="580" t="s">
        <v>133</v>
      </c>
      <c r="C22" s="389"/>
      <c r="D22" s="389"/>
      <c r="E22" s="389"/>
      <c r="F22" s="389">
        <f>SUM('FONDOS PROPIOS'!H51)</f>
        <v>0</v>
      </c>
      <c r="G22" s="950"/>
      <c r="H22" s="950"/>
      <c r="I22" s="950">
        <f>'120- Libre disp, social'!H16</f>
        <v>700</v>
      </c>
      <c r="J22" s="388">
        <f t="shared" si="0"/>
        <v>700</v>
      </c>
    </row>
    <row r="23" spans="1:12" ht="24" customHeight="1">
      <c r="A23" s="579">
        <v>54104</v>
      </c>
      <c r="B23" s="580" t="s">
        <v>134</v>
      </c>
      <c r="C23" s="389"/>
      <c r="D23" s="389"/>
      <c r="E23" s="389"/>
      <c r="F23" s="389"/>
      <c r="G23" s="950">
        <f>SUM('120 libre Administ.'!H17)</f>
        <v>500</v>
      </c>
      <c r="H23" s="950"/>
      <c r="I23" s="950">
        <f>'120- Libre disp, social'!H17</f>
        <v>7500</v>
      </c>
      <c r="J23" s="388">
        <f t="shared" si="0"/>
        <v>8000</v>
      </c>
    </row>
    <row r="24" spans="1:12" ht="24" customHeight="1">
      <c r="A24" s="579">
        <v>54105</v>
      </c>
      <c r="B24" s="580" t="s">
        <v>135</v>
      </c>
      <c r="C24" s="389"/>
      <c r="D24" s="389"/>
      <c r="E24" s="389"/>
      <c r="F24" s="389"/>
      <c r="G24" s="950">
        <f>SUM('120 libre Administ.'!H18)</f>
        <v>2500</v>
      </c>
      <c r="H24" s="950"/>
      <c r="I24" s="950">
        <f>'120- Libre disp, social'!H18</f>
        <v>1200</v>
      </c>
      <c r="J24" s="388">
        <f t="shared" si="0"/>
        <v>3700</v>
      </c>
    </row>
    <row r="25" spans="1:12" ht="24" customHeight="1">
      <c r="A25" s="579">
        <v>54106</v>
      </c>
      <c r="B25" s="580" t="s">
        <v>749</v>
      </c>
      <c r="C25" s="389"/>
      <c r="D25" s="389"/>
      <c r="E25" s="389"/>
      <c r="F25" s="389"/>
      <c r="G25" s="950"/>
      <c r="H25" s="950"/>
      <c r="I25" s="950">
        <f>SUM('120- Libre disp, social'!H19)</f>
        <v>500</v>
      </c>
      <c r="J25" s="388">
        <f t="shared" si="0"/>
        <v>500</v>
      </c>
    </row>
    <row r="26" spans="1:12" ht="24" customHeight="1">
      <c r="A26" s="579">
        <v>54107</v>
      </c>
      <c r="B26" s="580" t="s">
        <v>136</v>
      </c>
      <c r="C26" s="389"/>
      <c r="D26" s="389"/>
      <c r="E26" s="389"/>
      <c r="F26" s="389">
        <f>SUM('FONDOS PROPIOS'!H52)</f>
        <v>800</v>
      </c>
      <c r="G26" s="950">
        <f>SUM('120 libre Administ.'!H19)</f>
        <v>700</v>
      </c>
      <c r="H26" s="950"/>
      <c r="I26" s="950">
        <f>SUM('120- Libre disp, social'!H20)</f>
        <v>2950</v>
      </c>
      <c r="J26" s="388">
        <f t="shared" si="0"/>
        <v>4450</v>
      </c>
    </row>
    <row r="27" spans="1:12" ht="24" hidden="1" customHeight="1">
      <c r="A27" s="579">
        <v>54108</v>
      </c>
      <c r="B27" s="580" t="s">
        <v>137</v>
      </c>
      <c r="C27" s="389"/>
      <c r="D27" s="389"/>
      <c r="E27" s="389"/>
      <c r="F27" s="389"/>
      <c r="G27" s="950"/>
      <c r="H27" s="950"/>
      <c r="I27" s="950"/>
      <c r="J27" s="388">
        <f t="shared" si="0"/>
        <v>0</v>
      </c>
    </row>
    <row r="28" spans="1:12" ht="24" customHeight="1">
      <c r="A28" s="579">
        <v>54109</v>
      </c>
      <c r="B28" s="580" t="s">
        <v>138</v>
      </c>
      <c r="C28" s="389"/>
      <c r="D28" s="389"/>
      <c r="E28" s="389"/>
      <c r="F28" s="389"/>
      <c r="G28" s="950">
        <f>SUM('120 libre Administ.'!H20)</f>
        <v>4500</v>
      </c>
      <c r="H28" s="950"/>
      <c r="I28" s="950">
        <f>SUM('120- Libre disp, social'!H21)</f>
        <v>1000</v>
      </c>
      <c r="J28" s="388">
        <f t="shared" si="0"/>
        <v>5500</v>
      </c>
    </row>
    <row r="29" spans="1:12" ht="24" customHeight="1">
      <c r="A29" s="579">
        <v>54110</v>
      </c>
      <c r="B29" s="582" t="s">
        <v>139</v>
      </c>
      <c r="C29" s="389">
        <f>SUM('FONDOS PROPIOS'!H17)</f>
        <v>0</v>
      </c>
      <c r="D29" s="389"/>
      <c r="E29" s="389"/>
      <c r="F29" s="389"/>
      <c r="G29" s="950">
        <f>SUM('120 libre Administ.'!H21)</f>
        <v>7000</v>
      </c>
      <c r="H29" s="950"/>
      <c r="I29" s="950">
        <f>'120- Libre disp, social'!H22</f>
        <v>5000</v>
      </c>
      <c r="J29" s="388">
        <f t="shared" si="0"/>
        <v>12000</v>
      </c>
    </row>
    <row r="30" spans="1:12" ht="24" customHeight="1">
      <c r="A30" s="579">
        <v>54111</v>
      </c>
      <c r="B30" s="580" t="s">
        <v>426</v>
      </c>
      <c r="C30" s="389"/>
      <c r="D30" s="389"/>
      <c r="E30" s="389"/>
      <c r="F30" s="389">
        <f>SUM('FONDOS PROPIOS'!H53)</f>
        <v>650</v>
      </c>
      <c r="G30" s="950"/>
      <c r="H30" s="950"/>
      <c r="I30" s="950">
        <f>'120- Libre disp, social'!H23</f>
        <v>34644</v>
      </c>
      <c r="J30" s="388">
        <f t="shared" si="0"/>
        <v>35294</v>
      </c>
    </row>
    <row r="31" spans="1:12" ht="24" customHeight="1">
      <c r="A31" s="579">
        <v>54112</v>
      </c>
      <c r="B31" s="580" t="s">
        <v>141</v>
      </c>
      <c r="C31" s="389"/>
      <c r="D31" s="389"/>
      <c r="E31" s="389"/>
      <c r="F31" s="389">
        <f>SUM('FONDOS PROPIOS'!H54)</f>
        <v>800</v>
      </c>
      <c r="G31" s="950"/>
      <c r="H31" s="950"/>
      <c r="I31" s="950">
        <f>'120- Libre disp, social'!H24</f>
        <v>15800</v>
      </c>
      <c r="J31" s="388">
        <f t="shared" si="0"/>
        <v>16600</v>
      </c>
    </row>
    <row r="32" spans="1:12" ht="24" customHeight="1">
      <c r="A32" s="579">
        <v>54114</v>
      </c>
      <c r="B32" s="580" t="s">
        <v>142</v>
      </c>
      <c r="C32" s="389"/>
      <c r="D32" s="389"/>
      <c r="E32" s="389"/>
      <c r="F32" s="389"/>
      <c r="G32" s="950">
        <f>SUM('120 libre Administ.'!H22)</f>
        <v>900</v>
      </c>
      <c r="H32" s="950"/>
      <c r="I32" s="950">
        <f>SUM('120- Libre disp, social'!H25)</f>
        <v>250</v>
      </c>
      <c r="J32" s="388">
        <f t="shared" si="0"/>
        <v>1150</v>
      </c>
      <c r="L32" t="s">
        <v>429</v>
      </c>
    </row>
    <row r="33" spans="1:12" ht="24" customHeight="1">
      <c r="A33" s="579">
        <v>54115</v>
      </c>
      <c r="B33" s="580" t="s">
        <v>143</v>
      </c>
      <c r="C33" s="389"/>
      <c r="D33" s="389"/>
      <c r="E33" s="389"/>
      <c r="F33" s="389"/>
      <c r="G33" s="950">
        <f>SUM('120 libre Administ.'!H23)</f>
        <v>555</v>
      </c>
      <c r="H33" s="950"/>
      <c r="I33" s="950">
        <f>SUM('120- Libre disp, social'!H26)</f>
        <v>318.5</v>
      </c>
      <c r="J33" s="388">
        <f t="shared" si="0"/>
        <v>873.5</v>
      </c>
    </row>
    <row r="34" spans="1:12" ht="24" customHeight="1">
      <c r="A34" s="579">
        <v>54117</v>
      </c>
      <c r="B34" s="580" t="s">
        <v>144</v>
      </c>
      <c r="C34" s="389"/>
      <c r="D34" s="389"/>
      <c r="E34" s="389"/>
      <c r="F34" s="389"/>
      <c r="G34" s="950"/>
      <c r="H34" s="950"/>
      <c r="I34" s="950">
        <f>SUM('120- Libre disp, social'!H27)</f>
        <v>3240.7</v>
      </c>
      <c r="J34" s="388">
        <f t="shared" si="0"/>
        <v>3240.7</v>
      </c>
    </row>
    <row r="35" spans="1:12" ht="24" customHeight="1">
      <c r="A35" s="579">
        <v>54118</v>
      </c>
      <c r="B35" s="580" t="s">
        <v>145</v>
      </c>
      <c r="C35" s="389"/>
      <c r="D35" s="389"/>
      <c r="E35" s="389"/>
      <c r="F35" s="389">
        <f>SUM('FONDOS PROPIOS'!H55)</f>
        <v>0</v>
      </c>
      <c r="G35" s="950">
        <f>SUM('120 libre Administ.'!H24)</f>
        <v>1300</v>
      </c>
      <c r="H35" s="950"/>
      <c r="I35" s="950">
        <f>SUM('120- Libre disp, social'!H28)</f>
        <v>13250</v>
      </c>
      <c r="J35" s="388">
        <f t="shared" si="0"/>
        <v>14550</v>
      </c>
    </row>
    <row r="36" spans="1:12" ht="24" customHeight="1">
      <c r="A36" s="579">
        <v>54119</v>
      </c>
      <c r="B36" s="580" t="s">
        <v>146</v>
      </c>
      <c r="C36" s="389"/>
      <c r="D36" s="389"/>
      <c r="E36" s="389"/>
      <c r="F36" s="389">
        <f>SUM('FONDOS PROPIOS'!H56)</f>
        <v>1000</v>
      </c>
      <c r="G36" s="950">
        <f>SUM('120 libre Administ.'!H25)</f>
        <v>900</v>
      </c>
      <c r="H36" s="950"/>
      <c r="I36" s="950">
        <f>SUM('120- Libre disp, social'!H29)</f>
        <v>14050</v>
      </c>
      <c r="J36" s="388">
        <f t="shared" si="0"/>
        <v>15950</v>
      </c>
    </row>
    <row r="37" spans="1:12" ht="24" customHeight="1">
      <c r="A37" s="579">
        <v>54121</v>
      </c>
      <c r="B37" s="580" t="s">
        <v>147</v>
      </c>
      <c r="C37" s="389"/>
      <c r="D37" s="389"/>
      <c r="E37" s="389"/>
      <c r="F37" s="389"/>
      <c r="G37" s="950">
        <f>SUM('120 libre Administ.'!H26)</f>
        <v>2000</v>
      </c>
      <c r="H37" s="950"/>
      <c r="I37" s="950"/>
      <c r="J37" s="388">
        <f t="shared" si="0"/>
        <v>2000</v>
      </c>
    </row>
    <row r="38" spans="1:12" ht="24" customHeight="1">
      <c r="A38" s="579">
        <v>54199</v>
      </c>
      <c r="B38" s="580" t="s">
        <v>395</v>
      </c>
      <c r="C38" s="389">
        <f>SUM('FONDOS PROPIOS'!H18)</f>
        <v>1000</v>
      </c>
      <c r="D38" s="389"/>
      <c r="E38" s="389"/>
      <c r="F38" s="389">
        <f>SUM('FONDOS PROPIOS'!H57)</f>
        <v>0</v>
      </c>
      <c r="G38" s="950">
        <f>SUM('120 libre Administ.'!H27)</f>
        <v>1000</v>
      </c>
      <c r="H38" s="950"/>
      <c r="I38" s="950">
        <f>'120- Libre disp, social'!H30</f>
        <v>12079</v>
      </c>
      <c r="J38" s="388">
        <f t="shared" si="0"/>
        <v>14079</v>
      </c>
    </row>
    <row r="39" spans="1:12" ht="24" customHeight="1">
      <c r="A39" s="579">
        <v>54201</v>
      </c>
      <c r="B39" s="580" t="s">
        <v>149</v>
      </c>
      <c r="C39" s="389">
        <f>SUM('FONDOS PROPIOS'!H19)</f>
        <v>0</v>
      </c>
      <c r="D39" s="389"/>
      <c r="E39" s="389"/>
      <c r="F39" s="389">
        <f>SUM('FONDOS PROPIOS'!H58)</f>
        <v>1000</v>
      </c>
      <c r="G39" s="950">
        <f>SUM('120 libre Administ.'!H28)</f>
        <v>4500</v>
      </c>
      <c r="H39" s="950"/>
      <c r="I39" s="950">
        <f>SUM('120- Libre disp, social'!H31)</f>
        <v>790</v>
      </c>
      <c r="J39" s="388">
        <f t="shared" si="0"/>
        <v>6290</v>
      </c>
    </row>
    <row r="40" spans="1:12" ht="24" customHeight="1">
      <c r="A40" s="579">
        <v>54202</v>
      </c>
      <c r="B40" s="580" t="s">
        <v>150</v>
      </c>
      <c r="C40" s="389">
        <f>SUM('FONDOS PROPIOS'!H20)</f>
        <v>0</v>
      </c>
      <c r="D40" s="389"/>
      <c r="E40" s="389"/>
      <c r="F40" s="389">
        <f>SUM('FONDOS PROPIOS'!H59)</f>
        <v>300</v>
      </c>
      <c r="G40" s="950">
        <f>SUM('120 libre Administ.'!H29)</f>
        <v>2900</v>
      </c>
      <c r="H40" s="950"/>
      <c r="I40" s="950">
        <f>SUM('120- Libre disp, social'!H32)</f>
        <v>2530</v>
      </c>
      <c r="J40" s="388">
        <f t="shared" si="0"/>
        <v>5730</v>
      </c>
    </row>
    <row r="41" spans="1:12" ht="24" customHeight="1">
      <c r="A41" s="579">
        <v>54203</v>
      </c>
      <c r="B41" s="580" t="s">
        <v>151</v>
      </c>
      <c r="C41" s="389">
        <f>SUM('FONDOS PROPIOS'!H21)</f>
        <v>0</v>
      </c>
      <c r="D41" s="389"/>
      <c r="E41" s="389"/>
      <c r="F41" s="389"/>
      <c r="G41" s="950">
        <f>SUM('120 libre Administ.'!H30)</f>
        <v>5500</v>
      </c>
      <c r="H41" s="950"/>
      <c r="I41" s="950">
        <f>SUM('120- Libre disp, social'!H33)</f>
        <v>200</v>
      </c>
      <c r="J41" s="388">
        <f t="shared" si="0"/>
        <v>5700</v>
      </c>
    </row>
    <row r="42" spans="1:12" ht="24" hidden="1" customHeight="1">
      <c r="A42" s="579">
        <v>54204</v>
      </c>
      <c r="B42" s="580" t="s">
        <v>152</v>
      </c>
      <c r="C42" s="389"/>
      <c r="D42" s="389"/>
      <c r="E42" s="389"/>
      <c r="F42" s="389"/>
      <c r="G42" s="950"/>
      <c r="H42" s="950"/>
      <c r="I42" s="950"/>
      <c r="J42" s="388">
        <f t="shared" si="0"/>
        <v>0</v>
      </c>
      <c r="L42" s="221"/>
    </row>
    <row r="43" spans="1:12" ht="24" customHeight="1">
      <c r="A43" s="579">
        <v>54205</v>
      </c>
      <c r="B43" s="580" t="s">
        <v>153</v>
      </c>
      <c r="C43" s="389"/>
      <c r="D43" s="389"/>
      <c r="E43" s="389"/>
      <c r="F43" s="389"/>
      <c r="G43" s="950"/>
      <c r="H43" s="950"/>
      <c r="I43" s="950">
        <f>'120- Libre disp, social'!H34</f>
        <v>70000</v>
      </c>
      <c r="J43" s="388">
        <f t="shared" si="0"/>
        <v>70000</v>
      </c>
    </row>
    <row r="44" spans="1:12" ht="24" customHeight="1">
      <c r="A44" s="579">
        <v>54301</v>
      </c>
      <c r="B44" s="580" t="s">
        <v>154</v>
      </c>
      <c r="C44" s="389">
        <f>SUM('FONDOS PROPIOS'!H22)</f>
        <v>300</v>
      </c>
      <c r="D44" s="389"/>
      <c r="E44" s="389"/>
      <c r="F44" s="389"/>
      <c r="G44" s="950">
        <f>SUM('120 libre Administ.'!H31)</f>
        <v>1500</v>
      </c>
      <c r="H44" s="950"/>
      <c r="I44" s="950"/>
      <c r="J44" s="388">
        <f t="shared" si="0"/>
        <v>1800</v>
      </c>
    </row>
    <row r="45" spans="1:12" ht="24" customHeight="1">
      <c r="A45" s="579">
        <v>54302</v>
      </c>
      <c r="B45" s="580" t="s">
        <v>155</v>
      </c>
      <c r="C45" s="389">
        <f>SUM('FONDOS PROPIOS'!H23)</f>
        <v>0</v>
      </c>
      <c r="D45" s="389"/>
      <c r="E45" s="389"/>
      <c r="F45" s="389"/>
      <c r="G45" s="950">
        <f>SUM('120 libre Administ.'!H32)</f>
        <v>7000</v>
      </c>
      <c r="H45" s="950"/>
      <c r="I45" s="950">
        <f>'120- Libre disp, social'!H35</f>
        <v>2500</v>
      </c>
      <c r="J45" s="388">
        <f t="shared" si="0"/>
        <v>9500</v>
      </c>
    </row>
    <row r="46" spans="1:12" ht="24" customHeight="1">
      <c r="A46" s="579">
        <v>54303</v>
      </c>
      <c r="B46" s="580" t="s">
        <v>156</v>
      </c>
      <c r="C46" s="389"/>
      <c r="D46" s="389"/>
      <c r="E46" s="389"/>
      <c r="F46" s="389">
        <f>SUM('FONDOS PROPIOS'!H60)</f>
        <v>1000</v>
      </c>
      <c r="G46" s="950">
        <f>SUM('120 libre Administ.'!H33)</f>
        <v>1000</v>
      </c>
      <c r="H46" s="950"/>
      <c r="I46" s="950">
        <f>'120- Libre disp, social'!H36</f>
        <v>6000</v>
      </c>
      <c r="J46" s="388">
        <f t="shared" si="0"/>
        <v>8000</v>
      </c>
    </row>
    <row r="47" spans="1:12" ht="24" customHeight="1">
      <c r="A47" s="579">
        <v>54304</v>
      </c>
      <c r="B47" s="582" t="s">
        <v>157</v>
      </c>
      <c r="C47" s="389">
        <f>SUM('FONDOS PROPIOS'!H24)</f>
        <v>1000</v>
      </c>
      <c r="D47" s="389"/>
      <c r="E47" s="389"/>
      <c r="F47" s="389"/>
      <c r="G47" s="950">
        <f>SUM('120 libre Administ.'!H34)</f>
        <v>1500</v>
      </c>
      <c r="H47" s="950"/>
      <c r="I47" s="950">
        <f>'120- Libre disp, social'!H37</f>
        <v>12300</v>
      </c>
      <c r="J47" s="388">
        <f t="shared" si="0"/>
        <v>14800</v>
      </c>
    </row>
    <row r="48" spans="1:12" ht="24" customHeight="1">
      <c r="A48" s="579">
        <v>54305</v>
      </c>
      <c r="B48" s="580" t="s">
        <v>158</v>
      </c>
      <c r="C48" s="389"/>
      <c r="D48" s="389"/>
      <c r="E48" s="389"/>
      <c r="F48" s="389"/>
      <c r="G48" s="950">
        <f>SUM('120 libre Administ.'!H35)</f>
        <v>900</v>
      </c>
      <c r="H48" s="950"/>
      <c r="I48" s="950">
        <f>'120- Libre disp, social'!H38</f>
        <v>10000</v>
      </c>
      <c r="J48" s="388">
        <f t="shared" si="0"/>
        <v>10900</v>
      </c>
    </row>
    <row r="49" spans="1:10" ht="24" customHeight="1">
      <c r="A49" s="579">
        <v>54313</v>
      </c>
      <c r="B49" s="580" t="s">
        <v>159</v>
      </c>
      <c r="C49" s="389"/>
      <c r="D49" s="389"/>
      <c r="E49" s="389"/>
      <c r="F49" s="389"/>
      <c r="G49" s="950">
        <f>SUM('120 libre Administ.'!H36)</f>
        <v>800</v>
      </c>
      <c r="H49" s="950"/>
      <c r="I49" s="950">
        <f>'120- Libre disp, social'!H39</f>
        <v>3500</v>
      </c>
      <c r="J49" s="388">
        <f t="shared" si="0"/>
        <v>4300</v>
      </c>
    </row>
    <row r="50" spans="1:10" ht="24" customHeight="1">
      <c r="A50" s="579">
        <v>54314</v>
      </c>
      <c r="B50" s="580" t="s">
        <v>160</v>
      </c>
      <c r="C50" s="389">
        <f>SUM('FONDOS PROPIOS'!H25)</f>
        <v>1000</v>
      </c>
      <c r="D50" s="389"/>
      <c r="E50" s="389"/>
      <c r="F50" s="389"/>
      <c r="G50" s="950">
        <f>SUM('120 libre Administ.'!H37)</f>
        <v>350</v>
      </c>
      <c r="H50" s="950"/>
      <c r="I50" s="950"/>
      <c r="J50" s="388">
        <f t="shared" si="0"/>
        <v>1350</v>
      </c>
    </row>
    <row r="51" spans="1:10" ht="24" customHeight="1">
      <c r="A51" s="579">
        <v>54316</v>
      </c>
      <c r="B51" s="582" t="s">
        <v>161</v>
      </c>
      <c r="C51" s="389">
        <f>SUM('FONDOS PROPIOS'!H26)</f>
        <v>0</v>
      </c>
      <c r="D51" s="389"/>
      <c r="E51" s="389"/>
      <c r="F51" s="389"/>
      <c r="G51" s="950"/>
      <c r="H51" s="950"/>
      <c r="I51" s="950">
        <f>'120- Libre disp, social'!H40</f>
        <v>9750</v>
      </c>
      <c r="J51" s="388">
        <f t="shared" si="0"/>
        <v>9750</v>
      </c>
    </row>
    <row r="52" spans="1:10" ht="24" customHeight="1">
      <c r="A52" s="579">
        <v>54317</v>
      </c>
      <c r="B52" s="582" t="s">
        <v>162</v>
      </c>
      <c r="C52" s="389"/>
      <c r="D52" s="389"/>
      <c r="E52" s="389"/>
      <c r="F52" s="389"/>
      <c r="G52" s="950"/>
      <c r="H52" s="950"/>
      <c r="I52" s="950">
        <f>'120- Libre disp, social'!H41</f>
        <v>6000</v>
      </c>
      <c r="J52" s="388">
        <f t="shared" si="0"/>
        <v>6000</v>
      </c>
    </row>
    <row r="53" spans="1:10" ht="24" customHeight="1">
      <c r="A53" s="579">
        <v>54399</v>
      </c>
      <c r="B53" s="580" t="s">
        <v>163</v>
      </c>
      <c r="C53" s="389">
        <f>SUM('FONDOS PROPIOS'!H27)</f>
        <v>0</v>
      </c>
      <c r="D53" s="389"/>
      <c r="E53" s="389"/>
      <c r="F53" s="389"/>
      <c r="G53" s="950"/>
      <c r="H53" s="950"/>
      <c r="I53" s="950">
        <f>SUM('120- Libre disp, social'!H42)</f>
        <v>33600</v>
      </c>
      <c r="J53" s="388">
        <f t="shared" si="0"/>
        <v>33600</v>
      </c>
    </row>
    <row r="54" spans="1:10" ht="24" customHeight="1">
      <c r="A54" s="579">
        <v>54401</v>
      </c>
      <c r="B54" s="580" t="s">
        <v>99</v>
      </c>
      <c r="C54" s="389"/>
      <c r="D54" s="389"/>
      <c r="E54" s="389"/>
      <c r="F54" s="389"/>
      <c r="G54" s="950">
        <f>SUM('120 libre Administ.'!H38)</f>
        <v>500</v>
      </c>
      <c r="H54" s="950"/>
      <c r="I54" s="950"/>
      <c r="J54" s="388">
        <f t="shared" si="0"/>
        <v>500</v>
      </c>
    </row>
    <row r="55" spans="1:10" ht="24" customHeight="1">
      <c r="A55" s="579">
        <v>54403</v>
      </c>
      <c r="B55" s="580" t="s">
        <v>100</v>
      </c>
      <c r="C55" s="389"/>
      <c r="D55" s="389"/>
      <c r="E55" s="389"/>
      <c r="F55" s="389"/>
      <c r="G55" s="950">
        <f>SUM('120 libre Administ.'!H39)</f>
        <v>350</v>
      </c>
      <c r="H55" s="950"/>
      <c r="I55" s="950">
        <f>SUM('120- Libre disp, social'!H43)</f>
        <v>4000</v>
      </c>
      <c r="J55" s="388">
        <f t="shared" si="0"/>
        <v>4350</v>
      </c>
    </row>
    <row r="56" spans="1:10" ht="24" hidden="1" customHeight="1">
      <c r="A56" s="579">
        <v>54404</v>
      </c>
      <c r="B56" s="580" t="s">
        <v>181</v>
      </c>
      <c r="C56" s="389"/>
      <c r="D56" s="389"/>
      <c r="E56" s="389"/>
      <c r="F56" s="389"/>
      <c r="G56" s="950"/>
      <c r="H56" s="950"/>
      <c r="I56" s="950"/>
      <c r="J56" s="388">
        <f t="shared" si="0"/>
        <v>0</v>
      </c>
    </row>
    <row r="57" spans="1:10" ht="24" customHeight="1">
      <c r="A57" s="579">
        <v>54503</v>
      </c>
      <c r="B57" s="580" t="s">
        <v>101</v>
      </c>
      <c r="C57" s="389"/>
      <c r="D57" s="389"/>
      <c r="E57" s="389"/>
      <c r="F57" s="389"/>
      <c r="G57" s="950">
        <f>SUM('120 libre Administ.'!H40)</f>
        <v>650</v>
      </c>
      <c r="H57" s="950"/>
      <c r="I57" s="950"/>
      <c r="J57" s="388">
        <f t="shared" si="0"/>
        <v>650</v>
      </c>
    </row>
    <row r="58" spans="1:10" ht="24" customHeight="1">
      <c r="A58" s="579">
        <v>54504</v>
      </c>
      <c r="B58" s="582" t="s">
        <v>173</v>
      </c>
      <c r="C58" s="389"/>
      <c r="D58" s="389"/>
      <c r="E58" s="389"/>
      <c r="F58" s="389"/>
      <c r="G58" s="950">
        <f>SUM('120 libre Administ.'!H41)</f>
        <v>300</v>
      </c>
      <c r="H58" s="950"/>
      <c r="I58" s="950"/>
      <c r="J58" s="388">
        <f t="shared" si="0"/>
        <v>300</v>
      </c>
    </row>
    <row r="59" spans="1:10" ht="24" customHeight="1">
      <c r="A59" s="579">
        <v>54505</v>
      </c>
      <c r="B59" s="580" t="s">
        <v>422</v>
      </c>
      <c r="C59" s="389"/>
      <c r="D59" s="389"/>
      <c r="E59" s="389"/>
      <c r="F59" s="389"/>
      <c r="G59" s="950">
        <f>SUM('120 libre Administ.'!H42)</f>
        <v>500</v>
      </c>
      <c r="H59" s="950"/>
      <c r="I59" s="950">
        <f>SUM('120- Libre disp, social'!H44)</f>
        <v>4150</v>
      </c>
      <c r="J59" s="388">
        <f t="shared" si="0"/>
        <v>4650</v>
      </c>
    </row>
    <row r="60" spans="1:10" ht="24" customHeight="1">
      <c r="A60" s="579">
        <v>54507</v>
      </c>
      <c r="B60" s="580" t="s">
        <v>405</v>
      </c>
      <c r="C60" s="389"/>
      <c r="D60" s="389"/>
      <c r="E60" s="389"/>
      <c r="F60" s="389"/>
      <c r="G60" s="950">
        <f>SUM('120 libre Administ.'!H43)</f>
        <v>1000</v>
      </c>
      <c r="H60" s="950"/>
      <c r="I60" s="950"/>
      <c r="J60" s="388">
        <f t="shared" si="0"/>
        <v>1000</v>
      </c>
    </row>
    <row r="61" spans="1:10" ht="24" customHeight="1">
      <c r="A61" s="579">
        <v>54599</v>
      </c>
      <c r="B61" s="580" t="s">
        <v>102</v>
      </c>
      <c r="C61" s="389">
        <f>SUM('FONDOS PROPIOS'!H28)</f>
        <v>0</v>
      </c>
      <c r="D61" s="389"/>
      <c r="E61" s="389"/>
      <c r="F61" s="389"/>
      <c r="G61" s="950"/>
      <c r="H61" s="950"/>
      <c r="I61" s="950">
        <f>'120- Libre disp, social'!H45</f>
        <v>30000</v>
      </c>
      <c r="J61" s="388">
        <f t="shared" si="0"/>
        <v>30000</v>
      </c>
    </row>
    <row r="62" spans="1:10" ht="24" hidden="1" customHeight="1">
      <c r="A62" s="579">
        <v>54601</v>
      </c>
      <c r="B62" s="580" t="s">
        <v>990</v>
      </c>
      <c r="C62" s="389"/>
      <c r="D62" s="389"/>
      <c r="E62" s="389"/>
      <c r="F62" s="389"/>
      <c r="G62" s="950"/>
      <c r="H62" s="950"/>
      <c r="I62" s="950"/>
      <c r="J62" s="388">
        <f t="shared" si="0"/>
        <v>0</v>
      </c>
    </row>
    <row r="63" spans="1:10" ht="24" hidden="1" customHeight="1">
      <c r="A63" s="579">
        <v>54602</v>
      </c>
      <c r="B63" s="580" t="s">
        <v>104</v>
      </c>
      <c r="C63" s="389"/>
      <c r="D63" s="389"/>
      <c r="E63" s="389"/>
      <c r="F63" s="389"/>
      <c r="G63" s="950"/>
      <c r="H63" s="950"/>
      <c r="I63" s="950"/>
      <c r="J63" s="388">
        <f t="shared" si="0"/>
        <v>0</v>
      </c>
    </row>
    <row r="64" spans="1:10" ht="24" hidden="1" customHeight="1">
      <c r="A64" s="579">
        <v>54603</v>
      </c>
      <c r="B64" s="580" t="s">
        <v>105</v>
      </c>
      <c r="C64" s="389"/>
      <c r="D64" s="389"/>
      <c r="E64" s="389"/>
      <c r="F64" s="389"/>
      <c r="G64" s="950"/>
      <c r="H64" s="950"/>
      <c r="I64" s="950"/>
      <c r="J64" s="388">
        <f t="shared" si="0"/>
        <v>0</v>
      </c>
    </row>
    <row r="65" spans="1:11" ht="24" hidden="1" customHeight="1">
      <c r="A65" s="579">
        <v>54699</v>
      </c>
      <c r="B65" s="580" t="s">
        <v>106</v>
      </c>
      <c r="C65" s="389"/>
      <c r="D65" s="389"/>
      <c r="E65" s="389"/>
      <c r="F65" s="389"/>
      <c r="G65" s="950"/>
      <c r="H65" s="950"/>
      <c r="I65" s="950"/>
      <c r="J65" s="388">
        <f t="shared" si="0"/>
        <v>0</v>
      </c>
      <c r="K65" s="48">
        <f>SUM(J21:J65)</f>
        <v>385457.2</v>
      </c>
    </row>
    <row r="66" spans="1:11" ht="24" hidden="1" customHeight="1">
      <c r="A66" s="579">
        <v>55302</v>
      </c>
      <c r="B66" s="582" t="s">
        <v>107</v>
      </c>
      <c r="C66" s="389"/>
      <c r="D66" s="389"/>
      <c r="E66" s="389"/>
      <c r="F66" s="389"/>
      <c r="G66" s="950"/>
      <c r="H66" s="950"/>
      <c r="I66" s="950"/>
      <c r="J66" s="388">
        <f t="shared" si="0"/>
        <v>0</v>
      </c>
    </row>
    <row r="67" spans="1:11" ht="24" hidden="1" customHeight="1">
      <c r="A67" s="579">
        <v>55304</v>
      </c>
      <c r="B67" s="582" t="s">
        <v>184</v>
      </c>
      <c r="C67" s="389"/>
      <c r="D67" s="389"/>
      <c r="E67" s="389"/>
      <c r="F67" s="389"/>
      <c r="G67" s="950"/>
      <c r="H67" s="950"/>
      <c r="I67" s="950"/>
      <c r="J67" s="388">
        <f t="shared" si="0"/>
        <v>0</v>
      </c>
    </row>
    <row r="68" spans="1:11" ht="24" customHeight="1">
      <c r="A68" s="579">
        <v>55599</v>
      </c>
      <c r="B68" s="582" t="s">
        <v>650</v>
      </c>
      <c r="C68" s="389"/>
      <c r="D68" s="389"/>
      <c r="E68" s="389"/>
      <c r="F68" s="389"/>
      <c r="G68" s="950">
        <f>SUM('120 libre Administ.'!H44)</f>
        <v>200</v>
      </c>
      <c r="H68" s="950"/>
      <c r="I68" s="950"/>
      <c r="J68" s="388">
        <f t="shared" si="0"/>
        <v>200</v>
      </c>
    </row>
    <row r="69" spans="1:11" ht="24" hidden="1" customHeight="1">
      <c r="A69" s="579">
        <v>55601</v>
      </c>
      <c r="B69" s="580" t="s">
        <v>182</v>
      </c>
      <c r="C69" s="389"/>
      <c r="D69" s="389"/>
      <c r="E69" s="389"/>
      <c r="F69" s="389"/>
      <c r="G69" s="950"/>
      <c r="H69" s="950"/>
      <c r="I69" s="950"/>
      <c r="J69" s="388">
        <f t="shared" si="0"/>
        <v>0</v>
      </c>
    </row>
    <row r="70" spans="1:11" ht="24" hidden="1" customHeight="1">
      <c r="A70" s="579">
        <v>55602</v>
      </c>
      <c r="B70" s="580" t="s">
        <v>108</v>
      </c>
      <c r="C70" s="389"/>
      <c r="D70" s="389"/>
      <c r="E70" s="389"/>
      <c r="F70" s="389"/>
      <c r="G70" s="950"/>
      <c r="H70" s="950"/>
      <c r="I70" s="950"/>
      <c r="J70" s="388">
        <f t="shared" si="0"/>
        <v>0</v>
      </c>
    </row>
    <row r="71" spans="1:11" ht="24" customHeight="1">
      <c r="A71" s="579">
        <v>55603</v>
      </c>
      <c r="B71" s="580" t="s">
        <v>109</v>
      </c>
      <c r="C71" s="389"/>
      <c r="D71" s="389"/>
      <c r="E71" s="389"/>
      <c r="F71" s="389"/>
      <c r="G71" s="950">
        <f>SUM('120 libre Administ.'!H45)</f>
        <v>450</v>
      </c>
      <c r="H71" s="950"/>
      <c r="I71" s="950"/>
      <c r="J71" s="388">
        <f t="shared" si="0"/>
        <v>450</v>
      </c>
    </row>
    <row r="72" spans="1:11" ht="24" hidden="1" customHeight="1">
      <c r="A72" s="579">
        <v>55799</v>
      </c>
      <c r="B72" s="580" t="s">
        <v>110</v>
      </c>
      <c r="C72" s="389"/>
      <c r="D72" s="389"/>
      <c r="E72" s="389"/>
      <c r="F72" s="389"/>
      <c r="G72" s="950"/>
      <c r="H72" s="950"/>
      <c r="I72" s="950"/>
      <c r="J72" s="388">
        <f t="shared" si="0"/>
        <v>0</v>
      </c>
      <c r="K72" s="48">
        <f>SUM(J66:J72)</f>
        <v>650</v>
      </c>
    </row>
    <row r="73" spans="1:11" ht="24" customHeight="1">
      <c r="A73" s="579">
        <v>56201</v>
      </c>
      <c r="B73" s="582" t="s">
        <v>112</v>
      </c>
      <c r="C73" s="389">
        <f>SUM('Concen. de  Recursos Huma'!C29)</f>
        <v>0</v>
      </c>
      <c r="D73" s="389"/>
      <c r="E73" s="389"/>
      <c r="F73" s="389"/>
      <c r="G73" s="950">
        <f>SUM('120 libre Administ.'!H46)</f>
        <v>5400</v>
      </c>
      <c r="H73" s="950"/>
      <c r="I73" s="950"/>
      <c r="J73" s="388">
        <f t="shared" si="0"/>
        <v>5400</v>
      </c>
    </row>
    <row r="74" spans="1:11" ht="24" hidden="1" customHeight="1">
      <c r="A74" s="579">
        <v>56303</v>
      </c>
      <c r="B74" s="580" t="s">
        <v>113</v>
      </c>
      <c r="C74" s="389"/>
      <c r="D74" s="389"/>
      <c r="E74" s="389"/>
      <c r="F74" s="389"/>
      <c r="G74" s="950"/>
      <c r="H74" s="950"/>
      <c r="I74" s="950"/>
      <c r="J74" s="388">
        <f t="shared" ref="J74:J96" si="1">+SUM(C74:I74)</f>
        <v>0</v>
      </c>
    </row>
    <row r="75" spans="1:11" ht="24" customHeight="1">
      <c r="A75" s="579">
        <v>56304</v>
      </c>
      <c r="B75" s="580" t="s">
        <v>114</v>
      </c>
      <c r="C75" s="389">
        <f>SUM('FONDOS PROPIOS'!H30)</f>
        <v>34903.9</v>
      </c>
      <c r="D75" s="389"/>
      <c r="E75" s="389"/>
      <c r="F75" s="389"/>
      <c r="G75" s="950">
        <f>SUM('120 libre Administ.'!H47)</f>
        <v>9703</v>
      </c>
      <c r="H75" s="950">
        <f>'Saldos de ctas. Bancarias'!C66</f>
        <v>174346.37</v>
      </c>
      <c r="I75" s="950">
        <f>SUM('120- Libre disp, social'!H46)</f>
        <v>116196.48</v>
      </c>
      <c r="J75" s="388">
        <f t="shared" si="1"/>
        <v>335149.75</v>
      </c>
    </row>
    <row r="76" spans="1:11" ht="24" customHeight="1">
      <c r="A76" s="579">
        <v>56305</v>
      </c>
      <c r="B76" s="580" t="s">
        <v>115</v>
      </c>
      <c r="C76" s="389"/>
      <c r="D76" s="389"/>
      <c r="E76" s="389"/>
      <c r="F76" s="389"/>
      <c r="G76" s="950"/>
      <c r="H76" s="950"/>
      <c r="I76" s="950">
        <f>SUM('120- Libre disp, social'!H47)</f>
        <v>90000</v>
      </c>
      <c r="J76" s="388">
        <f t="shared" si="1"/>
        <v>90000</v>
      </c>
      <c r="K76" s="48">
        <f>SUM(J73:J76)</f>
        <v>430549.75</v>
      </c>
    </row>
    <row r="77" spans="1:11" ht="24" customHeight="1">
      <c r="A77" s="579">
        <v>61101</v>
      </c>
      <c r="B77" s="580" t="s">
        <v>183</v>
      </c>
      <c r="C77" s="389"/>
      <c r="D77" s="389"/>
      <c r="E77" s="389"/>
      <c r="F77" s="389"/>
      <c r="G77" s="950">
        <f>SUM('120 libre Administ.'!H48)</f>
        <v>1000</v>
      </c>
      <c r="H77" s="950"/>
      <c r="I77" s="950"/>
      <c r="J77" s="388">
        <f t="shared" si="1"/>
        <v>1000</v>
      </c>
    </row>
    <row r="78" spans="1:11" ht="24" customHeight="1">
      <c r="A78" s="579">
        <v>61102</v>
      </c>
      <c r="B78" s="580" t="s">
        <v>167</v>
      </c>
      <c r="C78" s="389"/>
      <c r="D78" s="389"/>
      <c r="E78" s="389"/>
      <c r="F78" s="389"/>
      <c r="G78" s="950">
        <f>SUM('120 libre Administ.'!H49)</f>
        <v>900</v>
      </c>
      <c r="H78" s="950"/>
      <c r="I78" s="950"/>
      <c r="J78" s="388">
        <f t="shared" si="1"/>
        <v>900</v>
      </c>
    </row>
    <row r="79" spans="1:11" ht="24" customHeight="1">
      <c r="A79" s="576" t="s">
        <v>116</v>
      </c>
      <c r="B79" s="577" t="s">
        <v>117</v>
      </c>
      <c r="C79" s="389"/>
      <c r="D79" s="389"/>
      <c r="E79" s="389"/>
      <c r="F79" s="389"/>
      <c r="G79" s="950">
        <f>SUM('120 libre Administ.'!H50)</f>
        <v>5000</v>
      </c>
      <c r="H79" s="950"/>
      <c r="I79" s="950">
        <f>SUM('120- Libre disp, social'!H48)</f>
        <v>200</v>
      </c>
      <c r="J79" s="388">
        <f t="shared" si="1"/>
        <v>5200</v>
      </c>
    </row>
    <row r="80" spans="1:11" ht="24" customHeight="1">
      <c r="A80" s="576" t="s">
        <v>883</v>
      </c>
      <c r="B80" s="577" t="s">
        <v>878</v>
      </c>
      <c r="C80" s="389"/>
      <c r="D80" s="389"/>
      <c r="E80" s="389"/>
      <c r="F80" s="389"/>
      <c r="G80" s="950"/>
      <c r="H80" s="950"/>
      <c r="I80" s="950">
        <v>3000</v>
      </c>
      <c r="J80" s="388">
        <f t="shared" si="1"/>
        <v>3000</v>
      </c>
    </row>
    <row r="81" spans="1:12" ht="24" hidden="1" customHeight="1">
      <c r="A81" s="576" t="s">
        <v>424</v>
      </c>
      <c r="B81" s="577" t="s">
        <v>425</v>
      </c>
      <c r="C81" s="389"/>
      <c r="D81" s="389"/>
      <c r="E81" s="389"/>
      <c r="F81" s="389"/>
      <c r="G81" s="950"/>
      <c r="H81" s="950"/>
      <c r="I81" s="388"/>
      <c r="J81" s="388">
        <f t="shared" si="1"/>
        <v>0</v>
      </c>
    </row>
    <row r="82" spans="1:12" ht="24" customHeight="1">
      <c r="A82" s="576" t="s">
        <v>118</v>
      </c>
      <c r="B82" s="577" t="s">
        <v>119</v>
      </c>
      <c r="C82" s="389"/>
      <c r="D82" s="389"/>
      <c r="E82" s="389"/>
      <c r="F82" s="389"/>
      <c r="G82" s="950">
        <f>SUM('120 libre Administ.'!H51)</f>
        <v>900</v>
      </c>
      <c r="H82" s="950"/>
      <c r="I82" s="388"/>
      <c r="J82" s="388">
        <f t="shared" si="1"/>
        <v>900</v>
      </c>
    </row>
    <row r="83" spans="1:12" ht="24" customHeight="1">
      <c r="A83" s="576" t="s">
        <v>120</v>
      </c>
      <c r="B83" s="577" t="s">
        <v>121</v>
      </c>
      <c r="C83" s="389"/>
      <c r="D83" s="389"/>
      <c r="E83" s="389"/>
      <c r="F83" s="389"/>
      <c r="G83" s="388"/>
      <c r="H83" s="388"/>
      <c r="I83" s="950">
        <f>'120- Libre disp, social'!H51</f>
        <v>125000</v>
      </c>
      <c r="J83" s="388">
        <f t="shared" si="1"/>
        <v>125000</v>
      </c>
    </row>
    <row r="84" spans="1:12" ht="24" customHeight="1">
      <c r="A84" s="576" t="s">
        <v>122</v>
      </c>
      <c r="B84" s="577" t="s">
        <v>123</v>
      </c>
      <c r="C84" s="389"/>
      <c r="D84" s="389"/>
      <c r="E84" s="389"/>
      <c r="F84" s="389"/>
      <c r="G84" s="388"/>
      <c r="H84" s="388"/>
      <c r="I84" s="950">
        <f>'120- Libre disp, social'!H52</f>
        <v>14000</v>
      </c>
      <c r="J84" s="388">
        <f t="shared" si="1"/>
        <v>14000</v>
      </c>
    </row>
    <row r="85" spans="1:12" ht="24" hidden="1" customHeight="1">
      <c r="A85" s="579">
        <v>61599</v>
      </c>
      <c r="B85" s="577" t="s">
        <v>124</v>
      </c>
      <c r="C85" s="389"/>
      <c r="D85" s="389"/>
      <c r="E85" s="389"/>
      <c r="F85" s="389"/>
      <c r="G85" s="388"/>
      <c r="H85" s="388"/>
      <c r="I85" s="388"/>
      <c r="J85" s="388">
        <f t="shared" si="1"/>
        <v>0</v>
      </c>
    </row>
    <row r="86" spans="1:12" ht="24" hidden="1" customHeight="1">
      <c r="A86" s="579">
        <v>61601</v>
      </c>
      <c r="B86" s="577" t="s">
        <v>125</v>
      </c>
      <c r="C86" s="389"/>
      <c r="D86" s="389"/>
      <c r="E86" s="389"/>
      <c r="F86" s="389"/>
      <c r="G86" s="388"/>
      <c r="H86" s="388"/>
      <c r="I86" s="388"/>
      <c r="J86" s="388">
        <f t="shared" si="1"/>
        <v>0</v>
      </c>
    </row>
    <row r="87" spans="1:12" ht="24" hidden="1" customHeight="1">
      <c r="A87" s="579">
        <v>61602</v>
      </c>
      <c r="B87" s="577" t="s">
        <v>126</v>
      </c>
      <c r="C87" s="389"/>
      <c r="D87" s="389"/>
      <c r="E87" s="389"/>
      <c r="F87" s="389"/>
      <c r="G87" s="388"/>
      <c r="H87" s="388"/>
      <c r="I87" s="388"/>
      <c r="J87" s="388">
        <f t="shared" si="1"/>
        <v>0</v>
      </c>
    </row>
    <row r="88" spans="1:12" ht="24" hidden="1" customHeight="1">
      <c r="A88" s="579">
        <v>61603</v>
      </c>
      <c r="B88" s="583" t="s">
        <v>127</v>
      </c>
      <c r="C88" s="389"/>
      <c r="D88" s="389"/>
      <c r="E88" s="389"/>
      <c r="F88" s="389"/>
      <c r="G88" s="388"/>
      <c r="H88" s="388"/>
      <c r="I88" s="388"/>
      <c r="J88" s="388">
        <f t="shared" si="1"/>
        <v>0</v>
      </c>
    </row>
    <row r="89" spans="1:12" ht="24" hidden="1" customHeight="1">
      <c r="A89" s="579">
        <v>61604</v>
      </c>
      <c r="B89" s="583" t="s">
        <v>665</v>
      </c>
      <c r="C89" s="389"/>
      <c r="D89" s="389"/>
      <c r="E89" s="389"/>
      <c r="F89" s="389"/>
      <c r="G89" s="388"/>
      <c r="H89" s="388"/>
      <c r="I89" s="388"/>
      <c r="J89" s="388">
        <f t="shared" si="1"/>
        <v>0</v>
      </c>
    </row>
    <row r="90" spans="1:12" ht="24" customHeight="1">
      <c r="A90" s="579">
        <v>61605</v>
      </c>
      <c r="B90" s="583" t="s">
        <v>425</v>
      </c>
      <c r="C90" s="389"/>
      <c r="D90" s="389"/>
      <c r="E90" s="389"/>
      <c r="F90" s="389"/>
      <c r="G90" s="388"/>
      <c r="H90" s="388"/>
      <c r="I90" s="388">
        <v>65000</v>
      </c>
      <c r="J90" s="388">
        <f t="shared" ref="J90" si="2">+SUM(C90:I90)</f>
        <v>65000</v>
      </c>
    </row>
    <row r="91" spans="1:12" ht="24" customHeight="1">
      <c r="A91" s="579">
        <v>61606</v>
      </c>
      <c r="B91" s="577" t="s">
        <v>128</v>
      </c>
      <c r="C91" s="389"/>
      <c r="D91" s="389"/>
      <c r="E91" s="389"/>
      <c r="F91" s="389"/>
      <c r="G91" s="388"/>
      <c r="H91" s="388"/>
      <c r="I91" s="388"/>
      <c r="J91" s="388">
        <f t="shared" si="1"/>
        <v>0</v>
      </c>
    </row>
    <row r="92" spans="1:12" ht="24" customHeight="1">
      <c r="A92" s="579">
        <v>61608</v>
      </c>
      <c r="B92" s="580" t="s">
        <v>129</v>
      </c>
      <c r="C92" s="389"/>
      <c r="D92" s="389"/>
      <c r="E92" s="389"/>
      <c r="F92" s="389"/>
      <c r="G92" s="388"/>
      <c r="H92" s="388"/>
      <c r="I92" s="388">
        <f>SUM('120- Libre disp, social'!H53)</f>
        <v>9850</v>
      </c>
      <c r="J92" s="388">
        <f>+SUM(C92:I92)-0.01</f>
        <v>9849.99</v>
      </c>
    </row>
    <row r="93" spans="1:12" ht="24" hidden="1" customHeight="1">
      <c r="A93" s="584">
        <v>61699</v>
      </c>
      <c r="B93" s="580" t="s">
        <v>130</v>
      </c>
      <c r="C93" s="392"/>
      <c r="D93" s="392"/>
      <c r="E93" s="392"/>
      <c r="F93" s="392"/>
      <c r="G93" s="388"/>
      <c r="H93" s="388"/>
      <c r="I93" s="388"/>
      <c r="J93" s="388">
        <f t="shared" si="1"/>
        <v>0</v>
      </c>
      <c r="K93" s="48">
        <f>SUM(J77:J93)</f>
        <v>224849.99</v>
      </c>
      <c r="L93" s="329"/>
    </row>
    <row r="94" spans="1:12" ht="24" hidden="1" customHeight="1">
      <c r="A94" s="584">
        <v>62201</v>
      </c>
      <c r="B94" s="580" t="s">
        <v>427</v>
      </c>
      <c r="C94" s="392"/>
      <c r="D94" s="392"/>
      <c r="E94" s="392"/>
      <c r="F94" s="392"/>
      <c r="G94" s="388"/>
      <c r="H94" s="388"/>
      <c r="I94" s="388"/>
      <c r="J94" s="388">
        <f t="shared" si="1"/>
        <v>0</v>
      </c>
    </row>
    <row r="95" spans="1:12" ht="22.5" hidden="1" customHeight="1">
      <c r="A95" s="584">
        <v>71304</v>
      </c>
      <c r="B95" s="582" t="s">
        <v>184</v>
      </c>
      <c r="C95" s="392"/>
      <c r="D95" s="392"/>
      <c r="E95" s="392"/>
      <c r="F95" s="392"/>
      <c r="G95" s="388"/>
      <c r="H95" s="388"/>
      <c r="I95" s="388"/>
      <c r="J95" s="388">
        <f t="shared" si="1"/>
        <v>0</v>
      </c>
      <c r="K95" s="48">
        <f>SUM(J94:J95)</f>
        <v>0</v>
      </c>
    </row>
    <row r="96" spans="1:12" ht="24" hidden="1" customHeight="1">
      <c r="A96" s="584">
        <v>72101</v>
      </c>
      <c r="B96" s="580" t="s">
        <v>131</v>
      </c>
      <c r="C96" s="392">
        <f>SUM('FONDOS PROPIOS'!H31)</f>
        <v>0</v>
      </c>
      <c r="D96" s="392"/>
      <c r="E96" s="392"/>
      <c r="F96" s="392"/>
      <c r="G96" s="388"/>
      <c r="H96" s="388"/>
      <c r="I96" s="388"/>
      <c r="J96" s="388">
        <f t="shared" si="1"/>
        <v>0</v>
      </c>
    </row>
    <row r="97" spans="1:12" ht="18" customHeight="1">
      <c r="A97" s="1389" t="s">
        <v>18</v>
      </c>
      <c r="B97" s="1389"/>
      <c r="C97" s="612">
        <f>SUM(C9:C96)</f>
        <v>257718.90999999997</v>
      </c>
      <c r="D97" s="612">
        <f>SUM(D9:D96)</f>
        <v>0</v>
      </c>
      <c r="E97" s="612">
        <f>SUM(E9:E96)</f>
        <v>0</v>
      </c>
      <c r="F97" s="951">
        <f>SUM(F9:F96)-0.01</f>
        <v>82686.992000000013</v>
      </c>
      <c r="G97" s="951">
        <f>SUM(G9:G96)</f>
        <v>362127.8125</v>
      </c>
      <c r="H97" s="951">
        <f>SUM(H9:H96)</f>
        <v>174346.37</v>
      </c>
      <c r="I97" s="951">
        <f>SUM(I9:I96)</f>
        <v>925596.48</v>
      </c>
      <c r="J97" s="951">
        <f>+SUM(C97:I97)</f>
        <v>1802476.5644999999</v>
      </c>
      <c r="L97" s="426">
        <f>J97-J98</f>
        <v>0</v>
      </c>
    </row>
    <row r="98" spans="1:12" ht="18" customHeight="1">
      <c r="A98" s="57"/>
      <c r="C98" s="952" t="s">
        <v>403</v>
      </c>
      <c r="D98" s="1384">
        <f>SUM(Ingresos!I50)</f>
        <v>340405.91000000003</v>
      </c>
      <c r="E98" s="1384"/>
      <c r="F98" s="391"/>
      <c r="G98" s="581" t="s">
        <v>403</v>
      </c>
      <c r="H98" s="388"/>
      <c r="I98" s="388">
        <f>SUM('Saldos de ctas. Bancarias'!C62,'Saldos de ctas. Bancarias'!C68)+'Saldos de ctas. Bancarias'!C61</f>
        <v>925596.48</v>
      </c>
      <c r="J98" s="949">
        <f>SUM(J9:J96)</f>
        <v>1802476.5645000001</v>
      </c>
    </row>
    <row r="99" spans="1:12" ht="15">
      <c r="A99" s="57"/>
      <c r="C99" s="581" t="s">
        <v>393</v>
      </c>
      <c r="D99" s="1385">
        <f>SUM(C97:F97)+0.01</f>
        <v>340405.91200000001</v>
      </c>
      <c r="E99" s="1386"/>
      <c r="F99" s="391"/>
      <c r="G99" s="581" t="s">
        <v>752</v>
      </c>
      <c r="H99" s="388"/>
      <c r="I99" s="388">
        <f>+I97</f>
        <v>925596.48</v>
      </c>
      <c r="J99" s="391"/>
    </row>
    <row r="100" spans="1:12" ht="15">
      <c r="A100" s="57"/>
      <c r="C100" s="693" t="s">
        <v>404</v>
      </c>
      <c r="D100" s="1379">
        <v>0</v>
      </c>
      <c r="E100" s="1379"/>
      <c r="F100" s="391"/>
      <c r="G100" s="693" t="s">
        <v>404</v>
      </c>
      <c r="H100" s="693"/>
      <c r="I100" s="953">
        <f>I98-I99</f>
        <v>0</v>
      </c>
      <c r="J100" s="391"/>
    </row>
    <row r="101" spans="1:12">
      <c r="A101" s="70"/>
      <c r="I101" s="575"/>
    </row>
    <row r="102" spans="1:12">
      <c r="A102" s="70"/>
      <c r="I102" s="1245"/>
    </row>
    <row r="103" spans="1:12">
      <c r="A103" s="70"/>
      <c r="I103" s="1245"/>
    </row>
    <row r="104" spans="1:12">
      <c r="A104" s="70"/>
      <c r="I104" s="1245"/>
    </row>
    <row r="105" spans="1:12">
      <c r="A105" s="70"/>
      <c r="I105" s="1245"/>
    </row>
    <row r="106" spans="1:12">
      <c r="A106" s="70"/>
      <c r="I106" s="1245"/>
    </row>
    <row r="107" spans="1:12">
      <c r="A107" s="70"/>
      <c r="I107" s="1245"/>
    </row>
    <row r="108" spans="1:12">
      <c r="A108" s="70"/>
      <c r="I108" s="1245"/>
    </row>
    <row r="109" spans="1:12">
      <c r="A109" s="70"/>
      <c r="I109" s="1245"/>
    </row>
    <row r="110" spans="1:12">
      <c r="A110" s="70"/>
      <c r="I110" s="1245"/>
    </row>
    <row r="111" spans="1:12">
      <c r="A111" s="70"/>
      <c r="I111" s="1245"/>
    </row>
    <row r="112" spans="1:12">
      <c r="A112" s="70"/>
      <c r="I112" s="1245"/>
    </row>
    <row r="113" spans="1:9">
      <c r="A113" s="70"/>
      <c r="I113" s="1245"/>
    </row>
    <row r="114" spans="1:9">
      <c r="A114" s="70"/>
      <c r="I114" s="1245"/>
    </row>
    <row r="115" spans="1:9">
      <c r="A115" s="70"/>
      <c r="I115" s="1245"/>
    </row>
    <row r="116" spans="1:9">
      <c r="A116" s="70"/>
      <c r="I116" s="1245"/>
    </row>
    <row r="117" spans="1:9">
      <c r="A117" s="70"/>
      <c r="I117" s="1245"/>
    </row>
    <row r="118" spans="1:9">
      <c r="A118" s="70"/>
      <c r="I118" s="1245"/>
    </row>
    <row r="119" spans="1:9">
      <c r="A119" s="70"/>
      <c r="I119" s="1245"/>
    </row>
    <row r="120" spans="1:9">
      <c r="A120" s="70"/>
      <c r="I120" s="1245"/>
    </row>
    <row r="121" spans="1:9">
      <c r="A121" s="70"/>
      <c r="I121" s="1245"/>
    </row>
    <row r="122" spans="1:9">
      <c r="A122" s="70"/>
      <c r="I122" s="1245"/>
    </row>
    <row r="123" spans="1:9">
      <c r="A123" s="70"/>
      <c r="I123" s="1245"/>
    </row>
    <row r="124" spans="1:9">
      <c r="A124" s="70"/>
      <c r="I124" s="1245"/>
    </row>
    <row r="125" spans="1:9">
      <c r="A125" s="70"/>
      <c r="I125" s="1245"/>
    </row>
    <row r="126" spans="1:9">
      <c r="A126" s="70"/>
      <c r="I126" s="1245"/>
    </row>
    <row r="127" spans="1:9">
      <c r="A127" s="70"/>
      <c r="I127" s="1245"/>
    </row>
    <row r="128" spans="1:9">
      <c r="A128" s="70"/>
      <c r="I128" s="1245"/>
    </row>
    <row r="129" spans="1:9">
      <c r="A129" s="70"/>
      <c r="I129" s="1245"/>
    </row>
    <row r="130" spans="1:9">
      <c r="A130" s="70"/>
      <c r="I130" s="1245"/>
    </row>
    <row r="131" spans="1:9">
      <c r="A131" s="70"/>
      <c r="I131" s="1245"/>
    </row>
    <row r="132" spans="1:9">
      <c r="A132" s="70"/>
      <c r="I132" s="1245"/>
    </row>
    <row r="133" spans="1:9">
      <c r="A133" s="70"/>
      <c r="I133" s="1245"/>
    </row>
    <row r="134" spans="1:9">
      <c r="A134" s="70"/>
      <c r="I134" s="1245"/>
    </row>
    <row r="135" spans="1:9">
      <c r="A135" s="70"/>
      <c r="I135" s="1245"/>
    </row>
    <row r="136" spans="1:9">
      <c r="A136" s="70"/>
      <c r="I136" s="1245"/>
    </row>
    <row r="137" spans="1:9">
      <c r="A137" s="70"/>
      <c r="I137" s="1245"/>
    </row>
    <row r="138" spans="1:9">
      <c r="A138" s="70"/>
      <c r="I138" s="1245"/>
    </row>
    <row r="139" spans="1:9">
      <c r="A139" s="70"/>
      <c r="I139" s="1245"/>
    </row>
    <row r="140" spans="1:9">
      <c r="A140" s="70"/>
      <c r="I140" s="1245"/>
    </row>
    <row r="141" spans="1:9">
      <c r="A141" s="70"/>
      <c r="I141" s="1245"/>
    </row>
    <row r="142" spans="1:9">
      <c r="A142" s="70"/>
      <c r="I142" s="1245"/>
    </row>
    <row r="143" spans="1:9">
      <c r="A143" s="70"/>
      <c r="I143" s="1245"/>
    </row>
    <row r="144" spans="1:9">
      <c r="A144" s="70"/>
      <c r="I144" s="1245"/>
    </row>
    <row r="145" spans="1:9">
      <c r="A145" s="70"/>
      <c r="I145" s="1245"/>
    </row>
    <row r="146" spans="1:9">
      <c r="A146" s="70"/>
      <c r="I146" s="1245"/>
    </row>
    <row r="147" spans="1:9">
      <c r="A147" s="70"/>
      <c r="I147" s="1245"/>
    </row>
    <row r="148" spans="1:9">
      <c r="A148" s="70"/>
      <c r="I148" s="1245"/>
    </row>
    <row r="149" spans="1:9">
      <c r="A149" s="70"/>
      <c r="I149" s="1245"/>
    </row>
    <row r="150" spans="1:9">
      <c r="A150" s="70"/>
      <c r="I150" s="1245"/>
    </row>
    <row r="151" spans="1:9">
      <c r="A151" s="70"/>
      <c r="I151" s="1245"/>
    </row>
    <row r="152" spans="1:9">
      <c r="A152" s="70"/>
      <c r="I152" s="1245"/>
    </row>
    <row r="153" spans="1:9">
      <c r="A153" s="70"/>
      <c r="I153" s="1245"/>
    </row>
    <row r="154" spans="1:9">
      <c r="A154" s="70"/>
      <c r="I154" s="1245"/>
    </row>
    <row r="155" spans="1:9">
      <c r="A155" s="70"/>
      <c r="I155" s="1245"/>
    </row>
    <row r="156" spans="1:9">
      <c r="A156" s="70"/>
      <c r="I156" s="1245"/>
    </row>
    <row r="157" spans="1:9">
      <c r="A157" s="70"/>
      <c r="I157" s="1245"/>
    </row>
    <row r="158" spans="1:9">
      <c r="A158" s="70"/>
      <c r="I158" s="1245"/>
    </row>
    <row r="159" spans="1:9">
      <c r="A159" s="70"/>
      <c r="I159" s="1245"/>
    </row>
    <row r="160" spans="1:9">
      <c r="A160" s="70"/>
      <c r="I160" s="1245"/>
    </row>
    <row r="161" spans="1:9">
      <c r="A161" s="70"/>
      <c r="I161" s="1245"/>
    </row>
    <row r="162" spans="1:9">
      <c r="A162" s="70"/>
      <c r="I162" s="1245"/>
    </row>
    <row r="163" spans="1:9">
      <c r="A163" s="70"/>
      <c r="I163" s="1245"/>
    </row>
    <row r="164" spans="1:9">
      <c r="A164" s="70"/>
      <c r="I164" s="1245"/>
    </row>
    <row r="165" spans="1:9">
      <c r="A165" s="70"/>
      <c r="I165" s="1245"/>
    </row>
    <row r="166" spans="1:9">
      <c r="A166" s="70"/>
      <c r="I166" s="1245"/>
    </row>
    <row r="167" spans="1:9">
      <c r="A167" s="70"/>
      <c r="I167" s="1245"/>
    </row>
    <row r="168" spans="1:9">
      <c r="A168" s="70"/>
      <c r="I168" s="1245"/>
    </row>
    <row r="169" spans="1:9">
      <c r="A169" s="70"/>
      <c r="I169" s="1245"/>
    </row>
    <row r="170" spans="1:9">
      <c r="A170" s="70"/>
      <c r="I170" s="1245"/>
    </row>
    <row r="171" spans="1:9">
      <c r="A171" s="70"/>
      <c r="I171" s="1245"/>
    </row>
    <row r="172" spans="1:9">
      <c r="A172" s="70"/>
      <c r="I172" s="1245"/>
    </row>
    <row r="173" spans="1:9">
      <c r="A173" s="70"/>
      <c r="I173" s="1245"/>
    </row>
    <row r="174" spans="1:9">
      <c r="A174" s="70"/>
      <c r="I174" s="1245"/>
    </row>
    <row r="175" spans="1:9">
      <c r="A175" s="70"/>
      <c r="I175" s="1245"/>
    </row>
    <row r="176" spans="1:9">
      <c r="A176" s="70"/>
      <c r="I176" s="1245"/>
    </row>
    <row r="177" spans="1:9">
      <c r="A177" s="70"/>
      <c r="I177" s="1245"/>
    </row>
    <row r="178" spans="1:9">
      <c r="A178" s="70"/>
      <c r="I178" s="1245"/>
    </row>
    <row r="179" spans="1:9">
      <c r="A179" s="70"/>
      <c r="I179" s="1245"/>
    </row>
    <row r="180" spans="1:9">
      <c r="A180" s="70"/>
      <c r="I180" s="1245"/>
    </row>
    <row r="181" spans="1:9">
      <c r="A181" s="70"/>
      <c r="I181" s="1245"/>
    </row>
    <row r="182" spans="1:9">
      <c r="A182" s="70"/>
      <c r="I182" s="1245"/>
    </row>
    <row r="183" spans="1:9">
      <c r="A183" s="70"/>
      <c r="I183" s="1245"/>
    </row>
    <row r="184" spans="1:9">
      <c r="A184" s="70"/>
      <c r="I184" s="1245"/>
    </row>
    <row r="185" spans="1:9">
      <c r="A185" s="70"/>
      <c r="I185" s="1245"/>
    </row>
    <row r="186" spans="1:9">
      <c r="A186" s="70"/>
      <c r="I186" s="1245"/>
    </row>
    <row r="187" spans="1:9">
      <c r="A187" s="70"/>
      <c r="I187" s="1245"/>
    </row>
    <row r="188" spans="1:9">
      <c r="A188" s="70"/>
      <c r="I188" s="1245"/>
    </row>
    <row r="189" spans="1:9">
      <c r="A189" s="70"/>
      <c r="I189" s="1245"/>
    </row>
    <row r="190" spans="1:9">
      <c r="A190" s="70"/>
      <c r="I190" s="1245"/>
    </row>
    <row r="191" spans="1:9">
      <c r="A191" s="70"/>
      <c r="I191" s="1245"/>
    </row>
    <row r="192" spans="1:9">
      <c r="A192" s="70"/>
      <c r="I192" s="1245"/>
    </row>
    <row r="193" spans="1:9">
      <c r="A193" s="70"/>
      <c r="I193" s="1245"/>
    </row>
    <row r="194" spans="1:9">
      <c r="A194" s="70"/>
      <c r="I194" s="1245"/>
    </row>
    <row r="195" spans="1:9">
      <c r="A195" s="70"/>
      <c r="I195" s="1245"/>
    </row>
    <row r="196" spans="1:9">
      <c r="A196" s="70"/>
      <c r="I196" s="1245"/>
    </row>
    <row r="197" spans="1:9">
      <c r="A197" s="70"/>
      <c r="I197" s="1245"/>
    </row>
    <row r="198" spans="1:9">
      <c r="A198" s="70"/>
      <c r="I198" s="1245"/>
    </row>
    <row r="199" spans="1:9">
      <c r="A199" s="70"/>
      <c r="I199" s="1245"/>
    </row>
    <row r="200" spans="1:9">
      <c r="A200" s="70"/>
      <c r="I200" s="1245"/>
    </row>
    <row r="201" spans="1:9">
      <c r="A201" s="70"/>
      <c r="I201" s="1245"/>
    </row>
    <row r="202" spans="1:9">
      <c r="A202" s="70"/>
      <c r="I202" s="1245"/>
    </row>
    <row r="203" spans="1:9">
      <c r="A203" s="70"/>
      <c r="I203" s="1245"/>
    </row>
    <row r="204" spans="1:9">
      <c r="A204" s="70"/>
      <c r="I204" s="1245"/>
    </row>
    <row r="205" spans="1:9">
      <c r="A205" s="70"/>
      <c r="I205" s="1245"/>
    </row>
    <row r="206" spans="1:9">
      <c r="A206" s="70"/>
      <c r="I206" s="1245"/>
    </row>
    <row r="207" spans="1:9">
      <c r="A207" s="70"/>
      <c r="I207" s="1245"/>
    </row>
    <row r="208" spans="1:9">
      <c r="A208" s="70"/>
      <c r="I208" s="1245"/>
    </row>
    <row r="209" spans="1:9">
      <c r="A209" s="70"/>
      <c r="I209" s="1245"/>
    </row>
    <row r="210" spans="1:9">
      <c r="A210" s="70"/>
      <c r="I210" s="1245"/>
    </row>
    <row r="211" spans="1:9">
      <c r="A211" s="70"/>
      <c r="I211" s="1245"/>
    </row>
    <row r="212" spans="1:9">
      <c r="A212" s="70"/>
      <c r="I212" s="1245"/>
    </row>
    <row r="213" spans="1:9">
      <c r="A213" s="70"/>
      <c r="I213" s="1245"/>
    </row>
    <row r="214" spans="1:9">
      <c r="A214" s="70"/>
      <c r="I214" s="1245"/>
    </row>
    <row r="215" spans="1:9">
      <c r="A215" s="70"/>
      <c r="I215" s="1245"/>
    </row>
    <row r="216" spans="1:9">
      <c r="A216" s="70"/>
      <c r="I216" s="1245"/>
    </row>
    <row r="217" spans="1:9">
      <c r="A217" s="70"/>
      <c r="I217" s="1245"/>
    </row>
    <row r="218" spans="1:9">
      <c r="A218" s="70"/>
      <c r="I218" s="1245"/>
    </row>
    <row r="219" spans="1:9">
      <c r="A219" s="70"/>
      <c r="I219" s="1245"/>
    </row>
    <row r="220" spans="1:9">
      <c r="A220" s="70"/>
      <c r="I220" s="1245"/>
    </row>
    <row r="221" spans="1:9">
      <c r="A221" s="70"/>
      <c r="I221" s="1245"/>
    </row>
    <row r="222" spans="1:9">
      <c r="A222" s="70"/>
      <c r="I222" s="1245"/>
    </row>
    <row r="223" spans="1:9">
      <c r="A223" s="70"/>
      <c r="I223" s="1245"/>
    </row>
    <row r="224" spans="1:9">
      <c r="A224" s="70"/>
      <c r="I224" s="1245"/>
    </row>
    <row r="225" spans="1:9">
      <c r="A225" s="70"/>
      <c r="I225" s="1245"/>
    </row>
    <row r="226" spans="1:9">
      <c r="A226" s="70"/>
      <c r="I226" s="1245"/>
    </row>
    <row r="227" spans="1:9">
      <c r="A227" s="70"/>
      <c r="I227" s="1245"/>
    </row>
    <row r="228" spans="1:9">
      <c r="A228" s="70"/>
      <c r="I228" s="1245"/>
    </row>
    <row r="229" spans="1:9">
      <c r="A229" s="70"/>
      <c r="I229" s="1245"/>
    </row>
    <row r="230" spans="1:9">
      <c r="A230" s="70"/>
      <c r="I230" s="1245"/>
    </row>
    <row r="231" spans="1:9">
      <c r="A231" s="70"/>
      <c r="I231" s="1245"/>
    </row>
    <row r="232" spans="1:9">
      <c r="A232" s="70"/>
      <c r="I232" s="1245"/>
    </row>
    <row r="233" spans="1:9">
      <c r="A233" s="70"/>
      <c r="I233" s="1245"/>
    </row>
    <row r="234" spans="1:9">
      <c r="A234" s="70"/>
      <c r="I234" s="1245"/>
    </row>
    <row r="235" spans="1:9">
      <c r="A235" s="70"/>
      <c r="I235" s="1245"/>
    </row>
    <row r="236" spans="1:9">
      <c r="A236" s="70"/>
      <c r="I236" s="1245"/>
    </row>
    <row r="237" spans="1:9">
      <c r="A237" s="70"/>
      <c r="I237" s="1245"/>
    </row>
    <row r="238" spans="1:9">
      <c r="A238" s="70"/>
      <c r="I238" s="1245"/>
    </row>
    <row r="239" spans="1:9">
      <c r="A239" s="70"/>
      <c r="I239" s="1245"/>
    </row>
    <row r="240" spans="1:9">
      <c r="A240" s="70"/>
      <c r="I240" s="1245"/>
    </row>
    <row r="241" spans="1:9">
      <c r="A241" s="70"/>
      <c r="I241" s="1245"/>
    </row>
    <row r="242" spans="1:9">
      <c r="A242" s="70"/>
      <c r="I242" s="1245"/>
    </row>
    <row r="243" spans="1:9">
      <c r="A243" s="70"/>
      <c r="I243" s="1245"/>
    </row>
    <row r="244" spans="1:9">
      <c r="A244" s="70"/>
      <c r="I244" s="1245"/>
    </row>
    <row r="245" spans="1:9">
      <c r="A245" s="70"/>
      <c r="I245" s="1245"/>
    </row>
    <row r="246" spans="1:9">
      <c r="A246" s="70"/>
      <c r="I246" s="1245"/>
    </row>
    <row r="247" spans="1:9">
      <c r="A247" s="70"/>
      <c r="I247" s="1245"/>
    </row>
    <row r="248" spans="1:9">
      <c r="A248" s="70"/>
      <c r="I248" s="1245"/>
    </row>
    <row r="249" spans="1:9">
      <c r="A249" s="70"/>
      <c r="I249" s="1245"/>
    </row>
    <row r="250" spans="1:9">
      <c r="A250" s="70"/>
      <c r="I250" s="1245"/>
    </row>
    <row r="251" spans="1:9">
      <c r="A251" s="70"/>
      <c r="I251" s="1245"/>
    </row>
    <row r="252" spans="1:9">
      <c r="A252" s="70"/>
      <c r="I252" s="1245"/>
    </row>
    <row r="253" spans="1:9">
      <c r="A253" s="70"/>
      <c r="I253" s="1245"/>
    </row>
    <row r="254" spans="1:9">
      <c r="A254" s="70"/>
      <c r="I254" s="1245"/>
    </row>
    <row r="255" spans="1:9">
      <c r="A255" s="70"/>
      <c r="I255" s="1245"/>
    </row>
    <row r="256" spans="1:9">
      <c r="A256" s="70"/>
      <c r="I256" s="1245"/>
    </row>
    <row r="257" spans="1:9">
      <c r="A257" s="70"/>
      <c r="I257" s="1245"/>
    </row>
    <row r="258" spans="1:9">
      <c r="A258" s="70"/>
      <c r="I258" s="1245"/>
    </row>
    <row r="259" spans="1:9">
      <c r="A259" s="70"/>
      <c r="I259" s="1245"/>
    </row>
    <row r="260" spans="1:9">
      <c r="A260" s="70"/>
      <c r="I260" s="1245"/>
    </row>
    <row r="261" spans="1:9">
      <c r="A261" s="70"/>
      <c r="I261" s="1245"/>
    </row>
    <row r="262" spans="1:9">
      <c r="A262" s="70"/>
      <c r="I262" s="1245"/>
    </row>
    <row r="263" spans="1:9">
      <c r="A263" s="70"/>
      <c r="I263" s="1245"/>
    </row>
    <row r="264" spans="1:9">
      <c r="A264" s="70"/>
      <c r="I264" s="1245"/>
    </row>
    <row r="265" spans="1:9">
      <c r="A265" s="70"/>
      <c r="I265" s="1245"/>
    </row>
    <row r="266" spans="1:9">
      <c r="A266" s="70"/>
      <c r="I266" s="1245"/>
    </row>
    <row r="267" spans="1:9">
      <c r="A267" s="70"/>
      <c r="I267" s="1245"/>
    </row>
    <row r="268" spans="1:9">
      <c r="A268" s="70"/>
      <c r="I268" s="1245"/>
    </row>
    <row r="269" spans="1:9">
      <c r="A269" s="70"/>
      <c r="I269" s="1245"/>
    </row>
    <row r="270" spans="1:9">
      <c r="A270" s="70"/>
      <c r="I270" s="1245"/>
    </row>
    <row r="271" spans="1:9">
      <c r="A271" s="70"/>
      <c r="I271" s="1245"/>
    </row>
    <row r="272" spans="1:9">
      <c r="A272" s="70"/>
      <c r="I272" s="1245"/>
    </row>
    <row r="273" spans="1:10">
      <c r="A273" s="70"/>
      <c r="I273" s="1245"/>
    </row>
    <row r="274" spans="1:10">
      <c r="A274" s="70"/>
      <c r="I274" s="1245"/>
    </row>
    <row r="275" spans="1:10">
      <c r="A275" s="70"/>
      <c r="I275" s="1245"/>
    </row>
    <row r="276" spans="1:10">
      <c r="A276" s="70"/>
    </row>
    <row r="277" spans="1:10">
      <c r="J277" s="386"/>
    </row>
    <row r="449" ht="6.75" customHeight="1"/>
  </sheetData>
  <mergeCells count="13">
    <mergeCell ref="C7:I7"/>
    <mergeCell ref="J7:J8"/>
    <mergeCell ref="D100:E100"/>
    <mergeCell ref="A1:J1"/>
    <mergeCell ref="A2:J2"/>
    <mergeCell ref="A3:J3"/>
    <mergeCell ref="A4:J4"/>
    <mergeCell ref="A5:J5"/>
    <mergeCell ref="A6:J6"/>
    <mergeCell ref="D98:E98"/>
    <mergeCell ref="D99:E99"/>
    <mergeCell ref="A7:A8"/>
    <mergeCell ref="A97:B97"/>
  </mergeCells>
  <pageMargins left="0.9055118110236221" right="0.11811023622047245" top="0.39370078740157483" bottom="0.6692913385826772" header="0.31496062992125984" footer="0.31496062992125984"/>
  <pageSetup scale="57"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S136"/>
  <sheetViews>
    <sheetView topLeftCell="A85" workbookViewId="0">
      <selection activeCell="Z21" sqref="Z21"/>
    </sheetView>
  </sheetViews>
  <sheetFormatPr baseColWidth="10" defaultRowHeight="13.5"/>
  <cols>
    <col min="1" max="1" width="6" style="54" customWidth="1"/>
    <col min="2" max="2" width="32.28515625" style="150" customWidth="1"/>
    <col min="3" max="3" width="12.140625" style="57" customWidth="1"/>
    <col min="4" max="4" width="11.7109375" style="57" customWidth="1"/>
    <col min="5" max="5" width="11.42578125" style="57" customWidth="1"/>
    <col min="6" max="6" width="11.7109375" style="57" customWidth="1"/>
    <col min="7" max="7" width="13.5703125" style="57" customWidth="1"/>
    <col min="8" max="8" width="14" style="57" customWidth="1"/>
    <col min="9" max="10" width="13.42578125" style="57" customWidth="1"/>
    <col min="11" max="11" width="12.28515625" style="54" customWidth="1"/>
    <col min="12" max="12" width="0.28515625" style="57" hidden="1" customWidth="1"/>
    <col min="13" max="13" width="11.7109375" style="57" customWidth="1"/>
    <col min="14" max="14" width="13.5703125" style="57" customWidth="1"/>
    <col min="15" max="15" width="12.5703125" style="140" hidden="1" customWidth="1"/>
    <col min="16" max="16" width="0.140625" style="152" customWidth="1"/>
    <col min="17" max="17" width="13.85546875" style="152" hidden="1" customWidth="1"/>
    <col min="18" max="18" width="14.140625" style="142" customWidth="1"/>
    <col min="19" max="19" width="0.28515625" style="57" hidden="1" customWidth="1"/>
    <col min="20" max="20" width="13.7109375" style="141" hidden="1" customWidth="1"/>
    <col min="21" max="21" width="0.28515625" style="152" hidden="1" customWidth="1"/>
    <col min="22" max="22" width="13.5703125" style="57" customWidth="1"/>
    <col min="23" max="23" width="14.5703125" style="57" customWidth="1"/>
    <col min="24" max="24" width="11.42578125" style="58"/>
  </cols>
  <sheetData>
    <row r="1" spans="1:37" ht="19.5" customHeight="1">
      <c r="A1" s="1380"/>
      <c r="B1" s="1380"/>
      <c r="C1" s="1380"/>
      <c r="D1" s="1380"/>
      <c r="E1" s="1380"/>
      <c r="F1" s="1380"/>
      <c r="G1" s="1380"/>
      <c r="H1" s="1380"/>
      <c r="I1" s="1380"/>
      <c r="J1" s="1380"/>
      <c r="K1" s="1380"/>
      <c r="L1" s="1380"/>
      <c r="M1" s="1380"/>
      <c r="N1" s="1380"/>
      <c r="O1" s="1380"/>
      <c r="P1" s="1380"/>
      <c r="Q1" s="1380"/>
      <c r="R1" s="1380"/>
      <c r="S1" s="1380"/>
      <c r="T1" s="1380"/>
      <c r="U1" s="1380"/>
      <c r="V1" s="1380"/>
      <c r="W1" s="1380"/>
      <c r="X1" s="59"/>
    </row>
    <row r="2" spans="1:37" ht="24" customHeight="1">
      <c r="A2" s="1390" t="s">
        <v>83</v>
      </c>
      <c r="B2" s="1390"/>
      <c r="C2" s="1390"/>
      <c r="D2" s="1390"/>
      <c r="E2" s="1390"/>
      <c r="F2" s="1390"/>
      <c r="G2" s="1390"/>
      <c r="H2" s="1390"/>
      <c r="I2" s="1390"/>
      <c r="J2" s="1390"/>
      <c r="K2" s="1390"/>
      <c r="L2" s="1390"/>
      <c r="M2" s="1390"/>
      <c r="N2" s="1390"/>
      <c r="O2" s="1390"/>
      <c r="P2" s="1390"/>
      <c r="Q2" s="1390"/>
      <c r="R2" s="1390"/>
      <c r="S2" s="1390"/>
      <c r="T2" s="1390"/>
      <c r="U2" s="1390"/>
      <c r="V2" s="1390"/>
      <c r="W2" s="1390"/>
      <c r="X2" s="59"/>
    </row>
    <row r="3" spans="1:37" ht="24" customHeight="1">
      <c r="A3" s="1398" t="s">
        <v>13</v>
      </c>
      <c r="B3" s="1398"/>
      <c r="C3" s="1398"/>
      <c r="D3" s="1398"/>
      <c r="E3" s="1398"/>
      <c r="F3" s="1398"/>
      <c r="G3" s="1398"/>
      <c r="H3" s="1398"/>
      <c r="I3" s="1398"/>
      <c r="J3" s="1398"/>
      <c r="K3" s="1398"/>
      <c r="L3" s="1398"/>
      <c r="M3" s="1398"/>
      <c r="N3" s="1398"/>
      <c r="O3" s="1398"/>
      <c r="P3" s="1398"/>
      <c r="Q3" s="1398"/>
      <c r="R3" s="1398"/>
      <c r="S3" s="1398"/>
      <c r="T3" s="1398"/>
      <c r="U3" s="1398"/>
      <c r="V3" s="1398"/>
      <c r="W3" s="1398"/>
    </row>
    <row r="4" spans="1:37" ht="24" customHeight="1">
      <c r="A4" s="1398" t="s">
        <v>672</v>
      </c>
      <c r="B4" s="1398"/>
      <c r="C4" s="1398"/>
      <c r="D4" s="1398"/>
      <c r="E4" s="1398"/>
      <c r="F4" s="1398"/>
      <c r="G4" s="1398"/>
      <c r="H4" s="1398"/>
      <c r="I4" s="1398"/>
      <c r="J4" s="1398"/>
      <c r="K4" s="1398"/>
      <c r="L4" s="1398"/>
      <c r="M4" s="1398"/>
      <c r="N4" s="1398"/>
      <c r="O4" s="1398"/>
      <c r="P4" s="1398"/>
      <c r="Q4" s="1398"/>
      <c r="R4" s="1398"/>
      <c r="S4" s="1398"/>
      <c r="T4" s="1398"/>
      <c r="U4" s="1398"/>
      <c r="V4" s="1398"/>
      <c r="W4" s="1398"/>
    </row>
    <row r="5" spans="1:37" ht="24" customHeight="1">
      <c r="A5" s="1398" t="s">
        <v>14</v>
      </c>
      <c r="B5" s="1398"/>
      <c r="C5" s="1398"/>
      <c r="D5" s="1398"/>
      <c r="E5" s="1398"/>
      <c r="F5" s="1398"/>
      <c r="G5" s="1398"/>
      <c r="H5" s="1398"/>
      <c r="I5" s="1398"/>
      <c r="J5" s="1398"/>
      <c r="K5" s="1398"/>
      <c r="L5" s="1398"/>
      <c r="M5" s="1398"/>
      <c r="N5" s="1398"/>
      <c r="O5" s="1398"/>
      <c r="P5" s="1398"/>
      <c r="Q5" s="1398"/>
      <c r="R5" s="1398"/>
      <c r="S5" s="1398"/>
      <c r="T5" s="1398"/>
      <c r="U5" s="1398"/>
      <c r="V5" s="1398"/>
      <c r="W5" s="1398"/>
    </row>
    <row r="6" spans="1:37" ht="1.5" customHeight="1">
      <c r="A6" s="1393"/>
      <c r="B6" s="1393"/>
      <c r="C6" s="1393"/>
      <c r="D6" s="1393"/>
      <c r="E6" s="1393"/>
      <c r="F6" s="1393"/>
      <c r="G6" s="1393"/>
      <c r="H6" s="1393"/>
      <c r="I6" s="1393"/>
      <c r="J6" s="1393"/>
      <c r="K6" s="1393"/>
      <c r="L6" s="1393"/>
      <c r="M6" s="1393"/>
      <c r="N6" s="1393"/>
      <c r="O6" s="1393"/>
      <c r="P6" s="1393"/>
      <c r="Q6" s="1393"/>
      <c r="R6" s="1393"/>
      <c r="S6" s="1393"/>
      <c r="T6" s="1393"/>
      <c r="U6" s="1393"/>
      <c r="V6" s="1393"/>
      <c r="W6" s="1393"/>
    </row>
    <row r="7" spans="1:37" ht="31.5" customHeight="1" thickBot="1">
      <c r="A7" s="1394" t="s">
        <v>15</v>
      </c>
      <c r="B7" s="1394"/>
      <c r="C7" s="1394"/>
      <c r="D7" s="1394"/>
      <c r="E7" s="1394"/>
      <c r="F7" s="1394"/>
      <c r="G7" s="1394"/>
      <c r="H7" s="1394"/>
      <c r="I7" s="1394"/>
      <c r="J7" s="1394"/>
      <c r="K7" s="1394"/>
      <c r="L7" s="1394"/>
      <c r="M7" s="1394"/>
      <c r="N7" s="1394"/>
      <c r="O7" s="1394"/>
      <c r="P7" s="1394"/>
      <c r="Q7" s="1394"/>
      <c r="R7" s="1394"/>
      <c r="S7" s="1394"/>
      <c r="T7" s="1394"/>
      <c r="U7" s="1394"/>
      <c r="V7" s="1394"/>
      <c r="W7" s="1394"/>
    </row>
    <row r="8" spans="1:37" s="51" customFormat="1" ht="22.5" customHeight="1" thickBot="1">
      <c r="A8" s="394"/>
      <c r="B8" s="395"/>
      <c r="C8" s="1395" t="s">
        <v>585</v>
      </c>
      <c r="D8" s="1396"/>
      <c r="E8" s="1396"/>
      <c r="F8" s="1396"/>
      <c r="G8" s="1396"/>
      <c r="H8" s="1396"/>
      <c r="I8" s="1396"/>
      <c r="J8" s="1396"/>
      <c r="K8" s="1396"/>
      <c r="L8" s="1396"/>
      <c r="M8" s="1396"/>
      <c r="N8" s="1396"/>
      <c r="O8" s="1396"/>
      <c r="P8" s="1396"/>
      <c r="Q8" s="1396"/>
      <c r="R8" s="1396"/>
      <c r="S8" s="1396"/>
      <c r="T8" s="1396"/>
      <c r="U8" s="1396"/>
      <c r="V8" s="1397"/>
      <c r="W8" s="1410" t="s">
        <v>17</v>
      </c>
      <c r="X8" s="57"/>
    </row>
    <row r="9" spans="1:37" s="144" customFormat="1" ht="72.75" customHeight="1" thickBot="1">
      <c r="A9" s="396" t="s">
        <v>16</v>
      </c>
      <c r="B9" s="397" t="s">
        <v>412</v>
      </c>
      <c r="C9" s="398" t="s">
        <v>416</v>
      </c>
      <c r="D9" s="399" t="s">
        <v>417</v>
      </c>
      <c r="E9" s="399" t="s">
        <v>410</v>
      </c>
      <c r="F9" s="400" t="s">
        <v>411</v>
      </c>
      <c r="G9" s="401" t="s">
        <v>588</v>
      </c>
      <c r="H9" s="401" t="s">
        <v>586</v>
      </c>
      <c r="I9" s="401" t="s">
        <v>589</v>
      </c>
      <c r="J9" s="401" t="s">
        <v>590</v>
      </c>
      <c r="K9" s="402" t="s">
        <v>409</v>
      </c>
      <c r="L9" s="403" t="s">
        <v>379</v>
      </c>
      <c r="M9" s="404" t="s">
        <v>664</v>
      </c>
      <c r="N9" s="405" t="s">
        <v>407</v>
      </c>
      <c r="O9" s="406" t="s">
        <v>380</v>
      </c>
      <c r="P9" s="407" t="s">
        <v>381</v>
      </c>
      <c r="Q9" s="408" t="s">
        <v>391</v>
      </c>
      <c r="R9" s="409" t="s">
        <v>591</v>
      </c>
      <c r="S9" s="410" t="s">
        <v>423</v>
      </c>
      <c r="T9" s="410" t="s">
        <v>382</v>
      </c>
      <c r="U9" s="411" t="s">
        <v>383</v>
      </c>
      <c r="V9" s="412" t="s">
        <v>592</v>
      </c>
      <c r="W9" s="1411"/>
    </row>
    <row r="10" spans="1:37" s="51" customFormat="1" ht="24" customHeight="1">
      <c r="A10" s="278" t="s">
        <v>34</v>
      </c>
      <c r="B10" s="290" t="s">
        <v>85</v>
      </c>
      <c r="C10" s="287">
        <f>SUM('Concen. de  Recursos Huma'!C20)</f>
        <v>78161</v>
      </c>
      <c r="D10" s="291">
        <f>SUM('Concen. de  Recursos Huma'!D20)</f>
        <v>0</v>
      </c>
      <c r="E10" s="287">
        <f>SUM('Concen. de  Recursos Huma'!E20)</f>
        <v>0</v>
      </c>
      <c r="F10" s="288">
        <f>SUM('Concen. de  Recursos Huma'!F20)</f>
        <v>0</v>
      </c>
      <c r="G10" s="289">
        <f>SUM('Concen. de  Recursos Huma'!C7)</f>
        <v>231265</v>
      </c>
      <c r="H10" s="287">
        <f>SUM('Concen. de  Recursos Huma'!D7)</f>
        <v>0</v>
      </c>
      <c r="I10" s="287">
        <f>SUM('Concen. de  Recursos Huma'!E7)</f>
        <v>0</v>
      </c>
      <c r="J10" s="288">
        <f>SUM('Concen. de  Recursos Huma'!F7)</f>
        <v>0</v>
      </c>
      <c r="K10" s="279"/>
      <c r="L10" s="113"/>
      <c r="M10" s="113"/>
      <c r="N10" s="269">
        <f>SUM('Proy. de recur.Humanos'!C105)</f>
        <v>40044</v>
      </c>
      <c r="O10" s="143"/>
      <c r="P10" s="114"/>
      <c r="Q10" s="116"/>
      <c r="R10" s="384"/>
      <c r="S10" s="113"/>
      <c r="T10" s="113"/>
      <c r="U10" s="114">
        <v>0</v>
      </c>
      <c r="V10" s="280">
        <v>0</v>
      </c>
      <c r="W10" s="281">
        <f>+SUM(C10:V10)</f>
        <v>349470</v>
      </c>
      <c r="X10" s="145"/>
      <c r="Z10" s="51">
        <f>31740+4044+4044+5520</f>
        <v>45348</v>
      </c>
    </row>
    <row r="11" spans="1:37" s="51" customFormat="1" ht="24" customHeight="1">
      <c r="A11" s="146" t="s">
        <v>86</v>
      </c>
      <c r="B11" s="264" t="s">
        <v>87</v>
      </c>
      <c r="C11" s="283"/>
      <c r="D11" s="113"/>
      <c r="E11" s="113"/>
      <c r="F11" s="114"/>
      <c r="G11" s="285">
        <f>SUM('Concen. de  Recursos Huma'!C8)</f>
        <v>23126.5</v>
      </c>
      <c r="H11" s="282">
        <f>SUM('Concen. de  Recursos Huma'!D8)</f>
        <v>0</v>
      </c>
      <c r="I11" s="282">
        <f>SUM('Concen. de  Recursos Huma'!E8)</f>
        <v>0</v>
      </c>
      <c r="J11" s="284">
        <f>SUM('Concen. de  Recursos Huma'!F8)</f>
        <v>0</v>
      </c>
      <c r="K11" s="286"/>
      <c r="L11" s="116"/>
      <c r="M11" s="116"/>
      <c r="N11" s="258">
        <f>SUM('Proy. de recur.Humanos'!C108)</f>
        <v>3337</v>
      </c>
      <c r="O11" s="115"/>
      <c r="P11" s="117"/>
      <c r="Q11" s="116"/>
      <c r="R11" s="115"/>
      <c r="S11" s="116"/>
      <c r="T11" s="116"/>
      <c r="U11" s="117">
        <v>0</v>
      </c>
      <c r="V11" s="271">
        <v>0</v>
      </c>
      <c r="W11" s="281">
        <f t="shared" ref="W11:W74" si="0">+SUM(C11:V11)</f>
        <v>26463.5</v>
      </c>
      <c r="X11" s="145"/>
    </row>
    <row r="12" spans="1:37" s="51" customFormat="1" ht="24" customHeight="1">
      <c r="A12" s="146" t="s">
        <v>88</v>
      </c>
      <c r="B12" s="264" t="s">
        <v>89</v>
      </c>
      <c r="C12" s="247">
        <f>SUM('Concen. de  Recursos Huma'!C22)</f>
        <v>85280</v>
      </c>
      <c r="D12" s="139"/>
      <c r="E12" s="116"/>
      <c r="F12" s="258"/>
      <c r="G12" s="143"/>
      <c r="H12" s="113"/>
      <c r="I12" s="113"/>
      <c r="J12" s="269"/>
      <c r="K12" s="115"/>
      <c r="L12" s="116"/>
      <c r="M12" s="116"/>
      <c r="N12" s="258"/>
      <c r="O12" s="115"/>
      <c r="P12" s="117"/>
      <c r="Q12" s="116"/>
      <c r="R12" s="115"/>
      <c r="S12" s="116"/>
      <c r="T12" s="116"/>
      <c r="U12" s="117">
        <v>0</v>
      </c>
      <c r="V12" s="271">
        <v>0</v>
      </c>
      <c r="W12" s="281">
        <f t="shared" si="0"/>
        <v>85280</v>
      </c>
      <c r="X12" s="145"/>
    </row>
    <row r="13" spans="1:37" s="51" customFormat="1" ht="24" customHeight="1">
      <c r="A13" s="153">
        <v>51201</v>
      </c>
      <c r="B13" s="265" t="s">
        <v>85</v>
      </c>
      <c r="C13" s="115"/>
      <c r="D13" s="116" t="e">
        <f>SUM('FONDOS PROPIOS'!H34)</f>
        <v>#REF!</v>
      </c>
      <c r="E13" s="116"/>
      <c r="F13" s="258"/>
      <c r="G13" s="115"/>
      <c r="H13" s="116"/>
      <c r="I13" s="116"/>
      <c r="J13" s="258"/>
      <c r="K13" s="115"/>
      <c r="L13" s="116"/>
      <c r="M13" s="116"/>
      <c r="N13" s="258" t="e">
        <f>SUM('120- Libre disp, social'!#REF!)</f>
        <v>#REF!</v>
      </c>
      <c r="O13" s="115"/>
      <c r="P13" s="117"/>
      <c r="Q13" s="116"/>
      <c r="R13" s="115"/>
      <c r="S13" s="116"/>
      <c r="T13" s="116"/>
      <c r="U13" s="117">
        <v>0</v>
      </c>
      <c r="V13" s="271">
        <v>0</v>
      </c>
      <c r="W13" s="281" t="e">
        <f t="shared" si="0"/>
        <v>#REF!</v>
      </c>
      <c r="X13" s="145"/>
    </row>
    <row r="14" spans="1:37" s="51" customFormat="1" ht="24" customHeight="1">
      <c r="A14" s="153">
        <v>51202</v>
      </c>
      <c r="B14" s="265" t="s">
        <v>90</v>
      </c>
      <c r="C14" s="115"/>
      <c r="D14" s="116"/>
      <c r="E14" s="116"/>
      <c r="F14" s="258">
        <f>SUM('FONDOS PROPIOS'!H46)</f>
        <v>77137.002000000008</v>
      </c>
      <c r="G14" s="115" t="e">
        <f>SUM('120 libre Administ.'!#REF!)</f>
        <v>#REF!</v>
      </c>
      <c r="H14" s="116"/>
      <c r="I14" s="116"/>
      <c r="J14" s="258" t="e">
        <f>SUM('120 libre Administ.'!#REF!)</f>
        <v>#REF!</v>
      </c>
      <c r="K14" s="115" t="e">
        <f>SUM('120- Libre disp, social'!#REF!)</f>
        <v>#REF!</v>
      </c>
      <c r="L14" s="116"/>
      <c r="M14" s="116"/>
      <c r="N14" s="258" t="e">
        <f>SUM('120- Libre disp, social'!#REF!)</f>
        <v>#REF!</v>
      </c>
      <c r="O14" s="119"/>
      <c r="P14" s="120"/>
      <c r="Q14" s="118"/>
      <c r="R14" s="115" t="e">
        <f>SUM('INVER.FODES 75% AG 4'!H10)</f>
        <v>#REF!</v>
      </c>
      <c r="S14" s="116"/>
      <c r="T14" s="116"/>
      <c r="U14" s="117">
        <v>0</v>
      </c>
      <c r="V14" s="271">
        <v>0</v>
      </c>
      <c r="W14" s="281" t="e">
        <f t="shared" si="0"/>
        <v>#REF!</v>
      </c>
      <c r="X14" s="145"/>
    </row>
    <row r="15" spans="1:37" s="51" customFormat="1" ht="24" customHeight="1">
      <c r="A15" s="153">
        <v>51203</v>
      </c>
      <c r="B15" s="265" t="s">
        <v>87</v>
      </c>
      <c r="C15" s="115"/>
      <c r="D15" s="116">
        <f>SUM('FONDOS PROPIOS'!H35)</f>
        <v>0</v>
      </c>
      <c r="E15" s="116"/>
      <c r="F15" s="258"/>
      <c r="G15" s="115"/>
      <c r="H15" s="116"/>
      <c r="I15" s="116"/>
      <c r="J15" s="258"/>
      <c r="K15" s="115"/>
      <c r="L15" s="116"/>
      <c r="M15" s="116"/>
      <c r="N15" s="258"/>
      <c r="O15" s="119"/>
      <c r="P15" s="120"/>
      <c r="Q15" s="118"/>
      <c r="R15" s="115"/>
      <c r="S15" s="116"/>
      <c r="T15" s="116"/>
      <c r="U15" s="117"/>
      <c r="V15" s="271"/>
      <c r="W15" s="281">
        <f t="shared" si="0"/>
        <v>0</v>
      </c>
      <c r="X15" s="145"/>
    </row>
    <row r="16" spans="1:37" s="51" customFormat="1" ht="24" customHeight="1">
      <c r="A16" s="146" t="s">
        <v>174</v>
      </c>
      <c r="B16" s="264" t="s">
        <v>175</v>
      </c>
      <c r="C16" s="293">
        <f>SUM('Concen. de  Recursos Huma'!C25)</f>
        <v>25785.5</v>
      </c>
      <c r="D16" s="292">
        <f>SUM('Concen. de  Recursos Huma'!D25)</f>
        <v>0</v>
      </c>
      <c r="E16" s="292">
        <f>SUM('Concen. de  Recursos Huma'!E25)</f>
        <v>0</v>
      </c>
      <c r="F16" s="257">
        <f>SUM('Concen. de  Recursos Huma'!F25)</f>
        <v>0</v>
      </c>
      <c r="G16" s="115"/>
      <c r="H16" s="116"/>
      <c r="I16" s="116"/>
      <c r="J16" s="258"/>
      <c r="K16" s="115"/>
      <c r="L16" s="116"/>
      <c r="M16" s="116"/>
      <c r="N16" s="258">
        <f>SUM('Proy. de recur.Humanos'!D108)</f>
        <v>3337</v>
      </c>
      <c r="O16" s="115"/>
      <c r="P16" s="117"/>
      <c r="Q16" s="116"/>
      <c r="R16" s="115"/>
      <c r="S16" s="116"/>
      <c r="T16" s="116"/>
      <c r="U16" s="117"/>
      <c r="V16" s="271"/>
      <c r="W16" s="281">
        <f t="shared" si="0"/>
        <v>29122.5</v>
      </c>
      <c r="X16" s="145"/>
    </row>
    <row r="17" spans="1:37" s="51" customFormat="1" ht="24" customHeight="1">
      <c r="A17" s="146" t="s">
        <v>307</v>
      </c>
      <c r="B17" s="264" t="s">
        <v>42</v>
      </c>
      <c r="C17" s="115"/>
      <c r="D17" s="116"/>
      <c r="E17" s="57"/>
      <c r="F17" s="258"/>
      <c r="G17" s="115"/>
      <c r="H17" s="116" t="e">
        <f>SUM('120 libre Administ.'!#REF!)</f>
        <v>#REF!</v>
      </c>
      <c r="I17" s="116"/>
      <c r="J17" s="258"/>
      <c r="K17" s="115"/>
      <c r="L17" s="116"/>
      <c r="M17" s="116"/>
      <c r="N17" s="258"/>
      <c r="O17" s="115"/>
      <c r="P17" s="117"/>
      <c r="Q17" s="116"/>
      <c r="R17" s="115"/>
      <c r="S17" s="116"/>
      <c r="T17" s="116"/>
      <c r="U17" s="117"/>
      <c r="V17" s="271"/>
      <c r="W17" s="281" t="e">
        <f t="shared" si="0"/>
        <v>#REF!</v>
      </c>
      <c r="X17" s="145"/>
    </row>
    <row r="18" spans="1:37" s="51" customFormat="1" ht="24" customHeight="1">
      <c r="A18" s="153">
        <v>51302</v>
      </c>
      <c r="B18" s="265" t="s">
        <v>93</v>
      </c>
      <c r="C18" s="115"/>
      <c r="D18" s="116"/>
      <c r="E18" s="116"/>
      <c r="F18" s="258"/>
      <c r="G18" s="115"/>
      <c r="H18" s="116"/>
      <c r="I18" s="116"/>
      <c r="J18" s="258"/>
      <c r="K18" s="115"/>
      <c r="L18" s="116"/>
      <c r="M18" s="116"/>
      <c r="N18" s="258"/>
      <c r="O18" s="115"/>
      <c r="P18" s="117"/>
      <c r="Q18" s="116"/>
      <c r="R18" s="115"/>
      <c r="S18" s="116"/>
      <c r="T18" s="116"/>
      <c r="U18" s="117">
        <v>0</v>
      </c>
      <c r="V18" s="271">
        <v>0</v>
      </c>
      <c r="W18" s="281">
        <f t="shared" si="0"/>
        <v>0</v>
      </c>
      <c r="X18" s="145"/>
    </row>
    <row r="19" spans="1:37" s="51" customFormat="1" ht="24" customHeight="1">
      <c r="A19" s="146" t="s">
        <v>94</v>
      </c>
      <c r="B19" s="264" t="s">
        <v>95</v>
      </c>
      <c r="C19" s="293">
        <f>SUM('Concen. de  Recursos Huma'!C27)</f>
        <v>12981.43</v>
      </c>
      <c r="D19" s="295">
        <f>SUM('Concen. de  Recursos Huma'!D27)</f>
        <v>0</v>
      </c>
      <c r="E19" s="295">
        <f>SUM('Concen. de  Recursos Huma'!E27)</f>
        <v>0</v>
      </c>
      <c r="F19" s="294">
        <f>SUM('Concen. de  Recursos Huma'!F27)</f>
        <v>0</v>
      </c>
      <c r="G19" s="293">
        <f>SUM('Concen. de  Recursos Huma'!C12)</f>
        <v>15430.275</v>
      </c>
      <c r="H19" s="292">
        <f>SUM('Concen. de  Recursos Huma'!D12)</f>
        <v>0</v>
      </c>
      <c r="I19" s="292">
        <f>SUM('Concen. de  Recursos Huma'!E12)</f>
        <v>0</v>
      </c>
      <c r="J19" s="294">
        <f>SUM('Concen. de  Recursos Huma'!F12)</f>
        <v>0</v>
      </c>
      <c r="K19" s="115"/>
      <c r="L19" s="116"/>
      <c r="M19" s="116"/>
      <c r="N19" s="258">
        <f>SUM('Proy. de recur.Humanos'!L106:M106)</f>
        <v>3403.7400000000007</v>
      </c>
      <c r="O19" s="115"/>
      <c r="P19" s="117"/>
      <c r="Q19" s="116"/>
      <c r="R19" s="115"/>
      <c r="S19" s="116"/>
      <c r="T19" s="116"/>
      <c r="U19" s="117">
        <v>0</v>
      </c>
      <c r="V19" s="271">
        <v>0</v>
      </c>
      <c r="W19" s="281">
        <f t="shared" si="0"/>
        <v>31815.445000000003</v>
      </c>
      <c r="X19" s="145"/>
    </row>
    <row r="20" spans="1:37" s="51" customFormat="1" ht="24" customHeight="1">
      <c r="A20" s="146" t="s">
        <v>96</v>
      </c>
      <c r="B20" s="264" t="s">
        <v>97</v>
      </c>
      <c r="C20" s="297">
        <f>SUM('Concen. de  Recursos Huma'!C28)</f>
        <v>12648.08</v>
      </c>
      <c r="D20" s="296">
        <f>SUM('Concen. de  Recursos Huma'!D28)</f>
        <v>0</v>
      </c>
      <c r="E20" s="296">
        <f>SUM('Concen. de  Recursos Huma'!E28)</f>
        <v>0</v>
      </c>
      <c r="F20" s="257">
        <f>SUM('Concen. de  Recursos Huma'!F28)</f>
        <v>0</v>
      </c>
      <c r="G20" s="297">
        <f>SUM('Concen. de  Recursos Huma'!C13)</f>
        <v>17148.037499999999</v>
      </c>
      <c r="H20" s="298">
        <f>SUM('Concen. de  Recursos Huma'!D13)</f>
        <v>0</v>
      </c>
      <c r="I20" s="298">
        <f>SUM('Concen. de  Recursos Huma'!E13)</f>
        <v>0</v>
      </c>
      <c r="J20" s="257">
        <f>SUM('Concen. de  Recursos Huma'!F13)</f>
        <v>0</v>
      </c>
      <c r="K20" s="115"/>
      <c r="L20" s="116"/>
      <c r="M20" s="116"/>
      <c r="N20" s="258">
        <f>SUM('Proy. de recur.Humanos'!Q106)</f>
        <v>3103.41</v>
      </c>
      <c r="O20" s="115"/>
      <c r="P20" s="117"/>
      <c r="Q20" s="116"/>
      <c r="R20" s="115"/>
      <c r="S20" s="116"/>
      <c r="T20" s="116"/>
      <c r="U20" s="117">
        <v>0</v>
      </c>
      <c r="V20" s="271">
        <v>0</v>
      </c>
      <c r="W20" s="281">
        <f t="shared" si="0"/>
        <v>32899.527499999997</v>
      </c>
      <c r="X20" s="145"/>
    </row>
    <row r="21" spans="1:37" s="51" customFormat="1" ht="24" customHeight="1">
      <c r="A21" s="153">
        <v>51901</v>
      </c>
      <c r="B21" s="265" t="s">
        <v>164</v>
      </c>
      <c r="C21" s="115"/>
      <c r="D21" s="116"/>
      <c r="E21" s="116"/>
      <c r="F21" s="258"/>
      <c r="G21" s="115"/>
      <c r="H21" s="116"/>
      <c r="I21" s="116"/>
      <c r="J21" s="258"/>
      <c r="K21" s="115"/>
      <c r="L21" s="116"/>
      <c r="M21" s="116"/>
      <c r="N21" s="258"/>
      <c r="O21" s="115"/>
      <c r="P21" s="117"/>
      <c r="Q21" s="116"/>
      <c r="R21" s="115"/>
      <c r="S21" s="116"/>
      <c r="T21" s="116"/>
      <c r="U21" s="117">
        <v>0</v>
      </c>
      <c r="V21" s="271">
        <v>0</v>
      </c>
      <c r="W21" s="281">
        <f t="shared" si="0"/>
        <v>0</v>
      </c>
      <c r="X21" s="145"/>
    </row>
    <row r="22" spans="1:37" s="51" customFormat="1" ht="24" customHeight="1">
      <c r="A22" s="153">
        <v>51999</v>
      </c>
      <c r="B22" s="265" t="s">
        <v>98</v>
      </c>
      <c r="C22" s="115"/>
      <c r="D22" s="116"/>
      <c r="E22" s="116"/>
      <c r="F22" s="258"/>
      <c r="G22" s="115"/>
      <c r="H22" s="116"/>
      <c r="I22" s="116"/>
      <c r="J22" s="258"/>
      <c r="K22" s="115"/>
      <c r="L22" s="116"/>
      <c r="M22" s="116"/>
      <c r="N22" s="258"/>
      <c r="O22" s="115"/>
      <c r="P22" s="117"/>
      <c r="Q22" s="116"/>
      <c r="R22" s="115"/>
      <c r="S22" s="116"/>
      <c r="T22" s="116"/>
      <c r="U22" s="117"/>
      <c r="V22" s="271"/>
      <c r="W22" s="281">
        <f t="shared" si="0"/>
        <v>0</v>
      </c>
      <c r="X22" s="145"/>
    </row>
    <row r="23" spans="1:37" s="51" customFormat="1" ht="24" customHeight="1">
      <c r="A23" s="153">
        <v>54101</v>
      </c>
      <c r="B23" s="265" t="s">
        <v>132</v>
      </c>
      <c r="C23" s="115">
        <f>SUM('FONDOS PROPIOS'!H16)</f>
        <v>2000</v>
      </c>
      <c r="D23" s="116"/>
      <c r="E23" s="116"/>
      <c r="F23" s="258"/>
      <c r="G23" s="115">
        <f>SUM('120 libre Administ.'!H16)</f>
        <v>500</v>
      </c>
      <c r="H23" s="116"/>
      <c r="I23" s="116"/>
      <c r="J23" s="258"/>
      <c r="K23" s="115"/>
      <c r="L23" s="116"/>
      <c r="M23" s="116"/>
      <c r="N23" s="258">
        <f>SUM('120- Libre disp, social'!H15)</f>
        <v>15200</v>
      </c>
      <c r="O23" s="115"/>
      <c r="P23" s="117"/>
      <c r="Q23" s="116"/>
      <c r="R23" s="115" t="e">
        <f>SUM('INVER.FODES 75% AG 4'!H11)</f>
        <v>#REF!</v>
      </c>
      <c r="S23" s="116"/>
      <c r="T23" s="116"/>
      <c r="U23" s="117"/>
      <c r="V23" s="271"/>
      <c r="W23" s="281" t="e">
        <f t="shared" si="0"/>
        <v>#REF!</v>
      </c>
      <c r="X23" s="145"/>
    </row>
    <row r="24" spans="1:37" s="51" customFormat="1" ht="24" customHeight="1">
      <c r="A24" s="153">
        <v>54103</v>
      </c>
      <c r="B24" s="265" t="s">
        <v>133</v>
      </c>
      <c r="C24" s="119"/>
      <c r="D24" s="118"/>
      <c r="E24" s="118"/>
      <c r="F24" s="259">
        <f>SUM('FONDOS PROPIOS'!H51)</f>
        <v>0</v>
      </c>
      <c r="G24" s="119"/>
      <c r="H24" s="118"/>
      <c r="I24" s="118"/>
      <c r="J24" s="259"/>
      <c r="K24" s="119"/>
      <c r="L24" s="118"/>
      <c r="M24" s="118"/>
      <c r="N24" s="259">
        <f>SUM('120- Libre disp, social'!H16)</f>
        <v>700</v>
      </c>
      <c r="O24" s="119"/>
      <c r="P24" s="120"/>
      <c r="Q24" s="118"/>
      <c r="R24" s="119"/>
      <c r="S24" s="118"/>
      <c r="T24" s="118"/>
      <c r="U24" s="120"/>
      <c r="V24" s="272"/>
      <c r="W24" s="281">
        <f t="shared" si="0"/>
        <v>700</v>
      </c>
      <c r="X24" s="57"/>
    </row>
    <row r="25" spans="1:37" s="51" customFormat="1" ht="24" customHeight="1">
      <c r="A25" s="153">
        <v>54104</v>
      </c>
      <c r="B25" s="265" t="s">
        <v>134</v>
      </c>
      <c r="C25" s="119"/>
      <c r="D25" s="118"/>
      <c r="E25" s="118"/>
      <c r="F25" s="259"/>
      <c r="G25" s="119">
        <f>SUM('120 libre Administ.'!H17)</f>
        <v>500</v>
      </c>
      <c r="H25" s="118"/>
      <c r="I25" s="118"/>
      <c r="J25" s="259"/>
      <c r="K25" s="119" t="e">
        <f>SUM('120- Libre disp, social'!#REF!)</f>
        <v>#REF!</v>
      </c>
      <c r="L25" s="118"/>
      <c r="M25" s="118"/>
      <c r="N25" s="259">
        <f>SUM('120- Libre disp, social'!H17)</f>
        <v>7500</v>
      </c>
      <c r="O25" s="119"/>
      <c r="P25" s="120"/>
      <c r="Q25" s="118"/>
      <c r="R25" s="119"/>
      <c r="S25" s="118"/>
      <c r="T25" s="118"/>
      <c r="U25" s="120"/>
      <c r="V25" s="272"/>
      <c r="W25" s="281" t="e">
        <f t="shared" si="0"/>
        <v>#REF!</v>
      </c>
      <c r="X25" s="57"/>
    </row>
    <row r="26" spans="1:37" s="51" customFormat="1" ht="24" customHeight="1">
      <c r="A26" s="153">
        <v>54105</v>
      </c>
      <c r="B26" s="265" t="s">
        <v>135</v>
      </c>
      <c r="C26" s="119"/>
      <c r="D26" s="118"/>
      <c r="E26" s="118"/>
      <c r="F26" s="259"/>
      <c r="G26" s="119">
        <f>SUM('120 libre Administ.'!H18)</f>
        <v>2500</v>
      </c>
      <c r="H26" s="118" t="e">
        <f>SUM('120 libre Administ.'!#REF!)</f>
        <v>#REF!</v>
      </c>
      <c r="I26" s="118" t="e">
        <f>SUM('120 libre Administ.'!#REF!)</f>
        <v>#REF!</v>
      </c>
      <c r="J26" s="259" t="e">
        <f>SUM('120 libre Administ.'!#REF!)</f>
        <v>#REF!</v>
      </c>
      <c r="K26" s="119"/>
      <c r="L26" s="118"/>
      <c r="M26" s="118"/>
      <c r="N26" s="259">
        <f>SUM('120- Libre disp, social'!H18)</f>
        <v>1200</v>
      </c>
      <c r="O26" s="119"/>
      <c r="P26" s="120"/>
      <c r="Q26" s="118"/>
      <c r="R26" s="119" t="e">
        <f>SUM('INVER.FODES 75% AG 4'!H12)</f>
        <v>#REF!</v>
      </c>
      <c r="S26" s="118"/>
      <c r="T26" s="118"/>
      <c r="U26" s="120"/>
      <c r="V26" s="272"/>
      <c r="W26" s="281" t="e">
        <f t="shared" si="0"/>
        <v>#REF!</v>
      </c>
      <c r="X26" s="57"/>
    </row>
    <row r="27" spans="1:37" s="51" customFormat="1" ht="24" customHeight="1">
      <c r="A27" s="153">
        <v>54107</v>
      </c>
      <c r="B27" s="265" t="s">
        <v>136</v>
      </c>
      <c r="C27" s="119"/>
      <c r="D27" s="118"/>
      <c r="E27" s="118"/>
      <c r="F27" s="259">
        <f>SUM('FONDOS PROPIOS'!H52)</f>
        <v>800</v>
      </c>
      <c r="G27" s="119">
        <f>SUM('120 libre Administ.'!H19)</f>
        <v>700</v>
      </c>
      <c r="H27" s="118"/>
      <c r="I27" s="118"/>
      <c r="J27" s="259" t="e">
        <f>SUM('120 libre Administ.'!#REF!)</f>
        <v>#REF!</v>
      </c>
      <c r="K27" s="119" t="e">
        <f>SUM('120- Libre disp, social'!#REF!)</f>
        <v>#REF!</v>
      </c>
      <c r="L27" s="118"/>
      <c r="M27" s="118"/>
      <c r="N27" s="259">
        <f>SUM('120- Libre disp, social'!H20)</f>
        <v>2950</v>
      </c>
      <c r="O27" s="119"/>
      <c r="P27" s="120"/>
      <c r="Q27" s="118"/>
      <c r="R27" s="119">
        <f>SUM('INVER.FODES 75% AG 4'!H18)</f>
        <v>0</v>
      </c>
      <c r="S27" s="118"/>
      <c r="T27" s="118"/>
      <c r="U27" s="120"/>
      <c r="V27" s="272"/>
      <c r="W27" s="281" t="e">
        <f t="shared" si="0"/>
        <v>#REF!</v>
      </c>
      <c r="X27" s="57"/>
    </row>
    <row r="28" spans="1:37" s="51" customFormat="1" ht="24" customHeight="1">
      <c r="A28" s="153">
        <v>54108</v>
      </c>
      <c r="B28" s="265" t="s">
        <v>137</v>
      </c>
      <c r="C28" s="119"/>
      <c r="D28" s="118"/>
      <c r="E28" s="118"/>
      <c r="F28" s="259"/>
      <c r="G28" s="119"/>
      <c r="H28" s="118"/>
      <c r="I28" s="118"/>
      <c r="J28" s="259"/>
      <c r="K28" s="119"/>
      <c r="L28" s="118"/>
      <c r="M28" s="118"/>
      <c r="N28" s="259"/>
      <c r="O28" s="119"/>
      <c r="P28" s="120"/>
      <c r="Q28" s="118"/>
      <c r="R28" s="119"/>
      <c r="S28" s="118"/>
      <c r="T28" s="118"/>
      <c r="U28" s="120"/>
      <c r="V28" s="272"/>
      <c r="W28" s="281">
        <f t="shared" si="0"/>
        <v>0</v>
      </c>
      <c r="X28" s="57"/>
    </row>
    <row r="29" spans="1:37" s="51" customFormat="1" ht="24" customHeight="1">
      <c r="A29" s="153">
        <v>54109</v>
      </c>
      <c r="B29" s="265" t="s">
        <v>138</v>
      </c>
      <c r="C29" s="119"/>
      <c r="D29" s="118"/>
      <c r="E29" s="118"/>
      <c r="F29" s="259"/>
      <c r="G29" s="119">
        <f>SUM('120 libre Administ.'!H20)</f>
        <v>4500</v>
      </c>
      <c r="H29" s="118"/>
      <c r="I29" s="118"/>
      <c r="J29" s="259"/>
      <c r="K29" s="119"/>
      <c r="L29" s="118"/>
      <c r="M29" s="118"/>
      <c r="N29" s="259">
        <f>SUM('120- Libre disp, social'!H21)</f>
        <v>1000</v>
      </c>
      <c r="O29" s="119"/>
      <c r="P29" s="120"/>
      <c r="Q29" s="118"/>
      <c r="R29" s="119"/>
      <c r="S29" s="118"/>
      <c r="T29" s="118"/>
      <c r="U29" s="120"/>
      <c r="V29" s="272"/>
      <c r="W29" s="281">
        <f t="shared" si="0"/>
        <v>5500</v>
      </c>
      <c r="X29" s="57"/>
    </row>
    <row r="30" spans="1:37" s="51" customFormat="1" ht="24" customHeight="1">
      <c r="A30" s="153">
        <v>54110</v>
      </c>
      <c r="B30" s="266" t="s">
        <v>139</v>
      </c>
      <c r="C30" s="119"/>
      <c r="D30" s="118"/>
      <c r="E30" s="118"/>
      <c r="F30" s="259"/>
      <c r="G30" s="119">
        <f>SUM('120 libre Administ.'!H21)</f>
        <v>7000</v>
      </c>
      <c r="H30" s="118"/>
      <c r="I30" s="118"/>
      <c r="J30" s="259"/>
      <c r="K30" s="119"/>
      <c r="L30" s="118"/>
      <c r="M30" s="118"/>
      <c r="N30" s="259">
        <f>SUM('120- Libre disp, social'!H22)</f>
        <v>5000</v>
      </c>
      <c r="O30" s="119"/>
      <c r="P30" s="120"/>
      <c r="Q30" s="118"/>
      <c r="R30" s="119">
        <f>SUM('INVER.FODES 75% AG 4'!H19)</f>
        <v>0</v>
      </c>
      <c r="S30" s="118"/>
      <c r="T30" s="118"/>
      <c r="U30" s="120"/>
      <c r="V30" s="272"/>
      <c r="W30" s="281">
        <f t="shared" si="0"/>
        <v>12000</v>
      </c>
      <c r="X30" s="57"/>
    </row>
    <row r="31" spans="1:37" s="51" customFormat="1" ht="24" customHeight="1">
      <c r="A31" s="153">
        <v>54111</v>
      </c>
      <c r="B31" s="265" t="s">
        <v>426</v>
      </c>
      <c r="C31" s="119"/>
      <c r="D31" s="118"/>
      <c r="E31" s="118"/>
      <c r="F31" s="259">
        <f>SUM('FONDOS PROPIOS'!H53)</f>
        <v>650</v>
      </c>
      <c r="G31" s="119"/>
      <c r="H31" s="118"/>
      <c r="I31" s="118"/>
      <c r="J31" s="259"/>
      <c r="K31" s="119" t="e">
        <f>SUM('120- Libre disp, social'!#REF!)</f>
        <v>#REF!</v>
      </c>
      <c r="L31" s="118"/>
      <c r="M31" s="118"/>
      <c r="N31" s="259">
        <f>SUM('120- Libre disp, social'!H23)</f>
        <v>34644</v>
      </c>
      <c r="O31" s="119"/>
      <c r="P31" s="120"/>
      <c r="Q31" s="118"/>
      <c r="R31" s="119">
        <f>SUM('INVER.FODES 75% AG 4'!H20)</f>
        <v>0</v>
      </c>
      <c r="S31" s="118"/>
      <c r="T31" s="118"/>
      <c r="U31" s="120"/>
      <c r="V31" s="272"/>
      <c r="W31" s="281" t="e">
        <f t="shared" si="0"/>
        <v>#REF!</v>
      </c>
      <c r="X31" s="57"/>
    </row>
    <row r="32" spans="1:37" s="51" customFormat="1" ht="24" customHeight="1">
      <c r="A32" s="153">
        <v>54112</v>
      </c>
      <c r="B32" s="265" t="s">
        <v>141</v>
      </c>
      <c r="C32" s="119"/>
      <c r="D32" s="118"/>
      <c r="E32" s="118"/>
      <c r="F32" s="259">
        <f>SUM('FONDOS PROPIOS'!H54)</f>
        <v>800</v>
      </c>
      <c r="G32" s="119"/>
      <c r="H32" s="118"/>
      <c r="I32" s="118"/>
      <c r="J32" s="259"/>
      <c r="K32" s="119" t="e">
        <f>SUM('120- Libre disp, social'!#REF!)</f>
        <v>#REF!</v>
      </c>
      <c r="L32" s="118"/>
      <c r="M32" s="118"/>
      <c r="N32" s="259">
        <f>SUM('120- Libre disp, social'!H24)</f>
        <v>15800</v>
      </c>
      <c r="O32" s="119"/>
      <c r="P32" s="120"/>
      <c r="Q32" s="118"/>
      <c r="R32" s="119">
        <f>SUM('INVER.FODES 75% AG 4'!H21)</f>
        <v>0</v>
      </c>
      <c r="S32" s="118"/>
      <c r="T32" s="118"/>
      <c r="U32" s="120"/>
      <c r="V32" s="272"/>
      <c r="W32" s="281" t="e">
        <f t="shared" si="0"/>
        <v>#REF!</v>
      </c>
      <c r="X32" s="57"/>
    </row>
    <row r="33" spans="1:37" s="51" customFormat="1" ht="24" customHeight="1">
      <c r="A33" s="153">
        <v>54114</v>
      </c>
      <c r="B33" s="265" t="s">
        <v>142</v>
      </c>
      <c r="C33" s="119"/>
      <c r="D33" s="118"/>
      <c r="E33" s="118"/>
      <c r="F33" s="259"/>
      <c r="G33" s="119">
        <f>SUM('120 libre Administ.'!H22)</f>
        <v>900</v>
      </c>
      <c r="H33" s="118" t="e">
        <f>SUM('120 libre Administ.'!#REF!)</f>
        <v>#REF!</v>
      </c>
      <c r="I33" s="118" t="e">
        <f>SUM('120 libre Administ.'!#REF!)</f>
        <v>#REF!</v>
      </c>
      <c r="J33" s="259" t="e">
        <f>SUM('120 libre Administ.'!#REF!)</f>
        <v>#REF!</v>
      </c>
      <c r="K33" s="119"/>
      <c r="L33" s="118"/>
      <c r="M33" s="118"/>
      <c r="N33" s="259">
        <f>SUM('120- Libre disp, social'!H25)</f>
        <v>250</v>
      </c>
      <c r="O33" s="119"/>
      <c r="P33" s="120"/>
      <c r="Q33" s="118"/>
      <c r="R33" s="119"/>
      <c r="S33" s="118"/>
      <c r="T33" s="118"/>
      <c r="U33" s="120"/>
      <c r="V33" s="272"/>
      <c r="W33" s="281" t="e">
        <f t="shared" si="0"/>
        <v>#REF!</v>
      </c>
      <c r="X33" s="57"/>
    </row>
    <row r="34" spans="1:37" s="51" customFormat="1" ht="24" customHeight="1">
      <c r="A34" s="153">
        <v>54115</v>
      </c>
      <c r="B34" s="265" t="s">
        <v>143</v>
      </c>
      <c r="C34" s="119"/>
      <c r="D34" s="118"/>
      <c r="E34" s="118"/>
      <c r="F34" s="259"/>
      <c r="G34" s="119">
        <f>SUM('120 libre Administ.'!H23)</f>
        <v>555</v>
      </c>
      <c r="H34" s="118" t="e">
        <f>SUM('120 libre Administ.'!#REF!)</f>
        <v>#REF!</v>
      </c>
      <c r="I34" s="118" t="e">
        <f>SUM('120 libre Administ.'!#REF!)</f>
        <v>#REF!</v>
      </c>
      <c r="J34" s="259" t="e">
        <f>SUM('120 libre Administ.'!#REF!)</f>
        <v>#REF!</v>
      </c>
      <c r="K34" s="119"/>
      <c r="L34" s="118"/>
      <c r="M34" s="118"/>
      <c r="N34" s="259">
        <f>SUM('120- Libre disp, social'!H26)</f>
        <v>318.5</v>
      </c>
      <c r="O34" s="119"/>
      <c r="P34" s="120"/>
      <c r="Q34" s="118"/>
      <c r="R34" s="119"/>
      <c r="S34" s="118"/>
      <c r="T34" s="118"/>
      <c r="U34" s="120"/>
      <c r="V34" s="272"/>
      <c r="W34" s="281" t="e">
        <f t="shared" si="0"/>
        <v>#REF!</v>
      </c>
      <c r="X34" s="57"/>
    </row>
    <row r="35" spans="1:37" s="51" customFormat="1" ht="24" customHeight="1">
      <c r="A35" s="153">
        <v>54117</v>
      </c>
      <c r="B35" s="265" t="s">
        <v>144</v>
      </c>
      <c r="C35" s="119"/>
      <c r="D35" s="118"/>
      <c r="E35" s="118"/>
      <c r="F35" s="259"/>
      <c r="G35" s="119"/>
      <c r="H35" s="118"/>
      <c r="I35" s="118"/>
      <c r="J35" s="259"/>
      <c r="K35" s="119"/>
      <c r="L35" s="118"/>
      <c r="M35" s="118"/>
      <c r="N35" s="259">
        <f>SUM('120- Libre disp, social'!H27)</f>
        <v>3240.7</v>
      </c>
      <c r="O35" s="119"/>
      <c r="P35" s="120"/>
      <c r="Q35" s="118"/>
      <c r="R35" s="119"/>
      <c r="S35" s="118"/>
      <c r="T35" s="118"/>
      <c r="U35" s="120"/>
      <c r="V35" s="272"/>
      <c r="W35" s="281">
        <f t="shared" si="0"/>
        <v>3240.7</v>
      </c>
      <c r="X35" s="57"/>
    </row>
    <row r="36" spans="1:37" s="51" customFormat="1" ht="24" customHeight="1">
      <c r="A36" s="153">
        <v>54118</v>
      </c>
      <c r="B36" s="265" t="s">
        <v>145</v>
      </c>
      <c r="C36" s="119"/>
      <c r="D36" s="118"/>
      <c r="E36" s="118"/>
      <c r="F36" s="259">
        <f>SUM('FONDOS PROPIOS'!H55)</f>
        <v>0</v>
      </c>
      <c r="G36" s="119">
        <f>SUM('120 libre Administ.'!H24)</f>
        <v>1300</v>
      </c>
      <c r="H36" s="118"/>
      <c r="I36" s="118"/>
      <c r="J36" s="259" t="e">
        <f>SUM('120 libre Administ.'!#REF!)</f>
        <v>#REF!</v>
      </c>
      <c r="K36" s="119" t="e">
        <f>SUM('120- Libre disp, social'!#REF!)</f>
        <v>#REF!</v>
      </c>
      <c r="L36" s="118"/>
      <c r="M36" s="118"/>
      <c r="N36" s="259">
        <f>SUM('120- Libre disp, social'!H28)</f>
        <v>13250</v>
      </c>
      <c r="O36" s="119"/>
      <c r="P36" s="120"/>
      <c r="Q36" s="118"/>
      <c r="R36" s="119">
        <f>SUM('INVER.FODES 75% AG 4'!H22)</f>
        <v>0</v>
      </c>
      <c r="S36" s="118"/>
      <c r="T36" s="118"/>
      <c r="U36" s="120"/>
      <c r="V36" s="272"/>
      <c r="W36" s="281" t="e">
        <f t="shared" si="0"/>
        <v>#REF!</v>
      </c>
      <c r="X36" s="57"/>
    </row>
    <row r="37" spans="1:37" s="51" customFormat="1" ht="24" customHeight="1">
      <c r="A37" s="153">
        <v>54119</v>
      </c>
      <c r="B37" s="265" t="s">
        <v>146</v>
      </c>
      <c r="C37" s="119"/>
      <c r="D37" s="118"/>
      <c r="E37" s="118"/>
      <c r="F37" s="259">
        <f>SUM('FONDOS PROPIOS'!H56)</f>
        <v>1000</v>
      </c>
      <c r="G37" s="119">
        <f>SUM('120 libre Administ.'!H25)</f>
        <v>900</v>
      </c>
      <c r="H37" s="118"/>
      <c r="I37" s="118"/>
      <c r="J37" s="259" t="e">
        <f>SUM('120 libre Administ.'!#REF!)</f>
        <v>#REF!</v>
      </c>
      <c r="K37" s="119"/>
      <c r="L37" s="118"/>
      <c r="M37" s="118"/>
      <c r="N37" s="259">
        <f>SUM('120- Libre disp, social'!H29)</f>
        <v>14050</v>
      </c>
      <c r="O37" s="119"/>
      <c r="P37" s="120"/>
      <c r="Q37" s="118"/>
      <c r="R37" s="119"/>
      <c r="S37" s="118"/>
      <c r="T37" s="118"/>
      <c r="U37" s="120"/>
      <c r="V37" s="272"/>
      <c r="W37" s="281" t="e">
        <f t="shared" si="0"/>
        <v>#REF!</v>
      </c>
      <c r="X37" s="57"/>
    </row>
    <row r="38" spans="1:37" s="51" customFormat="1" ht="24" customHeight="1">
      <c r="A38" s="153">
        <v>54121</v>
      </c>
      <c r="B38" s="265" t="s">
        <v>147</v>
      </c>
      <c r="C38" s="119"/>
      <c r="D38" s="118"/>
      <c r="E38" s="118"/>
      <c r="F38" s="259"/>
      <c r="G38" s="119"/>
      <c r="H38" s="118" t="e">
        <f>SUM('120 libre Administ.'!#REF!)</f>
        <v>#REF!</v>
      </c>
      <c r="I38" s="118"/>
      <c r="J38" s="259"/>
      <c r="K38" s="119"/>
      <c r="L38" s="118"/>
      <c r="M38" s="118"/>
      <c r="N38" s="259"/>
      <c r="O38" s="119"/>
      <c r="P38" s="120"/>
      <c r="Q38" s="118"/>
      <c r="R38" s="119"/>
      <c r="S38" s="118"/>
      <c r="T38" s="118"/>
      <c r="U38" s="120"/>
      <c r="V38" s="272"/>
      <c r="W38" s="281" t="e">
        <f t="shared" si="0"/>
        <v>#REF!</v>
      </c>
      <c r="X38" s="57"/>
    </row>
    <row r="39" spans="1:37" s="51" customFormat="1" ht="24" customHeight="1">
      <c r="A39" s="153">
        <v>54199</v>
      </c>
      <c r="B39" s="265" t="s">
        <v>395</v>
      </c>
      <c r="C39" s="119">
        <f>SUM('FONDOS PROPIOS'!H18)</f>
        <v>1000</v>
      </c>
      <c r="D39" s="118"/>
      <c r="E39" s="118"/>
      <c r="F39" s="259">
        <f>SUM('FONDOS PROPIOS'!H57)</f>
        <v>0</v>
      </c>
      <c r="G39" s="119">
        <f>SUM('120 libre Administ.'!H27)</f>
        <v>1000</v>
      </c>
      <c r="H39" s="118" t="e">
        <f>SUM('120 libre Administ.'!#REF!)</f>
        <v>#REF!</v>
      </c>
      <c r="I39" s="118"/>
      <c r="J39" s="259" t="e">
        <f>SUM('120 libre Administ.'!#REF!)</f>
        <v>#REF!</v>
      </c>
      <c r="K39" s="119" t="e">
        <f>SUM('120- Libre disp, social'!#REF!)</f>
        <v>#REF!</v>
      </c>
      <c r="L39" s="118"/>
      <c r="M39" s="118"/>
      <c r="N39" s="259">
        <f>SUM('120- Libre disp, social'!H30)</f>
        <v>12079</v>
      </c>
      <c r="O39" s="119"/>
      <c r="P39" s="120"/>
      <c r="Q39" s="118"/>
      <c r="R39" s="119">
        <f>SUM('INVER.FODES 75% AG 4'!H23)</f>
        <v>0</v>
      </c>
      <c r="S39" s="118"/>
      <c r="T39" s="118"/>
      <c r="U39" s="120"/>
      <c r="V39" s="272"/>
      <c r="W39" s="281" t="e">
        <f t="shared" si="0"/>
        <v>#REF!</v>
      </c>
      <c r="X39" s="57"/>
    </row>
    <row r="40" spans="1:37" s="51" customFormat="1" ht="24" customHeight="1">
      <c r="A40" s="153">
        <v>54201</v>
      </c>
      <c r="B40" s="265" t="s">
        <v>149</v>
      </c>
      <c r="C40" s="119"/>
      <c r="D40" s="118"/>
      <c r="E40" s="118"/>
      <c r="F40" s="259"/>
      <c r="G40" s="119">
        <f>SUM('120 libre Administ.'!H28)</f>
        <v>4500</v>
      </c>
      <c r="H40" s="118"/>
      <c r="I40" s="118"/>
      <c r="J40" s="259"/>
      <c r="K40" s="119"/>
      <c r="L40" s="118"/>
      <c r="M40" s="118"/>
      <c r="N40" s="259">
        <f>SUM('120- Libre disp, social'!H31)</f>
        <v>790</v>
      </c>
      <c r="O40" s="119"/>
      <c r="P40" s="120"/>
      <c r="Q40" s="118"/>
      <c r="R40" s="119"/>
      <c r="S40" s="118"/>
      <c r="T40" s="118"/>
      <c r="U40" s="120"/>
      <c r="V40" s="272"/>
      <c r="W40" s="281">
        <f t="shared" si="0"/>
        <v>5290</v>
      </c>
      <c r="X40" s="57"/>
    </row>
    <row r="41" spans="1:37" s="51" customFormat="1" ht="24" customHeight="1">
      <c r="A41" s="153">
        <v>54202</v>
      </c>
      <c r="B41" s="265" t="s">
        <v>150</v>
      </c>
      <c r="C41" s="119"/>
      <c r="D41" s="118"/>
      <c r="E41" s="118"/>
      <c r="F41" s="259">
        <v>200</v>
      </c>
      <c r="G41" s="119">
        <f>SUM('120 libre Administ.'!H29)</f>
        <v>2900</v>
      </c>
      <c r="H41" s="118"/>
      <c r="I41" s="118"/>
      <c r="J41" s="259"/>
      <c r="K41" s="119"/>
      <c r="L41" s="118"/>
      <c r="M41" s="118"/>
      <c r="N41" s="259">
        <f>SUM('120- Libre disp, social'!H32)</f>
        <v>2530</v>
      </c>
      <c r="O41" s="119"/>
      <c r="P41" s="120"/>
      <c r="Q41" s="118"/>
      <c r="R41" s="119"/>
      <c r="S41" s="118"/>
      <c r="T41" s="118"/>
      <c r="U41" s="120"/>
      <c r="V41" s="272"/>
      <c r="W41" s="281">
        <f t="shared" si="0"/>
        <v>5630</v>
      </c>
      <c r="X41" s="57"/>
    </row>
    <row r="42" spans="1:37" s="51" customFormat="1" ht="24" customHeight="1">
      <c r="A42" s="153">
        <v>54203</v>
      </c>
      <c r="B42" s="265" t="s">
        <v>151</v>
      </c>
      <c r="C42" s="119"/>
      <c r="D42" s="118"/>
      <c r="E42" s="118"/>
      <c r="F42" s="259"/>
      <c r="G42" s="119">
        <f>SUM('120 libre Administ.'!H30)</f>
        <v>5500</v>
      </c>
      <c r="H42" s="118"/>
      <c r="I42" s="118"/>
      <c r="J42" s="259"/>
      <c r="K42" s="119"/>
      <c r="L42" s="118"/>
      <c r="M42" s="118"/>
      <c r="N42" s="259">
        <f>SUM('120- Libre disp, social'!H33)</f>
        <v>200</v>
      </c>
      <c r="O42" s="119"/>
      <c r="P42" s="120"/>
      <c r="Q42" s="118"/>
      <c r="R42" s="119"/>
      <c r="S42" s="118"/>
      <c r="T42" s="118"/>
      <c r="U42" s="120"/>
      <c r="V42" s="272"/>
      <c r="W42" s="281">
        <f t="shared" si="0"/>
        <v>5700</v>
      </c>
      <c r="X42" s="57"/>
    </row>
    <row r="43" spans="1:37" s="51" customFormat="1" ht="24" customHeight="1">
      <c r="A43" s="153">
        <v>54204</v>
      </c>
      <c r="B43" s="265" t="s">
        <v>152</v>
      </c>
      <c r="C43" s="119"/>
      <c r="D43" s="118"/>
      <c r="E43" s="118"/>
      <c r="F43" s="259"/>
      <c r="G43" s="119" t="e">
        <f>SUM('120 libre Administ.'!#REF!)</f>
        <v>#REF!</v>
      </c>
      <c r="H43" s="118"/>
      <c r="I43" s="118"/>
      <c r="J43" s="259"/>
      <c r="K43" s="119"/>
      <c r="L43" s="118"/>
      <c r="M43" s="118"/>
      <c r="N43" s="259"/>
      <c r="O43" s="119"/>
      <c r="P43" s="120"/>
      <c r="Q43" s="118"/>
      <c r="R43" s="119"/>
      <c r="S43" s="118"/>
      <c r="T43" s="118"/>
      <c r="U43" s="120"/>
      <c r="V43" s="272"/>
      <c r="W43" s="281" t="e">
        <f t="shared" si="0"/>
        <v>#REF!</v>
      </c>
      <c r="X43" s="57"/>
    </row>
    <row r="44" spans="1:37" s="51" customFormat="1" ht="24" customHeight="1">
      <c r="A44" s="153">
        <v>54205</v>
      </c>
      <c r="B44" s="265" t="s">
        <v>153</v>
      </c>
      <c r="C44" s="119"/>
      <c r="D44" s="118"/>
      <c r="E44" s="118"/>
      <c r="F44" s="259"/>
      <c r="G44" s="119"/>
      <c r="H44" s="118"/>
      <c r="I44" s="118"/>
      <c r="J44" s="259"/>
      <c r="K44" s="119"/>
      <c r="L44" s="118"/>
      <c r="M44" s="118"/>
      <c r="N44" s="259"/>
      <c r="O44" s="119"/>
      <c r="P44" s="120"/>
      <c r="Q44" s="118"/>
      <c r="R44" s="119"/>
      <c r="S44" s="118"/>
      <c r="T44" s="118"/>
      <c r="U44" s="120"/>
      <c r="V44" s="272"/>
      <c r="W44" s="281">
        <f t="shared" si="0"/>
        <v>0</v>
      </c>
      <c r="X44" s="57"/>
    </row>
    <row r="45" spans="1:37" s="51" customFormat="1" ht="24" customHeight="1">
      <c r="A45" s="153">
        <v>54301</v>
      </c>
      <c r="B45" s="265" t="s">
        <v>154</v>
      </c>
      <c r="C45" s="119">
        <f>SUM('FONDOS PROPIOS'!H22)</f>
        <v>300</v>
      </c>
      <c r="D45" s="118"/>
      <c r="E45" s="118"/>
      <c r="F45" s="259"/>
      <c r="G45" s="119">
        <f>SUM('120 libre Administ.'!H31)</f>
        <v>1500</v>
      </c>
      <c r="H45" s="118"/>
      <c r="I45" s="118"/>
      <c r="J45" s="259" t="e">
        <f>SUM('120 libre Administ.'!#REF!)</f>
        <v>#REF!</v>
      </c>
      <c r="K45" s="119"/>
      <c r="L45" s="118"/>
      <c r="M45" s="118"/>
      <c r="N45" s="259" t="e">
        <f>SUM('120- Libre disp, social'!#REF!)</f>
        <v>#REF!</v>
      </c>
      <c r="O45" s="119"/>
      <c r="P45" s="120"/>
      <c r="Q45" s="118"/>
      <c r="R45" s="119"/>
      <c r="S45" s="118"/>
      <c r="T45" s="118"/>
      <c r="U45" s="120"/>
      <c r="V45" s="272"/>
      <c r="W45" s="281" t="e">
        <f t="shared" si="0"/>
        <v>#REF!</v>
      </c>
      <c r="X45" s="57"/>
    </row>
    <row r="46" spans="1:37" s="51" customFormat="1" ht="24" customHeight="1">
      <c r="A46" s="153">
        <v>54302</v>
      </c>
      <c r="B46" s="265" t="s">
        <v>155</v>
      </c>
      <c r="C46" s="119">
        <f>SUM('FONDOS PROPIOS'!H23)</f>
        <v>0</v>
      </c>
      <c r="D46" s="118"/>
      <c r="E46" s="118"/>
      <c r="F46" s="259"/>
      <c r="G46" s="119">
        <f>SUM('120 libre Administ.'!H32)</f>
        <v>7000</v>
      </c>
      <c r="H46" s="118"/>
      <c r="I46" s="118"/>
      <c r="J46" s="259"/>
      <c r="K46" s="119"/>
      <c r="L46" s="118"/>
      <c r="M46" s="118"/>
      <c r="N46" s="259">
        <f>SUM('120- Libre disp, social'!H35)</f>
        <v>2500</v>
      </c>
      <c r="O46" s="119"/>
      <c r="P46" s="120"/>
      <c r="Q46" s="118"/>
      <c r="R46" s="119"/>
      <c r="S46" s="118"/>
      <c r="T46" s="118"/>
      <c r="U46" s="120"/>
      <c r="V46" s="272"/>
      <c r="W46" s="281">
        <f t="shared" si="0"/>
        <v>9500</v>
      </c>
      <c r="X46" s="57"/>
    </row>
    <row r="47" spans="1:37" s="51" customFormat="1" ht="24" customHeight="1">
      <c r="A47" s="153">
        <v>54303</v>
      </c>
      <c r="B47" s="265" t="s">
        <v>156</v>
      </c>
      <c r="C47" s="119"/>
      <c r="D47" s="118"/>
      <c r="E47" s="118"/>
      <c r="F47" s="259">
        <f>SUM('FONDOS PROPIOS'!H60)</f>
        <v>1000</v>
      </c>
      <c r="G47" s="119">
        <f>SUM('120 libre Administ.'!H33)</f>
        <v>1000</v>
      </c>
      <c r="H47" s="118"/>
      <c r="I47" s="118"/>
      <c r="J47" s="259" t="e">
        <f>SUM('120 libre Administ.'!#REF!)</f>
        <v>#REF!</v>
      </c>
      <c r="K47" s="119"/>
      <c r="L47" s="118"/>
      <c r="M47" s="118"/>
      <c r="N47" s="276">
        <f>SUM('120- Libre disp, social'!H36)</f>
        <v>6000</v>
      </c>
      <c r="O47" s="119"/>
      <c r="P47" s="120"/>
      <c r="Q47" s="118"/>
      <c r="R47" s="119"/>
      <c r="S47" s="118"/>
      <c r="T47" s="118"/>
      <c r="U47" s="120"/>
      <c r="V47" s="272"/>
      <c r="W47" s="281" t="e">
        <f t="shared" si="0"/>
        <v>#REF!</v>
      </c>
      <c r="X47" s="57"/>
    </row>
    <row r="48" spans="1:37" s="51" customFormat="1" ht="24" customHeight="1">
      <c r="A48" s="153">
        <v>54304</v>
      </c>
      <c r="B48" s="266" t="s">
        <v>157</v>
      </c>
      <c r="C48" s="119">
        <f>SUM('FONDOS PROPIOS'!H24)</f>
        <v>1000</v>
      </c>
      <c r="D48" s="118"/>
      <c r="E48" s="118"/>
      <c r="F48" s="259"/>
      <c r="G48" s="119">
        <f>SUM('120 libre Administ.'!H34)</f>
        <v>1500</v>
      </c>
      <c r="H48" s="118" t="e">
        <f>SUM('120 libre Administ.'!#REF!)</f>
        <v>#REF!</v>
      </c>
      <c r="I48" s="118"/>
      <c r="J48" s="259" t="e">
        <f>SUM('120 libre Administ.'!#REF!)</f>
        <v>#REF!</v>
      </c>
      <c r="K48" s="119" t="e">
        <f>SUM('120- Libre disp, social'!#REF!)</f>
        <v>#REF!</v>
      </c>
      <c r="L48" s="118"/>
      <c r="M48" s="118"/>
      <c r="N48" s="259">
        <f>SUM('120- Libre disp, social'!H37)</f>
        <v>12300</v>
      </c>
      <c r="O48" s="119"/>
      <c r="P48" s="120"/>
      <c r="Q48" s="118"/>
      <c r="R48" s="119">
        <f>SUM('INVER.FODES 75% AG 4'!H24)</f>
        <v>0</v>
      </c>
      <c r="S48" s="118"/>
      <c r="T48" s="118"/>
      <c r="U48" s="120"/>
      <c r="V48" s="272"/>
      <c r="W48" s="281" t="e">
        <f t="shared" si="0"/>
        <v>#REF!</v>
      </c>
      <c r="X48" s="57"/>
    </row>
    <row r="49" spans="1:41" s="51" customFormat="1" ht="24" customHeight="1">
      <c r="A49" s="153">
        <v>54305</v>
      </c>
      <c r="B49" s="265" t="s">
        <v>158</v>
      </c>
      <c r="C49" s="119"/>
      <c r="D49" s="118"/>
      <c r="E49" s="118"/>
      <c r="F49" s="259"/>
      <c r="G49" s="119">
        <f>SUM('120 libre Administ.'!H35)</f>
        <v>900</v>
      </c>
      <c r="H49" s="118"/>
      <c r="I49" s="118"/>
      <c r="J49" s="259"/>
      <c r="K49" s="119"/>
      <c r="L49" s="118"/>
      <c r="M49" s="118"/>
      <c r="N49" s="259"/>
      <c r="O49" s="119"/>
      <c r="P49" s="120"/>
      <c r="Q49" s="118"/>
      <c r="R49" s="119"/>
      <c r="S49" s="118"/>
      <c r="T49" s="118"/>
      <c r="U49" s="120"/>
      <c r="V49" s="272"/>
      <c r="W49" s="281">
        <f t="shared" si="0"/>
        <v>900</v>
      </c>
      <c r="X49" s="57"/>
    </row>
    <row r="50" spans="1:41" s="51" customFormat="1" ht="24" customHeight="1">
      <c r="A50" s="153">
        <v>54313</v>
      </c>
      <c r="B50" s="265" t="s">
        <v>159</v>
      </c>
      <c r="C50" s="119"/>
      <c r="D50" s="118"/>
      <c r="E50" s="118"/>
      <c r="F50" s="259"/>
      <c r="G50" s="119">
        <f>SUM('120 libre Administ.'!H36)</f>
        <v>800</v>
      </c>
      <c r="H50" s="118"/>
      <c r="I50" s="118"/>
      <c r="J50" s="259"/>
      <c r="K50" s="119"/>
      <c r="L50" s="118"/>
      <c r="M50" s="118"/>
      <c r="N50" s="276">
        <f>SUM('120- Libre disp, social'!H39)</f>
        <v>3500</v>
      </c>
      <c r="O50" s="119"/>
      <c r="P50" s="120"/>
      <c r="Q50" s="118"/>
      <c r="R50" s="119"/>
      <c r="S50" s="118"/>
      <c r="T50" s="118"/>
      <c r="U50" s="120"/>
      <c r="V50" s="272"/>
      <c r="W50" s="281">
        <f t="shared" si="0"/>
        <v>4300</v>
      </c>
      <c r="X50" s="57"/>
    </row>
    <row r="51" spans="1:41" s="51" customFormat="1" ht="24" customHeight="1">
      <c r="A51" s="153">
        <v>54314</v>
      </c>
      <c r="B51" s="265" t="s">
        <v>160</v>
      </c>
      <c r="C51" s="119">
        <f>SUM('FONDOS PROPIOS'!H25)</f>
        <v>1000</v>
      </c>
      <c r="D51" s="118"/>
      <c r="E51" s="118"/>
      <c r="F51" s="259"/>
      <c r="G51" s="119">
        <f>SUM('120 libre Administ.'!H37)</f>
        <v>350</v>
      </c>
      <c r="H51" s="118"/>
      <c r="I51" s="118"/>
      <c r="J51" s="259"/>
      <c r="K51" s="119"/>
      <c r="L51" s="118"/>
      <c r="M51" s="118"/>
      <c r="N51" s="277"/>
      <c r="O51" s="119"/>
      <c r="P51" s="120"/>
      <c r="Q51" s="118"/>
      <c r="R51" s="119"/>
      <c r="S51" s="118"/>
      <c r="T51" s="118"/>
      <c r="U51" s="120"/>
      <c r="V51" s="272"/>
      <c r="W51" s="281">
        <f t="shared" si="0"/>
        <v>1350</v>
      </c>
      <c r="X51" s="57"/>
    </row>
    <row r="52" spans="1:41" s="51" customFormat="1" ht="24" customHeight="1">
      <c r="A52" s="153">
        <v>54316</v>
      </c>
      <c r="B52" s="266" t="s">
        <v>161</v>
      </c>
      <c r="C52" s="119">
        <f>SUM('FONDOS PROPIOS'!H26)</f>
        <v>0</v>
      </c>
      <c r="D52" s="118"/>
      <c r="E52" s="118"/>
      <c r="F52" s="259"/>
      <c r="G52" s="119"/>
      <c r="H52" s="118"/>
      <c r="I52" s="118"/>
      <c r="J52" s="259"/>
      <c r="K52" s="119"/>
      <c r="L52" s="118"/>
      <c r="M52" s="118"/>
      <c r="N52" s="259">
        <f>SUM('120- Libre disp, social'!H40)</f>
        <v>9750</v>
      </c>
      <c r="O52" s="119"/>
      <c r="P52" s="120"/>
      <c r="Q52" s="118"/>
      <c r="R52" s="119">
        <f>SUM('INVER.FODES 75% AG 4'!H25)</f>
        <v>0</v>
      </c>
      <c r="S52" s="118"/>
      <c r="T52" s="118"/>
      <c r="U52" s="120"/>
      <c r="V52" s="272"/>
      <c r="W52" s="281">
        <f t="shared" si="0"/>
        <v>9750</v>
      </c>
      <c r="X52" s="57"/>
    </row>
    <row r="53" spans="1:41" s="51" customFormat="1" ht="24" customHeight="1">
      <c r="A53" s="153">
        <v>54317</v>
      </c>
      <c r="B53" s="266" t="s">
        <v>162</v>
      </c>
      <c r="C53" s="119"/>
      <c r="D53" s="118"/>
      <c r="E53" s="118"/>
      <c r="F53" s="259"/>
      <c r="G53" s="119"/>
      <c r="H53" s="118"/>
      <c r="I53" s="118"/>
      <c r="J53" s="259"/>
      <c r="K53" s="119"/>
      <c r="L53" s="118"/>
      <c r="M53" s="118"/>
      <c r="N53" s="259">
        <f>SUM('120- Libre disp, social'!H41)</f>
        <v>6000</v>
      </c>
      <c r="O53" s="119"/>
      <c r="P53" s="120"/>
      <c r="Q53" s="118"/>
      <c r="R53" s="119">
        <f>SUM('INVER.FODES 75% AG 4'!H26)</f>
        <v>0</v>
      </c>
      <c r="S53" s="118"/>
      <c r="T53" s="118"/>
      <c r="U53" s="120"/>
      <c r="V53" s="272"/>
      <c r="W53" s="281">
        <f t="shared" si="0"/>
        <v>6000</v>
      </c>
      <c r="X53" s="57"/>
    </row>
    <row r="54" spans="1:41" s="51" customFormat="1" ht="24" customHeight="1">
      <c r="A54" s="153">
        <v>54399</v>
      </c>
      <c r="B54" s="265" t="s">
        <v>163</v>
      </c>
      <c r="C54" s="119">
        <f>SUM('FONDOS PROPIOS'!H27)</f>
        <v>0</v>
      </c>
      <c r="D54" s="118"/>
      <c r="E54" s="118"/>
      <c r="F54" s="259"/>
      <c r="G54" s="119" t="e">
        <f>SUM('120 libre Administ.'!#REF!)</f>
        <v>#REF!</v>
      </c>
      <c r="H54" s="118"/>
      <c r="I54" s="118"/>
      <c r="J54" s="259"/>
      <c r="K54" s="119"/>
      <c r="L54" s="118"/>
      <c r="M54" s="118"/>
      <c r="N54" s="259">
        <f>SUM('120- Libre disp, social'!H42)</f>
        <v>33600</v>
      </c>
      <c r="O54" s="119"/>
      <c r="P54" s="120"/>
      <c r="Q54" s="118"/>
      <c r="R54" s="119"/>
      <c r="S54" s="118"/>
      <c r="T54" s="118"/>
      <c r="U54" s="120"/>
      <c r="V54" s="272"/>
      <c r="W54" s="281" t="e">
        <f t="shared" si="0"/>
        <v>#REF!</v>
      </c>
      <c r="X54" s="57"/>
    </row>
    <row r="55" spans="1:41" s="51" customFormat="1" ht="24" customHeight="1">
      <c r="A55" s="153">
        <v>54401</v>
      </c>
      <c r="B55" s="265" t="s">
        <v>99</v>
      </c>
      <c r="C55" s="119"/>
      <c r="D55" s="118"/>
      <c r="E55" s="118"/>
      <c r="F55" s="259"/>
      <c r="G55" s="119">
        <f>SUM('120 libre Administ.'!H38)</f>
        <v>500</v>
      </c>
      <c r="H55" s="118" t="e">
        <f>SUM('120 libre Administ.'!#REF!)</f>
        <v>#REF!</v>
      </c>
      <c r="I55" s="118" t="e">
        <f>SUM('120 libre Administ.'!#REF!)</f>
        <v>#REF!</v>
      </c>
      <c r="J55" s="259" t="e">
        <f>SUM('120 libre Administ.'!#REF!)</f>
        <v>#REF!</v>
      </c>
      <c r="K55" s="119"/>
      <c r="L55" s="118"/>
      <c r="M55" s="118"/>
      <c r="N55" s="259"/>
      <c r="O55" s="119"/>
      <c r="P55" s="120"/>
      <c r="Q55" s="118"/>
      <c r="R55" s="119"/>
      <c r="S55" s="118"/>
      <c r="T55" s="118"/>
      <c r="U55" s="120"/>
      <c r="V55" s="272"/>
      <c r="W55" s="281" t="e">
        <f t="shared" si="0"/>
        <v>#REF!</v>
      </c>
      <c r="X55" s="57"/>
    </row>
    <row r="56" spans="1:41" s="51" customFormat="1" ht="24" customHeight="1">
      <c r="A56" s="153">
        <v>54403</v>
      </c>
      <c r="B56" s="265" t="s">
        <v>100</v>
      </c>
      <c r="C56" s="119"/>
      <c r="D56" s="118"/>
      <c r="E56" s="118"/>
      <c r="F56" s="259"/>
      <c r="G56" s="119">
        <f>SUM('120 libre Administ.'!H39)</f>
        <v>350</v>
      </c>
      <c r="H56" s="118" t="e">
        <f>SUM('120 libre Administ.'!#REF!)</f>
        <v>#REF!</v>
      </c>
      <c r="I56" s="118" t="e">
        <f>SUM('120 libre Administ.'!#REF!)</f>
        <v>#REF!</v>
      </c>
      <c r="J56" s="259" t="e">
        <f>SUM('120 libre Administ.'!#REF!)</f>
        <v>#REF!</v>
      </c>
      <c r="K56" s="119"/>
      <c r="L56" s="118"/>
      <c r="M56" s="118"/>
      <c r="N56" s="259">
        <f>SUM('120- Libre disp, social'!H43)</f>
        <v>4000</v>
      </c>
      <c r="O56" s="119"/>
      <c r="P56" s="120"/>
      <c r="Q56" s="118"/>
      <c r="R56" s="119"/>
      <c r="S56" s="118"/>
      <c r="T56" s="118"/>
      <c r="U56" s="120"/>
      <c r="V56" s="272"/>
      <c r="W56" s="281" t="e">
        <f t="shared" si="0"/>
        <v>#REF!</v>
      </c>
      <c r="X56" s="57"/>
    </row>
    <row r="57" spans="1:41" s="51" customFormat="1" ht="24" customHeight="1">
      <c r="A57" s="153">
        <v>54404</v>
      </c>
      <c r="B57" s="265" t="s">
        <v>181</v>
      </c>
      <c r="C57" s="119"/>
      <c r="D57" s="118"/>
      <c r="E57" s="118"/>
      <c r="F57" s="259"/>
      <c r="G57" s="119"/>
      <c r="H57" s="118"/>
      <c r="I57" s="118"/>
      <c r="J57" s="259"/>
      <c r="K57" s="119"/>
      <c r="L57" s="118"/>
      <c r="M57" s="118"/>
      <c r="N57" s="259"/>
      <c r="O57" s="119"/>
      <c r="P57" s="120"/>
      <c r="Q57" s="118"/>
      <c r="R57" s="119"/>
      <c r="S57" s="118"/>
      <c r="T57" s="118"/>
      <c r="U57" s="120"/>
      <c r="V57" s="272"/>
      <c r="W57" s="281">
        <f t="shared" si="0"/>
        <v>0</v>
      </c>
      <c r="X57" s="57"/>
    </row>
    <row r="58" spans="1:41" s="51" customFormat="1" ht="24" customHeight="1">
      <c r="A58" s="153">
        <v>54503</v>
      </c>
      <c r="B58" s="265" t="s">
        <v>101</v>
      </c>
      <c r="C58" s="119">
        <f>SUM('FONDOS PROPIOS'!H28)</f>
        <v>0</v>
      </c>
      <c r="D58" s="118"/>
      <c r="E58" s="118"/>
      <c r="F58" s="259"/>
      <c r="G58" s="119">
        <f>SUM('120 libre Administ.'!H40)</f>
        <v>650</v>
      </c>
      <c r="H58" s="118"/>
      <c r="I58" s="118"/>
      <c r="J58" s="259"/>
      <c r="K58" s="119"/>
      <c r="L58" s="118"/>
      <c r="M58" s="118"/>
      <c r="N58" s="259"/>
      <c r="O58" s="119"/>
      <c r="P58" s="120"/>
      <c r="Q58" s="118"/>
      <c r="R58" s="119"/>
      <c r="S58" s="118"/>
      <c r="T58" s="118"/>
      <c r="U58" s="120"/>
      <c r="V58" s="272"/>
      <c r="W58" s="281">
        <f t="shared" si="0"/>
        <v>650</v>
      </c>
      <c r="X58" s="57"/>
    </row>
    <row r="59" spans="1:41" s="51" customFormat="1" ht="24" customHeight="1">
      <c r="A59" s="153">
        <v>54504</v>
      </c>
      <c r="B59" s="266" t="s">
        <v>173</v>
      </c>
      <c r="C59" s="119"/>
      <c r="D59" s="118"/>
      <c r="E59" s="118"/>
      <c r="F59" s="259"/>
      <c r="G59" s="119">
        <f>SUM('120 libre Administ.'!H41)</f>
        <v>300</v>
      </c>
      <c r="H59" s="118"/>
      <c r="I59" s="118"/>
      <c r="J59" s="259"/>
      <c r="K59" s="119"/>
      <c r="L59" s="118"/>
      <c r="M59" s="118"/>
      <c r="N59" s="259"/>
      <c r="O59" s="119"/>
      <c r="P59" s="120"/>
      <c r="Q59" s="118"/>
      <c r="R59" s="119"/>
      <c r="S59" s="118"/>
      <c r="T59" s="118"/>
      <c r="U59" s="120"/>
      <c r="V59" s="272"/>
      <c r="W59" s="281">
        <f t="shared" si="0"/>
        <v>300</v>
      </c>
      <c r="X59" s="57"/>
    </row>
    <row r="60" spans="1:41" s="51" customFormat="1" ht="24" customHeight="1">
      <c r="A60" s="153">
        <v>54505</v>
      </c>
      <c r="B60" s="265" t="s">
        <v>422</v>
      </c>
      <c r="C60" s="119"/>
      <c r="D60" s="118"/>
      <c r="E60" s="118"/>
      <c r="F60" s="259"/>
      <c r="G60" s="119">
        <f>SUM('120 libre Administ.'!H42)</f>
        <v>500</v>
      </c>
      <c r="H60" s="118"/>
      <c r="I60" s="118"/>
      <c r="J60" s="259"/>
      <c r="K60" s="119"/>
      <c r="L60" s="118"/>
      <c r="M60" s="118"/>
      <c r="N60" s="259">
        <f>SUM('120- Libre disp, social'!H44)</f>
        <v>4150</v>
      </c>
      <c r="O60" s="119"/>
      <c r="P60" s="120"/>
      <c r="Q60" s="118"/>
      <c r="R60" s="119"/>
      <c r="S60" s="118"/>
      <c r="T60" s="118"/>
      <c r="U60" s="120"/>
      <c r="V60" s="272"/>
      <c r="W60" s="281">
        <f t="shared" si="0"/>
        <v>4650</v>
      </c>
      <c r="X60" s="57"/>
    </row>
    <row r="61" spans="1:41" s="51" customFormat="1" ht="24" customHeight="1">
      <c r="A61" s="153">
        <v>54507</v>
      </c>
      <c r="B61" s="265" t="s">
        <v>405</v>
      </c>
      <c r="C61" s="119"/>
      <c r="D61" s="118"/>
      <c r="E61" s="118"/>
      <c r="F61" s="259"/>
      <c r="G61" s="119">
        <f>SUM('120 libre Administ.'!H43)</f>
        <v>1000</v>
      </c>
      <c r="H61" s="118"/>
      <c r="I61" s="118"/>
      <c r="J61" s="259"/>
      <c r="K61" s="119"/>
      <c r="L61" s="118"/>
      <c r="M61" s="118"/>
      <c r="N61" s="259"/>
      <c r="O61" s="119"/>
      <c r="P61" s="120"/>
      <c r="Q61" s="118"/>
      <c r="R61" s="119"/>
      <c r="S61" s="118"/>
      <c r="T61" s="118"/>
      <c r="U61" s="120"/>
      <c r="V61" s="272"/>
      <c r="W61" s="281">
        <f t="shared" si="0"/>
        <v>1000</v>
      </c>
      <c r="X61" s="57"/>
    </row>
    <row r="62" spans="1:41" s="51" customFormat="1" ht="24" customHeight="1">
      <c r="A62" s="153">
        <v>54599</v>
      </c>
      <c r="B62" s="265" t="s">
        <v>102</v>
      </c>
      <c r="C62" s="119"/>
      <c r="D62" s="118"/>
      <c r="E62" s="118"/>
      <c r="F62" s="259"/>
      <c r="G62" s="119" t="e">
        <f>SUM('120 libre Administ.'!#REF!)</f>
        <v>#REF!</v>
      </c>
      <c r="H62" s="118"/>
      <c r="I62" s="118"/>
      <c r="J62" s="259"/>
      <c r="K62" s="119"/>
      <c r="L62" s="118"/>
      <c r="M62" s="118"/>
      <c r="N62" s="259"/>
      <c r="O62" s="119"/>
      <c r="P62" s="120"/>
      <c r="Q62" s="118"/>
      <c r="R62" s="119">
        <f>SUM('INVER.FODES 75% AG 4'!H27)</f>
        <v>0</v>
      </c>
      <c r="S62" s="118"/>
      <c r="T62" s="118"/>
      <c r="U62" s="120"/>
      <c r="V62" s="272"/>
      <c r="W62" s="281" t="e">
        <f t="shared" si="0"/>
        <v>#REF!</v>
      </c>
      <c r="X62" s="57"/>
    </row>
    <row r="63" spans="1:41" s="51" customFormat="1" ht="24" customHeight="1">
      <c r="A63" s="153">
        <v>54601</v>
      </c>
      <c r="B63" s="265" t="s">
        <v>103</v>
      </c>
      <c r="C63" s="119"/>
      <c r="D63" s="118"/>
      <c r="E63" s="118"/>
      <c r="F63" s="259"/>
      <c r="G63" s="119"/>
      <c r="H63" s="118"/>
      <c r="I63" s="118"/>
      <c r="J63" s="259"/>
      <c r="K63" s="119"/>
      <c r="L63" s="118"/>
      <c r="M63" s="118"/>
      <c r="N63" s="259"/>
      <c r="O63" s="119"/>
      <c r="P63" s="120"/>
      <c r="Q63" s="118"/>
      <c r="R63" s="119"/>
      <c r="S63" s="118"/>
      <c r="T63" s="118"/>
      <c r="U63" s="120"/>
      <c r="V63" s="272"/>
      <c r="W63" s="281">
        <f t="shared" si="0"/>
        <v>0</v>
      </c>
      <c r="X63" s="57"/>
    </row>
    <row r="64" spans="1:41" s="51" customFormat="1" ht="24" customHeight="1">
      <c r="A64" s="153">
        <v>54602</v>
      </c>
      <c r="B64" s="265" t="s">
        <v>104</v>
      </c>
      <c r="C64" s="119"/>
      <c r="D64" s="118"/>
      <c r="E64" s="118"/>
      <c r="F64" s="259"/>
      <c r="G64" s="119"/>
      <c r="H64" s="118"/>
      <c r="I64" s="118"/>
      <c r="J64" s="259"/>
      <c r="K64" s="119"/>
      <c r="L64" s="118"/>
      <c r="M64" s="118"/>
      <c r="N64" s="259"/>
      <c r="O64" s="119"/>
      <c r="P64" s="120"/>
      <c r="Q64" s="118"/>
      <c r="R64" s="119"/>
      <c r="S64" s="118"/>
      <c r="T64" s="118"/>
      <c r="U64" s="120"/>
      <c r="V64" s="272"/>
      <c r="W64" s="281">
        <f t="shared" si="0"/>
        <v>0</v>
      </c>
      <c r="X64" s="57"/>
    </row>
    <row r="65" spans="1:45" s="51" customFormat="1" ht="24" customHeight="1">
      <c r="A65" s="153">
        <v>54603</v>
      </c>
      <c r="B65" s="265" t="s">
        <v>105</v>
      </c>
      <c r="C65" s="119"/>
      <c r="D65" s="118"/>
      <c r="E65" s="118"/>
      <c r="F65" s="259"/>
      <c r="G65" s="119"/>
      <c r="H65" s="118"/>
      <c r="I65" s="118"/>
      <c r="J65" s="259"/>
      <c r="K65" s="119"/>
      <c r="L65" s="118"/>
      <c r="M65" s="118"/>
      <c r="N65" s="259"/>
      <c r="O65" s="119"/>
      <c r="P65" s="120"/>
      <c r="Q65" s="118"/>
      <c r="R65" s="119"/>
      <c r="S65" s="118"/>
      <c r="T65" s="118"/>
      <c r="U65" s="120"/>
      <c r="V65" s="272"/>
      <c r="W65" s="281">
        <f t="shared" si="0"/>
        <v>0</v>
      </c>
      <c r="X65" s="57"/>
    </row>
    <row r="66" spans="1:45" s="51" customFormat="1" ht="24" customHeight="1">
      <c r="A66" s="153">
        <v>54699</v>
      </c>
      <c r="B66" s="265" t="s">
        <v>106</v>
      </c>
      <c r="C66" s="119"/>
      <c r="D66" s="118"/>
      <c r="E66" s="118"/>
      <c r="F66" s="259"/>
      <c r="G66" s="119"/>
      <c r="H66" s="118"/>
      <c r="I66" s="118"/>
      <c r="J66" s="259"/>
      <c r="K66" s="119"/>
      <c r="L66" s="118"/>
      <c r="M66" s="118"/>
      <c r="N66" s="259"/>
      <c r="O66" s="119"/>
      <c r="P66" s="120"/>
      <c r="Q66" s="118"/>
      <c r="R66" s="119"/>
      <c r="S66" s="118"/>
      <c r="T66" s="118"/>
      <c r="U66" s="120"/>
      <c r="V66" s="272"/>
      <c r="W66" s="281">
        <f t="shared" si="0"/>
        <v>0</v>
      </c>
      <c r="X66" s="57"/>
    </row>
    <row r="67" spans="1:45" s="51" customFormat="1" ht="24" customHeight="1">
      <c r="A67" s="153">
        <v>55302</v>
      </c>
      <c r="B67" s="266" t="s">
        <v>107</v>
      </c>
      <c r="C67" s="119"/>
      <c r="D67" s="118"/>
      <c r="E67" s="118"/>
      <c r="F67" s="259"/>
      <c r="G67" s="119"/>
      <c r="H67" s="118"/>
      <c r="I67" s="118"/>
      <c r="J67" s="259"/>
      <c r="K67" s="119"/>
      <c r="L67" s="118"/>
      <c r="M67" s="118"/>
      <c r="N67" s="259"/>
      <c r="O67" s="119"/>
      <c r="P67" s="120"/>
      <c r="Q67" s="118"/>
      <c r="R67" s="119"/>
      <c r="S67" s="118"/>
      <c r="T67" s="118"/>
      <c r="U67" s="120"/>
      <c r="V67" s="272">
        <f>SUM('Pres.Servicio Deuda Publica'!H11)</f>
        <v>0</v>
      </c>
      <c r="W67" s="281">
        <f t="shared" si="0"/>
        <v>0</v>
      </c>
      <c r="X67" s="57"/>
    </row>
    <row r="68" spans="1:45" s="51" customFormat="1" ht="24" customHeight="1">
      <c r="A68" s="153">
        <v>55304</v>
      </c>
      <c r="B68" s="266" t="s">
        <v>184</v>
      </c>
      <c r="C68" s="119"/>
      <c r="D68" s="118"/>
      <c r="E68" s="118"/>
      <c r="F68" s="259"/>
      <c r="G68" s="119"/>
      <c r="H68" s="118"/>
      <c r="I68" s="118"/>
      <c r="J68" s="259"/>
      <c r="K68" s="119"/>
      <c r="L68" s="118"/>
      <c r="M68" s="118"/>
      <c r="N68" s="259"/>
      <c r="O68" s="119"/>
      <c r="P68" s="120"/>
      <c r="Q68" s="118"/>
      <c r="R68" s="119"/>
      <c r="S68" s="118"/>
      <c r="T68" s="118"/>
      <c r="U68" s="120"/>
      <c r="V68" s="273">
        <f>SUM('Pres.Servicio Deuda Publica'!H12)</f>
        <v>0</v>
      </c>
      <c r="W68" s="281">
        <f t="shared" si="0"/>
        <v>0</v>
      </c>
      <c r="X68" s="57"/>
    </row>
    <row r="69" spans="1:45" s="51" customFormat="1" ht="24" customHeight="1">
      <c r="A69" s="153">
        <v>55599</v>
      </c>
      <c r="B69" s="266" t="s">
        <v>650</v>
      </c>
      <c r="C69" s="119"/>
      <c r="D69" s="118"/>
      <c r="E69" s="118"/>
      <c r="F69" s="259"/>
      <c r="G69" s="119">
        <f>SUM('120 libre Administ.'!H44)</f>
        <v>200</v>
      </c>
      <c r="H69" s="118"/>
      <c r="I69" s="118"/>
      <c r="J69" s="259"/>
      <c r="K69" s="119"/>
      <c r="L69" s="118"/>
      <c r="M69" s="118"/>
      <c r="N69" s="259"/>
      <c r="O69" s="119"/>
      <c r="P69" s="120"/>
      <c r="Q69" s="118"/>
      <c r="R69" s="119"/>
      <c r="S69" s="118"/>
      <c r="T69" s="118"/>
      <c r="U69" s="120"/>
      <c r="V69" s="273"/>
      <c r="W69" s="281">
        <f t="shared" si="0"/>
        <v>200</v>
      </c>
      <c r="X69" s="57"/>
    </row>
    <row r="70" spans="1:45" s="51" customFormat="1" ht="24" customHeight="1">
      <c r="A70" s="153">
        <v>55601</v>
      </c>
      <c r="B70" s="265" t="s">
        <v>182</v>
      </c>
      <c r="C70" s="119"/>
      <c r="D70" s="118"/>
      <c r="E70" s="118"/>
      <c r="F70" s="259"/>
      <c r="G70" s="119"/>
      <c r="H70" s="118"/>
      <c r="I70" s="118"/>
      <c r="J70" s="259"/>
      <c r="K70" s="119"/>
      <c r="L70" s="118"/>
      <c r="M70" s="118"/>
      <c r="N70" s="259"/>
      <c r="O70" s="119"/>
      <c r="P70" s="120"/>
      <c r="Q70" s="118"/>
      <c r="R70" s="119"/>
      <c r="S70" s="118"/>
      <c r="T70" s="118"/>
      <c r="U70" s="120"/>
      <c r="V70" s="272"/>
      <c r="W70" s="281">
        <f t="shared" si="0"/>
        <v>0</v>
      </c>
      <c r="X70" s="57"/>
    </row>
    <row r="71" spans="1:45" s="51" customFormat="1" ht="24" customHeight="1">
      <c r="A71" s="153">
        <v>55602</v>
      </c>
      <c r="B71" s="265" t="s">
        <v>108</v>
      </c>
      <c r="C71" s="119"/>
      <c r="D71" s="118"/>
      <c r="E71" s="118"/>
      <c r="F71" s="259"/>
      <c r="G71" s="119" t="e">
        <f>SUM('120 libre Administ.'!#REF!)</f>
        <v>#REF!</v>
      </c>
      <c r="H71" s="118"/>
      <c r="I71" s="118"/>
      <c r="J71" s="259"/>
      <c r="K71" s="119"/>
      <c r="L71" s="118"/>
      <c r="M71" s="118"/>
      <c r="N71" s="259"/>
      <c r="O71" s="119"/>
      <c r="P71" s="120"/>
      <c r="Q71" s="118"/>
      <c r="R71" s="119"/>
      <c r="S71" s="118"/>
      <c r="T71" s="118"/>
      <c r="U71" s="120"/>
      <c r="V71" s="272"/>
      <c r="W71" s="281" t="e">
        <f t="shared" si="0"/>
        <v>#REF!</v>
      </c>
      <c r="X71" s="57"/>
    </row>
    <row r="72" spans="1:45" s="51" customFormat="1" ht="24" customHeight="1">
      <c r="A72" s="153">
        <v>55603</v>
      </c>
      <c r="B72" s="265" t="s">
        <v>109</v>
      </c>
      <c r="C72" s="119"/>
      <c r="D72" s="118"/>
      <c r="E72" s="118"/>
      <c r="F72" s="259"/>
      <c r="G72" s="119">
        <f>SUM('120 libre Administ.'!H45)</f>
        <v>450</v>
      </c>
      <c r="H72" s="180" t="e">
        <f>SUM('120 libre Administ.'!#REF!)</f>
        <v>#REF!</v>
      </c>
      <c r="I72" s="118"/>
      <c r="J72" s="259"/>
      <c r="K72" s="119"/>
      <c r="L72" s="118"/>
      <c r="M72" s="118"/>
      <c r="N72" s="259"/>
      <c r="O72" s="119"/>
      <c r="P72" s="120"/>
      <c r="Q72" s="118"/>
      <c r="R72" s="119"/>
      <c r="S72" s="118"/>
      <c r="T72" s="118"/>
      <c r="U72" s="120"/>
      <c r="V72" s="272"/>
      <c r="W72" s="281" t="e">
        <f t="shared" si="0"/>
        <v>#REF!</v>
      </c>
      <c r="X72" s="57"/>
    </row>
    <row r="73" spans="1:45" s="51" customFormat="1" ht="24" customHeight="1">
      <c r="A73" s="153">
        <v>55799</v>
      </c>
      <c r="B73" s="265" t="s">
        <v>110</v>
      </c>
      <c r="C73" s="119"/>
      <c r="D73" s="118"/>
      <c r="E73" s="118"/>
      <c r="F73" s="259"/>
      <c r="G73" s="119" t="e">
        <f>SUM('120 libre Administ.'!#REF!)</f>
        <v>#REF!</v>
      </c>
      <c r="H73" s="118" t="e">
        <f>SUM('120 libre Administ.'!#REF!)</f>
        <v>#REF!</v>
      </c>
      <c r="I73" s="118"/>
      <c r="J73" s="259"/>
      <c r="K73" s="119"/>
      <c r="L73" s="118"/>
      <c r="M73" s="118"/>
      <c r="N73" s="259"/>
      <c r="O73" s="119"/>
      <c r="P73" s="120"/>
      <c r="Q73" s="118"/>
      <c r="R73" s="119"/>
      <c r="S73" s="118"/>
      <c r="T73" s="118"/>
      <c r="U73" s="120"/>
      <c r="V73" s="272"/>
      <c r="W73" s="281" t="e">
        <f t="shared" si="0"/>
        <v>#REF!</v>
      </c>
      <c r="X73" s="57"/>
    </row>
    <row r="74" spans="1:45" s="51" customFormat="1" ht="24" customHeight="1">
      <c r="A74" s="153">
        <v>56201</v>
      </c>
      <c r="B74" s="266" t="s">
        <v>112</v>
      </c>
      <c r="C74" s="119">
        <f>SUM('Concen. de  Recursos Huma'!C29)</f>
        <v>0</v>
      </c>
      <c r="D74" s="118"/>
      <c r="E74" s="118"/>
      <c r="F74" s="259"/>
      <c r="G74" s="119">
        <f>SUM('Concen. de  Recursos Huma'!C14+14400+1200+3600)</f>
        <v>19200</v>
      </c>
      <c r="H74" s="118"/>
      <c r="I74" s="118"/>
      <c r="J74" s="259"/>
      <c r="K74" s="119"/>
      <c r="L74" s="118"/>
      <c r="M74" s="118"/>
      <c r="N74" s="259"/>
      <c r="O74" s="119"/>
      <c r="P74" s="120"/>
      <c r="Q74" s="118"/>
      <c r="R74" s="119"/>
      <c r="S74" s="118"/>
      <c r="T74" s="118"/>
      <c r="U74" s="120"/>
      <c r="V74" s="272"/>
      <c r="W74" s="281">
        <f t="shared" si="0"/>
        <v>19200</v>
      </c>
      <c r="X74" s="57"/>
    </row>
    <row r="75" spans="1:45" s="51" customFormat="1" ht="24" customHeight="1">
      <c r="A75" s="153">
        <v>56303</v>
      </c>
      <c r="B75" s="265" t="s">
        <v>113</v>
      </c>
      <c r="C75" s="119"/>
      <c r="D75" s="118"/>
      <c r="E75" s="118"/>
      <c r="F75" s="259"/>
      <c r="G75" s="119"/>
      <c r="H75" s="118"/>
      <c r="I75" s="118"/>
      <c r="J75" s="259"/>
      <c r="K75" s="119"/>
      <c r="L75" s="118"/>
      <c r="M75" s="118"/>
      <c r="N75" s="259"/>
      <c r="O75" s="119"/>
      <c r="P75" s="120"/>
      <c r="Q75" s="118"/>
      <c r="R75" s="119"/>
      <c r="S75" s="118"/>
      <c r="T75" s="118"/>
      <c r="U75" s="120"/>
      <c r="V75" s="272"/>
      <c r="W75" s="281">
        <f t="shared" ref="W75:W95" si="1">+SUM(C75:V75)</f>
        <v>0</v>
      </c>
      <c r="X75" s="57"/>
    </row>
    <row r="76" spans="1:45" s="51" customFormat="1" ht="24" customHeight="1">
      <c r="A76" s="153">
        <v>56304</v>
      </c>
      <c r="B76" s="265" t="s">
        <v>114</v>
      </c>
      <c r="C76" s="119">
        <f>SUM('FONDOS PROPIOS'!H30)</f>
        <v>34903.9</v>
      </c>
      <c r="D76" s="118"/>
      <c r="E76" s="118"/>
      <c r="F76" s="259"/>
      <c r="G76" s="119">
        <f>SUM('120 libre Administ.'!H47)</f>
        <v>9703</v>
      </c>
      <c r="H76" s="118"/>
      <c r="I76" s="118"/>
      <c r="J76" s="259"/>
      <c r="K76" s="119"/>
      <c r="L76" s="118"/>
      <c r="M76" s="118"/>
      <c r="N76" s="316">
        <f>SUM('120- Libre disp, social'!H46)</f>
        <v>116196.48</v>
      </c>
      <c r="O76" s="119"/>
      <c r="P76" s="120"/>
      <c r="Q76" s="118"/>
      <c r="R76" s="119">
        <f>SUM('INVER.FODES 75% AG 4'!H28)</f>
        <v>0</v>
      </c>
      <c r="S76" s="118"/>
      <c r="T76" s="118"/>
      <c r="U76" s="120"/>
      <c r="V76" s="272"/>
      <c r="W76" s="281">
        <f t="shared" si="1"/>
        <v>160803.38</v>
      </c>
      <c r="X76" s="57"/>
    </row>
    <row r="77" spans="1:45" s="51" customFormat="1" ht="24" customHeight="1">
      <c r="A77" s="153">
        <v>56305</v>
      </c>
      <c r="B77" s="265" t="s">
        <v>115</v>
      </c>
      <c r="C77" s="119"/>
      <c r="D77" s="118"/>
      <c r="E77" s="118"/>
      <c r="F77" s="259"/>
      <c r="G77" s="119"/>
      <c r="H77" s="118"/>
      <c r="I77" s="118"/>
      <c r="J77" s="259"/>
      <c r="K77" s="119"/>
      <c r="L77" s="118"/>
      <c r="M77" s="118"/>
      <c r="N77" s="259">
        <f>SUM('120- Libre disp, social'!H47)</f>
        <v>90000</v>
      </c>
      <c r="O77" s="119"/>
      <c r="P77" s="120"/>
      <c r="Q77" s="118"/>
      <c r="R77" s="119"/>
      <c r="S77" s="118"/>
      <c r="T77" s="118"/>
      <c r="U77" s="120"/>
      <c r="V77" s="272"/>
      <c r="W77" s="281">
        <f t="shared" si="1"/>
        <v>90000</v>
      </c>
      <c r="X77" s="57"/>
    </row>
    <row r="78" spans="1:45" s="51" customFormat="1" ht="24" customHeight="1">
      <c r="A78" s="153">
        <v>61101</v>
      </c>
      <c r="B78" s="265" t="s">
        <v>183</v>
      </c>
      <c r="C78" s="119"/>
      <c r="D78" s="118"/>
      <c r="E78" s="118"/>
      <c r="F78" s="259"/>
      <c r="G78" s="119">
        <f>SUM('120 libre Administ.'!H48)</f>
        <v>1000</v>
      </c>
      <c r="H78" s="118"/>
      <c r="I78" s="118"/>
      <c r="J78" s="259"/>
      <c r="K78" s="119"/>
      <c r="L78" s="118"/>
      <c r="M78" s="118"/>
      <c r="N78" s="259"/>
      <c r="O78" s="119"/>
      <c r="P78" s="120"/>
      <c r="Q78" s="118"/>
      <c r="R78" s="119"/>
      <c r="S78" s="118"/>
      <c r="T78" s="118"/>
      <c r="U78" s="120"/>
      <c r="V78" s="272"/>
      <c r="W78" s="281">
        <f t="shared" si="1"/>
        <v>1000</v>
      </c>
      <c r="X78" s="57"/>
    </row>
    <row r="79" spans="1:45" s="51" customFormat="1" ht="24" customHeight="1">
      <c r="A79" s="153">
        <v>61102</v>
      </c>
      <c r="B79" s="265" t="s">
        <v>167</v>
      </c>
      <c r="C79" s="119"/>
      <c r="D79" s="118"/>
      <c r="E79" s="118"/>
      <c r="F79" s="259"/>
      <c r="G79" s="119">
        <f>SUM('120 libre Administ.'!H49)</f>
        <v>900</v>
      </c>
      <c r="H79" s="118"/>
      <c r="I79" s="118"/>
      <c r="J79" s="259"/>
      <c r="K79" s="119"/>
      <c r="L79" s="118"/>
      <c r="M79" s="118"/>
      <c r="N79" s="259" t="e">
        <f>SUM('120- Libre disp, social'!#REF!)</f>
        <v>#REF!</v>
      </c>
      <c r="O79" s="119"/>
      <c r="P79" s="120"/>
      <c r="Q79" s="118"/>
      <c r="R79" s="119"/>
      <c r="S79" s="118"/>
      <c r="T79" s="118"/>
      <c r="U79" s="120"/>
      <c r="V79" s="272"/>
      <c r="W79" s="281" t="e">
        <f t="shared" si="1"/>
        <v>#REF!</v>
      </c>
      <c r="X79" s="57"/>
    </row>
    <row r="80" spans="1:45" s="51" customFormat="1" ht="24" customHeight="1">
      <c r="A80" s="146" t="s">
        <v>116</v>
      </c>
      <c r="B80" s="264" t="s">
        <v>117</v>
      </c>
      <c r="C80" s="119"/>
      <c r="D80" s="118"/>
      <c r="E80" s="118"/>
      <c r="F80" s="259"/>
      <c r="G80" s="119">
        <f>SUM('120 libre Administ.'!H50)</f>
        <v>5000</v>
      </c>
      <c r="H80" s="118" t="e">
        <f>SUM('120 libre Administ.'!#REF!)</f>
        <v>#REF!</v>
      </c>
      <c r="I80" s="118"/>
      <c r="J80" s="259"/>
      <c r="K80" s="119"/>
      <c r="L80" s="118"/>
      <c r="M80" s="118"/>
      <c r="N80" s="259">
        <f>SUM('120- Libre disp, social'!H48)</f>
        <v>200</v>
      </c>
      <c r="O80" s="119"/>
      <c r="P80" s="120"/>
      <c r="Q80" s="118"/>
      <c r="R80" s="119"/>
      <c r="S80" s="118"/>
      <c r="T80" s="118"/>
      <c r="U80" s="120"/>
      <c r="V80" s="272"/>
      <c r="W80" s="281" t="e">
        <f t="shared" si="1"/>
        <v>#REF!</v>
      </c>
      <c r="X80" s="57"/>
    </row>
    <row r="81" spans="1:44" s="51" customFormat="1" ht="24" customHeight="1">
      <c r="A81" s="146" t="s">
        <v>424</v>
      </c>
      <c r="B81" s="264" t="s">
        <v>425</v>
      </c>
      <c r="C81" s="119"/>
      <c r="D81" s="118"/>
      <c r="E81" s="118"/>
      <c r="F81" s="259"/>
      <c r="G81" s="119"/>
      <c r="H81" s="118"/>
      <c r="I81" s="118"/>
      <c r="J81" s="259"/>
      <c r="K81" s="119"/>
      <c r="L81" s="118"/>
      <c r="M81" s="118"/>
      <c r="N81" s="259"/>
      <c r="O81" s="119"/>
      <c r="P81" s="120"/>
      <c r="Q81" s="118"/>
      <c r="R81" s="119"/>
      <c r="S81" s="118"/>
      <c r="T81" s="118"/>
      <c r="U81" s="120"/>
      <c r="V81" s="272"/>
      <c r="W81" s="281">
        <f t="shared" si="1"/>
        <v>0</v>
      </c>
      <c r="X81" s="57"/>
    </row>
    <row r="82" spans="1:44" s="51" customFormat="1" ht="24" customHeight="1">
      <c r="A82" s="146" t="s">
        <v>118</v>
      </c>
      <c r="B82" s="264" t="s">
        <v>119</v>
      </c>
      <c r="C82" s="119"/>
      <c r="D82" s="118"/>
      <c r="E82" s="118"/>
      <c r="F82" s="259"/>
      <c r="G82" s="119">
        <f>SUM('120 libre Administ.'!H51)</f>
        <v>900</v>
      </c>
      <c r="H82" s="118"/>
      <c r="I82" s="118"/>
      <c r="J82" s="259"/>
      <c r="K82" s="119"/>
      <c r="L82" s="118"/>
      <c r="M82" s="118"/>
      <c r="N82" s="259"/>
      <c r="O82" s="119"/>
      <c r="P82" s="120"/>
      <c r="Q82" s="118"/>
      <c r="R82" s="119"/>
      <c r="S82" s="118"/>
      <c r="T82" s="118"/>
      <c r="U82" s="120"/>
      <c r="V82" s="272"/>
      <c r="W82" s="281">
        <f t="shared" si="1"/>
        <v>900</v>
      </c>
      <c r="X82" s="57"/>
    </row>
    <row r="83" spans="1:44" s="51" customFormat="1" ht="24" customHeight="1">
      <c r="A83" s="146" t="s">
        <v>120</v>
      </c>
      <c r="B83" s="264" t="s">
        <v>121</v>
      </c>
      <c r="C83" s="119"/>
      <c r="D83" s="118"/>
      <c r="E83" s="118"/>
      <c r="F83" s="259"/>
      <c r="G83" s="119"/>
      <c r="H83" s="118"/>
      <c r="I83" s="118"/>
      <c r="J83" s="259"/>
      <c r="K83" s="119" t="e">
        <f>SUM('120- Libre disp, social'!#REF!)</f>
        <v>#REF!</v>
      </c>
      <c r="L83" s="118"/>
      <c r="M83" s="118"/>
      <c r="N83" s="259"/>
      <c r="O83" s="119"/>
      <c r="P83" s="120"/>
      <c r="Q83" s="118"/>
      <c r="R83" s="119">
        <f>SUM('INVER.FODES 75% AG 4'!H30)</f>
        <v>0</v>
      </c>
      <c r="S83" s="118"/>
      <c r="T83" s="118"/>
      <c r="U83" s="120"/>
      <c r="V83" s="272"/>
      <c r="W83" s="281" t="e">
        <f t="shared" si="1"/>
        <v>#REF!</v>
      </c>
      <c r="X83" s="57"/>
    </row>
    <row r="84" spans="1:44" s="51" customFormat="1" ht="24" customHeight="1">
      <c r="A84" s="146" t="s">
        <v>122</v>
      </c>
      <c r="B84" s="264" t="s">
        <v>123</v>
      </c>
      <c r="C84" s="119"/>
      <c r="D84" s="118"/>
      <c r="E84" s="118"/>
      <c r="F84" s="259"/>
      <c r="G84" s="119" t="e">
        <f>SUM('120 libre Administ.'!#REF!)</f>
        <v>#REF!</v>
      </c>
      <c r="H84" s="118"/>
      <c r="I84" s="118"/>
      <c r="J84" s="259"/>
      <c r="K84" s="119"/>
      <c r="L84" s="118"/>
      <c r="M84" s="118"/>
      <c r="N84" s="259"/>
      <c r="O84" s="119"/>
      <c r="P84" s="120"/>
      <c r="Q84" s="118"/>
      <c r="R84" s="119"/>
      <c r="S84" s="118"/>
      <c r="T84" s="118"/>
      <c r="U84" s="120"/>
      <c r="V84" s="272"/>
      <c r="W84" s="281" t="e">
        <f t="shared" si="1"/>
        <v>#REF!</v>
      </c>
      <c r="X84" s="57"/>
    </row>
    <row r="85" spans="1:44" s="51" customFormat="1" ht="24" customHeight="1">
      <c r="A85" s="153">
        <v>61599</v>
      </c>
      <c r="B85" s="264" t="s">
        <v>124</v>
      </c>
      <c r="C85" s="119"/>
      <c r="D85" s="118"/>
      <c r="E85" s="118"/>
      <c r="F85" s="259"/>
      <c r="G85" s="119"/>
      <c r="H85" s="118"/>
      <c r="I85" s="118"/>
      <c r="J85" s="259"/>
      <c r="K85" s="119" t="e">
        <f>SUM('120- Libre disp, social'!#REF!)</f>
        <v>#REF!</v>
      </c>
      <c r="L85" s="118"/>
      <c r="M85" s="118"/>
      <c r="N85" s="259" t="e">
        <f>SUM('120- Libre disp, social'!#REF!)</f>
        <v>#REF!</v>
      </c>
      <c r="O85" s="119"/>
      <c r="P85" s="120"/>
      <c r="Q85" s="118"/>
      <c r="R85" s="119">
        <f>SUM('INVER.FODES 75% AG 4'!H29)</f>
        <v>0</v>
      </c>
      <c r="S85" s="118"/>
      <c r="T85" s="118"/>
      <c r="U85" s="120"/>
      <c r="V85" s="272"/>
      <c r="W85" s="281" t="e">
        <f t="shared" si="1"/>
        <v>#REF!</v>
      </c>
      <c r="X85" s="57"/>
    </row>
    <row r="86" spans="1:44" s="51" customFormat="1" ht="24" customHeight="1">
      <c r="A86" s="153">
        <v>61601</v>
      </c>
      <c r="B86" s="264" t="s">
        <v>125</v>
      </c>
      <c r="C86" s="119"/>
      <c r="D86" s="118"/>
      <c r="E86" s="151"/>
      <c r="F86" s="259"/>
      <c r="G86" s="119"/>
      <c r="H86" s="118"/>
      <c r="I86" s="118"/>
      <c r="J86" s="259"/>
      <c r="K86" s="119"/>
      <c r="L86" s="118"/>
      <c r="M86" s="118"/>
      <c r="N86" s="259"/>
      <c r="O86" s="119"/>
      <c r="P86" s="120"/>
      <c r="Q86" s="118"/>
      <c r="R86" s="119">
        <f>SUM('INVER.FODES 75% AG 4'!H31)</f>
        <v>0</v>
      </c>
      <c r="S86" s="118"/>
      <c r="T86" s="118"/>
      <c r="U86" s="120"/>
      <c r="V86" s="272"/>
      <c r="W86" s="281">
        <f t="shared" si="1"/>
        <v>0</v>
      </c>
      <c r="X86" s="57"/>
    </row>
    <row r="87" spans="1:44" s="51" customFormat="1" ht="24" customHeight="1">
      <c r="A87" s="153">
        <v>61602</v>
      </c>
      <c r="B87" s="264" t="s">
        <v>126</v>
      </c>
      <c r="C87" s="119"/>
      <c r="D87" s="118"/>
      <c r="E87" s="118"/>
      <c r="F87" s="259"/>
      <c r="G87" s="119"/>
      <c r="H87" s="118"/>
      <c r="I87" s="118"/>
      <c r="J87" s="259"/>
      <c r="K87" s="119"/>
      <c r="L87" s="118"/>
      <c r="M87" s="118"/>
      <c r="N87" s="259"/>
      <c r="O87" s="119"/>
      <c r="P87" s="120"/>
      <c r="Q87" s="118"/>
      <c r="R87" s="119"/>
      <c r="S87" s="118"/>
      <c r="T87" s="118"/>
      <c r="U87" s="120"/>
      <c r="V87" s="272"/>
      <c r="W87" s="281">
        <f t="shared" si="1"/>
        <v>0</v>
      </c>
      <c r="X87" s="57"/>
    </row>
    <row r="88" spans="1:44" s="51" customFormat="1" ht="24" customHeight="1">
      <c r="A88" s="153">
        <v>61603</v>
      </c>
      <c r="B88" s="267" t="s">
        <v>127</v>
      </c>
      <c r="C88" s="119"/>
      <c r="D88" s="118"/>
      <c r="E88" s="118"/>
      <c r="F88" s="259"/>
      <c r="G88" s="119"/>
      <c r="H88" s="118"/>
      <c r="I88" s="118"/>
      <c r="J88" s="259"/>
      <c r="K88" s="119" t="e">
        <f>SUM('120- Libre disp, social'!#REF!)</f>
        <v>#REF!</v>
      </c>
      <c r="L88" s="118"/>
      <c r="M88" s="118" t="e">
        <f>SUM('120- Libre disp, social'!#REF!)</f>
        <v>#REF!</v>
      </c>
      <c r="N88" s="259"/>
      <c r="O88" s="119"/>
      <c r="P88" s="120"/>
      <c r="Q88" s="118"/>
      <c r="R88" s="119"/>
      <c r="S88" s="118"/>
      <c r="T88" s="118"/>
      <c r="U88" s="120"/>
      <c r="V88" s="272"/>
      <c r="W88" s="281" t="e">
        <f t="shared" si="1"/>
        <v>#REF!</v>
      </c>
      <c r="X88" s="57"/>
    </row>
    <row r="89" spans="1:44" s="51" customFormat="1" ht="24" customHeight="1">
      <c r="A89" s="153">
        <v>61604</v>
      </c>
      <c r="B89" s="267" t="s">
        <v>665</v>
      </c>
      <c r="C89" s="119"/>
      <c r="D89" s="118"/>
      <c r="E89" s="118"/>
      <c r="F89" s="259"/>
      <c r="G89" s="119"/>
      <c r="H89" s="118"/>
      <c r="I89" s="118"/>
      <c r="J89" s="259"/>
      <c r="K89" s="119" t="e">
        <f>SUM('120- Libre disp, social'!#REF!)</f>
        <v>#REF!</v>
      </c>
      <c r="L89" s="118"/>
      <c r="M89" s="118"/>
      <c r="N89" s="259"/>
      <c r="O89" s="119"/>
      <c r="P89" s="120"/>
      <c r="Q89" s="118"/>
      <c r="R89" s="119"/>
      <c r="S89" s="118"/>
      <c r="T89" s="118"/>
      <c r="U89" s="120"/>
      <c r="V89" s="272"/>
      <c r="W89" s="281" t="e">
        <f t="shared" si="1"/>
        <v>#REF!</v>
      </c>
      <c r="X89" s="57"/>
    </row>
    <row r="90" spans="1:44" s="51" customFormat="1" ht="24" customHeight="1">
      <c r="A90" s="153">
        <v>61606</v>
      </c>
      <c r="B90" s="264" t="s">
        <v>128</v>
      </c>
      <c r="C90" s="119"/>
      <c r="D90" s="118"/>
      <c r="E90" s="118"/>
      <c r="F90" s="259"/>
      <c r="G90" s="119"/>
      <c r="H90" s="118"/>
      <c r="I90" s="118"/>
      <c r="J90" s="259"/>
      <c r="K90" s="119"/>
      <c r="L90" s="118"/>
      <c r="M90" s="118"/>
      <c r="N90" s="259"/>
      <c r="O90" s="119"/>
      <c r="P90" s="120"/>
      <c r="Q90" s="118"/>
      <c r="R90" s="119">
        <f>SUM('INVER.FODES 75% AG 4'!$H$32)</f>
        <v>0</v>
      </c>
      <c r="S90" s="118"/>
      <c r="T90" s="118"/>
      <c r="U90" s="120"/>
      <c r="V90" s="272"/>
      <c r="W90" s="281">
        <f t="shared" si="1"/>
        <v>0</v>
      </c>
      <c r="X90" s="57"/>
    </row>
    <row r="91" spans="1:44" s="51" customFormat="1" ht="24" customHeight="1">
      <c r="A91" s="153">
        <v>61608</v>
      </c>
      <c r="B91" s="265" t="s">
        <v>129</v>
      </c>
      <c r="C91" s="119"/>
      <c r="D91" s="118"/>
      <c r="E91" s="118"/>
      <c r="F91" s="259"/>
      <c r="G91" s="119"/>
      <c r="H91" s="118"/>
      <c r="I91" s="118"/>
      <c r="J91" s="259"/>
      <c r="K91" s="119" t="e">
        <f>SUM('120- Libre disp, social'!#REF!)</f>
        <v>#REF!</v>
      </c>
      <c r="L91" s="118"/>
      <c r="M91" s="118" t="e">
        <f>SUM('120- Libre disp, social'!#REF!)</f>
        <v>#REF!</v>
      </c>
      <c r="N91" s="259">
        <f>SUM('120- Libre disp, social'!H53)</f>
        <v>9850</v>
      </c>
      <c r="O91" s="119"/>
      <c r="P91" s="120"/>
      <c r="Q91" s="118"/>
      <c r="R91" s="119">
        <f>SUM('INVER.FODES 75% AG 4'!$H$33)</f>
        <v>0</v>
      </c>
      <c r="S91" s="118"/>
      <c r="T91" s="118"/>
      <c r="U91" s="120"/>
      <c r="V91" s="272"/>
      <c r="W91" s="281" t="e">
        <f t="shared" si="1"/>
        <v>#REF!</v>
      </c>
      <c r="X91" s="57"/>
    </row>
    <row r="92" spans="1:44" s="147" customFormat="1" ht="24" customHeight="1">
      <c r="A92" s="148">
        <v>61699</v>
      </c>
      <c r="B92" s="265" t="s">
        <v>130</v>
      </c>
      <c r="C92" s="121"/>
      <c r="D92" s="122"/>
      <c r="E92" s="122"/>
      <c r="F92" s="260"/>
      <c r="G92" s="121"/>
      <c r="H92" s="122"/>
      <c r="I92" s="122"/>
      <c r="J92" s="260"/>
      <c r="K92" s="121"/>
      <c r="L92" s="122"/>
      <c r="M92" s="122"/>
      <c r="N92" s="260"/>
      <c r="O92" s="121"/>
      <c r="P92" s="120"/>
      <c r="Q92" s="118"/>
      <c r="R92" s="121"/>
      <c r="S92" s="122"/>
      <c r="T92" s="122"/>
      <c r="U92" s="123"/>
      <c r="V92" s="274"/>
      <c r="W92" s="281">
        <f t="shared" si="1"/>
        <v>0</v>
      </c>
    </row>
    <row r="93" spans="1:44" s="147" customFormat="1" ht="24" customHeight="1">
      <c r="A93" s="148">
        <v>62201</v>
      </c>
      <c r="B93" s="265" t="s">
        <v>427</v>
      </c>
      <c r="C93" s="121"/>
      <c r="D93" s="122"/>
      <c r="E93" s="122"/>
      <c r="F93" s="260"/>
      <c r="G93" s="121"/>
      <c r="H93" s="122"/>
      <c r="I93" s="122"/>
      <c r="J93" s="260"/>
      <c r="K93" s="121"/>
      <c r="L93" s="122"/>
      <c r="M93" s="122"/>
      <c r="N93" s="260"/>
      <c r="O93" s="121"/>
      <c r="P93" s="120"/>
      <c r="Q93" s="118"/>
      <c r="R93" s="121"/>
      <c r="S93" s="122"/>
      <c r="T93" s="122"/>
      <c r="U93" s="123"/>
      <c r="V93" s="274"/>
      <c r="W93" s="281">
        <f t="shared" si="1"/>
        <v>0</v>
      </c>
    </row>
    <row r="94" spans="1:44" s="147" customFormat="1" ht="24" customHeight="1">
      <c r="A94" s="148">
        <v>71304</v>
      </c>
      <c r="B94" s="266" t="s">
        <v>184</v>
      </c>
      <c r="C94" s="121"/>
      <c r="D94" s="122"/>
      <c r="E94" s="122"/>
      <c r="F94" s="260"/>
      <c r="G94" s="121"/>
      <c r="H94" s="122"/>
      <c r="I94" s="122"/>
      <c r="J94" s="260"/>
      <c r="K94" s="121"/>
      <c r="L94" s="122"/>
      <c r="M94" s="122"/>
      <c r="N94" s="260"/>
      <c r="O94" s="121"/>
      <c r="P94" s="123"/>
      <c r="Q94" s="122"/>
      <c r="R94" s="121"/>
      <c r="S94" s="122"/>
      <c r="T94" s="122"/>
      <c r="U94" s="123"/>
      <c r="V94" s="272">
        <f>SUM('Pres.Servicio Deuda Publica'!H13)</f>
        <v>0</v>
      </c>
      <c r="W94" s="281">
        <f t="shared" si="1"/>
        <v>0</v>
      </c>
    </row>
    <row r="95" spans="1:44" s="147" customFormat="1" ht="24" customHeight="1" thickBot="1">
      <c r="A95" s="149">
        <v>72101</v>
      </c>
      <c r="B95" s="268" t="s">
        <v>131</v>
      </c>
      <c r="C95" s="124">
        <f>SUM('FONDOS PROPIOS'!H31)</f>
        <v>0</v>
      </c>
      <c r="D95" s="125"/>
      <c r="E95" s="125"/>
      <c r="F95" s="261"/>
      <c r="G95" s="124"/>
      <c r="H95" s="125"/>
      <c r="I95" s="125"/>
      <c r="J95" s="261"/>
      <c r="K95" s="124"/>
      <c r="L95" s="125"/>
      <c r="M95" s="125"/>
      <c r="N95" s="270" t="e">
        <f>SUM('120- Libre disp, social'!#REF!)</f>
        <v>#REF!</v>
      </c>
      <c r="O95" s="124"/>
      <c r="P95" s="383"/>
      <c r="Q95" s="122"/>
      <c r="R95" s="124"/>
      <c r="S95" s="125"/>
      <c r="T95" s="125"/>
      <c r="U95" s="126"/>
      <c r="V95" s="275"/>
      <c r="W95" s="281" t="e">
        <f t="shared" si="1"/>
        <v>#REF!</v>
      </c>
    </row>
    <row r="96" spans="1:44" s="51" customFormat="1" ht="24" customHeight="1" thickBot="1">
      <c r="A96" s="262"/>
      <c r="B96" s="263" t="s">
        <v>18</v>
      </c>
      <c r="C96" s="413">
        <f>SUM(C10:C95)</f>
        <v>255059.90999999997</v>
      </c>
      <c r="D96" s="414" t="e">
        <f t="shared" ref="D96:V96" si="2">SUM(D10:D95)</f>
        <v>#REF!</v>
      </c>
      <c r="E96" s="414">
        <f t="shared" si="2"/>
        <v>0</v>
      </c>
      <c r="F96" s="415">
        <f>SUM(F10:F95)</f>
        <v>81587.002000000008</v>
      </c>
      <c r="G96" s="416" t="e">
        <f>SUM(G10:G95)</f>
        <v>#REF!</v>
      </c>
      <c r="H96" s="413" t="e">
        <f t="shared" si="2"/>
        <v>#REF!</v>
      </c>
      <c r="I96" s="413" t="e">
        <f t="shared" si="2"/>
        <v>#REF!</v>
      </c>
      <c r="J96" s="415" t="e">
        <f t="shared" si="2"/>
        <v>#REF!</v>
      </c>
      <c r="K96" s="413" t="e">
        <f t="shared" ref="K96:R96" si="3">SUM(K10:K95)</f>
        <v>#REF!</v>
      </c>
      <c r="L96" s="413">
        <f t="shared" si="3"/>
        <v>0</v>
      </c>
      <c r="M96" s="413" t="e">
        <f t="shared" si="3"/>
        <v>#REF!</v>
      </c>
      <c r="N96" s="413" t="e">
        <f t="shared" si="3"/>
        <v>#REF!</v>
      </c>
      <c r="O96" s="413">
        <f t="shared" si="3"/>
        <v>0</v>
      </c>
      <c r="P96" s="413">
        <f t="shared" si="3"/>
        <v>0</v>
      </c>
      <c r="Q96" s="417">
        <f t="shared" si="3"/>
        <v>0</v>
      </c>
      <c r="R96" s="418" t="e">
        <f t="shared" si="3"/>
        <v>#REF!</v>
      </c>
      <c r="S96" s="413">
        <f t="shared" si="2"/>
        <v>0</v>
      </c>
      <c r="T96" s="414">
        <f t="shared" si="2"/>
        <v>0</v>
      </c>
      <c r="U96" s="419">
        <f t="shared" si="2"/>
        <v>0</v>
      </c>
      <c r="V96" s="420">
        <f t="shared" si="2"/>
        <v>0</v>
      </c>
      <c r="W96" s="421" t="e">
        <f>+SUM(C96:V96)</f>
        <v>#REF!</v>
      </c>
      <c r="X96" s="57"/>
    </row>
    <row r="97" spans="1:24" s="51" customFormat="1" ht="16.5" customHeight="1" thickBot="1">
      <c r="A97" s="57"/>
      <c r="B97" s="169"/>
      <c r="C97" s="177" t="s">
        <v>403</v>
      </c>
      <c r="D97" s="1399">
        <f>SUM(Ingresos!I50)</f>
        <v>340405.91000000003</v>
      </c>
      <c r="E97" s="1400"/>
      <c r="F97" s="168"/>
      <c r="G97" s="170" t="s">
        <v>403</v>
      </c>
      <c r="H97" s="1399">
        <f>SUM('Saldos de ctas. Bancarias'!C58)</f>
        <v>68.05</v>
      </c>
      <c r="I97" s="1400"/>
      <c r="J97" s="168"/>
      <c r="K97" s="1401" t="s">
        <v>406</v>
      </c>
      <c r="L97" s="1402"/>
      <c r="M97" s="1403"/>
      <c r="N97" s="1399">
        <f>SUM(Ingresos!D50)</f>
        <v>655288.42999999993</v>
      </c>
      <c r="O97" s="1400"/>
      <c r="P97" s="160" t="s">
        <v>408</v>
      </c>
      <c r="Q97" s="160" t="s">
        <v>403</v>
      </c>
      <c r="R97" s="171"/>
      <c r="S97" s="172" t="s">
        <v>435</v>
      </c>
      <c r="T97" s="173">
        <f>M95+S95</f>
        <v>0</v>
      </c>
      <c r="U97" s="157" t="s">
        <v>428</v>
      </c>
      <c r="V97" s="173">
        <f>O95+U95</f>
        <v>0</v>
      </c>
      <c r="W97" s="423" t="e">
        <f>SUM(W10:W95)</f>
        <v>#REF!</v>
      </c>
      <c r="X97" s="57"/>
    </row>
    <row r="98" spans="1:24" s="57" customFormat="1" ht="16.5" customHeight="1" thickTop="1">
      <c r="B98" s="169"/>
      <c r="C98" s="174" t="s">
        <v>393</v>
      </c>
      <c r="D98" s="1391" t="e">
        <f>SUM(C96:F96)</f>
        <v>#REF!</v>
      </c>
      <c r="E98" s="1392"/>
      <c r="F98" s="168"/>
      <c r="G98" s="176" t="s">
        <v>204</v>
      </c>
      <c r="H98" s="1391" t="e">
        <f>SUM(G96:J96)</f>
        <v>#REF!</v>
      </c>
      <c r="I98" s="1392"/>
      <c r="J98" s="168"/>
      <c r="K98" s="1404" t="s">
        <v>392</v>
      </c>
      <c r="L98" s="1405"/>
      <c r="M98" s="1406"/>
      <c r="N98" s="1391" t="e">
        <f>K96+N96+R96+V96</f>
        <v>#REF!</v>
      </c>
      <c r="O98" s="1392"/>
      <c r="P98" s="159" t="s">
        <v>391</v>
      </c>
      <c r="Q98" s="159" t="s">
        <v>641</v>
      </c>
      <c r="R98" s="156">
        <f>P96+U96</f>
        <v>0</v>
      </c>
      <c r="S98" s="155" t="s">
        <v>190</v>
      </c>
      <c r="T98" s="158" t="e">
        <f>M96+S96</f>
        <v>#REF!</v>
      </c>
      <c r="U98" s="157"/>
      <c r="V98" s="161">
        <f>O96+T96</f>
        <v>0</v>
      </c>
    </row>
    <row r="99" spans="1:24" s="51" customFormat="1" ht="16.5" customHeight="1" thickBot="1">
      <c r="A99" s="57"/>
      <c r="B99" s="169"/>
      <c r="C99" s="175" t="s">
        <v>404</v>
      </c>
      <c r="D99" s="1407" t="e">
        <f>D97-D98</f>
        <v>#REF!</v>
      </c>
      <c r="E99" s="1408"/>
      <c r="F99" s="168"/>
      <c r="G99" s="422" t="s">
        <v>404</v>
      </c>
      <c r="H99" s="1407" t="e">
        <f>H97-H98</f>
        <v>#REF!</v>
      </c>
      <c r="I99" s="1408"/>
      <c r="J99" s="160"/>
      <c r="K99" s="1412" t="s">
        <v>404</v>
      </c>
      <c r="L99" s="1413"/>
      <c r="M99" s="1414"/>
      <c r="N99" s="1407" t="e">
        <f>N97-N98</f>
        <v>#REF!</v>
      </c>
      <c r="O99" s="1408"/>
      <c r="P99" s="164" t="s">
        <v>404</v>
      </c>
      <c r="Q99" s="164"/>
      <c r="R99" s="165"/>
      <c r="S99" s="166"/>
      <c r="T99" s="167"/>
      <c r="U99" s="162" t="s">
        <v>404</v>
      </c>
      <c r="V99" s="163">
        <f>V97-V98</f>
        <v>0</v>
      </c>
      <c r="W99" s="57"/>
      <c r="X99" s="57"/>
    </row>
    <row r="100" spans="1:24" s="67" customFormat="1" ht="15.75" customHeight="1">
      <c r="A100" s="70"/>
      <c r="B100" s="150"/>
      <c r="C100" s="57"/>
      <c r="D100" s="57"/>
      <c r="E100" s="57"/>
      <c r="F100" s="57"/>
      <c r="G100" s="57"/>
      <c r="H100" s="57"/>
      <c r="I100" s="57"/>
      <c r="J100" s="57"/>
      <c r="K100" s="54"/>
      <c r="L100" s="57"/>
      <c r="M100" s="57"/>
      <c r="N100" s="1409"/>
      <c r="O100" s="1409"/>
      <c r="P100" s="57"/>
      <c r="Q100" s="57"/>
      <c r="R100" s="57"/>
      <c r="S100" s="57"/>
      <c r="T100" s="57"/>
      <c r="U100" s="57"/>
      <c r="V100" s="57"/>
      <c r="W100" s="57"/>
      <c r="X100" s="70"/>
    </row>
    <row r="101" spans="1:24" s="67" customFormat="1" ht="15.75" customHeight="1">
      <c r="A101" s="70"/>
      <c r="B101" s="150"/>
      <c r="C101" s="57"/>
      <c r="D101" s="57"/>
      <c r="E101" s="57"/>
      <c r="F101" s="57"/>
      <c r="G101" s="57"/>
      <c r="H101" s="57"/>
      <c r="I101" s="57"/>
      <c r="J101" s="57"/>
      <c r="K101" s="54"/>
      <c r="L101" s="57"/>
      <c r="M101" s="57"/>
      <c r="N101" s="57"/>
      <c r="O101" s="57"/>
      <c r="P101" s="57"/>
      <c r="Q101" s="57"/>
      <c r="R101" s="57"/>
      <c r="S101" s="57"/>
      <c r="T101" s="57"/>
      <c r="U101" s="57"/>
      <c r="V101" s="57" t="s">
        <v>429</v>
      </c>
      <c r="W101" s="57"/>
      <c r="X101" s="70"/>
    </row>
    <row r="102" spans="1:24">
      <c r="O102" s="57"/>
      <c r="P102" s="57"/>
      <c r="Q102" s="57"/>
      <c r="R102" s="57"/>
      <c r="T102" s="57"/>
      <c r="U102" s="57"/>
      <c r="W102" s="386"/>
    </row>
    <row r="103" spans="1:24">
      <c r="O103" s="57"/>
      <c r="P103" s="57"/>
      <c r="Q103" s="57"/>
      <c r="R103" s="57"/>
      <c r="T103" s="57"/>
      <c r="U103" s="57"/>
    </row>
    <row r="104" spans="1:24">
      <c r="O104" s="57"/>
      <c r="P104" s="57"/>
      <c r="Q104" s="57"/>
      <c r="R104" s="57"/>
      <c r="T104" s="57"/>
      <c r="U104" s="57"/>
    </row>
    <row r="105" spans="1:24">
      <c r="O105" s="57"/>
      <c r="P105" s="57"/>
      <c r="Q105" s="57"/>
      <c r="R105" s="57"/>
      <c r="T105" s="57"/>
      <c r="U105" s="57"/>
    </row>
    <row r="106" spans="1:24">
      <c r="O106" s="57"/>
      <c r="P106" s="57"/>
      <c r="Q106" s="57"/>
      <c r="R106" s="57"/>
      <c r="T106" s="57"/>
      <c r="U106" s="57"/>
    </row>
    <row r="107" spans="1:24">
      <c r="O107" s="57"/>
      <c r="P107" s="57"/>
      <c r="Q107" s="57"/>
      <c r="R107" s="57"/>
      <c r="T107" s="57"/>
      <c r="U107" s="57"/>
    </row>
    <row r="108" spans="1:24">
      <c r="O108" s="57"/>
      <c r="P108" s="57"/>
      <c r="Q108" s="57"/>
      <c r="R108" s="57"/>
      <c r="T108" s="57"/>
      <c r="U108" s="57"/>
    </row>
    <row r="109" spans="1:24">
      <c r="O109" s="57"/>
      <c r="P109" s="57"/>
      <c r="Q109" s="57"/>
      <c r="R109" s="57"/>
      <c r="T109" s="57"/>
      <c r="U109" s="57"/>
    </row>
    <row r="110" spans="1:24">
      <c r="O110" s="57"/>
      <c r="P110" s="57"/>
      <c r="Q110" s="57"/>
      <c r="R110" s="57"/>
      <c r="T110" s="57"/>
      <c r="U110" s="57"/>
    </row>
    <row r="111" spans="1:24">
      <c r="O111" s="57"/>
      <c r="P111" s="57"/>
      <c r="Q111" s="57"/>
      <c r="R111" s="57"/>
      <c r="T111" s="57"/>
      <c r="U111" s="57"/>
    </row>
    <row r="112" spans="1:24">
      <c r="O112" s="57"/>
      <c r="P112" s="57"/>
      <c r="Q112" s="57"/>
      <c r="R112" s="57"/>
      <c r="T112" s="57"/>
      <c r="U112" s="57"/>
    </row>
    <row r="113" spans="15:21">
      <c r="O113" s="57"/>
      <c r="P113" s="57"/>
      <c r="Q113" s="57"/>
      <c r="R113" s="57"/>
      <c r="T113" s="57"/>
      <c r="U113" s="57"/>
    </row>
    <row r="114" spans="15:21">
      <c r="O114" s="57"/>
      <c r="P114" s="57"/>
      <c r="Q114" s="57"/>
      <c r="R114" s="57"/>
      <c r="T114" s="57"/>
      <c r="U114" s="57"/>
    </row>
    <row r="115" spans="15:21">
      <c r="O115" s="57"/>
      <c r="P115" s="57"/>
      <c r="Q115" s="57"/>
      <c r="R115" s="57"/>
      <c r="T115" s="57"/>
      <c r="U115" s="57"/>
    </row>
    <row r="116" spans="15:21">
      <c r="O116" s="57"/>
      <c r="P116" s="57"/>
      <c r="Q116" s="57"/>
      <c r="R116" s="57"/>
      <c r="T116" s="57"/>
      <c r="U116" s="57"/>
    </row>
    <row r="117" spans="15:21">
      <c r="O117" s="57"/>
      <c r="P117" s="57"/>
      <c r="Q117" s="57"/>
      <c r="R117" s="57"/>
      <c r="T117" s="57"/>
      <c r="U117" s="57"/>
    </row>
    <row r="118" spans="15:21">
      <c r="O118" s="57"/>
      <c r="P118" s="57"/>
      <c r="Q118" s="57"/>
      <c r="R118" s="57"/>
      <c r="T118" s="57"/>
      <c r="U118" s="57"/>
    </row>
    <row r="119" spans="15:21">
      <c r="O119" s="57"/>
      <c r="P119" s="57"/>
      <c r="Q119" s="57"/>
      <c r="R119" s="57"/>
      <c r="T119" s="57"/>
      <c r="U119" s="57"/>
    </row>
    <row r="120" spans="15:21">
      <c r="O120" s="57"/>
      <c r="P120" s="57"/>
      <c r="Q120" s="57"/>
      <c r="R120" s="57"/>
      <c r="T120" s="57"/>
      <c r="U120" s="57"/>
    </row>
    <row r="121" spans="15:21">
      <c r="O121" s="57"/>
      <c r="P121" s="57"/>
      <c r="Q121" s="57"/>
      <c r="R121" s="57"/>
      <c r="T121" s="57"/>
      <c r="U121" s="57"/>
    </row>
    <row r="122" spans="15:21">
      <c r="O122" s="57"/>
      <c r="P122" s="57"/>
      <c r="Q122" s="57"/>
      <c r="R122" s="57"/>
      <c r="T122" s="57"/>
      <c r="U122" s="57"/>
    </row>
    <row r="123" spans="15:21">
      <c r="O123" s="57"/>
      <c r="P123" s="57"/>
      <c r="Q123" s="57"/>
      <c r="R123" s="57"/>
      <c r="T123" s="57"/>
      <c r="U123" s="57"/>
    </row>
    <row r="124" spans="15:21">
      <c r="O124" s="57"/>
      <c r="P124" s="57"/>
      <c r="Q124" s="57"/>
      <c r="R124" s="57"/>
      <c r="T124" s="57"/>
      <c r="U124" s="57"/>
    </row>
    <row r="125" spans="15:21">
      <c r="O125" s="57"/>
      <c r="P125" s="57"/>
      <c r="Q125" s="57"/>
      <c r="R125" s="57"/>
      <c r="T125" s="57"/>
      <c r="U125" s="57"/>
    </row>
    <row r="126" spans="15:21">
      <c r="O126" s="57"/>
      <c r="P126" s="57"/>
      <c r="Q126" s="57"/>
      <c r="R126" s="57"/>
      <c r="T126" s="57"/>
      <c r="U126" s="57"/>
    </row>
    <row r="127" spans="15:21">
      <c r="O127" s="57"/>
      <c r="P127" s="57"/>
      <c r="Q127" s="57"/>
      <c r="R127" s="57"/>
      <c r="T127" s="57"/>
      <c r="U127" s="57"/>
    </row>
    <row r="128" spans="15:21">
      <c r="O128" s="57"/>
      <c r="P128" s="57"/>
      <c r="Q128" s="57"/>
      <c r="R128" s="57"/>
      <c r="T128" s="57"/>
      <c r="U128" s="57"/>
    </row>
    <row r="129" spans="16:21">
      <c r="P129" s="57"/>
      <c r="Q129" s="57"/>
      <c r="U129" s="57"/>
    </row>
    <row r="130" spans="16:21">
      <c r="P130" s="57"/>
      <c r="Q130" s="57"/>
      <c r="U130" s="57"/>
    </row>
    <row r="131" spans="16:21">
      <c r="P131" s="57"/>
      <c r="Q131" s="57"/>
      <c r="U131" s="57"/>
    </row>
    <row r="132" spans="16:21">
      <c r="P132" s="57"/>
      <c r="Q132" s="57"/>
      <c r="U132" s="57"/>
    </row>
    <row r="133" spans="16:21">
      <c r="P133" s="57"/>
      <c r="Q133" s="57"/>
      <c r="U133" s="57"/>
    </row>
    <row r="134" spans="16:21">
      <c r="P134" s="57"/>
      <c r="Q134" s="57"/>
      <c r="U134" s="57"/>
    </row>
    <row r="135" spans="16:21">
      <c r="P135" s="57"/>
      <c r="Q135" s="57"/>
      <c r="U135" s="57"/>
    </row>
    <row r="136" spans="16:21">
      <c r="P136" s="57"/>
      <c r="Q136" s="57"/>
      <c r="U136" s="57"/>
    </row>
  </sheetData>
  <mergeCells count="22">
    <mergeCell ref="H99:I99"/>
    <mergeCell ref="H98:I98"/>
    <mergeCell ref="N100:O100"/>
    <mergeCell ref="D99:E99"/>
    <mergeCell ref="W8:W9"/>
    <mergeCell ref="N99:O99"/>
    <mergeCell ref="K99:M99"/>
    <mergeCell ref="A1:W1"/>
    <mergeCell ref="A2:W2"/>
    <mergeCell ref="N98:O98"/>
    <mergeCell ref="A6:W6"/>
    <mergeCell ref="A7:W7"/>
    <mergeCell ref="C8:V8"/>
    <mergeCell ref="A3:W3"/>
    <mergeCell ref="A4:W4"/>
    <mergeCell ref="A5:W5"/>
    <mergeCell ref="D98:E98"/>
    <mergeCell ref="N97:O97"/>
    <mergeCell ref="D97:E97"/>
    <mergeCell ref="H97:I97"/>
    <mergeCell ref="K97:M97"/>
    <mergeCell ref="K98:M98"/>
  </mergeCells>
  <phoneticPr fontId="11" type="noConversion"/>
  <pageMargins left="0.21" right="0" top="0.35433070866141736" bottom="0.43307086614173229" header="0.11811023622047245" footer="0.27559055118110237"/>
  <pageSetup paperSize="5" scale="77" orientation="landscape" verticalDpi="300" r:id="rId1"/>
  <headerFooter alignWithMargins="0"/>
  <ignoredErrors>
    <ignoredError sqref="A10"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T73"/>
  <sheetViews>
    <sheetView zoomScale="96" zoomScaleNormal="96" workbookViewId="0">
      <selection activeCell="O2" sqref="O2"/>
    </sheetView>
  </sheetViews>
  <sheetFormatPr baseColWidth="10" defaultRowHeight="12.75"/>
  <cols>
    <col min="1" max="1" width="4.28515625" customWidth="1"/>
    <col min="2" max="2" width="22.7109375" customWidth="1"/>
    <col min="3" max="3" width="13.85546875" customWidth="1"/>
    <col min="4" max="4" width="12" customWidth="1"/>
    <col min="6" max="6" width="14.5703125" customWidth="1"/>
    <col min="7" max="7" width="13.5703125" customWidth="1"/>
    <col min="9" max="9" width="12.42578125" customWidth="1"/>
    <col min="11" max="11" width="12.42578125" customWidth="1"/>
    <col min="14" max="14" width="14.42578125" customWidth="1"/>
  </cols>
  <sheetData>
    <row r="1" spans="1:20" ht="24.75" customHeight="1">
      <c r="A1" s="1443" t="s">
        <v>248</v>
      </c>
      <c r="B1" s="1444" t="s">
        <v>458</v>
      </c>
      <c r="C1" s="1445" t="s">
        <v>459</v>
      </c>
      <c r="D1" s="1445" t="s">
        <v>1007</v>
      </c>
      <c r="E1" s="1445" t="s">
        <v>460</v>
      </c>
      <c r="F1" s="1445"/>
      <c r="G1" s="1445"/>
      <c r="H1" s="1443" t="s">
        <v>461</v>
      </c>
      <c r="I1" s="1443"/>
      <c r="J1" s="1443"/>
      <c r="K1" s="1443"/>
      <c r="L1" s="1443"/>
      <c r="M1" s="1443"/>
      <c r="N1" s="1444" t="s">
        <v>202</v>
      </c>
    </row>
    <row r="2" spans="1:20" ht="87" customHeight="1">
      <c r="A2" s="1443"/>
      <c r="B2" s="1444"/>
      <c r="C2" s="1445"/>
      <c r="D2" s="1445"/>
      <c r="E2" s="550" t="s">
        <v>462</v>
      </c>
      <c r="F2" s="549" t="s">
        <v>716</v>
      </c>
      <c r="G2" s="550" t="s">
        <v>463</v>
      </c>
      <c r="H2" s="549" t="s">
        <v>685</v>
      </c>
      <c r="I2" s="618" t="s">
        <v>1008</v>
      </c>
      <c r="J2" s="549" t="s">
        <v>536</v>
      </c>
      <c r="K2" s="618" t="s">
        <v>1009</v>
      </c>
      <c r="L2" s="549" t="s">
        <v>260</v>
      </c>
      <c r="M2" s="549" t="s">
        <v>464</v>
      </c>
      <c r="N2" s="1444"/>
    </row>
    <row r="3" spans="1:20" ht="26.25" customHeight="1">
      <c r="A3" s="613">
        <v>1</v>
      </c>
      <c r="B3" s="614" t="s">
        <v>927</v>
      </c>
      <c r="C3" s="615" t="s">
        <v>466</v>
      </c>
      <c r="D3" s="1009" t="s">
        <v>465</v>
      </c>
      <c r="E3" s="616">
        <v>360</v>
      </c>
      <c r="F3" s="616">
        <v>720</v>
      </c>
      <c r="G3" s="616">
        <f>F3*14</f>
        <v>10080</v>
      </c>
      <c r="H3" s="616">
        <f>F3*7.75%</f>
        <v>55.8</v>
      </c>
      <c r="I3" s="616">
        <f>720+360</f>
        <v>1080</v>
      </c>
      <c r="J3" s="616">
        <f>F3*7.5%</f>
        <v>54</v>
      </c>
      <c r="K3" s="616">
        <f>720+360</f>
        <v>1080</v>
      </c>
      <c r="L3" s="616">
        <f t="shared" ref="L3:L13" si="0">+F3*0.01</f>
        <v>7.2</v>
      </c>
      <c r="M3" s="616">
        <f>H3+J3+L3</f>
        <v>117</v>
      </c>
      <c r="N3" s="617">
        <f>+F3+G3+I3+K3+M3</f>
        <v>13077</v>
      </c>
    </row>
    <row r="4" spans="1:20" ht="26.25" customHeight="1">
      <c r="A4" s="75">
        <f t="shared" ref="A4:A13" si="1">+A3+1</f>
        <v>2</v>
      </c>
      <c r="B4" s="184" t="s">
        <v>928</v>
      </c>
      <c r="C4" s="185" t="s">
        <v>467</v>
      </c>
      <c r="D4" s="1010" t="s">
        <v>465</v>
      </c>
      <c r="E4" s="182">
        <v>360</v>
      </c>
      <c r="F4" s="182">
        <v>720</v>
      </c>
      <c r="G4" s="616">
        <f t="shared" ref="G4:G12" si="2">F4*14</f>
        <v>10080</v>
      </c>
      <c r="H4" s="616">
        <f t="shared" ref="H4:H12" si="3">F4*7.75%</f>
        <v>55.8</v>
      </c>
      <c r="I4" s="182">
        <f t="shared" ref="I4:K8" si="4">720+360</f>
        <v>1080</v>
      </c>
      <c r="J4" s="182">
        <f t="shared" ref="J4:J13" si="5">F4*7.5%</f>
        <v>54</v>
      </c>
      <c r="K4" s="182">
        <f t="shared" si="4"/>
        <v>1080</v>
      </c>
      <c r="L4" s="182">
        <f t="shared" si="0"/>
        <v>7.2</v>
      </c>
      <c r="M4" s="182">
        <f t="shared" ref="M4:M13" si="6">H4+J4+L4</f>
        <v>117</v>
      </c>
      <c r="N4" s="183">
        <f t="shared" ref="N4:N12" si="7">+F4+G4+I4+K4+M4</f>
        <v>13077</v>
      </c>
    </row>
    <row r="5" spans="1:20" ht="26.25" customHeight="1">
      <c r="A5" s="75">
        <f t="shared" si="1"/>
        <v>3</v>
      </c>
      <c r="B5" s="1020" t="s">
        <v>929</v>
      </c>
      <c r="C5" s="185" t="s">
        <v>468</v>
      </c>
      <c r="D5" s="1010" t="s">
        <v>465</v>
      </c>
      <c r="E5" s="182">
        <v>360</v>
      </c>
      <c r="F5" s="182">
        <v>720</v>
      </c>
      <c r="G5" s="616">
        <f t="shared" si="2"/>
        <v>10080</v>
      </c>
      <c r="H5" s="616">
        <f t="shared" si="3"/>
        <v>55.8</v>
      </c>
      <c r="I5" s="182">
        <f t="shared" si="4"/>
        <v>1080</v>
      </c>
      <c r="J5" s="182">
        <f t="shared" si="5"/>
        <v>54</v>
      </c>
      <c r="K5" s="182">
        <f t="shared" si="4"/>
        <v>1080</v>
      </c>
      <c r="L5" s="182">
        <f t="shared" si="0"/>
        <v>7.2</v>
      </c>
      <c r="M5" s="182">
        <f t="shared" si="6"/>
        <v>117</v>
      </c>
      <c r="N5" s="183">
        <f t="shared" si="7"/>
        <v>13077</v>
      </c>
    </row>
    <row r="6" spans="1:20" ht="26.25" customHeight="1">
      <c r="A6" s="75">
        <f>+A5+1</f>
        <v>4</v>
      </c>
      <c r="B6" s="1020" t="s">
        <v>1002</v>
      </c>
      <c r="C6" s="186" t="s">
        <v>469</v>
      </c>
      <c r="D6" s="1010" t="s">
        <v>465</v>
      </c>
      <c r="E6" s="182">
        <v>360</v>
      </c>
      <c r="F6" s="182">
        <v>720</v>
      </c>
      <c r="G6" s="616">
        <f t="shared" si="2"/>
        <v>10080</v>
      </c>
      <c r="H6" s="616">
        <f t="shared" si="3"/>
        <v>55.8</v>
      </c>
      <c r="I6" s="182">
        <f t="shared" si="4"/>
        <v>1080</v>
      </c>
      <c r="J6" s="182">
        <f t="shared" si="5"/>
        <v>54</v>
      </c>
      <c r="K6" s="182">
        <f t="shared" si="4"/>
        <v>1080</v>
      </c>
      <c r="L6" s="182">
        <f t="shared" si="0"/>
        <v>7.2</v>
      </c>
      <c r="M6" s="182">
        <f t="shared" si="6"/>
        <v>117</v>
      </c>
      <c r="N6" s="183">
        <f t="shared" si="7"/>
        <v>13077</v>
      </c>
    </row>
    <row r="7" spans="1:20" ht="26.25" customHeight="1">
      <c r="A7" s="75">
        <f t="shared" si="1"/>
        <v>5</v>
      </c>
      <c r="B7" s="184" t="s">
        <v>1001</v>
      </c>
      <c r="C7" s="186" t="s">
        <v>470</v>
      </c>
      <c r="D7" s="1010" t="s">
        <v>465</v>
      </c>
      <c r="E7" s="182">
        <v>360</v>
      </c>
      <c r="F7" s="182">
        <v>720</v>
      </c>
      <c r="G7" s="616">
        <f t="shared" si="2"/>
        <v>10080</v>
      </c>
      <c r="H7" s="616">
        <f t="shared" si="3"/>
        <v>55.8</v>
      </c>
      <c r="I7" s="182">
        <f t="shared" si="4"/>
        <v>1080</v>
      </c>
      <c r="J7" s="182">
        <f t="shared" si="5"/>
        <v>54</v>
      </c>
      <c r="K7" s="182">
        <f t="shared" si="4"/>
        <v>1080</v>
      </c>
      <c r="L7" s="182">
        <f t="shared" si="0"/>
        <v>7.2</v>
      </c>
      <c r="M7" s="182">
        <f t="shared" si="6"/>
        <v>117</v>
      </c>
      <c r="N7" s="183">
        <f t="shared" si="7"/>
        <v>13077</v>
      </c>
    </row>
    <row r="8" spans="1:20" ht="26.25" customHeight="1">
      <c r="A8" s="75">
        <f t="shared" si="1"/>
        <v>6</v>
      </c>
      <c r="B8" s="184" t="s">
        <v>640</v>
      </c>
      <c r="C8" s="186" t="s">
        <v>471</v>
      </c>
      <c r="D8" s="1010" t="s">
        <v>465</v>
      </c>
      <c r="E8" s="182">
        <v>360</v>
      </c>
      <c r="F8" s="182">
        <v>720</v>
      </c>
      <c r="G8" s="616">
        <f t="shared" si="2"/>
        <v>10080</v>
      </c>
      <c r="H8" s="616">
        <f t="shared" si="3"/>
        <v>55.8</v>
      </c>
      <c r="I8" s="182">
        <f t="shared" si="4"/>
        <v>1080</v>
      </c>
      <c r="J8" s="182">
        <f t="shared" si="5"/>
        <v>54</v>
      </c>
      <c r="K8" s="182">
        <f t="shared" si="4"/>
        <v>1080</v>
      </c>
      <c r="L8" s="182">
        <f t="shared" si="0"/>
        <v>7.2</v>
      </c>
      <c r="M8" s="182">
        <f t="shared" si="6"/>
        <v>117</v>
      </c>
      <c r="N8" s="183">
        <f t="shared" si="7"/>
        <v>13077</v>
      </c>
    </row>
    <row r="9" spans="1:20" ht="26.25" customHeight="1">
      <c r="A9" s="75">
        <f t="shared" si="1"/>
        <v>7</v>
      </c>
      <c r="B9" s="184" t="s">
        <v>930</v>
      </c>
      <c r="C9" s="186" t="s">
        <v>472</v>
      </c>
      <c r="D9" s="1010" t="s">
        <v>465</v>
      </c>
      <c r="E9" s="182">
        <v>280</v>
      </c>
      <c r="F9" s="182">
        <v>560</v>
      </c>
      <c r="G9" s="616">
        <f t="shared" si="2"/>
        <v>7840</v>
      </c>
      <c r="H9" s="616">
        <f>F9*7.75%</f>
        <v>43.4</v>
      </c>
      <c r="I9" s="182">
        <f>560+280</f>
        <v>840</v>
      </c>
      <c r="J9" s="182">
        <f t="shared" si="5"/>
        <v>42</v>
      </c>
      <c r="K9" s="182">
        <f>560+280</f>
        <v>840</v>
      </c>
      <c r="L9" s="182">
        <f t="shared" si="0"/>
        <v>5.6000000000000005</v>
      </c>
      <c r="M9" s="182">
        <f t="shared" si="6"/>
        <v>91</v>
      </c>
      <c r="N9" s="183">
        <f t="shared" si="7"/>
        <v>10171</v>
      </c>
    </row>
    <row r="10" spans="1:20" ht="26.25" customHeight="1">
      <c r="A10" s="75">
        <f t="shared" si="1"/>
        <v>8</v>
      </c>
      <c r="B10" s="184" t="s">
        <v>931</v>
      </c>
      <c r="C10" s="186" t="s">
        <v>473</v>
      </c>
      <c r="D10" s="1010" t="s">
        <v>465</v>
      </c>
      <c r="E10" s="182">
        <v>280</v>
      </c>
      <c r="F10" s="182">
        <v>560</v>
      </c>
      <c r="G10" s="616">
        <f t="shared" si="2"/>
        <v>7840</v>
      </c>
      <c r="H10" s="616">
        <f t="shared" si="3"/>
        <v>43.4</v>
      </c>
      <c r="I10" s="182">
        <f t="shared" ref="I10:K12" si="8">560+280</f>
        <v>840</v>
      </c>
      <c r="J10" s="182">
        <f t="shared" si="5"/>
        <v>42</v>
      </c>
      <c r="K10" s="182">
        <f t="shared" si="8"/>
        <v>840</v>
      </c>
      <c r="L10" s="182">
        <f t="shared" si="0"/>
        <v>5.6000000000000005</v>
      </c>
      <c r="M10" s="182">
        <f t="shared" si="6"/>
        <v>91</v>
      </c>
      <c r="N10" s="183">
        <f t="shared" si="7"/>
        <v>10171</v>
      </c>
    </row>
    <row r="11" spans="1:20" ht="26.25" customHeight="1">
      <c r="A11" s="75">
        <f t="shared" si="1"/>
        <v>9</v>
      </c>
      <c r="B11" s="184" t="s">
        <v>932</v>
      </c>
      <c r="C11" s="186" t="s">
        <v>474</v>
      </c>
      <c r="D11" s="1010" t="s">
        <v>465</v>
      </c>
      <c r="E11" s="182">
        <v>280</v>
      </c>
      <c r="F11" s="182">
        <v>560</v>
      </c>
      <c r="G11" s="616">
        <f t="shared" si="2"/>
        <v>7840</v>
      </c>
      <c r="H11" s="616">
        <f t="shared" si="3"/>
        <v>43.4</v>
      </c>
      <c r="I11" s="182">
        <f t="shared" si="8"/>
        <v>840</v>
      </c>
      <c r="J11" s="182">
        <f t="shared" si="5"/>
        <v>42</v>
      </c>
      <c r="K11" s="182">
        <f t="shared" si="8"/>
        <v>840</v>
      </c>
      <c r="L11" s="182">
        <f t="shared" si="0"/>
        <v>5.6000000000000005</v>
      </c>
      <c r="M11" s="182">
        <f t="shared" si="6"/>
        <v>91</v>
      </c>
      <c r="N11" s="183">
        <f t="shared" si="7"/>
        <v>10171</v>
      </c>
      <c r="T11">
        <f>560/2</f>
        <v>280</v>
      </c>
    </row>
    <row r="12" spans="1:20" ht="26.25" customHeight="1">
      <c r="A12" s="75">
        <f t="shared" si="1"/>
        <v>10</v>
      </c>
      <c r="B12" s="184" t="s">
        <v>933</v>
      </c>
      <c r="C12" s="186" t="s">
        <v>475</v>
      </c>
      <c r="D12" s="1010" t="s">
        <v>465</v>
      </c>
      <c r="E12" s="182">
        <v>280</v>
      </c>
      <c r="F12" s="182">
        <v>560</v>
      </c>
      <c r="G12" s="616">
        <f t="shared" si="2"/>
        <v>7840</v>
      </c>
      <c r="H12" s="616">
        <f t="shared" si="3"/>
        <v>43.4</v>
      </c>
      <c r="I12" s="182">
        <f t="shared" si="8"/>
        <v>840</v>
      </c>
      <c r="J12" s="182">
        <f t="shared" si="5"/>
        <v>42</v>
      </c>
      <c r="K12" s="182">
        <f t="shared" si="8"/>
        <v>840</v>
      </c>
      <c r="L12" s="182">
        <f t="shared" si="0"/>
        <v>5.6000000000000005</v>
      </c>
      <c r="M12" s="182">
        <f t="shared" si="6"/>
        <v>91</v>
      </c>
      <c r="N12" s="183">
        <f t="shared" si="7"/>
        <v>10171</v>
      </c>
      <c r="T12">
        <v>280</v>
      </c>
    </row>
    <row r="13" spans="1:20" ht="26.25" hidden="1" customHeight="1">
      <c r="A13" s="75">
        <f t="shared" si="1"/>
        <v>11</v>
      </c>
      <c r="B13" s="184"/>
      <c r="C13" s="186"/>
      <c r="D13" s="181"/>
      <c r="E13" s="182"/>
      <c r="F13" s="182"/>
      <c r="G13" s="182">
        <f t="shared" ref="G13" si="9">F13*13</f>
        <v>0</v>
      </c>
      <c r="H13" s="182">
        <f t="shared" ref="H13" si="10">F13*7.75%</f>
        <v>0</v>
      </c>
      <c r="I13" s="182"/>
      <c r="J13" s="182">
        <f t="shared" si="5"/>
        <v>0</v>
      </c>
      <c r="K13" s="182"/>
      <c r="L13" s="182">
        <f t="shared" si="0"/>
        <v>0</v>
      </c>
      <c r="M13" s="182">
        <f t="shared" si="6"/>
        <v>0</v>
      </c>
      <c r="N13" s="183">
        <f t="shared" ref="N13" si="11">+F13+G13+M13</f>
        <v>0</v>
      </c>
    </row>
    <row r="14" spans="1:20" ht="26.25" customHeight="1">
      <c r="A14" s="623" t="s">
        <v>476</v>
      </c>
      <c r="B14" s="619"/>
      <c r="C14" s="620"/>
      <c r="D14" s="621"/>
      <c r="E14" s="622">
        <f>SUM(E3:E13)</f>
        <v>3280</v>
      </c>
      <c r="F14" s="622">
        <f>SUM(F3:F13)</f>
        <v>6560</v>
      </c>
      <c r="G14" s="622">
        <f>SUM(G3:G13)</f>
        <v>91840</v>
      </c>
      <c r="H14" s="622">
        <f>SUM(H3:H13)</f>
        <v>508.39999999999992</v>
      </c>
      <c r="I14" s="622">
        <f t="shared" ref="I14:L14" si="12">SUM(I3:I13)</f>
        <v>9840</v>
      </c>
      <c r="J14" s="622">
        <f t="shared" si="12"/>
        <v>492</v>
      </c>
      <c r="K14" s="622">
        <f t="shared" si="12"/>
        <v>9840</v>
      </c>
      <c r="L14" s="622">
        <f t="shared" si="12"/>
        <v>65.600000000000009</v>
      </c>
      <c r="M14" s="622">
        <f>SUM(M3:M13)</f>
        <v>1066</v>
      </c>
      <c r="N14" s="622">
        <f>SUM(N3:N13)</f>
        <v>119146</v>
      </c>
    </row>
    <row r="15" spans="1:20" ht="15" customHeight="1">
      <c r="A15" s="1415" t="s">
        <v>477</v>
      </c>
      <c r="B15" s="1416"/>
      <c r="C15" s="1416"/>
      <c r="D15" s="299"/>
      <c r="E15" s="299"/>
      <c r="F15" s="299"/>
      <c r="G15" s="299"/>
      <c r="H15" s="299"/>
      <c r="I15" s="299"/>
      <c r="J15" s="299"/>
      <c r="K15" s="299"/>
      <c r="L15" s="299"/>
      <c r="M15" s="299"/>
      <c r="N15" s="186"/>
    </row>
    <row r="16" spans="1:20" ht="15" customHeight="1">
      <c r="A16" s="40"/>
      <c r="B16" s="40"/>
      <c r="C16" s="40"/>
      <c r="D16" s="40"/>
      <c r="E16" s="40"/>
      <c r="F16" s="40"/>
      <c r="G16" s="40"/>
      <c r="H16" s="40"/>
      <c r="I16" s="40"/>
      <c r="J16" s="40"/>
      <c r="K16" s="40"/>
      <c r="L16" s="40"/>
      <c r="M16" s="40"/>
      <c r="N16" s="40"/>
    </row>
    <row r="17" spans="1:14" hidden="1">
      <c r="A17" s="40"/>
      <c r="B17" s="40"/>
      <c r="C17" s="40"/>
      <c r="D17" s="40"/>
      <c r="E17" s="40"/>
      <c r="F17" s="40"/>
      <c r="G17" s="40"/>
      <c r="H17" s="40"/>
      <c r="I17" s="40"/>
      <c r="J17" s="40"/>
      <c r="K17" s="40"/>
      <c r="L17" s="40"/>
      <c r="M17" s="40"/>
      <c r="N17" s="40"/>
    </row>
    <row r="18" spans="1:14" hidden="1">
      <c r="A18" s="40"/>
      <c r="B18" s="40"/>
      <c r="C18" s="40"/>
      <c r="D18" s="40"/>
      <c r="E18" s="40"/>
      <c r="F18" s="40"/>
      <c r="G18" s="40"/>
      <c r="H18" s="40"/>
      <c r="I18" s="40"/>
      <c r="J18" s="40"/>
      <c r="K18" s="40"/>
      <c r="L18" s="40"/>
      <c r="M18" s="40"/>
      <c r="N18" s="40"/>
    </row>
    <row r="19" spans="1:14" hidden="1">
      <c r="A19" s="40"/>
      <c r="B19" s="40"/>
      <c r="C19" s="40"/>
      <c r="D19" s="40"/>
      <c r="E19" s="40"/>
      <c r="F19" s="40"/>
      <c r="G19" s="40"/>
      <c r="H19" s="40"/>
      <c r="I19" s="40"/>
      <c r="J19" s="40"/>
      <c r="K19" s="40"/>
      <c r="L19" s="40"/>
      <c r="M19" s="40"/>
      <c r="N19" s="40"/>
    </row>
    <row r="20" spans="1:14" hidden="1">
      <c r="A20" s="40"/>
      <c r="B20" s="40"/>
      <c r="C20" s="40"/>
      <c r="D20" s="40"/>
      <c r="E20" s="40"/>
      <c r="F20" s="40"/>
      <c r="G20" s="40"/>
      <c r="H20" s="40"/>
      <c r="I20" s="40"/>
      <c r="J20" s="40"/>
      <c r="K20" s="40"/>
      <c r="L20" s="40"/>
      <c r="M20" s="40"/>
      <c r="N20" s="40"/>
    </row>
    <row r="21" spans="1:14">
      <c r="A21" s="497" t="s">
        <v>478</v>
      </c>
      <c r="B21" s="498"/>
      <c r="C21" s="498"/>
      <c r="D21" s="40"/>
      <c r="E21" s="40"/>
      <c r="F21" s="40"/>
      <c r="G21" s="40"/>
      <c r="H21" s="40"/>
      <c r="I21" s="40"/>
      <c r="J21" s="40"/>
      <c r="K21" s="40"/>
      <c r="L21" s="40"/>
      <c r="M21" s="40"/>
      <c r="N21" s="40"/>
    </row>
    <row r="22" spans="1:14">
      <c r="A22" s="1021" t="s">
        <v>1003</v>
      </c>
      <c r="B22" s="498"/>
      <c r="C22" s="498"/>
      <c r="D22" s="40"/>
      <c r="E22" s="40"/>
      <c r="F22" s="40"/>
      <c r="G22" s="40"/>
      <c r="H22" s="40"/>
      <c r="I22" s="40"/>
      <c r="J22" s="40"/>
      <c r="K22" s="40"/>
      <c r="L22" s="40"/>
      <c r="M22" s="40"/>
      <c r="N22" s="40"/>
    </row>
    <row r="23" spans="1:14">
      <c r="A23" s="40"/>
      <c r="B23" s="40"/>
      <c r="C23" s="40"/>
      <c r="D23" s="40"/>
      <c r="E23" s="40"/>
      <c r="F23" s="40"/>
      <c r="G23" s="40"/>
      <c r="H23" s="40"/>
      <c r="I23" s="40"/>
      <c r="J23" s="40"/>
      <c r="K23" s="40"/>
      <c r="L23" s="40"/>
      <c r="M23" s="40"/>
      <c r="N23" s="40"/>
    </row>
    <row r="24" spans="1:14" ht="12.75" customHeight="1">
      <c r="A24" s="1444" t="s">
        <v>248</v>
      </c>
      <c r="B24" s="1444" t="s">
        <v>305</v>
      </c>
      <c r="C24" s="1444"/>
      <c r="D24" s="1444"/>
      <c r="E24" s="1444" t="s">
        <v>479</v>
      </c>
      <c r="F24" s="1445" t="s">
        <v>480</v>
      </c>
      <c r="G24" s="1446" t="s">
        <v>481</v>
      </c>
      <c r="H24" s="1446" t="s">
        <v>482</v>
      </c>
      <c r="I24" s="1446" t="s">
        <v>669</v>
      </c>
      <c r="J24" s="1447" t="s">
        <v>1005</v>
      </c>
      <c r="K24" s="1447" t="s">
        <v>717</v>
      </c>
      <c r="L24" s="1445" t="s">
        <v>429</v>
      </c>
      <c r="M24" s="1445"/>
      <c r="N24" s="1445" t="s">
        <v>170</v>
      </c>
    </row>
    <row r="25" spans="1:14" ht="43.5" customHeight="1">
      <c r="A25" s="1444"/>
      <c r="B25" s="1444"/>
      <c r="C25" s="1444"/>
      <c r="D25" s="1444"/>
      <c r="E25" s="1444"/>
      <c r="F25" s="1445"/>
      <c r="G25" s="1446"/>
      <c r="H25" s="1446"/>
      <c r="I25" s="1446"/>
      <c r="J25" s="1447"/>
      <c r="K25" s="1447"/>
      <c r="L25" s="1445"/>
      <c r="M25" s="1445"/>
      <c r="N25" s="1445"/>
    </row>
    <row r="26" spans="1:14" ht="25.5">
      <c r="A26" s="550"/>
      <c r="B26" s="550" t="s">
        <v>483</v>
      </c>
      <c r="C26" s="1444" t="s">
        <v>484</v>
      </c>
      <c r="D26" s="1444"/>
      <c r="E26" s="1444"/>
      <c r="F26" s="549" t="s">
        <v>198</v>
      </c>
      <c r="G26" s="549" t="s">
        <v>198</v>
      </c>
      <c r="H26" s="628" t="s">
        <v>198</v>
      </c>
      <c r="I26" s="628" t="s">
        <v>198</v>
      </c>
      <c r="J26" s="628" t="s">
        <v>198</v>
      </c>
      <c r="K26" s="628" t="s">
        <v>198</v>
      </c>
      <c r="L26" s="628"/>
      <c r="M26" s="628"/>
      <c r="N26" s="549" t="s">
        <v>198</v>
      </c>
    </row>
    <row r="27" spans="1:14" ht="27" customHeight="1">
      <c r="A27" s="613">
        <v>1</v>
      </c>
      <c r="B27" s="613">
        <v>51202</v>
      </c>
      <c r="C27" s="1448" t="s">
        <v>1006</v>
      </c>
      <c r="D27" s="1449"/>
      <c r="E27" s="624" t="s">
        <v>485</v>
      </c>
      <c r="F27" s="625">
        <f>9*31</f>
        <v>279</v>
      </c>
      <c r="G27" s="625">
        <f>12*31</f>
        <v>372</v>
      </c>
      <c r="H27" s="625">
        <f>12*31</f>
        <v>372</v>
      </c>
      <c r="I27" s="625">
        <f>12*31</f>
        <v>372</v>
      </c>
      <c r="J27" s="626">
        <v>166.666</v>
      </c>
      <c r="K27" s="625">
        <f>12*31</f>
        <v>372</v>
      </c>
      <c r="L27" s="625"/>
      <c r="M27" s="625"/>
      <c r="N27" s="627">
        <f t="shared" ref="N27:N38" si="13">SUM(F27:M27)</f>
        <v>1933.6659999999999</v>
      </c>
    </row>
    <row r="28" spans="1:14" ht="24" customHeight="1">
      <c r="A28" s="75">
        <f>+A27+1</f>
        <v>2</v>
      </c>
      <c r="B28" s="75">
        <v>51202</v>
      </c>
      <c r="C28" s="1428" t="s">
        <v>934</v>
      </c>
      <c r="D28" s="1429"/>
      <c r="E28" s="77" t="s">
        <v>486</v>
      </c>
      <c r="F28" s="187">
        <f t="shared" ref="F28:F38" si="14">9*31</f>
        <v>279</v>
      </c>
      <c r="G28" s="187">
        <f t="shared" ref="G28:I38" si="15">12*31</f>
        <v>372</v>
      </c>
      <c r="H28" s="187">
        <f t="shared" si="15"/>
        <v>372</v>
      </c>
      <c r="I28" s="187">
        <f t="shared" si="15"/>
        <v>372</v>
      </c>
      <c r="J28" s="626">
        <v>166.666</v>
      </c>
      <c r="K28" s="187">
        <f t="shared" ref="K28:K38" si="16">12*31</f>
        <v>372</v>
      </c>
      <c r="L28" s="187"/>
      <c r="M28" s="187"/>
      <c r="N28" s="188">
        <f t="shared" si="13"/>
        <v>1933.6659999999999</v>
      </c>
    </row>
    <row r="29" spans="1:14" ht="24.75" customHeight="1">
      <c r="A29" s="75">
        <f t="shared" ref="A29:A38" si="17">+A28+1</f>
        <v>3</v>
      </c>
      <c r="B29" s="75">
        <v>51202</v>
      </c>
      <c r="C29" s="1428" t="s">
        <v>934</v>
      </c>
      <c r="D29" s="1429"/>
      <c r="E29" s="77" t="s">
        <v>487</v>
      </c>
      <c r="F29" s="187">
        <f t="shared" si="14"/>
        <v>279</v>
      </c>
      <c r="G29" s="187">
        <f t="shared" si="15"/>
        <v>372</v>
      </c>
      <c r="H29" s="187">
        <f t="shared" si="15"/>
        <v>372</v>
      </c>
      <c r="I29" s="187">
        <f t="shared" si="15"/>
        <v>372</v>
      </c>
      <c r="J29" s="626">
        <v>166.666</v>
      </c>
      <c r="K29" s="187">
        <f t="shared" si="16"/>
        <v>372</v>
      </c>
      <c r="L29" s="187"/>
      <c r="M29" s="187"/>
      <c r="N29" s="188">
        <f t="shared" si="13"/>
        <v>1933.6659999999999</v>
      </c>
    </row>
    <row r="30" spans="1:14" ht="24" customHeight="1">
      <c r="A30" s="75">
        <f t="shared" si="17"/>
        <v>4</v>
      </c>
      <c r="B30" s="75">
        <v>51202</v>
      </c>
      <c r="C30" s="1428" t="s">
        <v>934</v>
      </c>
      <c r="D30" s="1429"/>
      <c r="E30" s="77" t="s">
        <v>488</v>
      </c>
      <c r="F30" s="187">
        <f t="shared" si="14"/>
        <v>279</v>
      </c>
      <c r="G30" s="187">
        <f t="shared" si="15"/>
        <v>372</v>
      </c>
      <c r="H30" s="187">
        <f t="shared" si="15"/>
        <v>372</v>
      </c>
      <c r="I30" s="187">
        <f t="shared" si="15"/>
        <v>372</v>
      </c>
      <c r="J30" s="626">
        <v>166.666</v>
      </c>
      <c r="K30" s="187">
        <f t="shared" si="16"/>
        <v>372</v>
      </c>
      <c r="L30" s="187"/>
      <c r="M30" s="187"/>
      <c r="N30" s="188">
        <f t="shared" si="13"/>
        <v>1933.6659999999999</v>
      </c>
    </row>
    <row r="31" spans="1:14" ht="24.75" customHeight="1">
      <c r="A31" s="75">
        <f t="shared" si="17"/>
        <v>5</v>
      </c>
      <c r="B31" s="75">
        <v>51202</v>
      </c>
      <c r="C31" s="1428" t="s">
        <v>934</v>
      </c>
      <c r="D31" s="1429"/>
      <c r="E31" s="77" t="s">
        <v>489</v>
      </c>
      <c r="F31" s="187">
        <f t="shared" si="14"/>
        <v>279</v>
      </c>
      <c r="G31" s="187">
        <f t="shared" si="15"/>
        <v>372</v>
      </c>
      <c r="H31" s="187">
        <f t="shared" si="15"/>
        <v>372</v>
      </c>
      <c r="I31" s="187">
        <f t="shared" si="15"/>
        <v>372</v>
      </c>
      <c r="J31" s="626">
        <v>166.666</v>
      </c>
      <c r="K31" s="187">
        <f t="shared" si="16"/>
        <v>372</v>
      </c>
      <c r="L31" s="187"/>
      <c r="M31" s="187"/>
      <c r="N31" s="188">
        <f t="shared" si="13"/>
        <v>1933.6659999999999</v>
      </c>
    </row>
    <row r="32" spans="1:14" ht="24" customHeight="1">
      <c r="A32" s="75">
        <f t="shared" si="17"/>
        <v>6</v>
      </c>
      <c r="B32" s="75">
        <v>51202</v>
      </c>
      <c r="C32" s="1428" t="s">
        <v>934</v>
      </c>
      <c r="D32" s="1429"/>
      <c r="E32" s="77" t="s">
        <v>490</v>
      </c>
      <c r="F32" s="187">
        <f t="shared" si="14"/>
        <v>279</v>
      </c>
      <c r="G32" s="187">
        <f t="shared" si="15"/>
        <v>372</v>
      </c>
      <c r="H32" s="187">
        <f t="shared" si="15"/>
        <v>372</v>
      </c>
      <c r="I32" s="187">
        <f t="shared" si="15"/>
        <v>372</v>
      </c>
      <c r="J32" s="626">
        <v>166.666</v>
      </c>
      <c r="K32" s="187">
        <f t="shared" si="16"/>
        <v>372</v>
      </c>
      <c r="L32" s="187"/>
      <c r="M32" s="187"/>
      <c r="N32" s="188">
        <f t="shared" si="13"/>
        <v>1933.6659999999999</v>
      </c>
    </row>
    <row r="33" spans="1:14" ht="24" customHeight="1">
      <c r="A33" s="75">
        <f t="shared" si="17"/>
        <v>7</v>
      </c>
      <c r="B33" s="75">
        <v>51202</v>
      </c>
      <c r="C33" s="1428" t="s">
        <v>934</v>
      </c>
      <c r="D33" s="1429"/>
      <c r="E33" s="77" t="s">
        <v>491</v>
      </c>
      <c r="F33" s="187">
        <f t="shared" si="14"/>
        <v>279</v>
      </c>
      <c r="G33" s="187">
        <f t="shared" si="15"/>
        <v>372</v>
      </c>
      <c r="H33" s="187">
        <f t="shared" si="15"/>
        <v>372</v>
      </c>
      <c r="I33" s="187">
        <f t="shared" si="15"/>
        <v>372</v>
      </c>
      <c r="J33" s="626">
        <v>166.666</v>
      </c>
      <c r="K33" s="187">
        <f t="shared" si="16"/>
        <v>372</v>
      </c>
      <c r="L33" s="187"/>
      <c r="M33" s="187"/>
      <c r="N33" s="188">
        <f t="shared" si="13"/>
        <v>1933.6659999999999</v>
      </c>
    </row>
    <row r="34" spans="1:14" ht="24.75" customHeight="1">
      <c r="A34" s="75">
        <f t="shared" si="17"/>
        <v>8</v>
      </c>
      <c r="B34" s="75">
        <v>51202</v>
      </c>
      <c r="C34" s="1428" t="s">
        <v>934</v>
      </c>
      <c r="D34" s="1429"/>
      <c r="E34" s="77" t="s">
        <v>492</v>
      </c>
      <c r="F34" s="187">
        <f t="shared" si="14"/>
        <v>279</v>
      </c>
      <c r="G34" s="187">
        <f t="shared" si="15"/>
        <v>372</v>
      </c>
      <c r="H34" s="187">
        <f t="shared" si="15"/>
        <v>372</v>
      </c>
      <c r="I34" s="187">
        <f t="shared" si="15"/>
        <v>372</v>
      </c>
      <c r="J34" s="626">
        <v>166.666</v>
      </c>
      <c r="K34" s="187">
        <f t="shared" si="16"/>
        <v>372</v>
      </c>
      <c r="L34" s="187"/>
      <c r="M34" s="187"/>
      <c r="N34" s="188">
        <f t="shared" si="13"/>
        <v>1933.6659999999999</v>
      </c>
    </row>
    <row r="35" spans="1:14" ht="24" customHeight="1">
      <c r="A35" s="75">
        <f t="shared" si="17"/>
        <v>9</v>
      </c>
      <c r="B35" s="75">
        <v>51202</v>
      </c>
      <c r="C35" s="1428" t="s">
        <v>934</v>
      </c>
      <c r="D35" s="1429"/>
      <c r="E35" s="77" t="s">
        <v>493</v>
      </c>
      <c r="F35" s="187">
        <f t="shared" si="14"/>
        <v>279</v>
      </c>
      <c r="G35" s="187">
        <f t="shared" si="15"/>
        <v>372</v>
      </c>
      <c r="H35" s="187">
        <f t="shared" si="15"/>
        <v>372</v>
      </c>
      <c r="I35" s="187">
        <f t="shared" si="15"/>
        <v>372</v>
      </c>
      <c r="J35" s="626">
        <v>166.666</v>
      </c>
      <c r="K35" s="187">
        <f t="shared" si="16"/>
        <v>372</v>
      </c>
      <c r="L35" s="187"/>
      <c r="M35" s="187"/>
      <c r="N35" s="188">
        <f t="shared" si="13"/>
        <v>1933.6659999999999</v>
      </c>
    </row>
    <row r="36" spans="1:14" ht="22.5" customHeight="1">
      <c r="A36" s="75">
        <f t="shared" si="17"/>
        <v>10</v>
      </c>
      <c r="B36" s="75">
        <v>51202</v>
      </c>
      <c r="C36" s="1428" t="s">
        <v>934</v>
      </c>
      <c r="D36" s="1429"/>
      <c r="E36" s="77" t="s">
        <v>494</v>
      </c>
      <c r="F36" s="187">
        <f t="shared" si="14"/>
        <v>279</v>
      </c>
      <c r="G36" s="187">
        <f t="shared" si="15"/>
        <v>372</v>
      </c>
      <c r="H36" s="187">
        <f t="shared" si="15"/>
        <v>372</v>
      </c>
      <c r="I36" s="187">
        <f t="shared" si="15"/>
        <v>372</v>
      </c>
      <c r="J36" s="626">
        <v>166.666</v>
      </c>
      <c r="K36" s="187">
        <f t="shared" si="16"/>
        <v>372</v>
      </c>
      <c r="L36" s="187"/>
      <c r="M36" s="187"/>
      <c r="N36" s="188">
        <f t="shared" si="13"/>
        <v>1933.6659999999999</v>
      </c>
    </row>
    <row r="37" spans="1:14" ht="25.5" customHeight="1">
      <c r="A37" s="75">
        <f t="shared" si="17"/>
        <v>11</v>
      </c>
      <c r="B37" s="75">
        <v>51202</v>
      </c>
      <c r="C37" s="1428" t="s">
        <v>934</v>
      </c>
      <c r="D37" s="1429"/>
      <c r="E37" s="77" t="s">
        <v>495</v>
      </c>
      <c r="F37" s="187">
        <f t="shared" si="14"/>
        <v>279</v>
      </c>
      <c r="G37" s="187">
        <f t="shared" si="15"/>
        <v>372</v>
      </c>
      <c r="H37" s="187">
        <f t="shared" si="15"/>
        <v>372</v>
      </c>
      <c r="I37" s="187">
        <f t="shared" si="15"/>
        <v>372</v>
      </c>
      <c r="J37" s="626">
        <v>166.666</v>
      </c>
      <c r="K37" s="187">
        <f t="shared" si="16"/>
        <v>372</v>
      </c>
      <c r="L37" s="187"/>
      <c r="M37" s="187"/>
      <c r="N37" s="188">
        <f t="shared" si="13"/>
        <v>1933.6659999999999</v>
      </c>
    </row>
    <row r="38" spans="1:14" ht="22.5" customHeight="1">
      <c r="A38" s="75">
        <f t="shared" si="17"/>
        <v>12</v>
      </c>
      <c r="B38" s="75">
        <v>51202</v>
      </c>
      <c r="C38" s="1428" t="s">
        <v>934</v>
      </c>
      <c r="D38" s="1429"/>
      <c r="E38" s="189" t="s">
        <v>496</v>
      </c>
      <c r="F38" s="187">
        <f t="shared" si="14"/>
        <v>279</v>
      </c>
      <c r="G38" s="187">
        <f t="shared" si="15"/>
        <v>372</v>
      </c>
      <c r="H38" s="187">
        <f t="shared" si="15"/>
        <v>372</v>
      </c>
      <c r="I38" s="187">
        <f t="shared" si="15"/>
        <v>372</v>
      </c>
      <c r="J38" s="626">
        <v>166.666</v>
      </c>
      <c r="K38" s="187">
        <f t="shared" si="16"/>
        <v>372</v>
      </c>
      <c r="L38" s="187"/>
      <c r="M38" s="187"/>
      <c r="N38" s="188">
        <f t="shared" si="13"/>
        <v>1933.6659999999999</v>
      </c>
    </row>
    <row r="39" spans="1:14" ht="18.75" customHeight="1">
      <c r="A39" s="629"/>
      <c r="B39" s="1419" t="s">
        <v>170</v>
      </c>
      <c r="C39" s="1419"/>
      <c r="D39" s="1419"/>
      <c r="E39" s="1419"/>
      <c r="F39" s="630">
        <f>SUM(F27:F38)</f>
        <v>3348</v>
      </c>
      <c r="G39" s="630">
        <f t="shared" ref="G39:M39" si="18">SUM(G27:G38)</f>
        <v>4464</v>
      </c>
      <c r="H39" s="630">
        <f t="shared" si="18"/>
        <v>4464</v>
      </c>
      <c r="I39" s="630">
        <f t="shared" si="18"/>
        <v>4464</v>
      </c>
      <c r="J39" s="1070">
        <f t="shared" si="18"/>
        <v>1999.9919999999995</v>
      </c>
      <c r="K39" s="630">
        <f t="shared" si="18"/>
        <v>4464</v>
      </c>
      <c r="L39" s="630">
        <f t="shared" si="18"/>
        <v>0</v>
      </c>
      <c r="M39" s="630">
        <f t="shared" si="18"/>
        <v>0</v>
      </c>
      <c r="N39" s="630">
        <f>F39+G39+H39+I39+J39+K39</f>
        <v>23203.991999999998</v>
      </c>
    </row>
    <row r="40" spans="1:14" ht="19.5" customHeight="1">
      <c r="A40" s="1420" t="s">
        <v>497</v>
      </c>
      <c r="B40" s="1420"/>
      <c r="C40" s="1420"/>
      <c r="D40" s="1420"/>
      <c r="E40" s="1420"/>
      <c r="F40" s="83">
        <v>1</v>
      </c>
      <c r="G40" s="190">
        <v>6</v>
      </c>
      <c r="H40" s="190">
        <v>1</v>
      </c>
      <c r="I40" s="190">
        <v>1</v>
      </c>
      <c r="J40" s="190">
        <v>2</v>
      </c>
      <c r="K40" s="191">
        <v>1</v>
      </c>
      <c r="L40" s="191"/>
      <c r="M40" s="190">
        <v>1</v>
      </c>
      <c r="N40" s="191"/>
    </row>
    <row r="41" spans="1:14">
      <c r="A41" s="77"/>
      <c r="B41" s="1425"/>
      <c r="C41" s="1426"/>
      <c r="D41" s="1426"/>
      <c r="E41" s="1426"/>
      <c r="F41" s="1426"/>
      <c r="G41" s="1426"/>
      <c r="H41" s="1426"/>
      <c r="I41" s="1426"/>
      <c r="J41" s="1426"/>
      <c r="K41" s="1426"/>
      <c r="L41" s="1426"/>
      <c r="M41" s="1426"/>
      <c r="N41" s="1427"/>
    </row>
    <row r="42" spans="1:14">
      <c r="A42" s="77"/>
      <c r="B42" s="1425"/>
      <c r="C42" s="1426"/>
      <c r="D42" s="1426"/>
      <c r="E42" s="1426"/>
      <c r="F42" s="1426"/>
      <c r="G42" s="1426"/>
      <c r="H42" s="1426"/>
      <c r="I42" s="1426"/>
      <c r="J42" s="1426"/>
      <c r="K42" s="1426"/>
      <c r="L42" s="1426"/>
      <c r="M42" s="1426"/>
      <c r="N42" s="1427"/>
    </row>
    <row r="43" spans="1:14" ht="16.5" customHeight="1">
      <c r="A43" s="77"/>
      <c r="B43" s="1422" t="s">
        <v>976</v>
      </c>
      <c r="C43" s="1423"/>
      <c r="D43" s="1423"/>
      <c r="E43" s="1423"/>
      <c r="F43" s="1423"/>
      <c r="G43" s="1423"/>
      <c r="H43" s="1423"/>
      <c r="I43" s="1423"/>
      <c r="J43" s="1423"/>
      <c r="K43" s="1423"/>
      <c r="L43" s="1423"/>
      <c r="M43" s="1423"/>
      <c r="N43" s="1424"/>
    </row>
    <row r="44" spans="1:14" ht="16.5" customHeight="1">
      <c r="A44" s="77"/>
      <c r="B44" s="1425"/>
      <c r="C44" s="1426"/>
      <c r="D44" s="1426"/>
      <c r="E44" s="1426"/>
      <c r="F44" s="1426"/>
      <c r="G44" s="1426"/>
      <c r="H44" s="1426"/>
      <c r="I44" s="1426"/>
      <c r="J44" s="1426"/>
      <c r="K44" s="1426"/>
      <c r="L44" s="1426"/>
      <c r="M44" s="1426"/>
      <c r="N44" s="1427"/>
    </row>
    <row r="45" spans="1:14" ht="16.5" customHeight="1">
      <c r="A45" s="77"/>
      <c r="B45" s="1425"/>
      <c r="C45" s="1426"/>
      <c r="D45" s="1426"/>
      <c r="E45" s="1426"/>
      <c r="F45" s="1426"/>
      <c r="G45" s="1426"/>
      <c r="H45" s="1426"/>
      <c r="I45" s="1426"/>
      <c r="J45" s="1426"/>
      <c r="K45" s="1426"/>
      <c r="L45" s="1426"/>
      <c r="M45" s="1426"/>
      <c r="N45" s="1427"/>
    </row>
    <row r="46" spans="1:14" ht="16.5" customHeight="1">
      <c r="A46" s="77"/>
      <c r="B46" s="1422" t="s">
        <v>1004</v>
      </c>
      <c r="C46" s="1423"/>
      <c r="D46" s="1423"/>
      <c r="E46" s="1423"/>
      <c r="F46" s="1423"/>
      <c r="G46" s="1423"/>
      <c r="H46" s="1423"/>
      <c r="I46" s="1423"/>
      <c r="J46" s="1423"/>
      <c r="K46" s="1423"/>
      <c r="L46" s="1423"/>
      <c r="M46" s="1423"/>
      <c r="N46" s="1424"/>
    </row>
    <row r="47" spans="1:14" ht="16.5" customHeight="1">
      <c r="A47" s="77"/>
      <c r="B47" s="1425"/>
      <c r="C47" s="1426"/>
      <c r="D47" s="1426"/>
      <c r="E47" s="1426"/>
      <c r="F47" s="1426"/>
      <c r="G47" s="1426"/>
      <c r="H47" s="1426"/>
      <c r="I47" s="1426"/>
      <c r="J47" s="1426"/>
      <c r="K47" s="1426"/>
      <c r="L47" s="1426"/>
      <c r="M47" s="1426"/>
      <c r="N47" s="1427"/>
    </row>
    <row r="48" spans="1:14" ht="16.5" customHeight="1">
      <c r="A48" s="77"/>
      <c r="B48" s="1425"/>
      <c r="C48" s="1426"/>
      <c r="D48" s="1426"/>
      <c r="E48" s="1426"/>
      <c r="F48" s="1426"/>
      <c r="G48" s="1426"/>
      <c r="H48" s="1426"/>
      <c r="I48" s="1426"/>
      <c r="J48" s="1426"/>
      <c r="K48" s="1426"/>
      <c r="L48" s="1426"/>
      <c r="M48" s="1426"/>
      <c r="N48" s="1427"/>
    </row>
    <row r="49" spans="1:14" ht="16.5" customHeight="1">
      <c r="A49" s="77"/>
      <c r="B49" s="1422" t="s">
        <v>935</v>
      </c>
      <c r="C49" s="1423"/>
      <c r="D49" s="1423"/>
      <c r="E49" s="1423"/>
      <c r="F49" s="1423"/>
      <c r="G49" s="1423"/>
      <c r="H49" s="1423"/>
      <c r="I49" s="1423"/>
      <c r="J49" s="1423"/>
      <c r="K49" s="1423"/>
      <c r="L49" s="1423"/>
      <c r="M49" s="1423"/>
      <c r="N49" s="1424"/>
    </row>
    <row r="50" spans="1:14" ht="16.5" customHeight="1">
      <c r="A50" s="77"/>
      <c r="B50" s="1425"/>
      <c r="C50" s="1426"/>
      <c r="D50" s="1426"/>
      <c r="E50" s="1426"/>
      <c r="F50" s="1426"/>
      <c r="G50" s="1426"/>
      <c r="H50" s="1426"/>
      <c r="I50" s="1426"/>
      <c r="J50" s="1426"/>
      <c r="K50" s="1426"/>
      <c r="L50" s="1426"/>
      <c r="M50" s="1426"/>
      <c r="N50" s="1427"/>
    </row>
    <row r="51" spans="1:14" ht="16.5" customHeight="1">
      <c r="A51" s="77"/>
      <c r="B51" s="1422" t="s">
        <v>936</v>
      </c>
      <c r="C51" s="1423"/>
      <c r="D51" s="1423"/>
      <c r="E51" s="1423"/>
      <c r="F51" s="1423"/>
      <c r="G51" s="1423"/>
      <c r="H51" s="1423"/>
      <c r="I51" s="1423"/>
      <c r="J51" s="1423"/>
      <c r="K51" s="1423"/>
      <c r="L51" s="1423"/>
      <c r="M51" s="1423"/>
      <c r="N51" s="1424"/>
    </row>
    <row r="52" spans="1:14" ht="16.5" customHeight="1">
      <c r="A52" s="77"/>
      <c r="B52" s="1425"/>
      <c r="C52" s="1426"/>
      <c r="D52" s="1426"/>
      <c r="E52" s="1426"/>
      <c r="F52" s="1426"/>
      <c r="G52" s="1426"/>
      <c r="H52" s="1426"/>
      <c r="I52" s="1426"/>
      <c r="J52" s="1426"/>
      <c r="K52" s="1426"/>
      <c r="L52" s="1426"/>
      <c r="M52" s="1426"/>
      <c r="N52" s="1427"/>
    </row>
    <row r="53" spans="1:14" ht="16.5" customHeight="1">
      <c r="A53" s="1421" t="s">
        <v>477</v>
      </c>
      <c r="B53" s="1421"/>
      <c r="C53" s="1421"/>
      <c r="D53" s="1421"/>
      <c r="E53" s="1421"/>
      <c r="F53" s="1421"/>
      <c r="G53" s="1421"/>
      <c r="H53" s="1421"/>
      <c r="I53" s="1421"/>
      <c r="J53" s="1421"/>
      <c r="K53" s="1421"/>
      <c r="L53" s="1421"/>
      <c r="M53" s="1421"/>
      <c r="N53" s="1421"/>
    </row>
    <row r="54" spans="1:14" ht="16.5" customHeight="1">
      <c r="A54" s="318"/>
      <c r="B54" s="1440" t="s">
        <v>170</v>
      </c>
      <c r="C54" s="1441"/>
      <c r="D54" s="1441"/>
      <c r="E54" s="1441"/>
      <c r="F54" s="1441"/>
      <c r="G54" s="1441"/>
      <c r="H54" s="1441"/>
      <c r="I54" s="1441"/>
      <c r="J54" s="1441"/>
      <c r="K54" s="1441"/>
      <c r="L54" s="1441"/>
      <c r="M54" s="1442"/>
      <c r="N54" s="317">
        <f>+N39</f>
        <v>23203.991999999998</v>
      </c>
    </row>
    <row r="55" spans="1:14" hidden="1">
      <c r="A55" s="40"/>
      <c r="B55" s="40"/>
      <c r="C55" s="40"/>
      <c r="D55" s="40"/>
      <c r="E55" s="40"/>
      <c r="F55" s="40"/>
      <c r="G55" s="40"/>
      <c r="H55" s="40"/>
      <c r="I55" s="40"/>
      <c r="J55" s="40"/>
      <c r="K55" s="40"/>
      <c r="L55" s="40"/>
      <c r="M55" s="40"/>
      <c r="N55" s="193"/>
    </row>
    <row r="56" spans="1:14" hidden="1">
      <c r="A56" s="40"/>
      <c r="B56" s="40"/>
      <c r="C56" s="40"/>
      <c r="D56" s="40"/>
      <c r="E56" s="40"/>
      <c r="F56" s="40"/>
      <c r="G56" s="40"/>
      <c r="H56" s="40"/>
      <c r="I56" s="40"/>
      <c r="J56" s="40"/>
      <c r="K56" s="40"/>
      <c r="L56" s="40"/>
      <c r="M56" s="40"/>
      <c r="N56" s="193"/>
    </row>
    <row r="57" spans="1:14" hidden="1">
      <c r="A57" s="40"/>
      <c r="B57" s="40"/>
      <c r="C57" s="40"/>
      <c r="D57" s="40"/>
      <c r="E57" s="40"/>
      <c r="F57" s="40"/>
      <c r="G57" s="40"/>
      <c r="H57" s="40"/>
      <c r="I57" s="40"/>
      <c r="J57" s="40"/>
      <c r="K57" s="40"/>
      <c r="L57" s="40"/>
      <c r="M57" s="40"/>
      <c r="N57" s="193"/>
    </row>
    <row r="58" spans="1:14" ht="20.25" customHeight="1">
      <c r="A58" s="1417" t="s">
        <v>83</v>
      </c>
      <c r="B58" s="1417"/>
      <c r="C58" s="1417"/>
      <c r="D58" s="1417"/>
      <c r="E58" s="1417"/>
      <c r="F58" s="1417"/>
      <c r="G58" s="1417"/>
      <c r="H58" s="1417"/>
      <c r="I58" s="1417"/>
      <c r="J58" s="1417"/>
      <c r="K58" s="1417"/>
      <c r="L58" s="1417"/>
      <c r="M58" s="1417"/>
      <c r="N58" s="1417"/>
    </row>
    <row r="59" spans="1:14" ht="20.25" customHeight="1">
      <c r="A59" s="1417" t="s">
        <v>84</v>
      </c>
      <c r="B59" s="1417"/>
      <c r="C59" s="1417"/>
      <c r="D59" s="1417"/>
      <c r="E59" s="1417"/>
      <c r="F59" s="1417"/>
      <c r="G59" s="1417"/>
      <c r="H59" s="1417"/>
      <c r="I59" s="1417"/>
      <c r="J59" s="1417"/>
      <c r="K59" s="1417"/>
      <c r="L59" s="1417"/>
      <c r="M59" s="1417"/>
      <c r="N59" s="1417"/>
    </row>
    <row r="60" spans="1:14" ht="20.25" customHeight="1">
      <c r="A60" s="1417" t="s">
        <v>498</v>
      </c>
      <c r="B60" s="1417"/>
      <c r="C60" s="1417"/>
      <c r="D60" s="1417"/>
      <c r="E60" s="1417"/>
      <c r="F60" s="1417"/>
      <c r="G60" s="1417"/>
      <c r="H60" s="1417"/>
      <c r="I60" s="1417"/>
      <c r="J60" s="1417"/>
      <c r="K60" s="1417"/>
      <c r="L60" s="1417"/>
      <c r="M60" s="1417"/>
      <c r="N60" s="1417"/>
    </row>
    <row r="61" spans="1:14" ht="20.25" customHeight="1">
      <c r="A61" s="1418" t="s">
        <v>1048</v>
      </c>
      <c r="B61" s="1418"/>
      <c r="C61" s="1418"/>
      <c r="D61" s="1418"/>
      <c r="E61" s="1418"/>
      <c r="F61" s="1418"/>
      <c r="G61" s="1418"/>
      <c r="H61" s="1418"/>
      <c r="I61" s="1418"/>
      <c r="J61" s="1418"/>
      <c r="K61" s="1418"/>
      <c r="L61" s="1418"/>
      <c r="M61" s="1418"/>
      <c r="N61" s="1418"/>
    </row>
    <row r="62" spans="1:14" ht="16.5" customHeight="1">
      <c r="A62" s="1417" t="s">
        <v>555</v>
      </c>
      <c r="B62" s="1417"/>
      <c r="C62" s="1417"/>
      <c r="D62" s="1417"/>
      <c r="E62" s="1417"/>
      <c r="F62" s="1417"/>
      <c r="G62" s="1417"/>
      <c r="H62" s="1417"/>
      <c r="I62" s="1417"/>
      <c r="J62" s="1417"/>
      <c r="K62" s="1417"/>
      <c r="L62" s="1417"/>
      <c r="M62" s="1417"/>
      <c r="N62" s="1417"/>
    </row>
    <row r="63" spans="1:14" ht="12.75" customHeight="1">
      <c r="A63" s="192"/>
      <c r="B63" s="40"/>
      <c r="C63" s="40"/>
      <c r="D63" s="40"/>
      <c r="E63" s="40"/>
      <c r="F63" s="40"/>
      <c r="G63" s="40"/>
      <c r="H63" s="40"/>
      <c r="I63" s="40"/>
      <c r="J63" s="40"/>
      <c r="K63" s="40"/>
      <c r="L63" s="40"/>
      <c r="M63" s="40"/>
      <c r="N63" s="193"/>
    </row>
    <row r="64" spans="1:14" ht="12.75" customHeight="1">
      <c r="A64" s="192"/>
      <c r="B64" s="40"/>
      <c r="C64" s="40"/>
      <c r="D64" s="40"/>
      <c r="E64" s="40"/>
      <c r="F64" s="40"/>
      <c r="G64" s="40"/>
      <c r="H64" s="40"/>
      <c r="I64" s="40"/>
      <c r="J64" s="40"/>
      <c r="K64" s="40"/>
      <c r="L64" s="40"/>
      <c r="M64" s="40"/>
      <c r="N64" s="193"/>
    </row>
    <row r="65" spans="1:14" ht="15.75">
      <c r="A65" s="194"/>
      <c r="B65" s="195"/>
      <c r="C65" s="195"/>
      <c r="D65" s="195"/>
      <c r="E65" s="195"/>
      <c r="F65" s="195"/>
      <c r="G65" s="195"/>
      <c r="H65" s="195"/>
      <c r="I65" s="195"/>
      <c r="J65" s="195"/>
      <c r="K65" s="196"/>
      <c r="L65" s="195"/>
      <c r="M65" s="195"/>
      <c r="N65" s="78"/>
    </row>
    <row r="66" spans="1:14" ht="15.75">
      <c r="A66" s="197"/>
      <c r="B66" s="22"/>
      <c r="C66" s="40"/>
      <c r="D66" s="40"/>
      <c r="E66" s="40"/>
      <c r="F66" s="40"/>
      <c r="G66" s="40"/>
      <c r="H66" s="40"/>
      <c r="I66" s="40"/>
      <c r="J66" s="40"/>
      <c r="K66" s="1433" t="s">
        <v>499</v>
      </c>
      <c r="L66" s="1434"/>
      <c r="M66" s="40"/>
      <c r="N66" s="193"/>
    </row>
    <row r="67" spans="1:14" ht="24.75" customHeight="1">
      <c r="A67" s="197"/>
      <c r="B67" s="315">
        <v>54101</v>
      </c>
      <c r="C67" s="327" t="s">
        <v>630</v>
      </c>
      <c r="D67" s="328"/>
      <c r="E67" s="1437" t="s">
        <v>500</v>
      </c>
      <c r="F67" s="1437"/>
      <c r="G67" s="40"/>
      <c r="H67" s="40"/>
      <c r="I67" s="40"/>
      <c r="J67" s="40"/>
      <c r="K67" s="1435">
        <v>4000</v>
      </c>
      <c r="L67" s="1436"/>
      <c r="M67" s="40"/>
      <c r="N67" s="193"/>
    </row>
    <row r="68" spans="1:14" ht="15.75">
      <c r="A68" s="197"/>
      <c r="B68" s="40"/>
      <c r="C68" s="328"/>
      <c r="D68" s="328"/>
      <c r="E68" s="1437" t="s">
        <v>501</v>
      </c>
      <c r="F68" s="1437"/>
      <c r="G68" s="40"/>
      <c r="H68" s="40"/>
      <c r="I68" s="40"/>
      <c r="J68" s="40"/>
      <c r="K68" s="1435">
        <v>1000</v>
      </c>
      <c r="L68" s="1436"/>
      <c r="M68" s="40"/>
      <c r="N68" s="193"/>
    </row>
    <row r="69" spans="1:14" ht="16.5" thickBot="1">
      <c r="A69" s="197"/>
      <c r="B69" s="40"/>
      <c r="C69" s="40"/>
      <c r="D69" s="40"/>
      <c r="E69" s="40"/>
      <c r="F69" s="40"/>
      <c r="G69" s="40"/>
      <c r="H69" s="40"/>
      <c r="I69" s="40"/>
      <c r="J69" s="40"/>
      <c r="K69" s="1438">
        <f>SUM(K67:L68)</f>
        <v>5000</v>
      </c>
      <c r="L69" s="1439"/>
      <c r="M69" s="40"/>
      <c r="N69" s="193"/>
    </row>
    <row r="70" spans="1:14" ht="13.5" thickTop="1">
      <c r="A70" s="1430"/>
      <c r="B70" s="1431"/>
      <c r="C70" s="1432"/>
      <c r="D70" s="1432"/>
      <c r="E70" s="1432"/>
      <c r="F70" s="198"/>
      <c r="G70" s="198"/>
      <c r="H70" s="198"/>
      <c r="I70" s="198"/>
      <c r="J70" s="198"/>
      <c r="K70" s="199"/>
      <c r="L70" s="198"/>
      <c r="M70" s="198"/>
      <c r="N70" s="200"/>
    </row>
    <row r="73" spans="1:14">
      <c r="A73" s="224" t="s">
        <v>1133</v>
      </c>
    </row>
  </sheetData>
  <mergeCells count="62">
    <mergeCell ref="C26:E26"/>
    <mergeCell ref="K24:K25"/>
    <mergeCell ref="L24:L25"/>
    <mergeCell ref="C30:D30"/>
    <mergeCell ref="C31:D31"/>
    <mergeCell ref="C27:D27"/>
    <mergeCell ref="C28:D28"/>
    <mergeCell ref="C29:D29"/>
    <mergeCell ref="N1:N2"/>
    <mergeCell ref="H24:H25"/>
    <mergeCell ref="I24:I25"/>
    <mergeCell ref="H1:M1"/>
    <mergeCell ref="J24:J25"/>
    <mergeCell ref="M24:M25"/>
    <mergeCell ref="N24:N25"/>
    <mergeCell ref="A24:A25"/>
    <mergeCell ref="B24:D25"/>
    <mergeCell ref="E24:E25"/>
    <mergeCell ref="F24:F25"/>
    <mergeCell ref="G24:G25"/>
    <mergeCell ref="A1:A2"/>
    <mergeCell ref="B1:B2"/>
    <mergeCell ref="C1:C2"/>
    <mergeCell ref="D1:D2"/>
    <mergeCell ref="E1:G1"/>
    <mergeCell ref="C36:D36"/>
    <mergeCell ref="C37:D37"/>
    <mergeCell ref="C38:D38"/>
    <mergeCell ref="C33:D33"/>
    <mergeCell ref="C34:D34"/>
    <mergeCell ref="C35:D35"/>
    <mergeCell ref="B41:N41"/>
    <mergeCell ref="A70:B70"/>
    <mergeCell ref="C70:E70"/>
    <mergeCell ref="K66:L66"/>
    <mergeCell ref="K67:L67"/>
    <mergeCell ref="K68:L68"/>
    <mergeCell ref="E67:F67"/>
    <mergeCell ref="E68:F68"/>
    <mergeCell ref="B45:N45"/>
    <mergeCell ref="B47:N47"/>
    <mergeCell ref="B48:N48"/>
    <mergeCell ref="B50:N50"/>
    <mergeCell ref="K69:L69"/>
    <mergeCell ref="B54:M54"/>
    <mergeCell ref="B43:N43"/>
    <mergeCell ref="A15:C15"/>
    <mergeCell ref="A62:N62"/>
    <mergeCell ref="A58:N58"/>
    <mergeCell ref="A59:N59"/>
    <mergeCell ref="A60:N60"/>
    <mergeCell ref="A61:N61"/>
    <mergeCell ref="B39:E39"/>
    <mergeCell ref="A40:E40"/>
    <mergeCell ref="A53:N53"/>
    <mergeCell ref="B49:N49"/>
    <mergeCell ref="B51:N51"/>
    <mergeCell ref="B46:N46"/>
    <mergeCell ref="B52:N52"/>
    <mergeCell ref="B44:N44"/>
    <mergeCell ref="B42:N42"/>
    <mergeCell ref="C32:D32"/>
  </mergeCells>
  <pageMargins left="0.39370078740157483" right="0.31496062992125984" top="0.78740157480314965" bottom="0.27559055118110237" header="0.27559055118110237" footer="0.19685039370078741"/>
  <pageSetup scale="68"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J154"/>
  <sheetViews>
    <sheetView zoomScaleNormal="100" workbookViewId="0">
      <selection activeCell="I1" sqref="I1"/>
    </sheetView>
  </sheetViews>
  <sheetFormatPr baseColWidth="10" defaultRowHeight="12.75"/>
  <cols>
    <col min="1" max="1" width="3.85546875" customWidth="1"/>
    <col min="2" max="2" width="5.140625" customWidth="1"/>
    <col min="3" max="3" width="5.28515625" customWidth="1"/>
    <col min="4" max="4" width="4.7109375" customWidth="1"/>
    <col min="5" max="5" width="7.140625" customWidth="1"/>
    <col min="6" max="6" width="9.42578125" style="40" customWidth="1"/>
    <col min="7" max="7" width="42.7109375" style="51" customWidth="1"/>
    <col min="8" max="8" width="15.42578125" style="40" customWidth="1"/>
    <col min="9" max="9" width="14.42578125" customWidth="1"/>
    <col min="10" max="10" width="12.28515625" bestFit="1" customWidth="1"/>
  </cols>
  <sheetData>
    <row r="1" spans="1:8" ht="18.75">
      <c r="A1" s="1460" t="s">
        <v>84</v>
      </c>
      <c r="B1" s="1460"/>
      <c r="C1" s="1460"/>
      <c r="D1" s="1460"/>
      <c r="E1" s="1460"/>
      <c r="F1" s="1460"/>
      <c r="G1" s="1460"/>
      <c r="H1" s="1460"/>
    </row>
    <row r="2" spans="1:8" ht="18.75">
      <c r="A2" s="1460" t="s">
        <v>83</v>
      </c>
      <c r="B2" s="1460"/>
      <c r="C2" s="1460"/>
      <c r="D2" s="1460"/>
      <c r="E2" s="1460"/>
      <c r="F2" s="1460"/>
      <c r="G2" s="1460"/>
      <c r="H2" s="1460"/>
    </row>
    <row r="3" spans="1:8" ht="18.75">
      <c r="A3" s="1461" t="s">
        <v>940</v>
      </c>
      <c r="B3" s="1462"/>
      <c r="C3" s="1462"/>
      <c r="D3" s="1462"/>
      <c r="E3" s="1462"/>
      <c r="F3" s="1462"/>
      <c r="G3" s="1462"/>
      <c r="H3" s="1462"/>
    </row>
    <row r="4" spans="1:8" ht="18.75">
      <c r="A4" s="1461" t="s">
        <v>924</v>
      </c>
      <c r="B4" s="1462"/>
      <c r="C4" s="1462"/>
      <c r="D4" s="1462"/>
      <c r="E4" s="1462"/>
      <c r="F4" s="1462"/>
      <c r="G4" s="1462"/>
      <c r="H4" s="1462"/>
    </row>
    <row r="5" spans="1:8" ht="11.25" customHeight="1">
      <c r="A5" s="1463"/>
      <c r="B5" s="1464"/>
      <c r="C5" s="1464"/>
      <c r="D5" s="1464"/>
      <c r="E5" s="1464"/>
      <c r="F5" s="1464"/>
      <c r="G5" s="1464"/>
      <c r="H5" s="1464"/>
    </row>
    <row r="6" spans="1:8" ht="18.75">
      <c r="A6" s="1459" t="s">
        <v>26</v>
      </c>
      <c r="B6" s="1459"/>
      <c r="C6" s="1459"/>
      <c r="D6" s="1459"/>
      <c r="E6" s="1459"/>
      <c r="F6" s="1459"/>
      <c r="G6" s="1459"/>
      <c r="H6" s="1459"/>
    </row>
    <row r="7" spans="1:8" ht="18.75">
      <c r="A7" s="1452" t="s">
        <v>939</v>
      </c>
      <c r="B7" s="1453"/>
      <c r="C7" s="1453"/>
      <c r="D7" s="1453"/>
      <c r="E7" s="1453"/>
      <c r="F7" s="1453"/>
      <c r="G7" s="1453"/>
      <c r="H7" s="1453"/>
    </row>
    <row r="8" spans="1:8" ht="15">
      <c r="A8" s="1454" t="s">
        <v>11</v>
      </c>
      <c r="B8" s="1454"/>
      <c r="C8" s="1454"/>
      <c r="D8" s="1454"/>
      <c r="E8" s="1454"/>
      <c r="F8" s="1454"/>
      <c r="G8" s="1455" t="s">
        <v>23</v>
      </c>
      <c r="H8" s="1457" t="s">
        <v>30</v>
      </c>
    </row>
    <row r="9" spans="1:8" ht="54" customHeight="1">
      <c r="A9" s="937" t="s">
        <v>937</v>
      </c>
      <c r="B9" s="938" t="s">
        <v>185</v>
      </c>
      <c r="C9" s="939" t="s">
        <v>938</v>
      </c>
      <c r="D9" s="937" t="s">
        <v>24</v>
      </c>
      <c r="E9" s="939" t="s">
        <v>21</v>
      </c>
      <c r="F9" s="939" t="s">
        <v>22</v>
      </c>
      <c r="G9" s="1456"/>
      <c r="H9" s="1458"/>
    </row>
    <row r="10" spans="1:8" ht="15">
      <c r="A10" s="2">
        <v>1</v>
      </c>
      <c r="B10" s="2" t="s">
        <v>36</v>
      </c>
      <c r="C10" s="2" t="s">
        <v>36</v>
      </c>
      <c r="D10" s="2" t="s">
        <v>37</v>
      </c>
      <c r="E10" s="2" t="s">
        <v>43</v>
      </c>
      <c r="F10" s="60" t="s">
        <v>34</v>
      </c>
      <c r="G10" s="940" t="s">
        <v>85</v>
      </c>
      <c r="H10" s="941">
        <f>SUM('CONCENTRACION DE EGRESOS'!C10)</f>
        <v>78161</v>
      </c>
    </row>
    <row r="11" spans="1:8" ht="15">
      <c r="A11" s="2">
        <v>1</v>
      </c>
      <c r="B11" s="2" t="s">
        <v>36</v>
      </c>
      <c r="C11" s="2" t="s">
        <v>36</v>
      </c>
      <c r="D11" s="2" t="s">
        <v>37</v>
      </c>
      <c r="E11" s="2" t="s">
        <v>43</v>
      </c>
      <c r="F11" s="60" t="s">
        <v>88</v>
      </c>
      <c r="G11" s="940" t="s">
        <v>89</v>
      </c>
      <c r="H11" s="941">
        <f>SUM('CONCENTRACION DE EGRESOS'!C12)</f>
        <v>85280</v>
      </c>
    </row>
    <row r="12" spans="1:8" ht="15">
      <c r="A12" s="2" t="s">
        <v>39</v>
      </c>
      <c r="B12" s="2" t="s">
        <v>36</v>
      </c>
      <c r="C12" s="2" t="s">
        <v>36</v>
      </c>
      <c r="D12" s="2" t="s">
        <v>37</v>
      </c>
      <c r="E12" s="2" t="s">
        <v>43</v>
      </c>
      <c r="F12" s="253" t="s">
        <v>91</v>
      </c>
      <c r="G12" s="940" t="s">
        <v>661</v>
      </c>
      <c r="H12" s="941">
        <f>SUM('Proy. de recur.Humanos'!F88:G88)</f>
        <v>2659</v>
      </c>
    </row>
    <row r="13" spans="1:8" ht="15">
      <c r="A13" s="2" t="s">
        <v>39</v>
      </c>
      <c r="B13" s="2" t="s">
        <v>36</v>
      </c>
      <c r="C13" s="2" t="s">
        <v>36</v>
      </c>
      <c r="D13" s="2" t="s">
        <v>37</v>
      </c>
      <c r="E13" s="2" t="s">
        <v>43</v>
      </c>
      <c r="F13" s="60" t="s">
        <v>174</v>
      </c>
      <c r="G13" s="940" t="s">
        <v>175</v>
      </c>
      <c r="H13" s="941">
        <f>SUM('CONCENTRACION DE EGRESOS'!C16)</f>
        <v>25785.5</v>
      </c>
    </row>
    <row r="14" spans="1:8" ht="15">
      <c r="A14" s="2">
        <v>1</v>
      </c>
      <c r="B14" s="2" t="s">
        <v>36</v>
      </c>
      <c r="C14" s="2" t="s">
        <v>36</v>
      </c>
      <c r="D14" s="2" t="s">
        <v>37</v>
      </c>
      <c r="E14" s="2" t="s">
        <v>43</v>
      </c>
      <c r="F14" s="60" t="s">
        <v>94</v>
      </c>
      <c r="G14" s="940" t="s">
        <v>95</v>
      </c>
      <c r="H14" s="941">
        <f>SUM('CONCENTRACION DE EGRESOS'!C19)</f>
        <v>12981.43</v>
      </c>
    </row>
    <row r="15" spans="1:8" ht="15">
      <c r="A15" s="2">
        <v>1</v>
      </c>
      <c r="B15" s="2" t="s">
        <v>36</v>
      </c>
      <c r="C15" s="2" t="s">
        <v>36</v>
      </c>
      <c r="D15" s="2" t="s">
        <v>37</v>
      </c>
      <c r="E15" s="2" t="s">
        <v>43</v>
      </c>
      <c r="F15" s="60" t="s">
        <v>96</v>
      </c>
      <c r="G15" s="940" t="s">
        <v>97</v>
      </c>
      <c r="H15" s="941">
        <f>SUM('CONCENTRACION DE EGRESOS'!C20)</f>
        <v>12648.08</v>
      </c>
    </row>
    <row r="16" spans="1:8" ht="15">
      <c r="A16" s="2">
        <v>1</v>
      </c>
      <c r="B16" s="2" t="s">
        <v>36</v>
      </c>
      <c r="C16" s="2" t="s">
        <v>36</v>
      </c>
      <c r="D16" s="2" t="s">
        <v>37</v>
      </c>
      <c r="E16" s="2" t="s">
        <v>43</v>
      </c>
      <c r="F16" s="75">
        <v>54101</v>
      </c>
      <c r="G16" s="906" t="s">
        <v>132</v>
      </c>
      <c r="H16" s="941">
        <v>2000</v>
      </c>
    </row>
    <row r="17" spans="1:8" ht="15" hidden="1">
      <c r="A17" s="2" t="s">
        <v>39</v>
      </c>
      <c r="B17" s="2" t="s">
        <v>36</v>
      </c>
      <c r="C17" s="2" t="s">
        <v>36</v>
      </c>
      <c r="D17" s="2" t="s">
        <v>37</v>
      </c>
      <c r="E17" s="2" t="s">
        <v>43</v>
      </c>
      <c r="F17" s="75">
        <v>54110</v>
      </c>
      <c r="G17" s="906" t="s">
        <v>580</v>
      </c>
      <c r="H17" s="941"/>
    </row>
    <row r="18" spans="1:8" ht="15">
      <c r="A18" s="2">
        <v>1</v>
      </c>
      <c r="B18" s="2" t="s">
        <v>36</v>
      </c>
      <c r="C18" s="2" t="s">
        <v>36</v>
      </c>
      <c r="D18" s="2" t="s">
        <v>37</v>
      </c>
      <c r="E18" s="2" t="s">
        <v>43</v>
      </c>
      <c r="F18" s="75">
        <v>54199</v>
      </c>
      <c r="G18" s="906" t="s">
        <v>148</v>
      </c>
      <c r="H18" s="941">
        <v>1000</v>
      </c>
    </row>
    <row r="19" spans="1:8" ht="15" hidden="1">
      <c r="A19" s="2" t="s">
        <v>39</v>
      </c>
      <c r="B19" s="2" t="s">
        <v>36</v>
      </c>
      <c r="C19" s="2" t="s">
        <v>36</v>
      </c>
      <c r="D19" s="2" t="s">
        <v>37</v>
      </c>
      <c r="E19" s="2" t="s">
        <v>43</v>
      </c>
      <c r="F19" s="75">
        <v>54201</v>
      </c>
      <c r="G19" s="906" t="s">
        <v>683</v>
      </c>
      <c r="H19" s="941"/>
    </row>
    <row r="20" spans="1:8" ht="15" hidden="1">
      <c r="A20" s="2" t="s">
        <v>39</v>
      </c>
      <c r="B20" s="2" t="s">
        <v>36</v>
      </c>
      <c r="C20" s="2" t="s">
        <v>36</v>
      </c>
      <c r="D20" s="2" t="s">
        <v>37</v>
      </c>
      <c r="E20" s="2" t="s">
        <v>43</v>
      </c>
      <c r="F20" s="75">
        <v>54202</v>
      </c>
      <c r="G20" s="906" t="s">
        <v>150</v>
      </c>
      <c r="H20" s="941"/>
    </row>
    <row r="21" spans="1:8" ht="15" hidden="1">
      <c r="A21" s="2" t="s">
        <v>39</v>
      </c>
      <c r="B21" s="2" t="s">
        <v>36</v>
      </c>
      <c r="C21" s="2" t="s">
        <v>36</v>
      </c>
      <c r="D21" s="2" t="s">
        <v>37</v>
      </c>
      <c r="E21" s="2" t="s">
        <v>43</v>
      </c>
      <c r="F21" s="75">
        <v>54203</v>
      </c>
      <c r="G21" s="906" t="s">
        <v>705</v>
      </c>
      <c r="H21" s="941"/>
    </row>
    <row r="22" spans="1:8" ht="15">
      <c r="A22" s="2">
        <v>1</v>
      </c>
      <c r="B22" s="2" t="s">
        <v>36</v>
      </c>
      <c r="C22" s="2" t="s">
        <v>36</v>
      </c>
      <c r="D22" s="2" t="s">
        <v>37</v>
      </c>
      <c r="E22" s="2" t="s">
        <v>43</v>
      </c>
      <c r="F22" s="75">
        <v>54301</v>
      </c>
      <c r="G22" s="906" t="s">
        <v>154</v>
      </c>
      <c r="H22" s="941">
        <v>300</v>
      </c>
    </row>
    <row r="23" spans="1:8" ht="15" hidden="1">
      <c r="A23" s="2">
        <f t="shared" ref="A23:A31" si="0">A22</f>
        <v>1</v>
      </c>
      <c r="B23" s="2" t="s">
        <v>36</v>
      </c>
      <c r="C23" s="2" t="s">
        <v>36</v>
      </c>
      <c r="D23" s="2" t="s">
        <v>37</v>
      </c>
      <c r="E23" s="2" t="s">
        <v>43</v>
      </c>
      <c r="F23" s="75">
        <v>54302</v>
      </c>
      <c r="G23" s="906" t="s">
        <v>155</v>
      </c>
      <c r="H23" s="941"/>
    </row>
    <row r="24" spans="1:8" ht="15">
      <c r="A24" s="2">
        <f t="shared" si="0"/>
        <v>1</v>
      </c>
      <c r="B24" s="2" t="s">
        <v>36</v>
      </c>
      <c r="C24" s="2" t="s">
        <v>36</v>
      </c>
      <c r="D24" s="2" t="s">
        <v>37</v>
      </c>
      <c r="E24" s="2" t="s">
        <v>43</v>
      </c>
      <c r="F24" s="75">
        <v>54304</v>
      </c>
      <c r="G24" s="906" t="s">
        <v>165</v>
      </c>
      <c r="H24" s="941">
        <v>1000</v>
      </c>
    </row>
    <row r="25" spans="1:8" ht="15">
      <c r="A25" s="2">
        <f t="shared" si="0"/>
        <v>1</v>
      </c>
      <c r="B25" s="2" t="s">
        <v>36</v>
      </c>
      <c r="C25" s="2" t="s">
        <v>36</v>
      </c>
      <c r="D25" s="2" t="s">
        <v>37</v>
      </c>
      <c r="E25" s="2" t="s">
        <v>43</v>
      </c>
      <c r="F25" s="75">
        <v>54314</v>
      </c>
      <c r="G25" s="906" t="s">
        <v>160</v>
      </c>
      <c r="H25" s="942">
        <v>1000</v>
      </c>
    </row>
    <row r="26" spans="1:8" ht="15" hidden="1">
      <c r="A26" s="2">
        <f t="shared" si="0"/>
        <v>1</v>
      </c>
      <c r="B26" s="2" t="s">
        <v>36</v>
      </c>
      <c r="C26" s="2" t="s">
        <v>36</v>
      </c>
      <c r="D26" s="2" t="s">
        <v>37</v>
      </c>
      <c r="E26" s="2" t="s">
        <v>43</v>
      </c>
      <c r="F26" s="75">
        <v>54316</v>
      </c>
      <c r="G26" s="906" t="s">
        <v>454</v>
      </c>
      <c r="H26" s="942"/>
    </row>
    <row r="27" spans="1:8" ht="15" hidden="1">
      <c r="A27" s="2">
        <f t="shared" si="0"/>
        <v>1</v>
      </c>
      <c r="B27" s="2" t="s">
        <v>36</v>
      </c>
      <c r="C27" s="2" t="s">
        <v>36</v>
      </c>
      <c r="D27" s="2" t="s">
        <v>37</v>
      </c>
      <c r="E27" s="2" t="s">
        <v>43</v>
      </c>
      <c r="F27" s="75">
        <v>54399</v>
      </c>
      <c r="G27" s="906" t="s">
        <v>163</v>
      </c>
      <c r="H27" s="942"/>
    </row>
    <row r="28" spans="1:8" ht="15" hidden="1">
      <c r="A28" s="2">
        <f t="shared" si="0"/>
        <v>1</v>
      </c>
      <c r="B28" s="2" t="s">
        <v>36</v>
      </c>
      <c r="C28" s="2" t="s">
        <v>36</v>
      </c>
      <c r="D28" s="2" t="s">
        <v>37</v>
      </c>
      <c r="E28" s="2" t="s">
        <v>43</v>
      </c>
      <c r="F28" s="75">
        <v>54599</v>
      </c>
      <c r="G28" s="906" t="s">
        <v>684</v>
      </c>
      <c r="H28" s="943"/>
    </row>
    <row r="29" spans="1:8" ht="15" hidden="1">
      <c r="A29" s="2">
        <f t="shared" si="0"/>
        <v>1</v>
      </c>
      <c r="B29" s="2" t="s">
        <v>36</v>
      </c>
      <c r="C29" s="2" t="s">
        <v>36</v>
      </c>
      <c r="D29" s="2" t="s">
        <v>37</v>
      </c>
      <c r="E29" s="2" t="s">
        <v>43</v>
      </c>
      <c r="F29" s="75">
        <v>56201</v>
      </c>
      <c r="G29" s="906" t="s">
        <v>176</v>
      </c>
      <c r="H29" s="942"/>
    </row>
    <row r="30" spans="1:8" ht="15">
      <c r="A30" s="2">
        <f>A29</f>
        <v>1</v>
      </c>
      <c r="B30" s="2" t="s">
        <v>36</v>
      </c>
      <c r="C30" s="2" t="s">
        <v>36</v>
      </c>
      <c r="D30" s="2" t="s">
        <v>37</v>
      </c>
      <c r="E30" s="2" t="s">
        <v>43</v>
      </c>
      <c r="F30" s="75">
        <v>56304</v>
      </c>
      <c r="G30" s="906" t="s">
        <v>114</v>
      </c>
      <c r="H30" s="943">
        <f>5000+29903.9</f>
        <v>34903.9</v>
      </c>
    </row>
    <row r="31" spans="1:8" ht="15" hidden="1">
      <c r="A31" s="2">
        <f t="shared" si="0"/>
        <v>1</v>
      </c>
      <c r="B31" s="71" t="s">
        <v>36</v>
      </c>
      <c r="C31" s="71" t="s">
        <v>36</v>
      </c>
      <c r="D31" s="71" t="s">
        <v>37</v>
      </c>
      <c r="E31" s="71" t="s">
        <v>43</v>
      </c>
      <c r="F31" s="75">
        <v>72101</v>
      </c>
      <c r="G31" s="906" t="s">
        <v>169</v>
      </c>
      <c r="H31" s="941">
        <v>0</v>
      </c>
    </row>
    <row r="32" spans="1:8">
      <c r="A32" s="933"/>
      <c r="B32" s="933"/>
      <c r="C32" s="933"/>
      <c r="D32" s="933"/>
      <c r="E32" s="933"/>
      <c r="F32" s="944"/>
      <c r="G32" s="913" t="s">
        <v>171</v>
      </c>
      <c r="H32" s="935">
        <f>SUM(H10:H31)</f>
        <v>257718.90999999997</v>
      </c>
    </row>
    <row r="33" spans="1:8" ht="15" hidden="1">
      <c r="A33" s="71" t="s">
        <v>39</v>
      </c>
      <c r="B33" s="71" t="s">
        <v>36</v>
      </c>
      <c r="C33" s="72" t="s">
        <v>38</v>
      </c>
      <c r="D33" s="71" t="s">
        <v>37</v>
      </c>
      <c r="E33" s="71" t="s">
        <v>43</v>
      </c>
      <c r="F33" s="60" t="s">
        <v>34</v>
      </c>
      <c r="G33" s="940" t="s">
        <v>85</v>
      </c>
      <c r="H33" s="942">
        <f>SUM('CONCENTRACION DE EGRESOS'!D10)</f>
        <v>0</v>
      </c>
    </row>
    <row r="34" spans="1:8" ht="15" hidden="1">
      <c r="A34" s="71" t="s">
        <v>39</v>
      </c>
      <c r="B34" s="71" t="s">
        <v>36</v>
      </c>
      <c r="C34" s="72" t="s">
        <v>38</v>
      </c>
      <c r="D34" s="71" t="s">
        <v>37</v>
      </c>
      <c r="E34" s="71" t="s">
        <v>43</v>
      </c>
      <c r="F34" s="75">
        <v>51201</v>
      </c>
      <c r="G34" s="910" t="s">
        <v>85</v>
      </c>
      <c r="H34" s="942" t="e">
        <f>SUM('concent, de egresos. carta'!#REF!)</f>
        <v>#REF!</v>
      </c>
    </row>
    <row r="35" spans="1:8" ht="15" hidden="1">
      <c r="A35" s="71" t="s">
        <v>39</v>
      </c>
      <c r="B35" s="71" t="s">
        <v>36</v>
      </c>
      <c r="C35" s="72" t="s">
        <v>38</v>
      </c>
      <c r="D35" s="71" t="s">
        <v>37</v>
      </c>
      <c r="E35" s="71" t="s">
        <v>43</v>
      </c>
      <c r="F35" s="75">
        <v>51203</v>
      </c>
      <c r="G35" s="910" t="s">
        <v>661</v>
      </c>
      <c r="H35" s="942">
        <f>SUM('concent, de egresos. carta'!D13)</f>
        <v>0</v>
      </c>
    </row>
    <row r="36" spans="1:8" ht="15" hidden="1">
      <c r="A36" s="71" t="s">
        <v>39</v>
      </c>
      <c r="B36" s="71" t="s">
        <v>36</v>
      </c>
      <c r="C36" s="72" t="s">
        <v>38</v>
      </c>
      <c r="D36" s="71" t="s">
        <v>37</v>
      </c>
      <c r="E36" s="71" t="s">
        <v>43</v>
      </c>
      <c r="F36" s="60" t="s">
        <v>174</v>
      </c>
      <c r="G36" s="940" t="s">
        <v>175</v>
      </c>
      <c r="H36" s="942">
        <f>SUM('CONCENTRACION DE EGRESOS'!D16)</f>
        <v>0</v>
      </c>
    </row>
    <row r="37" spans="1:8" ht="15" hidden="1">
      <c r="A37" s="71" t="s">
        <v>39</v>
      </c>
      <c r="B37" s="71" t="s">
        <v>36</v>
      </c>
      <c r="C37" s="72" t="s">
        <v>38</v>
      </c>
      <c r="D37" s="71" t="s">
        <v>37</v>
      </c>
      <c r="E37" s="71" t="s">
        <v>43</v>
      </c>
      <c r="F37" s="60" t="s">
        <v>94</v>
      </c>
      <c r="G37" s="940" t="s">
        <v>95</v>
      </c>
      <c r="H37" s="942">
        <f>SUM('CONCENTRACION DE EGRESOS'!D19)</f>
        <v>0</v>
      </c>
    </row>
    <row r="38" spans="1:8" ht="15" hidden="1">
      <c r="A38" s="71" t="s">
        <v>39</v>
      </c>
      <c r="B38" s="71" t="s">
        <v>36</v>
      </c>
      <c r="C38" s="72" t="s">
        <v>38</v>
      </c>
      <c r="D38" s="71" t="s">
        <v>37</v>
      </c>
      <c r="E38" s="71" t="s">
        <v>43</v>
      </c>
      <c r="F38" s="60" t="s">
        <v>96</v>
      </c>
      <c r="G38" s="940" t="s">
        <v>97</v>
      </c>
      <c r="H38" s="942">
        <f>SUM('CONCENTRACION DE EGRESOS'!D20)</f>
        <v>0</v>
      </c>
    </row>
    <row r="39" spans="1:8" hidden="1">
      <c r="A39" s="438"/>
      <c r="B39" s="438"/>
      <c r="C39" s="438"/>
      <c r="D39" s="438"/>
      <c r="E39" s="438"/>
      <c r="F39" s="945" t="s">
        <v>170</v>
      </c>
      <c r="G39" s="946" t="s">
        <v>171</v>
      </c>
      <c r="H39" s="947" t="e">
        <f>SUM(H33:H38)</f>
        <v>#REF!</v>
      </c>
    </row>
    <row r="40" spans="1:8" ht="15" hidden="1">
      <c r="A40" s="71" t="s">
        <v>39</v>
      </c>
      <c r="B40" s="72" t="s">
        <v>38</v>
      </c>
      <c r="C40" s="72" t="s">
        <v>36</v>
      </c>
      <c r="D40" s="71" t="s">
        <v>37</v>
      </c>
      <c r="E40" s="71" t="s">
        <v>43</v>
      </c>
      <c r="F40" s="60" t="s">
        <v>34</v>
      </c>
      <c r="G40" s="940" t="s">
        <v>85</v>
      </c>
      <c r="H40" s="942">
        <f>SUM('CONCENTRACION DE EGRESOS'!E10)</f>
        <v>0</v>
      </c>
    </row>
    <row r="41" spans="1:8" ht="15" hidden="1">
      <c r="A41" s="71" t="s">
        <v>39</v>
      </c>
      <c r="B41" s="72" t="s">
        <v>38</v>
      </c>
      <c r="C41" s="72" t="s">
        <v>36</v>
      </c>
      <c r="D41" s="71" t="s">
        <v>37</v>
      </c>
      <c r="E41" s="71" t="s">
        <v>43</v>
      </c>
      <c r="F41" s="60" t="s">
        <v>174</v>
      </c>
      <c r="G41" s="940" t="s">
        <v>175</v>
      </c>
      <c r="H41" s="942">
        <f>SUM('CONCENTRACION DE EGRESOS'!E16)</f>
        <v>0</v>
      </c>
    </row>
    <row r="42" spans="1:8" ht="15" hidden="1">
      <c r="A42" s="71" t="s">
        <v>39</v>
      </c>
      <c r="B42" s="72" t="s">
        <v>38</v>
      </c>
      <c r="C42" s="72" t="s">
        <v>36</v>
      </c>
      <c r="D42" s="71" t="s">
        <v>37</v>
      </c>
      <c r="E42" s="71" t="s">
        <v>43</v>
      </c>
      <c r="F42" s="60" t="s">
        <v>94</v>
      </c>
      <c r="G42" s="940" t="s">
        <v>95</v>
      </c>
      <c r="H42" s="942">
        <f>SUM('CONCENTRACION DE EGRESOS'!E19)</f>
        <v>0</v>
      </c>
    </row>
    <row r="43" spans="1:8" ht="15" hidden="1">
      <c r="A43" s="71" t="s">
        <v>39</v>
      </c>
      <c r="B43" s="72" t="s">
        <v>38</v>
      </c>
      <c r="C43" s="72" t="s">
        <v>36</v>
      </c>
      <c r="D43" s="71" t="s">
        <v>37</v>
      </c>
      <c r="E43" s="71" t="s">
        <v>43</v>
      </c>
      <c r="F43" s="60" t="s">
        <v>96</v>
      </c>
      <c r="G43" s="940" t="s">
        <v>97</v>
      </c>
      <c r="H43" s="942">
        <f>SUM('CONCENTRACION DE EGRESOS'!E20)</f>
        <v>0</v>
      </c>
    </row>
    <row r="44" spans="1:8" hidden="1">
      <c r="A44" s="438"/>
      <c r="B44" s="438"/>
      <c r="C44" s="438"/>
      <c r="D44" s="438"/>
      <c r="E44" s="438"/>
      <c r="F44" s="948"/>
      <c r="G44" s="946" t="s">
        <v>171</v>
      </c>
      <c r="H44" s="947">
        <f>SUM(H40:H43)</f>
        <v>0</v>
      </c>
    </row>
    <row r="45" spans="1:8" ht="15" hidden="1">
      <c r="A45" s="71" t="s">
        <v>39</v>
      </c>
      <c r="B45" s="72" t="s">
        <v>38</v>
      </c>
      <c r="C45" s="72" t="s">
        <v>38</v>
      </c>
      <c r="D45" s="71" t="s">
        <v>37</v>
      </c>
      <c r="E45" s="71" t="s">
        <v>43</v>
      </c>
      <c r="F45" s="60" t="s">
        <v>34</v>
      </c>
      <c r="G45" s="940" t="s">
        <v>85</v>
      </c>
      <c r="H45" s="942">
        <f>SUM('CONCENTRACION DE EGRESOS'!F10)</f>
        <v>0</v>
      </c>
    </row>
    <row r="46" spans="1:8" ht="15">
      <c r="A46" s="71" t="s">
        <v>39</v>
      </c>
      <c r="B46" s="72" t="s">
        <v>38</v>
      </c>
      <c r="C46" s="72" t="s">
        <v>38</v>
      </c>
      <c r="D46" s="71" t="s">
        <v>37</v>
      </c>
      <c r="E46" s="71" t="s">
        <v>43</v>
      </c>
      <c r="F46" s="75">
        <v>51202</v>
      </c>
      <c r="G46" s="909" t="s">
        <v>177</v>
      </c>
      <c r="H46" s="942">
        <f>SUM('PAG, FOND, PROP'!N39)+6000+43538.01+4395</f>
        <v>77137.002000000008</v>
      </c>
    </row>
    <row r="47" spans="1:8" ht="15" hidden="1">
      <c r="A47" s="71" t="s">
        <v>39</v>
      </c>
      <c r="B47" s="72" t="s">
        <v>38</v>
      </c>
      <c r="C47" s="72" t="s">
        <v>38</v>
      </c>
      <c r="D47" s="71" t="s">
        <v>37</v>
      </c>
      <c r="E47" s="71" t="s">
        <v>43</v>
      </c>
      <c r="F47" s="60" t="s">
        <v>174</v>
      </c>
      <c r="G47" s="940" t="s">
        <v>175</v>
      </c>
      <c r="H47" s="942">
        <f>SUM('CONCENTRACION DE EGRESOS'!F16)</f>
        <v>0</v>
      </c>
    </row>
    <row r="48" spans="1:8" ht="15" hidden="1">
      <c r="A48" s="71" t="s">
        <v>39</v>
      </c>
      <c r="B48" s="72" t="s">
        <v>38</v>
      </c>
      <c r="C48" s="72" t="s">
        <v>38</v>
      </c>
      <c r="D48" s="71" t="s">
        <v>37</v>
      </c>
      <c r="E48" s="71" t="s">
        <v>43</v>
      </c>
      <c r="F48" s="253" t="s">
        <v>91</v>
      </c>
      <c r="G48" s="940" t="s">
        <v>661</v>
      </c>
      <c r="H48" s="942">
        <f>SUM('concent, de egresos. carta'!F13)</f>
        <v>0</v>
      </c>
    </row>
    <row r="49" spans="1:10" ht="15" hidden="1">
      <c r="A49" s="71" t="s">
        <v>39</v>
      </c>
      <c r="B49" s="72" t="s">
        <v>38</v>
      </c>
      <c r="C49" s="72" t="s">
        <v>38</v>
      </c>
      <c r="D49" s="71" t="s">
        <v>37</v>
      </c>
      <c r="E49" s="71" t="s">
        <v>43</v>
      </c>
      <c r="F49" s="60" t="s">
        <v>94</v>
      </c>
      <c r="G49" s="940" t="s">
        <v>95</v>
      </c>
      <c r="H49" s="942">
        <f>SUM('CONCENTRACION DE EGRESOS'!F19)</f>
        <v>0</v>
      </c>
    </row>
    <row r="50" spans="1:10" ht="15" hidden="1">
      <c r="A50" s="71" t="s">
        <v>39</v>
      </c>
      <c r="B50" s="72" t="s">
        <v>38</v>
      </c>
      <c r="C50" s="72" t="s">
        <v>38</v>
      </c>
      <c r="D50" s="71" t="s">
        <v>37</v>
      </c>
      <c r="E50" s="71" t="s">
        <v>43</v>
      </c>
      <c r="F50" s="60" t="s">
        <v>96</v>
      </c>
      <c r="G50" s="940" t="s">
        <v>97</v>
      </c>
      <c r="H50" s="942">
        <f>SUM('CONCENTRACION DE EGRESOS'!F20)</f>
        <v>0</v>
      </c>
    </row>
    <row r="51" spans="1:10" ht="15" hidden="1">
      <c r="A51" s="71" t="s">
        <v>39</v>
      </c>
      <c r="B51" s="72" t="s">
        <v>38</v>
      </c>
      <c r="C51" s="72" t="s">
        <v>38</v>
      </c>
      <c r="D51" s="71" t="s">
        <v>37</v>
      </c>
      <c r="E51" s="71" t="s">
        <v>43</v>
      </c>
      <c r="F51" s="75">
        <v>54103</v>
      </c>
      <c r="G51" s="906" t="s">
        <v>133</v>
      </c>
      <c r="H51" s="942"/>
    </row>
    <row r="52" spans="1:10" ht="15">
      <c r="A52" s="71" t="s">
        <v>39</v>
      </c>
      <c r="B52" s="72" t="s">
        <v>38</v>
      </c>
      <c r="C52" s="72" t="s">
        <v>38</v>
      </c>
      <c r="D52" s="71" t="s">
        <v>37</v>
      </c>
      <c r="E52" s="71" t="s">
        <v>43</v>
      </c>
      <c r="F52" s="75">
        <v>54107</v>
      </c>
      <c r="G52" s="906" t="s">
        <v>136</v>
      </c>
      <c r="H52" s="942">
        <v>800</v>
      </c>
    </row>
    <row r="53" spans="1:10" ht="15">
      <c r="A53" s="71" t="s">
        <v>39</v>
      </c>
      <c r="B53" s="72" t="s">
        <v>38</v>
      </c>
      <c r="C53" s="72" t="s">
        <v>38</v>
      </c>
      <c r="D53" s="71" t="s">
        <v>37</v>
      </c>
      <c r="E53" s="71" t="s">
        <v>43</v>
      </c>
      <c r="F53" s="75">
        <v>54111</v>
      </c>
      <c r="G53" s="906" t="s">
        <v>140</v>
      </c>
      <c r="H53" s="942">
        <v>650</v>
      </c>
    </row>
    <row r="54" spans="1:10" ht="15">
      <c r="A54" s="71" t="s">
        <v>39</v>
      </c>
      <c r="B54" s="72" t="s">
        <v>38</v>
      </c>
      <c r="C54" s="72" t="s">
        <v>38</v>
      </c>
      <c r="D54" s="71" t="s">
        <v>37</v>
      </c>
      <c r="E54" s="71" t="s">
        <v>43</v>
      </c>
      <c r="F54" s="75">
        <v>54112</v>
      </c>
      <c r="G54" s="906" t="s">
        <v>141</v>
      </c>
      <c r="H54" s="942">
        <v>800</v>
      </c>
    </row>
    <row r="55" spans="1:10" ht="15" hidden="1">
      <c r="A55" s="71" t="s">
        <v>39</v>
      </c>
      <c r="B55" s="72" t="s">
        <v>38</v>
      </c>
      <c r="C55" s="72" t="s">
        <v>38</v>
      </c>
      <c r="D55" s="71" t="s">
        <v>37</v>
      </c>
      <c r="E55" s="71" t="s">
        <v>43</v>
      </c>
      <c r="F55" s="75">
        <v>54118</v>
      </c>
      <c r="G55" s="906" t="s">
        <v>145</v>
      </c>
      <c r="H55" s="942"/>
    </row>
    <row r="56" spans="1:10" ht="15">
      <c r="A56" s="71" t="s">
        <v>39</v>
      </c>
      <c r="B56" s="72" t="s">
        <v>38</v>
      </c>
      <c r="C56" s="72" t="s">
        <v>38</v>
      </c>
      <c r="D56" s="71" t="s">
        <v>37</v>
      </c>
      <c r="E56" s="71" t="s">
        <v>43</v>
      </c>
      <c r="F56" s="75">
        <v>54119</v>
      </c>
      <c r="G56" s="906" t="s">
        <v>146</v>
      </c>
      <c r="H56" s="942">
        <v>1000</v>
      </c>
    </row>
    <row r="57" spans="1:10" ht="15" hidden="1">
      <c r="A57" s="71" t="s">
        <v>39</v>
      </c>
      <c r="B57" s="72" t="s">
        <v>38</v>
      </c>
      <c r="C57" s="72" t="s">
        <v>38</v>
      </c>
      <c r="D57" s="71" t="s">
        <v>37</v>
      </c>
      <c r="E57" s="71" t="s">
        <v>43</v>
      </c>
      <c r="F57" s="75">
        <v>54199</v>
      </c>
      <c r="G57" s="906" t="s">
        <v>148</v>
      </c>
      <c r="H57" s="942"/>
    </row>
    <row r="58" spans="1:10" ht="15">
      <c r="A58" s="71" t="s">
        <v>39</v>
      </c>
      <c r="B58" s="72" t="s">
        <v>38</v>
      </c>
      <c r="C58" s="72" t="s">
        <v>38</v>
      </c>
      <c r="D58" s="71" t="s">
        <v>37</v>
      </c>
      <c r="E58" s="71" t="s">
        <v>43</v>
      </c>
      <c r="F58" s="75">
        <v>54201</v>
      </c>
      <c r="G58" s="906" t="s">
        <v>683</v>
      </c>
      <c r="H58" s="942">
        <v>1000</v>
      </c>
    </row>
    <row r="59" spans="1:10" ht="15">
      <c r="A59" s="71" t="s">
        <v>39</v>
      </c>
      <c r="B59" s="72" t="s">
        <v>38</v>
      </c>
      <c r="C59" s="72" t="s">
        <v>38</v>
      </c>
      <c r="D59" s="71" t="s">
        <v>37</v>
      </c>
      <c r="E59" s="71" t="s">
        <v>43</v>
      </c>
      <c r="F59" s="75">
        <v>54202</v>
      </c>
      <c r="G59" s="76" t="s">
        <v>150</v>
      </c>
      <c r="H59" s="942">
        <v>300</v>
      </c>
    </row>
    <row r="60" spans="1:10" ht="15">
      <c r="A60" s="71" t="s">
        <v>39</v>
      </c>
      <c r="B60" s="72" t="s">
        <v>38</v>
      </c>
      <c r="C60" s="72" t="s">
        <v>38</v>
      </c>
      <c r="D60" s="71" t="s">
        <v>37</v>
      </c>
      <c r="E60" s="71" t="s">
        <v>43</v>
      </c>
      <c r="F60" s="75">
        <v>54303</v>
      </c>
      <c r="G60" s="906" t="s">
        <v>156</v>
      </c>
      <c r="H60" s="942">
        <v>1000</v>
      </c>
    </row>
    <row r="61" spans="1:10">
      <c r="A61" s="1451" t="s">
        <v>308</v>
      </c>
      <c r="B61" s="1451"/>
      <c r="C61" s="1451"/>
      <c r="D61" s="1451"/>
      <c r="E61" s="1451"/>
      <c r="F61" s="1451"/>
      <c r="G61" s="1451"/>
      <c r="H61" s="935">
        <f>SUM(H45:H60)</f>
        <v>82687.002000000008</v>
      </c>
    </row>
    <row r="62" spans="1:10">
      <c r="A62" s="1450" t="s">
        <v>172</v>
      </c>
      <c r="B62" s="1450"/>
      <c r="C62" s="1450"/>
      <c r="D62" s="1450"/>
      <c r="E62" s="1450"/>
      <c r="F62" s="1450"/>
      <c r="G62" s="1450"/>
      <c r="H62" s="936">
        <f>H32+H61</f>
        <v>340405.91200000001</v>
      </c>
      <c r="I62" s="326">
        <f>SUM('concent, de egresos. carta'!D98:E98)</f>
        <v>340405.91000000003</v>
      </c>
      <c r="J62" s="326">
        <f>I62-H62</f>
        <v>-1.9999999785795808E-3</v>
      </c>
    </row>
    <row r="63" spans="1:10">
      <c r="A63" s="15"/>
      <c r="B63" s="15"/>
      <c r="C63" s="15"/>
      <c r="D63" s="15"/>
      <c r="E63" s="15"/>
      <c r="H63" s="934"/>
      <c r="I63" s="326"/>
    </row>
    <row r="64" spans="1:10">
      <c r="A64" s="15"/>
      <c r="B64" s="15"/>
      <c r="C64" s="15"/>
      <c r="D64" s="15"/>
      <c r="E64" s="15"/>
      <c r="H64" s="112"/>
    </row>
    <row r="65" spans="1:8">
      <c r="A65" s="15"/>
      <c r="B65" s="1128" t="s">
        <v>1132</v>
      </c>
      <c r="C65" s="15"/>
      <c r="D65" s="15"/>
      <c r="E65" s="15"/>
      <c r="H65" s="112"/>
    </row>
    <row r="66" spans="1:8">
      <c r="A66" s="15"/>
      <c r="B66" s="15"/>
      <c r="C66" s="15"/>
      <c r="D66" s="15"/>
      <c r="E66" s="15"/>
      <c r="H66" s="112"/>
    </row>
    <row r="67" spans="1:8">
      <c r="A67" s="15"/>
      <c r="B67" s="15"/>
      <c r="C67" s="15"/>
      <c r="D67" s="15"/>
      <c r="E67" s="15"/>
      <c r="H67" s="112"/>
    </row>
    <row r="68" spans="1:8">
      <c r="A68" s="15"/>
      <c r="B68" s="15"/>
      <c r="C68" s="15"/>
      <c r="D68" s="15"/>
      <c r="E68" s="15"/>
      <c r="H68" s="112"/>
    </row>
    <row r="69" spans="1:8">
      <c r="A69" s="15"/>
      <c r="B69" s="15"/>
      <c r="C69" s="15"/>
      <c r="D69" s="15"/>
      <c r="E69" s="15"/>
      <c r="H69" s="112"/>
    </row>
    <row r="70" spans="1:8">
      <c r="A70" s="15"/>
      <c r="B70" s="15"/>
      <c r="C70" s="15"/>
      <c r="D70" s="15"/>
      <c r="E70" s="15"/>
      <c r="H70" s="112"/>
    </row>
    <row r="71" spans="1:8">
      <c r="A71" s="15"/>
      <c r="B71" s="15"/>
      <c r="C71" s="15"/>
      <c r="D71" s="15"/>
      <c r="E71" s="15"/>
      <c r="H71" s="112"/>
    </row>
    <row r="72" spans="1:8">
      <c r="A72" s="15"/>
      <c r="B72" s="15"/>
      <c r="C72" s="15"/>
      <c r="D72" s="15"/>
      <c r="E72" s="15"/>
      <c r="H72" s="112"/>
    </row>
    <row r="73" spans="1:8">
      <c r="A73" s="15"/>
      <c r="B73" s="15"/>
      <c r="C73" s="15"/>
      <c r="D73" s="15"/>
      <c r="E73" s="15"/>
      <c r="H73" s="112"/>
    </row>
    <row r="74" spans="1:8">
      <c r="H74" s="112"/>
    </row>
    <row r="75" spans="1:8">
      <c r="H75" s="112"/>
    </row>
    <row r="76" spans="1:8">
      <c r="H76" s="112"/>
    </row>
    <row r="77" spans="1:8">
      <c r="H77" s="112"/>
    </row>
    <row r="78" spans="1:8">
      <c r="H78" s="112"/>
    </row>
    <row r="79" spans="1:8">
      <c r="H79" s="112"/>
    </row>
    <row r="80" spans="1:8">
      <c r="H80" s="112"/>
    </row>
    <row r="81" spans="8:8">
      <c r="H81" s="112"/>
    </row>
    <row r="82" spans="8:8">
      <c r="H82" s="112"/>
    </row>
    <row r="83" spans="8:8">
      <c r="H83" s="112"/>
    </row>
    <row r="84" spans="8:8">
      <c r="H84" s="112"/>
    </row>
    <row r="85" spans="8:8">
      <c r="H85" s="112"/>
    </row>
    <row r="86" spans="8:8">
      <c r="H86" s="112"/>
    </row>
    <row r="87" spans="8:8">
      <c r="H87" s="112"/>
    </row>
    <row r="88" spans="8:8">
      <c r="H88" s="112"/>
    </row>
    <row r="89" spans="8:8">
      <c r="H89" s="112"/>
    </row>
    <row r="90" spans="8:8">
      <c r="H90" s="112"/>
    </row>
    <row r="91" spans="8:8">
      <c r="H91" s="112"/>
    </row>
    <row r="92" spans="8:8">
      <c r="H92" s="112"/>
    </row>
    <row r="93" spans="8:8">
      <c r="H93" s="112"/>
    </row>
    <row r="94" spans="8:8">
      <c r="H94" s="112"/>
    </row>
    <row r="95" spans="8:8">
      <c r="H95" s="112"/>
    </row>
    <row r="96" spans="8:8">
      <c r="H96" s="112"/>
    </row>
    <row r="97" spans="8:8">
      <c r="H97" s="112"/>
    </row>
    <row r="98" spans="8:8">
      <c r="H98" s="112"/>
    </row>
    <row r="99" spans="8:8">
      <c r="H99" s="112"/>
    </row>
    <row r="100" spans="8:8">
      <c r="H100" s="112"/>
    </row>
    <row r="101" spans="8:8">
      <c r="H101" s="112"/>
    </row>
    <row r="102" spans="8:8">
      <c r="H102" s="112"/>
    </row>
    <row r="103" spans="8:8">
      <c r="H103" s="112"/>
    </row>
    <row r="104" spans="8:8">
      <c r="H104" s="112"/>
    </row>
    <row r="105" spans="8:8">
      <c r="H105" s="112"/>
    </row>
    <row r="106" spans="8:8">
      <c r="H106" s="112"/>
    </row>
    <row r="107" spans="8:8">
      <c r="H107" s="112"/>
    </row>
    <row r="108" spans="8:8">
      <c r="H108" s="112"/>
    </row>
    <row r="109" spans="8:8">
      <c r="H109" s="112"/>
    </row>
    <row r="110" spans="8:8">
      <c r="H110" s="112"/>
    </row>
    <row r="111" spans="8:8">
      <c r="H111" s="112"/>
    </row>
    <row r="112" spans="8:8">
      <c r="H112" s="112"/>
    </row>
    <row r="113" spans="8:8">
      <c r="H113" s="112"/>
    </row>
    <row r="114" spans="8:8">
      <c r="H114" s="112"/>
    </row>
    <row r="115" spans="8:8">
      <c r="H115" s="112"/>
    </row>
    <row r="116" spans="8:8">
      <c r="H116" s="112"/>
    </row>
    <row r="117" spans="8:8">
      <c r="H117" s="112"/>
    </row>
    <row r="118" spans="8:8">
      <c r="H118" s="112"/>
    </row>
    <row r="119" spans="8:8">
      <c r="H119" s="112"/>
    </row>
    <row r="120" spans="8:8">
      <c r="H120" s="112"/>
    </row>
    <row r="121" spans="8:8">
      <c r="H121" s="112"/>
    </row>
    <row r="122" spans="8:8">
      <c r="H122" s="112"/>
    </row>
    <row r="123" spans="8:8">
      <c r="H123" s="112"/>
    </row>
    <row r="124" spans="8:8">
      <c r="H124" s="112"/>
    </row>
    <row r="125" spans="8:8">
      <c r="H125" s="112"/>
    </row>
    <row r="126" spans="8:8">
      <c r="H126" s="112"/>
    </row>
    <row r="127" spans="8:8">
      <c r="H127" s="112"/>
    </row>
    <row r="128" spans="8:8">
      <c r="H128" s="112"/>
    </row>
    <row r="129" spans="8:8">
      <c r="H129" s="112"/>
    </row>
    <row r="130" spans="8:8">
      <c r="H130" s="112"/>
    </row>
    <row r="131" spans="8:8">
      <c r="H131" s="112"/>
    </row>
    <row r="132" spans="8:8">
      <c r="H132" s="112"/>
    </row>
    <row r="133" spans="8:8">
      <c r="H133" s="112"/>
    </row>
    <row r="134" spans="8:8">
      <c r="H134" s="112"/>
    </row>
    <row r="135" spans="8:8">
      <c r="H135" s="112"/>
    </row>
    <row r="136" spans="8:8">
      <c r="H136" s="112"/>
    </row>
    <row r="137" spans="8:8">
      <c r="H137" s="112"/>
    </row>
    <row r="138" spans="8:8">
      <c r="H138" s="112"/>
    </row>
    <row r="139" spans="8:8">
      <c r="H139" s="112"/>
    </row>
    <row r="140" spans="8:8">
      <c r="H140" s="112"/>
    </row>
    <row r="141" spans="8:8">
      <c r="H141" s="112"/>
    </row>
    <row r="142" spans="8:8">
      <c r="H142" s="112"/>
    </row>
    <row r="143" spans="8:8">
      <c r="H143" s="112"/>
    </row>
    <row r="144" spans="8:8">
      <c r="H144" s="112"/>
    </row>
    <row r="145" spans="8:8">
      <c r="H145" s="112"/>
    </row>
    <row r="146" spans="8:8">
      <c r="H146" s="112"/>
    </row>
    <row r="147" spans="8:8">
      <c r="H147" s="112"/>
    </row>
    <row r="148" spans="8:8">
      <c r="H148" s="112"/>
    </row>
    <row r="149" spans="8:8">
      <c r="H149" s="112"/>
    </row>
    <row r="150" spans="8:8">
      <c r="H150" s="112"/>
    </row>
    <row r="151" spans="8:8">
      <c r="H151" s="112"/>
    </row>
    <row r="152" spans="8:8">
      <c r="H152" s="112"/>
    </row>
    <row r="153" spans="8:8">
      <c r="H153" s="112"/>
    </row>
    <row r="154" spans="8:8">
      <c r="H154" s="112"/>
    </row>
  </sheetData>
  <mergeCells count="12">
    <mergeCell ref="A6:H6"/>
    <mergeCell ref="A1:H1"/>
    <mergeCell ref="A2:H2"/>
    <mergeCell ref="A3:H3"/>
    <mergeCell ref="A4:H4"/>
    <mergeCell ref="A5:H5"/>
    <mergeCell ref="A62:G62"/>
    <mergeCell ref="A61:G61"/>
    <mergeCell ref="A7:H7"/>
    <mergeCell ref="A8:F8"/>
    <mergeCell ref="G8:G9"/>
    <mergeCell ref="H8:H9"/>
  </mergeCells>
  <pageMargins left="1.0629921259842521" right="0.23622047244094491" top="0.78740157480314965" bottom="1.0629921259842521" header="0.31496062992125984" footer="0.15748031496062992"/>
  <pageSetup scale="9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I55"/>
  <sheetViews>
    <sheetView zoomScale="98" zoomScaleNormal="98" workbookViewId="0">
      <selection activeCell="I1" sqref="I1"/>
    </sheetView>
  </sheetViews>
  <sheetFormatPr baseColWidth="10" defaultRowHeight="12.75"/>
  <cols>
    <col min="1" max="1" width="5.28515625" customWidth="1"/>
    <col min="2" max="2" width="5.7109375" customWidth="1"/>
    <col min="3" max="3" width="4.5703125" customWidth="1"/>
    <col min="4" max="4" width="4" style="14" customWidth="1"/>
    <col min="5" max="5" width="6.7109375" style="15" customWidth="1"/>
    <col min="6" max="6" width="8.28515625" style="40" customWidth="1"/>
    <col min="7" max="7" width="42.7109375" customWidth="1"/>
    <col min="8" max="8" width="18.42578125" customWidth="1"/>
    <col min="9" max="9" width="26.28515625" customWidth="1"/>
  </cols>
  <sheetData>
    <row r="1" spans="1:9" ht="18">
      <c r="A1" s="1467"/>
      <c r="B1" s="1467"/>
      <c r="C1" s="1467"/>
      <c r="D1" s="1467"/>
      <c r="E1" s="1467"/>
      <c r="F1" s="1467"/>
      <c r="G1" s="1467"/>
      <c r="H1" s="1467"/>
    </row>
    <row r="2" spans="1:9" ht="18">
      <c r="A2" s="1468" t="s">
        <v>84</v>
      </c>
      <c r="B2" s="1468"/>
      <c r="C2" s="1468"/>
      <c r="D2" s="1468"/>
      <c r="E2" s="1468"/>
      <c r="F2" s="1468"/>
      <c r="G2" s="1468"/>
      <c r="H2" s="1468"/>
    </row>
    <row r="3" spans="1:9" ht="18">
      <c r="A3" s="1468" t="s">
        <v>83</v>
      </c>
      <c r="B3" s="1468"/>
      <c r="C3" s="1468"/>
      <c r="D3" s="1468"/>
      <c r="E3" s="1468"/>
      <c r="F3" s="1468"/>
      <c r="G3" s="1468"/>
      <c r="H3" s="1468"/>
    </row>
    <row r="4" spans="1:9" ht="18">
      <c r="A4" s="1469" t="s">
        <v>758</v>
      </c>
      <c r="B4" s="1469"/>
      <c r="C4" s="1469"/>
      <c r="D4" s="1469"/>
      <c r="E4" s="1469"/>
      <c r="F4" s="1469"/>
      <c r="G4" s="1469"/>
      <c r="H4" s="1469"/>
    </row>
    <row r="5" spans="1:9" ht="18.75">
      <c r="A5" s="1470" t="s">
        <v>924</v>
      </c>
      <c r="B5" s="1470"/>
      <c r="C5" s="1470"/>
      <c r="D5" s="1470"/>
      <c r="E5" s="1470"/>
      <c r="F5" s="1470"/>
      <c r="G5" s="1470"/>
      <c r="H5" s="1470"/>
    </row>
    <row r="6" spans="1:9">
      <c r="A6" s="1471" t="s">
        <v>26</v>
      </c>
      <c r="B6" s="1471"/>
      <c r="C6" s="1471"/>
      <c r="D6" s="1471"/>
      <c r="E6" s="1471"/>
      <c r="F6" s="1471"/>
      <c r="G6" s="1471"/>
      <c r="H6" s="1471"/>
    </row>
    <row r="7" spans="1:9" ht="7.5" customHeight="1">
      <c r="A7" s="1471"/>
      <c r="B7" s="1471"/>
      <c r="C7" s="1471"/>
      <c r="D7" s="1471"/>
      <c r="E7" s="1471"/>
      <c r="F7" s="1471"/>
      <c r="G7" s="1471"/>
      <c r="H7" s="1471"/>
    </row>
    <row r="8" spans="1:9" ht="17.25" customHeight="1">
      <c r="A8" s="1472" t="s">
        <v>1148</v>
      </c>
      <c r="B8" s="1473"/>
      <c r="C8" s="1473"/>
      <c r="D8" s="1473"/>
      <c r="E8" s="1473"/>
      <c r="F8" s="1473"/>
      <c r="G8" s="1473"/>
      <c r="H8" s="1473"/>
    </row>
    <row r="9" spans="1:9" ht="15">
      <c r="A9" s="1474" t="s">
        <v>11</v>
      </c>
      <c r="B9" s="1474"/>
      <c r="C9" s="1474"/>
      <c r="D9" s="1474"/>
      <c r="E9" s="1474"/>
      <c r="F9" s="1474"/>
      <c r="G9" s="1475" t="s">
        <v>23</v>
      </c>
      <c r="H9" s="1476" t="s">
        <v>30</v>
      </c>
    </row>
    <row r="10" spans="1:9" ht="61.5" customHeight="1">
      <c r="A10" s="634" t="s">
        <v>937</v>
      </c>
      <c r="B10" s="635" t="s">
        <v>185</v>
      </c>
      <c r="C10" s="634" t="s">
        <v>938</v>
      </c>
      <c r="D10" s="634" t="s">
        <v>24</v>
      </c>
      <c r="E10" s="636" t="s">
        <v>320</v>
      </c>
      <c r="F10" s="634" t="s">
        <v>22</v>
      </c>
      <c r="G10" s="1475"/>
      <c r="H10" s="1476"/>
      <c r="I10" s="326"/>
    </row>
    <row r="11" spans="1:9" ht="15">
      <c r="A11" s="567">
        <v>6</v>
      </c>
      <c r="B11" s="568" t="s">
        <v>36</v>
      </c>
      <c r="C11" s="568" t="s">
        <v>36</v>
      </c>
      <c r="D11" s="567">
        <v>1</v>
      </c>
      <c r="E11" s="567">
        <v>120</v>
      </c>
      <c r="F11" s="631" t="s">
        <v>34</v>
      </c>
      <c r="G11" s="632" t="s">
        <v>85</v>
      </c>
      <c r="H11" s="633">
        <f>SUM('CONCENTRACION DE EGRESOS'!G10)</f>
        <v>231265</v>
      </c>
    </row>
    <row r="12" spans="1:9" ht="15">
      <c r="A12" s="567">
        <v>6</v>
      </c>
      <c r="B12" s="568" t="s">
        <v>36</v>
      </c>
      <c r="C12" s="568" t="s">
        <v>36</v>
      </c>
      <c r="D12" s="567">
        <v>1</v>
      </c>
      <c r="E12" s="567">
        <v>120</v>
      </c>
      <c r="F12" s="60" t="s">
        <v>86</v>
      </c>
      <c r="G12" s="18" t="s">
        <v>87</v>
      </c>
      <c r="H12" s="19">
        <f>SUM('CONCENTRACION DE EGRESOS'!G11)</f>
        <v>23126.5</v>
      </c>
    </row>
    <row r="13" spans="1:9" ht="15">
      <c r="A13" s="567">
        <v>6</v>
      </c>
      <c r="B13" s="568" t="s">
        <v>36</v>
      </c>
      <c r="C13" s="568" t="s">
        <v>36</v>
      </c>
      <c r="D13" s="567">
        <v>1</v>
      </c>
      <c r="E13" s="567">
        <v>120</v>
      </c>
      <c r="F13" s="60" t="s">
        <v>94</v>
      </c>
      <c r="G13" s="18" t="s">
        <v>95</v>
      </c>
      <c r="H13" s="19">
        <f>SUM('CONCENTRACION DE EGRESOS'!G19)</f>
        <v>15430.275</v>
      </c>
    </row>
    <row r="14" spans="1:9" ht="15">
      <c r="A14" s="567">
        <v>6</v>
      </c>
      <c r="B14" s="568" t="s">
        <v>36</v>
      </c>
      <c r="C14" s="568" t="s">
        <v>36</v>
      </c>
      <c r="D14" s="567">
        <v>1</v>
      </c>
      <c r="E14" s="567">
        <v>120</v>
      </c>
      <c r="F14" s="60" t="s">
        <v>96</v>
      </c>
      <c r="G14" s="18" t="s">
        <v>97</v>
      </c>
      <c r="H14" s="19">
        <f>SUM('CONCENTRACION DE EGRESOS'!G20)</f>
        <v>17148.037499999999</v>
      </c>
    </row>
    <row r="15" spans="1:9" ht="15">
      <c r="A15" s="1477" t="s">
        <v>170</v>
      </c>
      <c r="B15" s="1478"/>
      <c r="C15" s="1478"/>
      <c r="D15" s="1478"/>
      <c r="E15" s="1478"/>
      <c r="F15" s="1478"/>
      <c r="G15" s="1479"/>
      <c r="H15" s="504">
        <f>SUM(H11:H14)</f>
        <v>286969.8125</v>
      </c>
    </row>
    <row r="16" spans="1:9" ht="15">
      <c r="A16" s="567">
        <v>6</v>
      </c>
      <c r="B16" s="568" t="s">
        <v>36</v>
      </c>
      <c r="C16" s="568" t="s">
        <v>36</v>
      </c>
      <c r="D16" s="567">
        <v>1</v>
      </c>
      <c r="E16" s="567">
        <v>120</v>
      </c>
      <c r="F16" s="75">
        <v>54101</v>
      </c>
      <c r="G16" s="76" t="s">
        <v>132</v>
      </c>
      <c r="H16" s="19">
        <v>500</v>
      </c>
    </row>
    <row r="17" spans="1:8" ht="15">
      <c r="A17" s="567">
        <v>6</v>
      </c>
      <c r="B17" s="568" t="s">
        <v>36</v>
      </c>
      <c r="C17" s="568" t="s">
        <v>36</v>
      </c>
      <c r="D17" s="567">
        <v>1</v>
      </c>
      <c r="E17" s="567">
        <v>120</v>
      </c>
      <c r="F17" s="75">
        <v>54104</v>
      </c>
      <c r="G17" s="256" t="s">
        <v>649</v>
      </c>
      <c r="H17" s="19">
        <v>500</v>
      </c>
    </row>
    <row r="18" spans="1:8" ht="15">
      <c r="A18" s="567">
        <v>6</v>
      </c>
      <c r="B18" s="568" t="s">
        <v>36</v>
      </c>
      <c r="C18" s="568" t="s">
        <v>36</v>
      </c>
      <c r="D18" s="567">
        <v>1</v>
      </c>
      <c r="E18" s="567">
        <v>120</v>
      </c>
      <c r="F18" s="75">
        <v>54105</v>
      </c>
      <c r="G18" s="76" t="s">
        <v>135</v>
      </c>
      <c r="H18" s="19">
        <v>2500</v>
      </c>
    </row>
    <row r="19" spans="1:8" ht="15">
      <c r="A19" s="567">
        <v>6</v>
      </c>
      <c r="B19" s="568" t="s">
        <v>36</v>
      </c>
      <c r="C19" s="568" t="s">
        <v>36</v>
      </c>
      <c r="D19" s="567">
        <v>1</v>
      </c>
      <c r="E19" s="567">
        <v>120</v>
      </c>
      <c r="F19" s="75">
        <v>54107</v>
      </c>
      <c r="G19" s="76" t="s">
        <v>136</v>
      </c>
      <c r="H19" s="19">
        <v>700</v>
      </c>
    </row>
    <row r="20" spans="1:8" ht="15">
      <c r="A20" s="567">
        <v>6</v>
      </c>
      <c r="B20" s="568" t="s">
        <v>36</v>
      </c>
      <c r="C20" s="568" t="s">
        <v>36</v>
      </c>
      <c r="D20" s="567">
        <v>1</v>
      </c>
      <c r="E20" s="567">
        <v>120</v>
      </c>
      <c r="F20" s="75">
        <v>54109</v>
      </c>
      <c r="G20" s="76" t="s">
        <v>138</v>
      </c>
      <c r="H20" s="19">
        <v>4500</v>
      </c>
    </row>
    <row r="21" spans="1:8" ht="15">
      <c r="A21" s="567">
        <v>6</v>
      </c>
      <c r="B21" s="568" t="s">
        <v>36</v>
      </c>
      <c r="C21" s="568" t="s">
        <v>36</v>
      </c>
      <c r="D21" s="567">
        <v>1</v>
      </c>
      <c r="E21" s="567">
        <v>120</v>
      </c>
      <c r="F21" s="75">
        <v>54110</v>
      </c>
      <c r="G21" s="76" t="s">
        <v>430</v>
      </c>
      <c r="H21" s="19">
        <v>7000</v>
      </c>
    </row>
    <row r="22" spans="1:8" ht="15">
      <c r="A22" s="567">
        <v>6</v>
      </c>
      <c r="B22" s="568" t="s">
        <v>36</v>
      </c>
      <c r="C22" s="568" t="s">
        <v>36</v>
      </c>
      <c r="D22" s="567">
        <v>1</v>
      </c>
      <c r="E22" s="567">
        <v>120</v>
      </c>
      <c r="F22" s="75">
        <v>54114</v>
      </c>
      <c r="G22" s="76" t="s">
        <v>142</v>
      </c>
      <c r="H22" s="19">
        <v>900</v>
      </c>
    </row>
    <row r="23" spans="1:8" ht="15">
      <c r="A23" s="567">
        <v>6</v>
      </c>
      <c r="B23" s="568" t="s">
        <v>36</v>
      </c>
      <c r="C23" s="568" t="s">
        <v>36</v>
      </c>
      <c r="D23" s="567">
        <v>1</v>
      </c>
      <c r="E23" s="567">
        <v>120</v>
      </c>
      <c r="F23" s="75">
        <v>54115</v>
      </c>
      <c r="G23" s="76" t="s">
        <v>143</v>
      </c>
      <c r="H23" s="19">
        <v>555</v>
      </c>
    </row>
    <row r="24" spans="1:8" ht="15">
      <c r="A24" s="567">
        <v>6</v>
      </c>
      <c r="B24" s="568" t="s">
        <v>36</v>
      </c>
      <c r="C24" s="568" t="s">
        <v>36</v>
      </c>
      <c r="D24" s="567">
        <v>1</v>
      </c>
      <c r="E24" s="567">
        <v>120</v>
      </c>
      <c r="F24" s="75">
        <v>54118</v>
      </c>
      <c r="G24" s="256" t="s">
        <v>809</v>
      </c>
      <c r="H24" s="19">
        <v>1300</v>
      </c>
    </row>
    <row r="25" spans="1:8" ht="15">
      <c r="A25" s="567">
        <v>6</v>
      </c>
      <c r="B25" s="568" t="s">
        <v>36</v>
      </c>
      <c r="C25" s="568" t="s">
        <v>36</v>
      </c>
      <c r="D25" s="567">
        <v>1</v>
      </c>
      <c r="E25" s="567">
        <v>120</v>
      </c>
      <c r="F25" s="75">
        <v>54119</v>
      </c>
      <c r="G25" s="76" t="s">
        <v>146</v>
      </c>
      <c r="H25" s="19">
        <v>900</v>
      </c>
    </row>
    <row r="26" spans="1:8" ht="15">
      <c r="A26" s="567">
        <v>6</v>
      </c>
      <c r="B26" s="568" t="s">
        <v>36</v>
      </c>
      <c r="C26" s="568" t="s">
        <v>36</v>
      </c>
      <c r="D26" s="567">
        <v>1</v>
      </c>
      <c r="E26" s="567">
        <v>120</v>
      </c>
      <c r="F26" s="75">
        <v>54121</v>
      </c>
      <c r="G26" s="256" t="s">
        <v>147</v>
      </c>
      <c r="H26" s="19">
        <v>2000</v>
      </c>
    </row>
    <row r="27" spans="1:8" ht="15" customHeight="1">
      <c r="A27" s="567">
        <v>6</v>
      </c>
      <c r="B27" s="568" t="s">
        <v>36</v>
      </c>
      <c r="C27" s="568" t="s">
        <v>36</v>
      </c>
      <c r="D27" s="567">
        <v>1</v>
      </c>
      <c r="E27" s="567">
        <v>120</v>
      </c>
      <c r="F27" s="75">
        <v>54199</v>
      </c>
      <c r="G27" s="76" t="s">
        <v>148</v>
      </c>
      <c r="H27" s="19">
        <v>1000</v>
      </c>
    </row>
    <row r="28" spans="1:8" ht="15">
      <c r="A28" s="567">
        <v>6</v>
      </c>
      <c r="B28" s="568" t="s">
        <v>36</v>
      </c>
      <c r="C28" s="568" t="s">
        <v>36</v>
      </c>
      <c r="D28" s="567">
        <v>1</v>
      </c>
      <c r="E28" s="567">
        <v>120</v>
      </c>
      <c r="F28" s="75">
        <v>54201</v>
      </c>
      <c r="G28" s="76" t="s">
        <v>149</v>
      </c>
      <c r="H28" s="19">
        <v>4500</v>
      </c>
    </row>
    <row r="29" spans="1:8" ht="15">
      <c r="A29" s="567">
        <v>6</v>
      </c>
      <c r="B29" s="568" t="s">
        <v>36</v>
      </c>
      <c r="C29" s="568" t="s">
        <v>36</v>
      </c>
      <c r="D29" s="567">
        <v>1</v>
      </c>
      <c r="E29" s="567">
        <v>120</v>
      </c>
      <c r="F29" s="75">
        <v>54202</v>
      </c>
      <c r="G29" s="76" t="s">
        <v>150</v>
      </c>
      <c r="H29" s="19">
        <v>2900</v>
      </c>
    </row>
    <row r="30" spans="1:8" ht="15">
      <c r="A30" s="567">
        <v>6</v>
      </c>
      <c r="B30" s="568" t="s">
        <v>36</v>
      </c>
      <c r="C30" s="568" t="s">
        <v>36</v>
      </c>
      <c r="D30" s="567">
        <v>1</v>
      </c>
      <c r="E30" s="567">
        <v>120</v>
      </c>
      <c r="F30" s="75">
        <v>54203</v>
      </c>
      <c r="G30" s="76" t="s">
        <v>151</v>
      </c>
      <c r="H30" s="19">
        <v>5500</v>
      </c>
    </row>
    <row r="31" spans="1:8" ht="15">
      <c r="A31" s="567">
        <v>6</v>
      </c>
      <c r="B31" s="568" t="s">
        <v>36</v>
      </c>
      <c r="C31" s="568" t="s">
        <v>36</v>
      </c>
      <c r="D31" s="567">
        <v>1</v>
      </c>
      <c r="E31" s="567">
        <v>120</v>
      </c>
      <c r="F31" s="75">
        <v>54301</v>
      </c>
      <c r="G31" s="76" t="s">
        <v>154</v>
      </c>
      <c r="H31" s="19">
        <v>1500</v>
      </c>
    </row>
    <row r="32" spans="1:8" ht="15">
      <c r="A32" s="567">
        <v>6</v>
      </c>
      <c r="B32" s="568" t="s">
        <v>36</v>
      </c>
      <c r="C32" s="568" t="s">
        <v>36</v>
      </c>
      <c r="D32" s="567">
        <v>1</v>
      </c>
      <c r="E32" s="567">
        <v>120</v>
      </c>
      <c r="F32" s="75">
        <v>54302</v>
      </c>
      <c r="G32" s="76" t="s">
        <v>155</v>
      </c>
      <c r="H32" s="19">
        <v>7000</v>
      </c>
    </row>
    <row r="33" spans="1:8" ht="15">
      <c r="A33" s="567">
        <v>6</v>
      </c>
      <c r="B33" s="568" t="s">
        <v>36</v>
      </c>
      <c r="C33" s="568" t="s">
        <v>36</v>
      </c>
      <c r="D33" s="567">
        <v>1</v>
      </c>
      <c r="E33" s="567">
        <v>120</v>
      </c>
      <c r="F33" s="75">
        <v>54303</v>
      </c>
      <c r="G33" s="76" t="s">
        <v>384</v>
      </c>
      <c r="H33" s="19">
        <v>1000</v>
      </c>
    </row>
    <row r="34" spans="1:8" ht="15">
      <c r="A34" s="567">
        <v>6</v>
      </c>
      <c r="B34" s="568" t="s">
        <v>36</v>
      </c>
      <c r="C34" s="568" t="s">
        <v>36</v>
      </c>
      <c r="D34" s="567">
        <v>1</v>
      </c>
      <c r="E34" s="567">
        <v>120</v>
      </c>
      <c r="F34" s="75">
        <v>54304</v>
      </c>
      <c r="G34" s="76" t="s">
        <v>157</v>
      </c>
      <c r="H34" s="19">
        <v>1500</v>
      </c>
    </row>
    <row r="35" spans="1:8" ht="15">
      <c r="A35" s="567">
        <v>6</v>
      </c>
      <c r="B35" s="568" t="s">
        <v>36</v>
      </c>
      <c r="C35" s="568" t="s">
        <v>36</v>
      </c>
      <c r="D35" s="567">
        <v>1</v>
      </c>
      <c r="E35" s="567">
        <v>120</v>
      </c>
      <c r="F35" s="75">
        <v>54305</v>
      </c>
      <c r="G35" s="76" t="s">
        <v>158</v>
      </c>
      <c r="H35" s="19">
        <v>900</v>
      </c>
    </row>
    <row r="36" spans="1:8" ht="15">
      <c r="A36" s="567">
        <v>6</v>
      </c>
      <c r="B36" s="568" t="s">
        <v>36</v>
      </c>
      <c r="C36" s="568" t="s">
        <v>36</v>
      </c>
      <c r="D36" s="567">
        <v>1</v>
      </c>
      <c r="E36" s="567">
        <v>120</v>
      </c>
      <c r="F36" s="75">
        <v>54313</v>
      </c>
      <c r="G36" s="76" t="s">
        <v>159</v>
      </c>
      <c r="H36" s="19">
        <v>800</v>
      </c>
    </row>
    <row r="37" spans="1:8" ht="15">
      <c r="A37" s="567">
        <v>6</v>
      </c>
      <c r="B37" s="568" t="s">
        <v>36</v>
      </c>
      <c r="C37" s="568" t="s">
        <v>36</v>
      </c>
      <c r="D37" s="567">
        <v>1</v>
      </c>
      <c r="E37" s="567">
        <v>120</v>
      </c>
      <c r="F37" s="75">
        <v>54314</v>
      </c>
      <c r="G37" s="76" t="s">
        <v>160</v>
      </c>
      <c r="H37" s="19">
        <v>350</v>
      </c>
    </row>
    <row r="38" spans="1:8" ht="15">
      <c r="A38" s="567">
        <v>6</v>
      </c>
      <c r="B38" s="568" t="s">
        <v>36</v>
      </c>
      <c r="C38" s="568" t="s">
        <v>36</v>
      </c>
      <c r="D38" s="567">
        <v>1</v>
      </c>
      <c r="E38" s="567">
        <v>120</v>
      </c>
      <c r="F38" s="75">
        <v>54401</v>
      </c>
      <c r="G38" s="76" t="s">
        <v>99</v>
      </c>
      <c r="H38" s="19">
        <v>500</v>
      </c>
    </row>
    <row r="39" spans="1:8" ht="15">
      <c r="A39" s="567">
        <v>6</v>
      </c>
      <c r="B39" s="568" t="s">
        <v>36</v>
      </c>
      <c r="C39" s="568" t="s">
        <v>36</v>
      </c>
      <c r="D39" s="567">
        <v>1</v>
      </c>
      <c r="E39" s="567">
        <v>120</v>
      </c>
      <c r="F39" s="75">
        <v>54403</v>
      </c>
      <c r="G39" s="76" t="s">
        <v>100</v>
      </c>
      <c r="H39" s="19">
        <v>350</v>
      </c>
    </row>
    <row r="40" spans="1:8" ht="15">
      <c r="A40" s="567">
        <v>6</v>
      </c>
      <c r="B40" s="568" t="s">
        <v>36</v>
      </c>
      <c r="C40" s="568" t="s">
        <v>36</v>
      </c>
      <c r="D40" s="567">
        <v>1</v>
      </c>
      <c r="E40" s="567">
        <v>120</v>
      </c>
      <c r="F40" s="75">
        <v>54503</v>
      </c>
      <c r="G40" s="76" t="s">
        <v>101</v>
      </c>
      <c r="H40" s="19">
        <v>650</v>
      </c>
    </row>
    <row r="41" spans="1:8" ht="15">
      <c r="A41" s="567">
        <v>6</v>
      </c>
      <c r="B41" s="568" t="s">
        <v>36</v>
      </c>
      <c r="C41" s="568" t="s">
        <v>36</v>
      </c>
      <c r="D41" s="567">
        <v>1</v>
      </c>
      <c r="E41" s="567">
        <v>120</v>
      </c>
      <c r="F41" s="75">
        <v>54504</v>
      </c>
      <c r="G41" s="76" t="s">
        <v>173</v>
      </c>
      <c r="H41" s="19">
        <v>300</v>
      </c>
    </row>
    <row r="42" spans="1:8" ht="15">
      <c r="A42" s="567">
        <v>6</v>
      </c>
      <c r="B42" s="568" t="s">
        <v>36</v>
      </c>
      <c r="C42" s="568" t="s">
        <v>36</v>
      </c>
      <c r="D42" s="567">
        <v>1</v>
      </c>
      <c r="E42" s="567">
        <v>120</v>
      </c>
      <c r="F42" s="75">
        <v>54505</v>
      </c>
      <c r="G42" s="76" t="s">
        <v>422</v>
      </c>
      <c r="H42" s="19">
        <v>500</v>
      </c>
    </row>
    <row r="43" spans="1:8" ht="15">
      <c r="A43" s="567">
        <v>6</v>
      </c>
      <c r="B43" s="568" t="s">
        <v>36</v>
      </c>
      <c r="C43" s="568" t="s">
        <v>36</v>
      </c>
      <c r="D43" s="567">
        <v>1</v>
      </c>
      <c r="E43" s="567">
        <v>120</v>
      </c>
      <c r="F43" s="75">
        <v>54507</v>
      </c>
      <c r="G43" s="76" t="s">
        <v>455</v>
      </c>
      <c r="H43" s="19">
        <v>1000</v>
      </c>
    </row>
    <row r="44" spans="1:8" ht="15">
      <c r="A44" s="567">
        <v>6</v>
      </c>
      <c r="B44" s="568" t="s">
        <v>36</v>
      </c>
      <c r="C44" s="568" t="s">
        <v>36</v>
      </c>
      <c r="D44" s="567">
        <v>1</v>
      </c>
      <c r="E44" s="567">
        <v>120</v>
      </c>
      <c r="F44" s="75">
        <v>55599</v>
      </c>
      <c r="G44" s="256" t="s">
        <v>650</v>
      </c>
      <c r="H44" s="19">
        <v>200</v>
      </c>
    </row>
    <row r="45" spans="1:8" ht="15">
      <c r="A45" s="567">
        <v>6</v>
      </c>
      <c r="B45" s="568" t="s">
        <v>36</v>
      </c>
      <c r="C45" s="568" t="s">
        <v>36</v>
      </c>
      <c r="D45" s="567">
        <v>1</v>
      </c>
      <c r="E45" s="567">
        <v>120</v>
      </c>
      <c r="F45" s="75">
        <v>55603</v>
      </c>
      <c r="G45" s="76" t="s">
        <v>109</v>
      </c>
      <c r="H45" s="19">
        <v>450</v>
      </c>
    </row>
    <row r="46" spans="1:8" ht="15">
      <c r="A46" s="567">
        <v>6</v>
      </c>
      <c r="B46" s="568" t="s">
        <v>36</v>
      </c>
      <c r="C46" s="568" t="s">
        <v>36</v>
      </c>
      <c r="D46" s="567">
        <v>1</v>
      </c>
      <c r="E46" s="567">
        <v>120</v>
      </c>
      <c r="F46" s="75">
        <v>56201</v>
      </c>
      <c r="G46" s="76" t="s">
        <v>385</v>
      </c>
      <c r="H46" s="19">
        <v>5400</v>
      </c>
    </row>
    <row r="47" spans="1:8" ht="15">
      <c r="A47" s="567">
        <v>6</v>
      </c>
      <c r="B47" s="568" t="s">
        <v>36</v>
      </c>
      <c r="C47" s="568" t="s">
        <v>36</v>
      </c>
      <c r="D47" s="567">
        <v>1</v>
      </c>
      <c r="E47" s="567">
        <v>120</v>
      </c>
      <c r="F47" s="75">
        <v>56304</v>
      </c>
      <c r="G47" s="76" t="s">
        <v>114</v>
      </c>
      <c r="H47" s="19">
        <v>9703</v>
      </c>
    </row>
    <row r="48" spans="1:8" ht="15">
      <c r="A48" s="567">
        <v>6</v>
      </c>
      <c r="B48" s="568" t="s">
        <v>36</v>
      </c>
      <c r="C48" s="568" t="s">
        <v>36</v>
      </c>
      <c r="D48" s="567">
        <v>1</v>
      </c>
      <c r="E48" s="567">
        <v>120</v>
      </c>
      <c r="F48" s="75">
        <v>61101</v>
      </c>
      <c r="G48" s="76" t="s">
        <v>166</v>
      </c>
      <c r="H48" s="19">
        <v>1000</v>
      </c>
    </row>
    <row r="49" spans="1:9" ht="15">
      <c r="A49" s="567">
        <v>6</v>
      </c>
      <c r="B49" s="568" t="s">
        <v>36</v>
      </c>
      <c r="C49" s="568" t="s">
        <v>36</v>
      </c>
      <c r="D49" s="567">
        <v>1</v>
      </c>
      <c r="E49" s="567">
        <v>120</v>
      </c>
      <c r="F49" s="75">
        <v>61102</v>
      </c>
      <c r="G49" s="76" t="s">
        <v>167</v>
      </c>
      <c r="H49" s="19">
        <v>900</v>
      </c>
    </row>
    <row r="50" spans="1:9" ht="15">
      <c r="A50" s="567">
        <v>6</v>
      </c>
      <c r="B50" s="568" t="s">
        <v>36</v>
      </c>
      <c r="C50" s="568" t="s">
        <v>36</v>
      </c>
      <c r="D50" s="567">
        <v>1</v>
      </c>
      <c r="E50" s="567">
        <v>120</v>
      </c>
      <c r="F50" s="75">
        <v>61104</v>
      </c>
      <c r="G50" s="76" t="s">
        <v>117</v>
      </c>
      <c r="H50" s="19">
        <v>5000</v>
      </c>
    </row>
    <row r="51" spans="1:9" ht="15">
      <c r="A51" s="567">
        <v>6</v>
      </c>
      <c r="B51" s="568" t="s">
        <v>36</v>
      </c>
      <c r="C51" s="568" t="s">
        <v>36</v>
      </c>
      <c r="D51" s="567">
        <v>1</v>
      </c>
      <c r="E51" s="567">
        <v>120</v>
      </c>
      <c r="F51" s="75">
        <v>61199</v>
      </c>
      <c r="G51" s="76" t="s">
        <v>119</v>
      </c>
      <c r="H51" s="19">
        <v>900</v>
      </c>
    </row>
    <row r="52" spans="1:9" ht="15.75" thickBot="1">
      <c r="A52" s="1465" t="s">
        <v>172</v>
      </c>
      <c r="B52" s="1465"/>
      <c r="C52" s="1465"/>
      <c r="D52" s="1465"/>
      <c r="E52" s="1465"/>
      <c r="F52" s="1465"/>
      <c r="G52" s="1466"/>
      <c r="H52" s="587">
        <f>SUM(H16:H51)</f>
        <v>75158</v>
      </c>
    </row>
    <row r="53" spans="1:9" ht="15.75" thickTop="1" thickBot="1">
      <c r="A53" s="15"/>
      <c r="B53" s="15"/>
      <c r="C53" s="15"/>
      <c r="D53" s="43"/>
      <c r="H53" s="589">
        <f>H15+H52</f>
        <v>362127.8125</v>
      </c>
      <c r="I53" s="221"/>
    </row>
    <row r="54" spans="1:9" ht="15" thickTop="1">
      <c r="G54" s="80"/>
      <c r="H54" s="81"/>
    </row>
    <row r="55" spans="1:9">
      <c r="C55" s="224"/>
      <c r="G55" s="17"/>
      <c r="H55" s="82"/>
    </row>
  </sheetData>
  <mergeCells count="12">
    <mergeCell ref="A52:G52"/>
    <mergeCell ref="A1:H1"/>
    <mergeCell ref="A2:H2"/>
    <mergeCell ref="A3:H3"/>
    <mergeCell ref="A4:H4"/>
    <mergeCell ref="A5:H5"/>
    <mergeCell ref="A6:H7"/>
    <mergeCell ref="A8:H8"/>
    <mergeCell ref="A9:F9"/>
    <mergeCell ref="G9:G10"/>
    <mergeCell ref="H9:H10"/>
    <mergeCell ref="A15:G15"/>
  </mergeCells>
  <phoneticPr fontId="129" type="noConversion"/>
  <pageMargins left="1.1023622047244095" right="0.11811023622047245" top="0.23622047244094491" bottom="0.70866141732283472" header="0.31496062992125984" footer="0.31496062992125984"/>
  <pageSetup paperSize="9" scale="9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U94"/>
  <sheetViews>
    <sheetView zoomScaleNormal="100" workbookViewId="0">
      <selection activeCell="J1" sqref="J1"/>
    </sheetView>
  </sheetViews>
  <sheetFormatPr baseColWidth="10" defaultRowHeight="14.25"/>
  <cols>
    <col min="1" max="1" width="4.140625" style="15" customWidth="1"/>
    <col min="2" max="3" width="4.7109375" style="15" customWidth="1"/>
    <col min="4" max="4" width="5.5703125" style="15" customWidth="1"/>
    <col min="5" max="5" width="5.42578125" style="15" customWidth="1"/>
    <col min="6" max="6" width="7.28515625" style="315" customWidth="1"/>
    <col min="7" max="7" width="43" style="17" customWidth="1"/>
    <col min="8" max="8" width="18.28515625" style="96" customWidth="1"/>
    <col min="9" max="9" width="14.42578125" style="221" hidden="1" customWidth="1"/>
    <col min="10" max="10" width="11.85546875" bestFit="1" customWidth="1"/>
    <col min="11" max="11" width="11.140625" style="232" customWidth="1"/>
    <col min="12" max="12" width="12.28515625" style="221" bestFit="1" customWidth="1"/>
    <col min="13" max="13" width="7.5703125" style="234" customWidth="1"/>
    <col min="14" max="14" width="11.42578125" style="221"/>
    <col min="15" max="15" width="8.85546875" style="234" customWidth="1"/>
    <col min="16" max="21" width="11.42578125" style="221"/>
  </cols>
  <sheetData>
    <row r="1" spans="1:21" ht="16.5">
      <c r="A1" s="1487" t="s">
        <v>84</v>
      </c>
      <c r="B1" s="1487"/>
      <c r="C1" s="1487"/>
      <c r="D1" s="1487"/>
      <c r="E1" s="1487"/>
      <c r="F1" s="1487"/>
      <c r="G1" s="1487"/>
      <c r="H1" s="1487"/>
    </row>
    <row r="2" spans="1:21" ht="16.5">
      <c r="A2" s="1487" t="s">
        <v>83</v>
      </c>
      <c r="B2" s="1487"/>
      <c r="C2" s="1487"/>
      <c r="D2" s="1487"/>
      <c r="E2" s="1487"/>
      <c r="F2" s="1487"/>
      <c r="G2" s="1487"/>
      <c r="H2" s="1487"/>
    </row>
    <row r="3" spans="1:21" ht="16.5">
      <c r="A3" s="1488" t="s">
        <v>758</v>
      </c>
      <c r="B3" s="1488"/>
      <c r="C3" s="1488"/>
      <c r="D3" s="1488"/>
      <c r="E3" s="1488"/>
      <c r="F3" s="1488"/>
      <c r="G3" s="1488"/>
      <c r="H3" s="1488"/>
    </row>
    <row r="4" spans="1:21" ht="16.5">
      <c r="A4" s="1488" t="s">
        <v>924</v>
      </c>
      <c r="B4" s="1488"/>
      <c r="C4" s="1488"/>
      <c r="D4" s="1488"/>
      <c r="E4" s="1488"/>
      <c r="F4" s="1488"/>
      <c r="G4" s="1488"/>
      <c r="H4" s="1488"/>
    </row>
    <row r="5" spans="1:21" ht="16.5">
      <c r="A5" s="1489" t="s">
        <v>26</v>
      </c>
      <c r="B5" s="1490"/>
      <c r="C5" s="1490"/>
      <c r="D5" s="1490"/>
      <c r="E5" s="1490"/>
      <c r="F5" s="1490"/>
      <c r="G5" s="1490"/>
      <c r="H5" s="1491"/>
      <c r="J5" s="221"/>
    </row>
    <row r="6" spans="1:21" ht="21.75" customHeight="1">
      <c r="A6" s="1481" t="s">
        <v>876</v>
      </c>
      <c r="B6" s="1482"/>
      <c r="C6" s="1482"/>
      <c r="D6" s="1482"/>
      <c r="E6" s="1482"/>
      <c r="F6" s="1482"/>
      <c r="G6" s="1482"/>
      <c r="H6" s="1482"/>
    </row>
    <row r="7" spans="1:21">
      <c r="A7" s="1483" t="s">
        <v>11</v>
      </c>
      <c r="B7" s="1483"/>
      <c r="C7" s="1483"/>
      <c r="D7" s="1483"/>
      <c r="E7" s="1483"/>
      <c r="F7" s="1483"/>
      <c r="G7" s="1471" t="s">
        <v>23</v>
      </c>
      <c r="H7" s="1485" t="s">
        <v>30</v>
      </c>
      <c r="I7" s="110"/>
      <c r="L7" s="110"/>
      <c r="M7" s="235"/>
      <c r="N7" s="110"/>
      <c r="O7" s="235"/>
      <c r="P7" s="110"/>
      <c r="Q7" s="110"/>
      <c r="R7" s="110"/>
      <c r="S7" s="110"/>
      <c r="T7" s="110"/>
      <c r="U7" s="110"/>
    </row>
    <row r="8" spans="1:21" ht="88.5" customHeight="1">
      <c r="A8" s="563" t="s">
        <v>937</v>
      </c>
      <c r="B8" s="564" t="s">
        <v>185</v>
      </c>
      <c r="C8" s="563" t="s">
        <v>938</v>
      </c>
      <c r="D8" s="932" t="s">
        <v>24</v>
      </c>
      <c r="E8" s="565" t="s">
        <v>320</v>
      </c>
      <c r="F8" s="566" t="s">
        <v>22</v>
      </c>
      <c r="G8" s="1484"/>
      <c r="H8" s="1486"/>
      <c r="I8" s="110"/>
      <c r="L8" s="110"/>
      <c r="M8" s="235"/>
      <c r="N8" s="110"/>
      <c r="O8" s="235"/>
      <c r="P8" s="110"/>
      <c r="Q8" s="110"/>
      <c r="R8" s="110"/>
      <c r="S8" s="110"/>
      <c r="T8" s="110"/>
      <c r="U8" s="110"/>
    </row>
    <row r="9" spans="1:21" s="464" customFormat="1" ht="15">
      <c r="A9" s="567">
        <v>6</v>
      </c>
      <c r="B9" s="568" t="s">
        <v>36</v>
      </c>
      <c r="C9" s="568" t="s">
        <v>36</v>
      </c>
      <c r="D9" s="567">
        <v>1</v>
      </c>
      <c r="E9" s="567">
        <v>120</v>
      </c>
      <c r="F9" s="569">
        <v>51101</v>
      </c>
      <c r="G9" s="570" t="s">
        <v>386</v>
      </c>
      <c r="H9" s="382">
        <f t="shared" ref="H9:H52" si="0">I9</f>
        <v>40044</v>
      </c>
      <c r="I9" s="221">
        <f>6000+4440+29604</f>
        <v>40044</v>
      </c>
      <c r="M9" s="571"/>
      <c r="N9" s="572"/>
      <c r="O9" s="571"/>
      <c r="P9" s="572"/>
      <c r="Q9" s="572"/>
      <c r="R9" s="572"/>
      <c r="S9" s="572"/>
      <c r="T9" s="572"/>
      <c r="U9" s="572"/>
    </row>
    <row r="10" spans="1:21" ht="15">
      <c r="A10" s="74">
        <v>6</v>
      </c>
      <c r="B10" s="71" t="s">
        <v>36</v>
      </c>
      <c r="C10" s="71" t="s">
        <v>36</v>
      </c>
      <c r="D10" s="74">
        <v>1</v>
      </c>
      <c r="E10" s="74">
        <v>120</v>
      </c>
      <c r="F10" s="448">
        <v>51202</v>
      </c>
      <c r="G10" s="256" t="s">
        <v>90</v>
      </c>
      <c r="H10" s="586">
        <v>125212</v>
      </c>
      <c r="I10" s="221">
        <v>125212</v>
      </c>
      <c r="J10" s="232"/>
      <c r="K10"/>
      <c r="M10" s="221"/>
      <c r="N10" s="234"/>
      <c r="O10" s="221"/>
      <c r="U10"/>
    </row>
    <row r="11" spans="1:21" ht="15">
      <c r="A11" s="74">
        <v>6</v>
      </c>
      <c r="B11" s="71" t="s">
        <v>36</v>
      </c>
      <c r="C11" s="71" t="s">
        <v>36</v>
      </c>
      <c r="D11" s="74">
        <v>1</v>
      </c>
      <c r="E11" s="74">
        <v>120</v>
      </c>
      <c r="F11" s="448">
        <v>51203</v>
      </c>
      <c r="G11" s="256" t="s">
        <v>87</v>
      </c>
      <c r="H11" s="382">
        <f t="shared" si="0"/>
        <v>3337</v>
      </c>
      <c r="I11" s="221">
        <f>370+2467+500</f>
        <v>3337</v>
      </c>
      <c r="K11"/>
      <c r="L11" s="234"/>
      <c r="M11" s="221"/>
      <c r="N11" s="234"/>
      <c r="O11" s="450"/>
      <c r="U11"/>
    </row>
    <row r="12" spans="1:21" ht="15">
      <c r="A12" s="74">
        <v>6</v>
      </c>
      <c r="B12" s="71" t="s">
        <v>36</v>
      </c>
      <c r="C12" s="71" t="s">
        <v>36</v>
      </c>
      <c r="D12" s="74">
        <v>1</v>
      </c>
      <c r="E12" s="74">
        <v>120</v>
      </c>
      <c r="F12" s="448">
        <v>51207</v>
      </c>
      <c r="G12" s="256" t="s">
        <v>175</v>
      </c>
      <c r="H12" s="382">
        <f t="shared" si="0"/>
        <v>3337</v>
      </c>
      <c r="I12" s="221">
        <f>370+2467+500</f>
        <v>3337</v>
      </c>
      <c r="K12"/>
      <c r="L12" s="234"/>
      <c r="M12" s="221"/>
      <c r="N12" s="234"/>
      <c r="O12" s="221"/>
      <c r="U12"/>
    </row>
    <row r="13" spans="1:21" ht="15">
      <c r="A13" s="74">
        <v>6</v>
      </c>
      <c r="B13" s="71" t="s">
        <v>36</v>
      </c>
      <c r="C13" s="71" t="s">
        <v>36</v>
      </c>
      <c r="D13" s="74">
        <v>1</v>
      </c>
      <c r="E13" s="74">
        <v>120</v>
      </c>
      <c r="F13" s="154" t="s">
        <v>94</v>
      </c>
      <c r="G13" s="304" t="s">
        <v>95</v>
      </c>
      <c r="H13" s="382">
        <f t="shared" si="0"/>
        <v>3880.08</v>
      </c>
      <c r="I13" s="221">
        <f>377.4+2992.68+510</f>
        <v>3880.08</v>
      </c>
      <c r="K13"/>
      <c r="L13" s="234"/>
      <c r="M13" s="221"/>
      <c r="N13" s="234"/>
      <c r="O13" s="221"/>
      <c r="U13"/>
    </row>
    <row r="14" spans="1:21" ht="15">
      <c r="A14" s="74">
        <v>6</v>
      </c>
      <c r="B14" s="71" t="s">
        <v>36</v>
      </c>
      <c r="C14" s="71" t="s">
        <v>36</v>
      </c>
      <c r="D14" s="74">
        <v>1</v>
      </c>
      <c r="E14" s="74">
        <v>120</v>
      </c>
      <c r="F14" s="154" t="s">
        <v>96</v>
      </c>
      <c r="G14" s="304" t="s">
        <v>97</v>
      </c>
      <c r="H14" s="382">
        <f t="shared" si="0"/>
        <v>3537.72</v>
      </c>
      <c r="I14" s="221">
        <f>344.1+2728.62+465</f>
        <v>3537.72</v>
      </c>
      <c r="K14"/>
      <c r="L14" s="234"/>
      <c r="M14" s="221"/>
      <c r="N14" s="234"/>
      <c r="O14" s="221"/>
      <c r="U14"/>
    </row>
    <row r="15" spans="1:21" ht="15">
      <c r="A15" s="74">
        <v>6</v>
      </c>
      <c r="B15" s="71" t="s">
        <v>36</v>
      </c>
      <c r="C15" s="71" t="s">
        <v>36</v>
      </c>
      <c r="D15" s="74">
        <v>1</v>
      </c>
      <c r="E15" s="74">
        <v>120</v>
      </c>
      <c r="F15" s="387" t="s">
        <v>431</v>
      </c>
      <c r="G15" s="304" t="s">
        <v>432</v>
      </c>
      <c r="H15" s="382">
        <f t="shared" si="0"/>
        <v>15200</v>
      </c>
      <c r="I15" s="221">
        <f>200+1200+800+5000+5000+3000</f>
        <v>15200</v>
      </c>
      <c r="J15" s="237"/>
      <c r="K15"/>
      <c r="M15" s="221"/>
      <c r="N15" s="234"/>
      <c r="O15" s="221"/>
      <c r="U15"/>
    </row>
    <row r="16" spans="1:21" ht="15">
      <c r="A16" s="74">
        <v>6</v>
      </c>
      <c r="B16" s="71" t="s">
        <v>36</v>
      </c>
      <c r="C16" s="71" t="s">
        <v>36</v>
      </c>
      <c r="D16" s="74">
        <v>1</v>
      </c>
      <c r="E16" s="74">
        <v>120</v>
      </c>
      <c r="F16" s="230" t="s">
        <v>638</v>
      </c>
      <c r="G16" s="304" t="s">
        <v>639</v>
      </c>
      <c r="H16" s="382">
        <f t="shared" si="0"/>
        <v>700</v>
      </c>
      <c r="I16" s="221">
        <f>200+500</f>
        <v>700</v>
      </c>
      <c r="J16" s="221"/>
      <c r="K16" s="237"/>
      <c r="L16"/>
      <c r="M16" s="221"/>
    </row>
    <row r="17" spans="1:13" ht="15">
      <c r="A17" s="74">
        <v>6</v>
      </c>
      <c r="B17" s="71" t="s">
        <v>36</v>
      </c>
      <c r="C17" s="71" t="s">
        <v>36</v>
      </c>
      <c r="D17" s="74">
        <v>1</v>
      </c>
      <c r="E17" s="74">
        <v>120</v>
      </c>
      <c r="F17" s="230" t="s">
        <v>563</v>
      </c>
      <c r="G17" s="304" t="s">
        <v>584</v>
      </c>
      <c r="H17" s="382">
        <f t="shared" si="0"/>
        <v>7500</v>
      </c>
      <c r="I17" s="221">
        <f>1500+6000</f>
        <v>7500</v>
      </c>
      <c r="J17" s="221"/>
      <c r="K17" s="221"/>
      <c r="M17" s="238"/>
    </row>
    <row r="18" spans="1:13" ht="15">
      <c r="A18" s="74">
        <v>6</v>
      </c>
      <c r="B18" s="71" t="s">
        <v>36</v>
      </c>
      <c r="C18" s="71" t="s">
        <v>36</v>
      </c>
      <c r="D18" s="74">
        <v>1</v>
      </c>
      <c r="E18" s="74">
        <v>120</v>
      </c>
      <c r="F18" s="230" t="s">
        <v>456</v>
      </c>
      <c r="G18" s="304" t="s">
        <v>457</v>
      </c>
      <c r="H18" s="382">
        <f t="shared" si="0"/>
        <v>1200</v>
      </c>
      <c r="I18" s="221">
        <f>150+150+900</f>
        <v>1200</v>
      </c>
    </row>
    <row r="19" spans="1:13" ht="15">
      <c r="A19" s="74">
        <v>6</v>
      </c>
      <c r="B19" s="71" t="s">
        <v>36</v>
      </c>
      <c r="C19" s="71" t="s">
        <v>36</v>
      </c>
      <c r="D19" s="74">
        <v>1</v>
      </c>
      <c r="E19" s="74">
        <v>120</v>
      </c>
      <c r="F19" s="230" t="s">
        <v>748</v>
      </c>
      <c r="G19" s="304" t="s">
        <v>747</v>
      </c>
      <c r="H19" s="382">
        <f t="shared" si="0"/>
        <v>500</v>
      </c>
      <c r="I19" s="221">
        <v>500</v>
      </c>
    </row>
    <row r="20" spans="1:13" ht="15">
      <c r="A20" s="74">
        <v>6</v>
      </c>
      <c r="B20" s="71" t="s">
        <v>36</v>
      </c>
      <c r="C20" s="71" t="s">
        <v>36</v>
      </c>
      <c r="D20" s="74">
        <v>1</v>
      </c>
      <c r="E20" s="74">
        <v>120</v>
      </c>
      <c r="F20" s="448">
        <v>54107</v>
      </c>
      <c r="G20" s="256" t="s">
        <v>1156</v>
      </c>
      <c r="H20" s="382">
        <f t="shared" si="0"/>
        <v>2950</v>
      </c>
      <c r="I20" s="221">
        <f>800+900+1000+50+200</f>
        <v>2950</v>
      </c>
    </row>
    <row r="21" spans="1:13" ht="15">
      <c r="A21" s="74">
        <v>6</v>
      </c>
      <c r="B21" s="71" t="s">
        <v>36</v>
      </c>
      <c r="C21" s="71" t="s">
        <v>36</v>
      </c>
      <c r="D21" s="74">
        <v>1</v>
      </c>
      <c r="E21" s="74">
        <v>120</v>
      </c>
      <c r="F21" s="448">
        <v>54109</v>
      </c>
      <c r="G21" s="256" t="s">
        <v>138</v>
      </c>
      <c r="H21" s="382">
        <f t="shared" si="0"/>
        <v>1000</v>
      </c>
      <c r="I21" s="221">
        <v>1000</v>
      </c>
    </row>
    <row r="22" spans="1:13" ht="15">
      <c r="A22" s="74">
        <v>6</v>
      </c>
      <c r="B22" s="71" t="s">
        <v>36</v>
      </c>
      <c r="C22" s="71" t="s">
        <v>36</v>
      </c>
      <c r="D22" s="74">
        <v>1</v>
      </c>
      <c r="E22" s="74">
        <v>120</v>
      </c>
      <c r="F22" s="448">
        <v>54110</v>
      </c>
      <c r="G22" s="256" t="s">
        <v>877</v>
      </c>
      <c r="H22" s="382">
        <f t="shared" si="0"/>
        <v>5000</v>
      </c>
      <c r="I22" s="221">
        <v>5000</v>
      </c>
    </row>
    <row r="23" spans="1:13" ht="15">
      <c r="A23" s="74">
        <v>6</v>
      </c>
      <c r="B23" s="71" t="s">
        <v>36</v>
      </c>
      <c r="C23" s="71" t="s">
        <v>36</v>
      </c>
      <c r="D23" s="74">
        <v>1</v>
      </c>
      <c r="E23" s="74">
        <v>120</v>
      </c>
      <c r="F23" s="448">
        <v>54111</v>
      </c>
      <c r="G23" s="256" t="s">
        <v>314</v>
      </c>
      <c r="H23" s="382">
        <f t="shared" si="0"/>
        <v>34644</v>
      </c>
      <c r="I23" s="221">
        <f>7000+6700+494+6000+50+1400+9000+3000+1000</f>
        <v>34644</v>
      </c>
    </row>
    <row r="24" spans="1:13" ht="15">
      <c r="A24" s="74">
        <v>6</v>
      </c>
      <c r="B24" s="71" t="s">
        <v>36</v>
      </c>
      <c r="C24" s="71" t="s">
        <v>36</v>
      </c>
      <c r="D24" s="74">
        <v>1</v>
      </c>
      <c r="E24" s="74">
        <v>120</v>
      </c>
      <c r="F24" s="448">
        <v>54112</v>
      </c>
      <c r="G24" s="256" t="s">
        <v>1155</v>
      </c>
      <c r="H24" s="382">
        <f t="shared" si="0"/>
        <v>15800</v>
      </c>
      <c r="I24" s="221">
        <f>800+1000+350+1000+7000+50+900+700+3000+1000</f>
        <v>15800</v>
      </c>
    </row>
    <row r="25" spans="1:13" ht="15">
      <c r="A25" s="74">
        <v>6</v>
      </c>
      <c r="B25" s="71" t="s">
        <v>36</v>
      </c>
      <c r="C25" s="71" t="s">
        <v>36</v>
      </c>
      <c r="D25" s="74">
        <v>1</v>
      </c>
      <c r="E25" s="74">
        <v>120</v>
      </c>
      <c r="F25" s="448">
        <v>54114</v>
      </c>
      <c r="G25" s="256" t="s">
        <v>142</v>
      </c>
      <c r="H25" s="382">
        <f t="shared" si="0"/>
        <v>250</v>
      </c>
      <c r="I25" s="221">
        <f>150+100</f>
        <v>250</v>
      </c>
    </row>
    <row r="26" spans="1:13" ht="15">
      <c r="A26" s="74">
        <v>6</v>
      </c>
      <c r="B26" s="71" t="s">
        <v>36</v>
      </c>
      <c r="C26" s="71" t="s">
        <v>36</v>
      </c>
      <c r="D26" s="74">
        <v>1</v>
      </c>
      <c r="E26" s="74">
        <v>120</v>
      </c>
      <c r="F26" s="448">
        <v>54115</v>
      </c>
      <c r="G26" s="256" t="s">
        <v>1154</v>
      </c>
      <c r="H26" s="382">
        <f t="shared" si="0"/>
        <v>318.5</v>
      </c>
      <c r="I26" s="221">
        <v>318.5</v>
      </c>
    </row>
    <row r="27" spans="1:13" ht="15">
      <c r="A27" s="74">
        <v>6</v>
      </c>
      <c r="B27" s="71" t="s">
        <v>36</v>
      </c>
      <c r="C27" s="71" t="s">
        <v>36</v>
      </c>
      <c r="D27" s="74">
        <v>1</v>
      </c>
      <c r="E27" s="74">
        <v>120</v>
      </c>
      <c r="F27" s="448">
        <v>54117</v>
      </c>
      <c r="G27" s="256" t="s">
        <v>433</v>
      </c>
      <c r="H27" s="382">
        <f t="shared" si="0"/>
        <v>3240.7</v>
      </c>
      <c r="I27" s="221">
        <v>3240.7</v>
      </c>
    </row>
    <row r="28" spans="1:13" ht="15">
      <c r="A28" s="74">
        <v>6</v>
      </c>
      <c r="B28" s="71" t="s">
        <v>36</v>
      </c>
      <c r="C28" s="71" t="s">
        <v>36</v>
      </c>
      <c r="D28" s="74">
        <v>1</v>
      </c>
      <c r="E28" s="74">
        <v>120</v>
      </c>
      <c r="F28" s="448">
        <v>54118</v>
      </c>
      <c r="G28" s="256" t="s">
        <v>1153</v>
      </c>
      <c r="H28" s="382">
        <f t="shared" si="0"/>
        <v>13250</v>
      </c>
      <c r="I28" s="221">
        <f>1500+500+200+3000+50+500+500+6000+1000</f>
        <v>13250</v>
      </c>
    </row>
    <row r="29" spans="1:13" ht="15">
      <c r="A29" s="74">
        <v>6</v>
      </c>
      <c r="B29" s="71" t="s">
        <v>36</v>
      </c>
      <c r="C29" s="71" t="s">
        <v>36</v>
      </c>
      <c r="D29" s="74">
        <v>1</v>
      </c>
      <c r="E29" s="74">
        <v>120</v>
      </c>
      <c r="F29" s="448">
        <v>54119</v>
      </c>
      <c r="G29" s="256" t="s">
        <v>146</v>
      </c>
      <c r="H29" s="382">
        <f t="shared" si="0"/>
        <v>14050</v>
      </c>
      <c r="I29" s="221">
        <f>300+6000+6000+50+200+1500</f>
        <v>14050</v>
      </c>
    </row>
    <row r="30" spans="1:13" ht="15">
      <c r="A30" s="74">
        <v>6</v>
      </c>
      <c r="B30" s="71" t="s">
        <v>36</v>
      </c>
      <c r="C30" s="71" t="s">
        <v>36</v>
      </c>
      <c r="D30" s="74">
        <v>1</v>
      </c>
      <c r="E30" s="74">
        <v>120</v>
      </c>
      <c r="F30" s="448">
        <v>54199</v>
      </c>
      <c r="G30" s="256" t="s">
        <v>578</v>
      </c>
      <c r="H30" s="382">
        <f t="shared" si="0"/>
        <v>12079</v>
      </c>
      <c r="I30" s="221">
        <f>300+1000+769+500+1000+1900+1000+10+300+300+5000</f>
        <v>12079</v>
      </c>
    </row>
    <row r="31" spans="1:13" ht="15">
      <c r="A31" s="74">
        <v>6</v>
      </c>
      <c r="B31" s="71" t="s">
        <v>36</v>
      </c>
      <c r="C31" s="71" t="s">
        <v>36</v>
      </c>
      <c r="D31" s="74">
        <v>1</v>
      </c>
      <c r="E31" s="74">
        <v>120</v>
      </c>
      <c r="F31" s="448">
        <v>54201</v>
      </c>
      <c r="G31" s="256" t="s">
        <v>1152</v>
      </c>
      <c r="H31" s="382">
        <f t="shared" si="0"/>
        <v>790</v>
      </c>
      <c r="I31" s="221">
        <f>720+70</f>
        <v>790</v>
      </c>
    </row>
    <row r="32" spans="1:13" ht="15">
      <c r="A32" s="74">
        <v>6</v>
      </c>
      <c r="B32" s="71" t="s">
        <v>36</v>
      </c>
      <c r="C32" s="71" t="s">
        <v>36</v>
      </c>
      <c r="D32" s="74">
        <v>1</v>
      </c>
      <c r="E32" s="74">
        <v>120</v>
      </c>
      <c r="F32" s="448">
        <v>54202</v>
      </c>
      <c r="G32" s="256" t="s">
        <v>150</v>
      </c>
      <c r="H32" s="382">
        <f t="shared" si="0"/>
        <v>2530</v>
      </c>
      <c r="I32" s="221">
        <f>2170+360</f>
        <v>2530</v>
      </c>
    </row>
    <row r="33" spans="1:9" ht="15">
      <c r="A33" s="74">
        <v>6</v>
      </c>
      <c r="B33" s="71" t="s">
        <v>36</v>
      </c>
      <c r="C33" s="71" t="s">
        <v>36</v>
      </c>
      <c r="D33" s="74">
        <v>1</v>
      </c>
      <c r="E33" s="74">
        <v>120</v>
      </c>
      <c r="F33" s="448">
        <v>54203</v>
      </c>
      <c r="G33" s="256" t="s">
        <v>151</v>
      </c>
      <c r="H33" s="382">
        <f t="shared" si="0"/>
        <v>200</v>
      </c>
      <c r="I33" s="221">
        <v>200</v>
      </c>
    </row>
    <row r="34" spans="1:9" ht="15">
      <c r="A34" s="74">
        <v>6</v>
      </c>
      <c r="B34" s="71" t="s">
        <v>36</v>
      </c>
      <c r="C34" s="71" t="s">
        <v>36</v>
      </c>
      <c r="D34" s="74">
        <v>1</v>
      </c>
      <c r="E34" s="74">
        <v>120</v>
      </c>
      <c r="F34" s="448">
        <v>54205</v>
      </c>
      <c r="G34" s="256" t="s">
        <v>1150</v>
      </c>
      <c r="H34" s="382">
        <f t="shared" si="0"/>
        <v>70000</v>
      </c>
      <c r="I34" s="221">
        <v>70000</v>
      </c>
    </row>
    <row r="35" spans="1:9" ht="15">
      <c r="A35" s="74">
        <v>6</v>
      </c>
      <c r="B35" s="71" t="s">
        <v>36</v>
      </c>
      <c r="C35" s="71" t="s">
        <v>36</v>
      </c>
      <c r="D35" s="74">
        <v>1</v>
      </c>
      <c r="E35" s="74">
        <v>120</v>
      </c>
      <c r="F35" s="448">
        <v>54302</v>
      </c>
      <c r="G35" s="256" t="s">
        <v>434</v>
      </c>
      <c r="H35" s="382">
        <f t="shared" si="0"/>
        <v>2500</v>
      </c>
      <c r="I35" s="221">
        <v>2500</v>
      </c>
    </row>
    <row r="36" spans="1:9" ht="15">
      <c r="A36" s="74">
        <v>6</v>
      </c>
      <c r="B36" s="71" t="s">
        <v>36</v>
      </c>
      <c r="C36" s="71" t="s">
        <v>36</v>
      </c>
      <c r="D36" s="74">
        <v>1</v>
      </c>
      <c r="E36" s="74">
        <v>120</v>
      </c>
      <c r="F36" s="448">
        <v>54303</v>
      </c>
      <c r="G36" s="256" t="s">
        <v>156</v>
      </c>
      <c r="H36" s="382">
        <f t="shared" si="0"/>
        <v>6000</v>
      </c>
      <c r="I36" s="221">
        <f>4000+2000</f>
        <v>6000</v>
      </c>
    </row>
    <row r="37" spans="1:9" ht="15">
      <c r="A37" s="74">
        <v>6</v>
      </c>
      <c r="B37" s="71" t="s">
        <v>36</v>
      </c>
      <c r="C37" s="71" t="s">
        <v>36</v>
      </c>
      <c r="D37" s="74">
        <v>1</v>
      </c>
      <c r="E37" s="74">
        <v>120</v>
      </c>
      <c r="F37" s="448">
        <v>54304</v>
      </c>
      <c r="G37" s="256" t="s">
        <v>1151</v>
      </c>
      <c r="H37" s="382">
        <f t="shared" si="0"/>
        <v>12300</v>
      </c>
      <c r="I37" s="221">
        <f>500+500+3000+500+2000+300+2000+800+500+500+200+1500</f>
        <v>12300</v>
      </c>
    </row>
    <row r="38" spans="1:9" ht="15">
      <c r="A38" s="74">
        <v>6</v>
      </c>
      <c r="B38" s="71" t="s">
        <v>36</v>
      </c>
      <c r="C38" s="71" t="s">
        <v>36</v>
      </c>
      <c r="D38" s="74">
        <v>1</v>
      </c>
      <c r="E38" s="74">
        <v>120</v>
      </c>
      <c r="F38" s="448">
        <v>54305</v>
      </c>
      <c r="G38" s="256" t="s">
        <v>158</v>
      </c>
      <c r="H38" s="382">
        <f t="shared" si="0"/>
        <v>10000</v>
      </c>
      <c r="I38" s="221">
        <v>10000</v>
      </c>
    </row>
    <row r="39" spans="1:9" ht="15">
      <c r="A39" s="74">
        <v>6</v>
      </c>
      <c r="B39" s="71" t="s">
        <v>36</v>
      </c>
      <c r="C39" s="71" t="s">
        <v>36</v>
      </c>
      <c r="D39" s="74">
        <v>1</v>
      </c>
      <c r="E39" s="74">
        <v>120</v>
      </c>
      <c r="F39" s="448">
        <v>54313</v>
      </c>
      <c r="G39" s="256" t="s">
        <v>583</v>
      </c>
      <c r="H39" s="382">
        <f t="shared" si="0"/>
        <v>3500</v>
      </c>
      <c r="I39" s="221">
        <f>500+3000</f>
        <v>3500</v>
      </c>
    </row>
    <row r="40" spans="1:9" ht="15">
      <c r="A40" s="74">
        <v>6</v>
      </c>
      <c r="B40" s="71" t="s">
        <v>36</v>
      </c>
      <c r="C40" s="71" t="s">
        <v>36</v>
      </c>
      <c r="D40" s="74">
        <v>1</v>
      </c>
      <c r="E40" s="74">
        <v>120</v>
      </c>
      <c r="F40" s="448">
        <v>54316</v>
      </c>
      <c r="G40" s="256" t="s">
        <v>881</v>
      </c>
      <c r="H40" s="382">
        <f t="shared" si="0"/>
        <v>9750</v>
      </c>
      <c r="I40" s="221">
        <v>9750</v>
      </c>
    </row>
    <row r="41" spans="1:9" ht="15">
      <c r="A41" s="74">
        <v>6</v>
      </c>
      <c r="B41" s="71" t="s">
        <v>36</v>
      </c>
      <c r="C41" s="71" t="s">
        <v>36</v>
      </c>
      <c r="D41" s="74">
        <v>1</v>
      </c>
      <c r="E41" s="74">
        <v>120</v>
      </c>
      <c r="F41" s="448">
        <v>54317</v>
      </c>
      <c r="G41" s="256" t="s">
        <v>637</v>
      </c>
      <c r="H41" s="382">
        <f t="shared" si="0"/>
        <v>6000</v>
      </c>
      <c r="I41" s="221">
        <v>6000</v>
      </c>
    </row>
    <row r="42" spans="1:9" ht="15">
      <c r="A42" s="74">
        <v>6</v>
      </c>
      <c r="B42" s="71" t="s">
        <v>36</v>
      </c>
      <c r="C42" s="71" t="s">
        <v>36</v>
      </c>
      <c r="D42" s="74">
        <v>1</v>
      </c>
      <c r="E42" s="74">
        <v>120</v>
      </c>
      <c r="F42" s="85">
        <v>54399</v>
      </c>
      <c r="G42" s="304" t="s">
        <v>163</v>
      </c>
      <c r="H42" s="382">
        <f t="shared" si="0"/>
        <v>33600</v>
      </c>
      <c r="I42" s="221">
        <v>33600</v>
      </c>
    </row>
    <row r="43" spans="1:9" ht="15">
      <c r="A43" s="74">
        <v>6</v>
      </c>
      <c r="B43" s="71" t="s">
        <v>36</v>
      </c>
      <c r="C43" s="71" t="s">
        <v>36</v>
      </c>
      <c r="D43" s="74">
        <v>1</v>
      </c>
      <c r="E43" s="74">
        <v>120</v>
      </c>
      <c r="F43" s="85">
        <v>54403</v>
      </c>
      <c r="G43" s="304" t="s">
        <v>567</v>
      </c>
      <c r="H43" s="382">
        <f t="shared" si="0"/>
        <v>4000</v>
      </c>
      <c r="I43" s="221">
        <v>4000</v>
      </c>
    </row>
    <row r="44" spans="1:9" ht="15">
      <c r="A44" s="74">
        <v>6</v>
      </c>
      <c r="B44" s="71" t="s">
        <v>36</v>
      </c>
      <c r="C44" s="71" t="s">
        <v>36</v>
      </c>
      <c r="D44" s="74">
        <v>1</v>
      </c>
      <c r="E44" s="74">
        <v>120</v>
      </c>
      <c r="F44" s="85">
        <v>54505</v>
      </c>
      <c r="G44" s="304" t="s">
        <v>422</v>
      </c>
      <c r="H44" s="382">
        <f t="shared" si="0"/>
        <v>4150</v>
      </c>
      <c r="I44" s="221">
        <f>1100+1000+1000+550+500</f>
        <v>4150</v>
      </c>
    </row>
    <row r="45" spans="1:9" ht="15">
      <c r="A45" s="74">
        <v>6</v>
      </c>
      <c r="B45" s="71" t="s">
        <v>36</v>
      </c>
      <c r="C45" s="71" t="s">
        <v>36</v>
      </c>
      <c r="D45" s="74">
        <v>1</v>
      </c>
      <c r="E45" s="74">
        <v>120</v>
      </c>
      <c r="F45" s="85">
        <v>54599</v>
      </c>
      <c r="G45" s="304" t="s">
        <v>582</v>
      </c>
      <c r="H45" s="382">
        <f t="shared" si="0"/>
        <v>30000</v>
      </c>
      <c r="I45" s="221">
        <v>30000</v>
      </c>
    </row>
    <row r="46" spans="1:9" ht="15">
      <c r="A46" s="74">
        <v>6</v>
      </c>
      <c r="B46" s="71" t="s">
        <v>36</v>
      </c>
      <c r="C46" s="71" t="s">
        <v>36</v>
      </c>
      <c r="D46" s="74">
        <v>1</v>
      </c>
      <c r="E46" s="74">
        <v>120</v>
      </c>
      <c r="F46" s="85">
        <v>56304</v>
      </c>
      <c r="G46" s="303" t="s">
        <v>114</v>
      </c>
      <c r="H46" s="382">
        <v>116196.48</v>
      </c>
      <c r="I46" s="255">
        <f>8100+5000+6000+25000+20000+500+5000</f>
        <v>69600</v>
      </c>
    </row>
    <row r="47" spans="1:9" ht="15">
      <c r="A47" s="74">
        <v>6</v>
      </c>
      <c r="B47" s="71" t="s">
        <v>36</v>
      </c>
      <c r="C47" s="71" t="s">
        <v>36</v>
      </c>
      <c r="D47" s="74">
        <v>1</v>
      </c>
      <c r="E47" s="74">
        <v>120</v>
      </c>
      <c r="F47" s="448">
        <v>56305</v>
      </c>
      <c r="G47" s="304" t="s">
        <v>115</v>
      </c>
      <c r="H47" s="382">
        <f t="shared" si="0"/>
        <v>90000</v>
      </c>
      <c r="I47" s="221">
        <v>90000</v>
      </c>
    </row>
    <row r="48" spans="1:9" ht="15">
      <c r="A48" s="74">
        <v>6</v>
      </c>
      <c r="B48" s="71" t="s">
        <v>36</v>
      </c>
      <c r="C48" s="71" t="s">
        <v>36</v>
      </c>
      <c r="D48" s="74">
        <v>1</v>
      </c>
      <c r="E48" s="74">
        <v>120</v>
      </c>
      <c r="F48" s="448">
        <v>61104</v>
      </c>
      <c r="G48" s="304" t="s">
        <v>117</v>
      </c>
      <c r="H48" s="382">
        <f t="shared" si="0"/>
        <v>200</v>
      </c>
      <c r="I48" s="221">
        <v>200</v>
      </c>
    </row>
    <row r="49" spans="1:21" ht="15">
      <c r="A49" s="74">
        <v>6</v>
      </c>
      <c r="B49" s="71" t="s">
        <v>36</v>
      </c>
      <c r="C49" s="71" t="s">
        <v>36</v>
      </c>
      <c r="D49" s="74">
        <v>1</v>
      </c>
      <c r="E49" s="74">
        <v>120</v>
      </c>
      <c r="F49" s="448">
        <v>61105</v>
      </c>
      <c r="G49" s="304" t="s">
        <v>425</v>
      </c>
      <c r="H49" s="382">
        <v>65000</v>
      </c>
      <c r="I49" s="221">
        <v>65000</v>
      </c>
    </row>
    <row r="50" spans="1:21" ht="15">
      <c r="A50" s="74">
        <v>6</v>
      </c>
      <c r="B50" s="71" t="s">
        <v>36</v>
      </c>
      <c r="C50" s="71" t="s">
        <v>36</v>
      </c>
      <c r="D50" s="74">
        <v>1</v>
      </c>
      <c r="E50" s="74">
        <v>120</v>
      </c>
      <c r="F50" s="448">
        <v>61109</v>
      </c>
      <c r="G50" s="304" t="s">
        <v>1149</v>
      </c>
      <c r="H50" s="382">
        <v>3000</v>
      </c>
      <c r="I50" s="221">
        <v>3000</v>
      </c>
    </row>
    <row r="51" spans="1:21" ht="15">
      <c r="A51" s="74">
        <v>6</v>
      </c>
      <c r="B51" s="71" t="s">
        <v>36</v>
      </c>
      <c r="C51" s="71" t="s">
        <v>36</v>
      </c>
      <c r="D51" s="74">
        <v>1</v>
      </c>
      <c r="E51" s="74">
        <v>120</v>
      </c>
      <c r="F51" s="448">
        <v>61201</v>
      </c>
      <c r="G51" s="256" t="s">
        <v>121</v>
      </c>
      <c r="H51" s="382">
        <f t="shared" si="0"/>
        <v>125000</v>
      </c>
      <c r="I51" s="221">
        <v>125000</v>
      </c>
    </row>
    <row r="52" spans="1:21" ht="15">
      <c r="A52" s="74">
        <v>6</v>
      </c>
      <c r="B52" s="71" t="s">
        <v>36</v>
      </c>
      <c r="C52" s="71" t="s">
        <v>36</v>
      </c>
      <c r="D52" s="74">
        <v>1</v>
      </c>
      <c r="E52" s="74">
        <v>120</v>
      </c>
      <c r="F52" s="448">
        <v>61403</v>
      </c>
      <c r="G52" s="256" t="s">
        <v>168</v>
      </c>
      <c r="H52" s="382">
        <f t="shared" si="0"/>
        <v>14000</v>
      </c>
      <c r="I52" s="221">
        <v>14000</v>
      </c>
    </row>
    <row r="53" spans="1:21" ht="15">
      <c r="A53" s="74">
        <v>6</v>
      </c>
      <c r="B53" s="71" t="s">
        <v>36</v>
      </c>
      <c r="C53" s="71" t="s">
        <v>36</v>
      </c>
      <c r="D53" s="74">
        <v>1</v>
      </c>
      <c r="E53" s="74">
        <v>120</v>
      </c>
      <c r="F53" s="448">
        <v>61608</v>
      </c>
      <c r="G53" s="304" t="s">
        <v>1054</v>
      </c>
      <c r="H53" s="382">
        <f>I53</f>
        <v>9850</v>
      </c>
      <c r="I53" s="221">
        <f>5850+1000+1000+1000+1000</f>
        <v>9850</v>
      </c>
    </row>
    <row r="54" spans="1:21" s="55" customFormat="1" ht="21.75" customHeight="1">
      <c r="A54" s="1480" t="s">
        <v>170</v>
      </c>
      <c r="B54" s="1480"/>
      <c r="C54" s="1480"/>
      <c r="D54" s="1480"/>
      <c r="E54" s="1480"/>
      <c r="F54" s="1480"/>
      <c r="G54" s="1480"/>
      <c r="H54" s="585">
        <f>SUM(H9:H53)</f>
        <v>925596.48</v>
      </c>
      <c r="I54" s="231">
        <f>SUM(I9:I53)</f>
        <v>879000</v>
      </c>
      <c r="K54" s="233"/>
      <c r="L54" s="231"/>
      <c r="M54" s="236"/>
      <c r="N54" s="231"/>
      <c r="O54" s="236"/>
      <c r="P54" s="231"/>
      <c r="Q54" s="231"/>
      <c r="R54" s="231"/>
      <c r="S54" s="231"/>
      <c r="T54" s="231"/>
      <c r="U54" s="231"/>
    </row>
    <row r="55" spans="1:21" ht="15">
      <c r="A55" s="87"/>
      <c r="B55" s="86"/>
      <c r="C55" s="86"/>
      <c r="D55" s="43"/>
      <c r="E55" s="87"/>
      <c r="F55" s="88"/>
      <c r="G55" s="306"/>
      <c r="H55" s="89"/>
    </row>
    <row r="56" spans="1:21" ht="15">
      <c r="A56" s="87"/>
      <c r="B56" s="86"/>
      <c r="C56" s="86"/>
      <c r="D56" s="43"/>
      <c r="E56" s="87"/>
      <c r="F56" s="88"/>
      <c r="G56" s="306"/>
      <c r="H56" s="89"/>
    </row>
    <row r="57" spans="1:21" ht="14.25" customHeight="1">
      <c r="A57" s="87"/>
      <c r="B57" s="86"/>
      <c r="C57" s="86"/>
      <c r="D57" s="43"/>
      <c r="E57" s="87"/>
      <c r="F57" s="88"/>
      <c r="G57" s="306"/>
      <c r="H57" s="89"/>
    </row>
    <row r="58" spans="1:21" ht="15.75">
      <c r="A58" s="87"/>
      <c r="B58" s="86"/>
      <c r="C58" s="86"/>
      <c r="D58" s="43"/>
      <c r="E58" s="87"/>
      <c r="F58" s="90"/>
      <c r="G58" s="307"/>
      <c r="H58" s="91"/>
    </row>
    <row r="59" spans="1:21" ht="15.75">
      <c r="A59" s="87"/>
      <c r="B59" s="86"/>
      <c r="C59" s="86"/>
      <c r="D59" s="43"/>
      <c r="E59" s="87"/>
      <c r="F59" s="44"/>
      <c r="G59" s="305"/>
      <c r="H59" s="45"/>
    </row>
    <row r="60" spans="1:21" ht="15">
      <c r="A60" s="87"/>
      <c r="B60" s="86"/>
      <c r="C60" s="86"/>
      <c r="D60" s="43"/>
      <c r="E60" s="87"/>
      <c r="F60" s="88"/>
      <c r="G60" s="306"/>
      <c r="H60" s="89"/>
    </row>
    <row r="61" spans="1:21" ht="15.75">
      <c r="A61" s="87"/>
      <c r="B61" s="86"/>
      <c r="C61" s="86"/>
      <c r="D61" s="43"/>
      <c r="E61" s="87"/>
      <c r="F61" s="44"/>
      <c r="G61" s="305"/>
      <c r="H61" s="45"/>
    </row>
    <row r="62" spans="1:21" ht="15">
      <c r="A62" s="87"/>
      <c r="B62" s="86"/>
      <c r="C62" s="86"/>
      <c r="D62" s="43"/>
      <c r="E62" s="87"/>
      <c r="F62" s="88"/>
      <c r="G62" s="306"/>
      <c r="H62" s="89"/>
    </row>
    <row r="63" spans="1:21" ht="15">
      <c r="A63" s="87"/>
      <c r="B63" s="86"/>
      <c r="C63" s="86"/>
      <c r="D63" s="43"/>
      <c r="E63" s="87"/>
      <c r="F63" s="88"/>
      <c r="G63" s="306"/>
      <c r="H63" s="89"/>
    </row>
    <row r="64" spans="1:21" ht="15.75">
      <c r="A64" s="87"/>
      <c r="B64" s="86"/>
      <c r="C64" s="86"/>
      <c r="D64" s="43"/>
      <c r="E64" s="87"/>
      <c r="F64" s="90"/>
      <c r="G64" s="307"/>
      <c r="H64" s="91"/>
    </row>
    <row r="65" spans="4:21" ht="15">
      <c r="D65" s="43"/>
      <c r="F65" s="44"/>
      <c r="G65" s="305"/>
      <c r="H65" s="45"/>
    </row>
    <row r="66" spans="4:21">
      <c r="D66" s="43"/>
      <c r="F66" s="88"/>
      <c r="G66" s="306"/>
      <c r="H66" s="89"/>
    </row>
    <row r="67" spans="4:21">
      <c r="F67" s="88"/>
      <c r="G67" s="306"/>
      <c r="H67" s="89"/>
    </row>
    <row r="68" spans="4:21">
      <c r="F68" s="88"/>
      <c r="G68" s="306"/>
      <c r="H68" s="89"/>
    </row>
    <row r="69" spans="4:21" ht="15">
      <c r="F69" s="44"/>
      <c r="G69" s="305"/>
      <c r="H69" s="45"/>
    </row>
    <row r="70" spans="4:21">
      <c r="F70" s="88"/>
      <c r="G70" s="306"/>
      <c r="H70" s="89"/>
    </row>
    <row r="71" spans="4:21">
      <c r="G71" s="308"/>
      <c r="H71" s="92"/>
    </row>
    <row r="72" spans="4:21">
      <c r="G72" s="308"/>
      <c r="H72" s="92"/>
    </row>
    <row r="73" spans="4:21" ht="15">
      <c r="F73" s="44"/>
      <c r="G73" s="305"/>
      <c r="H73" s="45"/>
      <c r="I73" s="110"/>
      <c r="L73" s="110"/>
      <c r="M73" s="235"/>
      <c r="N73" s="110"/>
      <c r="O73" s="235"/>
      <c r="P73" s="110"/>
      <c r="Q73" s="110"/>
      <c r="R73" s="110"/>
      <c r="S73" s="110"/>
      <c r="T73" s="110"/>
      <c r="U73" s="110"/>
    </row>
    <row r="74" spans="4:21">
      <c r="G74" s="308"/>
      <c r="H74" s="92"/>
    </row>
    <row r="75" spans="4:21">
      <c r="G75" s="308"/>
      <c r="H75" s="93"/>
    </row>
    <row r="76" spans="4:21">
      <c r="G76" s="308"/>
      <c r="H76" s="92"/>
    </row>
    <row r="77" spans="4:21" ht="15">
      <c r="F77" s="44"/>
      <c r="G77" s="305"/>
      <c r="H77" s="45"/>
    </row>
    <row r="78" spans="4:21">
      <c r="G78" s="308"/>
      <c r="H78" s="92"/>
    </row>
    <row r="79" spans="4:21">
      <c r="G79" s="308"/>
      <c r="H79" s="93"/>
    </row>
    <row r="80" spans="4:21">
      <c r="G80" s="308"/>
      <c r="H80" s="93"/>
    </row>
    <row r="81" spans="7:8">
      <c r="H81" s="94"/>
    </row>
    <row r="82" spans="7:8">
      <c r="G82" s="308"/>
      <c r="H82" s="93"/>
    </row>
    <row r="83" spans="7:8">
      <c r="G83" s="308"/>
      <c r="H83" s="93"/>
    </row>
    <row r="84" spans="7:8">
      <c r="G84" s="308"/>
      <c r="H84" s="93"/>
    </row>
    <row r="85" spans="7:8">
      <c r="G85" s="308"/>
      <c r="H85" s="93"/>
    </row>
    <row r="86" spans="7:8">
      <c r="G86" s="308"/>
      <c r="H86" s="93"/>
    </row>
    <row r="87" spans="7:8">
      <c r="G87" s="308"/>
      <c r="H87" s="93"/>
    </row>
    <row r="88" spans="7:8">
      <c r="H88" s="94"/>
    </row>
    <row r="89" spans="7:8">
      <c r="H89" s="94"/>
    </row>
    <row r="90" spans="7:8">
      <c r="G90" s="308"/>
      <c r="H90" s="93"/>
    </row>
    <row r="91" spans="7:8">
      <c r="H91" s="94"/>
    </row>
    <row r="92" spans="7:8">
      <c r="H92" s="94"/>
    </row>
    <row r="93" spans="7:8">
      <c r="G93" s="308"/>
      <c r="H93" s="93"/>
    </row>
    <row r="94" spans="7:8">
      <c r="G94" s="80"/>
      <c r="H94" s="95"/>
    </row>
  </sheetData>
  <mergeCells count="10">
    <mergeCell ref="A1:H1"/>
    <mergeCell ref="A2:H2"/>
    <mergeCell ref="A3:H3"/>
    <mergeCell ref="A4:H4"/>
    <mergeCell ref="A5:H5"/>
    <mergeCell ref="A54:G54"/>
    <mergeCell ref="A6:H6"/>
    <mergeCell ref="A7:F7"/>
    <mergeCell ref="G7:G8"/>
    <mergeCell ref="H7:H8"/>
  </mergeCells>
  <phoneticPr fontId="11" type="noConversion"/>
  <pageMargins left="1.4173228346456694" right="3.937007874015748E-2" top="0.39370078740157483" bottom="0.15748031496062992" header="0.11811023622047245" footer="0.31496062992125984"/>
  <pageSetup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6</vt:i4>
      </vt:variant>
    </vt:vector>
  </HeadingPairs>
  <TitlesOfParts>
    <vt:vector size="29" baseType="lpstr">
      <vt:lpstr>Decreto del presupuesto </vt:lpstr>
      <vt:lpstr>RESUMEN DE INGRESOS </vt:lpstr>
      <vt:lpstr>Ingresos</vt:lpstr>
      <vt:lpstr>concent, de egresos. carta</vt:lpstr>
      <vt:lpstr>CONCENTRACION DE EGRESOS</vt:lpstr>
      <vt:lpstr>PAG, FOND, PROP</vt:lpstr>
      <vt:lpstr>FONDOS PROPIOS</vt:lpstr>
      <vt:lpstr>120 libre Administ.</vt:lpstr>
      <vt:lpstr>120- Libre disp, social</vt:lpstr>
      <vt:lpstr>INVER.FODES 75% AG 4</vt:lpstr>
      <vt:lpstr>AG 4 0402  2% FODES</vt:lpstr>
      <vt:lpstr>Pres.Servicio Deuda Publica</vt:lpstr>
      <vt:lpstr>FOND GENE.109</vt:lpstr>
      <vt:lpstr>2% FODES</vt:lpstr>
      <vt:lpstr>Saldos de ctas. Bancarias</vt:lpstr>
      <vt:lpstr>Media Simple 5 años ingresos</vt:lpstr>
      <vt:lpstr> Metodo de regresion Lineal</vt:lpstr>
      <vt:lpstr>Proy. de recur.Humanos</vt:lpstr>
      <vt:lpstr>Concen. de  Recursos Huma</vt:lpstr>
      <vt:lpstr>Proy. Original</vt:lpstr>
      <vt:lpstr>Hoja1</vt:lpstr>
      <vt:lpstr>PROY. 120</vt:lpstr>
      <vt:lpstr>Hoja3</vt:lpstr>
      <vt:lpstr>'CONCENTRACION DE EGRESOS'!Área_de_impresión</vt:lpstr>
      <vt:lpstr>Ingresos!Área_de_impresión</vt:lpstr>
      <vt:lpstr>'PROY. 120'!Área_de_impresión</vt:lpstr>
      <vt:lpstr>'Proy. de recur.Humanos'!Área_de_impresión</vt:lpstr>
      <vt:lpstr>'Proy. Original'!Área_de_impresión</vt:lpstr>
      <vt:lpstr>'Saldos de ctas. Bancarias'!Área_de_impresión</vt:lpstr>
    </vt:vector>
  </TitlesOfParts>
  <Company>SUBDERE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Estructura de Presupuesto Municipal</dc:title>
  <dc:creator>Gastón Collao</dc:creator>
  <cp:lastModifiedBy>A. M. CHILTIUPAN</cp:lastModifiedBy>
  <cp:lastPrinted>2022-05-31T22:22:56Z</cp:lastPrinted>
  <dcterms:created xsi:type="dcterms:W3CDTF">2007-07-18T15:13:44Z</dcterms:created>
  <dcterms:modified xsi:type="dcterms:W3CDTF">2023-01-31T21:06:35Z</dcterms:modified>
</cp:coreProperties>
</file>