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3.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hidePivotFieldList="1" checkCompatibility="1" autoCompressPictures="0"/>
  <mc:AlternateContent xmlns:mc="http://schemas.openxmlformats.org/markup-compatibility/2006">
    <mc:Choice Requires="x15">
      <x15ac:absPath xmlns:x15ac="http://schemas.microsoft.com/office/spreadsheetml/2010/11/ac" url="C:\Users\Usuario\Desktop\Gobierno Abierto portal\4. Cumplimiento LAIP\3. Resoluciones a solicitudes de información\Resoluciones 2017\Resoluciones originales\79-2017\"/>
    </mc:Choice>
  </mc:AlternateContent>
  <bookViews>
    <workbookView xWindow="0" yWindow="0" windowWidth="15345" windowHeight="4455" tabRatio="858" firstSheet="6" activeTab="6"/>
  </bookViews>
  <sheets>
    <sheet name="Hoja1" sheetId="36" state="hidden" r:id="rId1"/>
    <sheet name="lineas de acción" sheetId="45" state="hidden" r:id="rId2"/>
    <sheet name="EJES POR FUENTE DE FINAN." sheetId="48" state="hidden" r:id="rId3"/>
    <sheet name="INSTITUCIONES POR EJE" sheetId="52" state="hidden" r:id="rId4"/>
    <sheet name="INSTITUCIONES POR FUENTE DE FIN" sheetId="50" state="hidden" r:id="rId5"/>
    <sheet name="LÍNEAS DE ACCIÓN POR FUENTE" sheetId="51" state="hidden" r:id="rId6"/>
    <sheet name="MATRIZ PAPTN (presupuesto 2016)" sheetId="1" r:id="rId7"/>
  </sheets>
  <calcPr calcId="162913" concurrentCalc="0"/>
  <pivotCaches>
    <pivotCache cacheId="0" r:id="rId8"/>
    <pivotCache cacheId="1" r:id="rId9"/>
    <pivotCache cacheId="2" r:id="rId10"/>
  </pivotCaches>
  <extLst>
    <ext xmlns:mx="http://schemas.microsoft.com/office/mac/excel/2008/main" uri="{7523E5D3-25F3-A5E0-1632-64F254C22452}">
      <mx:ArchID Flags="2"/>
    </ext>
  </extLst>
</workbook>
</file>

<file path=xl/calcChain.xml><?xml version="1.0" encoding="utf-8"?>
<calcChain xmlns="http://schemas.openxmlformats.org/spreadsheetml/2006/main">
  <c r="AB90" i="1" l="1"/>
  <c r="AC35" i="1"/>
  <c r="AC17" i="1"/>
  <c r="AA17" i="1"/>
  <c r="AC16" i="1"/>
  <c r="AC15" i="1"/>
  <c r="AA9" i="1"/>
  <c r="AA8" i="1"/>
  <c r="U8" i="1"/>
  <c r="U9" i="1"/>
  <c r="U17" i="1"/>
  <c r="U117" i="1"/>
  <c r="U4" i="1"/>
  <c r="V90" i="1"/>
  <c r="V117" i="1"/>
  <c r="V4" i="1"/>
  <c r="W15" i="1"/>
  <c r="W16" i="1"/>
  <c r="W17" i="1"/>
  <c r="W35" i="1"/>
  <c r="W117" i="1"/>
  <c r="W4" i="1"/>
  <c r="Y117" i="1"/>
  <c r="Y4" i="1"/>
  <c r="AA117" i="1"/>
  <c r="AA4" i="1"/>
  <c r="AB117" i="1"/>
  <c r="AB4" i="1"/>
  <c r="AC117" i="1"/>
  <c r="AC4" i="1"/>
  <c r="AE117" i="1"/>
  <c r="AE4" i="1"/>
  <c r="AH45" i="1"/>
  <c r="AG59" i="1"/>
  <c r="AK16" i="1"/>
  <c r="AK15" i="1"/>
  <c r="B41" i="52"/>
  <c r="C41" i="52"/>
  <c r="D41" i="52"/>
  <c r="E41" i="52"/>
  <c r="F41" i="52"/>
  <c r="B39" i="52"/>
  <c r="C39" i="52"/>
  <c r="D39" i="52"/>
  <c r="E39" i="52"/>
  <c r="F39" i="52"/>
  <c r="B28" i="52"/>
  <c r="C28" i="52"/>
  <c r="D28" i="52"/>
  <c r="E28" i="52"/>
  <c r="F28" i="52"/>
  <c r="B29" i="52"/>
  <c r="C29" i="52"/>
  <c r="D29" i="52"/>
  <c r="E29" i="52"/>
  <c r="F29" i="52"/>
  <c r="B31" i="52"/>
  <c r="C31" i="52"/>
  <c r="D31" i="52"/>
  <c r="E31" i="52"/>
  <c r="F31" i="52"/>
  <c r="B37" i="52"/>
  <c r="C37" i="52"/>
  <c r="D37" i="52"/>
  <c r="E37" i="52"/>
  <c r="F37" i="52"/>
  <c r="B35" i="52"/>
  <c r="C35" i="52"/>
  <c r="D35" i="52"/>
  <c r="E35" i="52"/>
  <c r="F35" i="52"/>
  <c r="B40" i="52"/>
  <c r="C40" i="52"/>
  <c r="D40" i="52"/>
  <c r="E40" i="52"/>
  <c r="F40" i="52"/>
  <c r="B26" i="52"/>
  <c r="C26" i="52"/>
  <c r="D26" i="52"/>
  <c r="E26" i="52"/>
  <c r="F26" i="52"/>
  <c r="B27" i="52"/>
  <c r="C27" i="52"/>
  <c r="D27" i="52"/>
  <c r="E27" i="52"/>
  <c r="F27" i="52"/>
  <c r="B36" i="52"/>
  <c r="C36" i="52"/>
  <c r="D36" i="52"/>
  <c r="E36" i="52"/>
  <c r="F36" i="52"/>
  <c r="B32" i="52"/>
  <c r="C32" i="52"/>
  <c r="D32" i="52"/>
  <c r="E32" i="52"/>
  <c r="F32" i="52"/>
  <c r="B34" i="52"/>
  <c r="C34" i="52"/>
  <c r="D34" i="52"/>
  <c r="E34" i="52"/>
  <c r="F34" i="52"/>
  <c r="B30" i="52"/>
  <c r="C30" i="52"/>
  <c r="D30" i="52"/>
  <c r="E30" i="52"/>
  <c r="F30" i="52"/>
  <c r="B38" i="52"/>
  <c r="C38" i="52"/>
  <c r="D38" i="52"/>
  <c r="E38" i="52"/>
  <c r="F38" i="52"/>
  <c r="B33" i="52"/>
  <c r="C33" i="52"/>
  <c r="D33" i="52"/>
  <c r="E33" i="52"/>
  <c r="F33" i="52"/>
  <c r="C42" i="52"/>
  <c r="D42" i="52"/>
  <c r="E42" i="52"/>
  <c r="B42" i="52"/>
  <c r="E22" i="51"/>
  <c r="D22" i="51"/>
  <c r="C22" i="51"/>
  <c r="B34" i="51"/>
  <c r="C34" i="51"/>
  <c r="D34" i="51"/>
  <c r="E34" i="51"/>
  <c r="B33" i="51"/>
  <c r="C33" i="51"/>
  <c r="D33" i="51"/>
  <c r="E33" i="51"/>
  <c r="B32" i="51"/>
  <c r="C32" i="51"/>
  <c r="D32" i="51"/>
  <c r="E32" i="51"/>
  <c r="B31" i="51"/>
  <c r="C31" i="51"/>
  <c r="D31" i="51"/>
  <c r="E31" i="51"/>
  <c r="B30" i="51"/>
  <c r="C30" i="51"/>
  <c r="D30" i="51"/>
  <c r="E30" i="51"/>
  <c r="B29" i="51"/>
  <c r="C29" i="51"/>
  <c r="D29" i="51"/>
  <c r="E29" i="51"/>
  <c r="B28" i="51"/>
  <c r="C28" i="51"/>
  <c r="D28" i="51"/>
  <c r="E28" i="51"/>
  <c r="B27" i="51"/>
  <c r="C27" i="51"/>
  <c r="D27" i="51"/>
  <c r="E27" i="51"/>
  <c r="B26" i="51"/>
  <c r="C26" i="51"/>
  <c r="D26" i="51"/>
  <c r="E26" i="51"/>
  <c r="B25" i="51"/>
  <c r="C25" i="51"/>
  <c r="D25" i="51"/>
  <c r="E25" i="51"/>
  <c r="B24" i="51"/>
  <c r="C24" i="51"/>
  <c r="D24" i="51"/>
  <c r="E24" i="51"/>
  <c r="E35" i="51"/>
  <c r="C35" i="51"/>
  <c r="D35" i="51"/>
  <c r="B35" i="51"/>
  <c r="AM76" i="1"/>
  <c r="AM77" i="1"/>
  <c r="AG77" i="1"/>
  <c r="AH6" i="1"/>
  <c r="AH7" i="1"/>
  <c r="AI8" i="1"/>
  <c r="AH8" i="1"/>
  <c r="AH9" i="1"/>
  <c r="AI10" i="1"/>
  <c r="AH10" i="1"/>
  <c r="AH11" i="1"/>
  <c r="AH12" i="1"/>
  <c r="AH13" i="1"/>
  <c r="AI14" i="1"/>
  <c r="AH14" i="1"/>
  <c r="AH15" i="1"/>
  <c r="AH16" i="1"/>
  <c r="AH17" i="1"/>
  <c r="AH18" i="1"/>
  <c r="AH19" i="1"/>
  <c r="AH20" i="1"/>
  <c r="AH21" i="1"/>
  <c r="AH22" i="1"/>
  <c r="AH23" i="1"/>
  <c r="AH24" i="1"/>
  <c r="AH25" i="1"/>
  <c r="AH26" i="1"/>
  <c r="AH27" i="1"/>
  <c r="AH28" i="1"/>
  <c r="AH29" i="1"/>
  <c r="AH30" i="1"/>
  <c r="AH31" i="1"/>
  <c r="AJ32" i="1"/>
  <c r="AH32" i="1"/>
  <c r="AJ33" i="1"/>
  <c r="AH33" i="1"/>
  <c r="AI34" i="1"/>
  <c r="AH34" i="1"/>
  <c r="AI35" i="1"/>
  <c r="AH35" i="1"/>
  <c r="AI36" i="1"/>
  <c r="AH36" i="1"/>
  <c r="AI37" i="1"/>
  <c r="AH37" i="1"/>
  <c r="AI38" i="1"/>
  <c r="AH38" i="1"/>
  <c r="AH39" i="1"/>
  <c r="AH40" i="1"/>
  <c r="AH41" i="1"/>
  <c r="AJ42" i="1"/>
  <c r="AH42" i="1"/>
  <c r="AJ43" i="1"/>
  <c r="AH43" i="1"/>
  <c r="AH44"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I105" i="1"/>
  <c r="AH105" i="1"/>
  <c r="AH106" i="1"/>
  <c r="AH107" i="1"/>
  <c r="AH108" i="1"/>
  <c r="AH109" i="1"/>
  <c r="AH110" i="1"/>
  <c r="AH111" i="1"/>
  <c r="AH112" i="1"/>
  <c r="AH113" i="1"/>
  <c r="AH114" i="1"/>
  <c r="AH115" i="1"/>
  <c r="AH46" i="1"/>
  <c r="E1" i="1"/>
  <c r="F1" i="1"/>
  <c r="G1" i="1"/>
  <c r="H1" i="1"/>
  <c r="I1" i="1"/>
  <c r="J1" i="1"/>
  <c r="K1" i="1"/>
  <c r="L1" i="1"/>
  <c r="M1" i="1"/>
  <c r="N1" i="1"/>
  <c r="O1" i="1"/>
  <c r="P1" i="1"/>
  <c r="Q1" i="1"/>
  <c r="R1" i="1"/>
  <c r="S1" i="1"/>
  <c r="T1" i="1"/>
  <c r="AG1" i="1"/>
  <c r="AH1" i="1"/>
  <c r="AI1" i="1"/>
  <c r="J117" i="1"/>
  <c r="C1" i="1"/>
  <c r="AK108" i="1"/>
  <c r="AG44" i="1"/>
  <c r="AM39" i="1"/>
  <c r="AG39" i="1"/>
  <c r="AM20" i="1"/>
  <c r="AG20" i="1"/>
  <c r="AM60" i="1"/>
  <c r="AG60" i="1"/>
  <c r="AG105" i="1"/>
  <c r="AK103" i="1"/>
  <c r="AG103" i="1"/>
  <c r="AG72" i="1"/>
  <c r="AG43" i="1"/>
  <c r="AG110" i="1"/>
  <c r="AG42" i="1"/>
  <c r="AG22" i="1"/>
  <c r="AG30" i="1"/>
  <c r="AK35" i="1"/>
  <c r="AG38" i="1"/>
  <c r="AG37" i="1"/>
  <c r="AG36" i="1"/>
  <c r="AG35" i="1"/>
  <c r="AG34" i="1"/>
  <c r="AG41" i="1"/>
  <c r="AG12" i="1"/>
  <c r="AG13" i="1"/>
  <c r="AG14" i="1"/>
  <c r="AG51" i="1"/>
  <c r="AG52" i="1"/>
  <c r="AG53" i="1"/>
  <c r="AG54" i="1"/>
  <c r="AG55" i="1"/>
  <c r="AG56" i="1"/>
  <c r="AG57" i="1"/>
  <c r="AG58" i="1"/>
  <c r="AG63" i="1"/>
  <c r="AG64" i="1"/>
  <c r="AG66" i="1"/>
  <c r="AG67" i="1"/>
  <c r="AG69" i="1"/>
  <c r="AG71" i="1"/>
  <c r="AG79" i="1"/>
  <c r="AG81" i="1"/>
  <c r="AG82" i="1"/>
  <c r="AK94" i="1"/>
  <c r="AG94" i="1"/>
  <c r="AK100" i="1"/>
  <c r="AG100" i="1"/>
  <c r="AK107" i="1"/>
  <c r="AG107" i="1"/>
  <c r="AG108" i="1"/>
  <c r="AG8" i="1"/>
  <c r="AG9" i="1"/>
  <c r="AG10" i="1"/>
  <c r="AG17" i="1"/>
  <c r="AG18" i="1"/>
  <c r="AG32" i="1"/>
  <c r="AG33" i="1"/>
  <c r="AM10" i="1"/>
  <c r="AK10" i="1"/>
  <c r="AK9" i="1"/>
  <c r="AM8" i="1"/>
  <c r="AK8" i="1"/>
  <c r="AK17" i="1"/>
  <c r="AM18" i="1"/>
  <c r="Q17" i="1"/>
  <c r="O17" i="1"/>
  <c r="AM117" i="1"/>
  <c r="AM3" i="1"/>
  <c r="AK117" i="1"/>
  <c r="AK3" i="1"/>
  <c r="AJ117" i="1"/>
  <c r="AJ3"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T117" i="1"/>
  <c r="T4" i="1"/>
  <c r="S117" i="1"/>
  <c r="S4" i="1"/>
  <c r="AO117" i="1"/>
  <c r="AO3" i="1"/>
  <c r="AS117" i="1"/>
  <c r="AQ117" i="1"/>
  <c r="AQ3" i="1"/>
  <c r="AP117" i="1"/>
  <c r="AP3" i="1"/>
  <c r="AR117" i="1"/>
  <c r="AR3" i="1"/>
  <c r="AG73" i="1"/>
  <c r="AG74" i="1"/>
  <c r="AG75" i="1"/>
  <c r="AG76" i="1"/>
  <c r="AG117" i="1"/>
  <c r="AG3" i="1"/>
  <c r="AI117" i="1"/>
  <c r="AI3" i="1"/>
  <c r="AH117" i="1"/>
  <c r="AH3" i="1"/>
</calcChain>
</file>

<file path=xl/comments1.xml><?xml version="1.0" encoding="utf-8"?>
<comments xmlns="http://schemas.openxmlformats.org/spreadsheetml/2006/main">
  <authors>
    <author>Nadezhda Peña</author>
    <author>Luis Flores</author>
  </authors>
  <commentList>
    <comment ref="AG66" authorId="0" shapeId="0">
      <text>
        <r>
          <rPr>
            <b/>
            <sz val="9"/>
            <color indexed="81"/>
            <rFont val="Calibri"/>
            <family val="2"/>
          </rPr>
          <t>Nadezhda Peña:</t>
        </r>
        <r>
          <rPr>
            <sz val="9"/>
            <color indexed="81"/>
            <rFont val="Calibri"/>
            <family val="2"/>
          </rPr>
          <t xml:space="preserve">
NOTA: ESTE PROYECTO SERÁ FINACIADO CON  LO PRESUPUESTADO EN EL  PROYECTO DE CULTURA EMPRENDEDORA.</t>
        </r>
      </text>
    </comment>
    <comment ref="N94" authorId="1" shapeId="0">
      <text>
        <r>
          <rPr>
            <b/>
            <sz val="9"/>
            <color indexed="81"/>
            <rFont val="Tahoma"/>
            <family val="2"/>
          </rPr>
          <t>Luis Flores:</t>
        </r>
        <r>
          <rPr>
            <sz val="9"/>
            <color indexed="81"/>
            <rFont val="Tahoma"/>
            <family val="2"/>
          </rPr>
          <t xml:space="preserve">
Doce acciones según su respectivo componente</t>
        </r>
      </text>
    </comment>
  </commentList>
</comments>
</file>

<file path=xl/sharedStrings.xml><?xml version="1.0" encoding="utf-8"?>
<sst xmlns="http://schemas.openxmlformats.org/spreadsheetml/2006/main" count="1479" uniqueCount="599">
  <si>
    <t>INSTITUCIÓN</t>
  </si>
  <si>
    <t>PROYECTOS</t>
  </si>
  <si>
    <t>DESCRIPCIÓN GENERAL</t>
  </si>
  <si>
    <t>TERRITORIO</t>
  </si>
  <si>
    <t>2015</t>
  </si>
  <si>
    <t>2016</t>
  </si>
  <si>
    <t>a 2019</t>
  </si>
  <si>
    <t>INVERSIÓN TOTAL          (Millones US$)</t>
  </si>
  <si>
    <t>RECURSOS NACIONALES        (Millones US$)</t>
  </si>
  <si>
    <t>APOYO SOCIOS PAPTN       (Millones US$)</t>
  </si>
  <si>
    <t>BENEFICIARIOS</t>
  </si>
  <si>
    <t>INDICADOR</t>
  </si>
  <si>
    <t>Izalco, La Paz, Santa Ana, Morazan</t>
  </si>
  <si>
    <t>INSTITUCIÓN QUE ENVÍA</t>
  </si>
  <si>
    <t>MJSP</t>
  </si>
  <si>
    <t>CORRELAT.</t>
  </si>
  <si>
    <t>Total</t>
  </si>
  <si>
    <t>18,000 privados(as) de Libertad y población en general</t>
  </si>
  <si>
    <t># ACC.</t>
  </si>
  <si>
    <t>Total general</t>
  </si>
  <si>
    <t>INICIA EN 2016</t>
  </si>
  <si>
    <t>a</t>
  </si>
  <si>
    <t>3.1 Fortalecimiento de  la seguridad comunitaria y espacios seguros.</t>
  </si>
  <si>
    <t xml:space="preserve">1.4 Promoción de la inversión privada coordinada a nivel regional. </t>
  </si>
  <si>
    <t>1.12 Mejoramiento de puertos, aeropuertos y pasos de frontera.</t>
  </si>
  <si>
    <t xml:space="preserve">2.3 Mejoramiento de la formación para el trabajo de jóvenes. </t>
  </si>
  <si>
    <t>2.11 Fortalecimiento de programas de acogida a migrantes retornados.</t>
  </si>
  <si>
    <t>3.2 Mejoramiento de la gestión policial.</t>
  </si>
  <si>
    <t>3.3 Fortalecimiento de las instituciones de investigación del delito.</t>
  </si>
  <si>
    <t>3.4 Consolidación la lucha contra las maras y pandillas, el narcotráfico, la extorsión, la trata y el tráfico de personas.</t>
  </si>
  <si>
    <t>3.6 Mejoramiento de infraestructura y gestión de centros penitenciarios y de detención de menores.</t>
  </si>
  <si>
    <t>3.8 Bloqueo de sistemas de comunicación.</t>
  </si>
  <si>
    <t>3.10 Fortalecimiento de  centros integrados de atención con énfasis en atención victimas de violencia contra la mujer, salud sexual y reproductiva y empoderamiento económico de las mujeres.</t>
  </si>
  <si>
    <t>1.12</t>
  </si>
  <si>
    <t>3.1</t>
  </si>
  <si>
    <t>3.2</t>
  </si>
  <si>
    <t>3.6</t>
  </si>
  <si>
    <t>1.i. Promoción de sectores estratégicos y atracción de inversión.</t>
  </si>
  <si>
    <t>1.iii. Mejorar y expandir infraestructura y corredores logísticos.</t>
  </si>
  <si>
    <t>2.ii. Aumentar la cobertura y mejorar la calidad de la educación secundaria, tercer ciclo y vocacional.</t>
  </si>
  <si>
    <t>2.v. Favorecer la reinserción social y económica de los migrantes retornados.</t>
  </si>
  <si>
    <t>3.i. Ampliar programas de seguridad comunitaria y prevención social del delito.</t>
  </si>
  <si>
    <t>3.ii. Fortalecer los operadores de justicia y reducir la mora judicial.</t>
  </si>
  <si>
    <t>3.iii. Mejorar los centros penitenciarios y centros de atención a menores.</t>
  </si>
  <si>
    <t>1. Dinamizar el sector productivo</t>
  </si>
  <si>
    <t>3. Mejorar la seguridad ciudadana y acceso a la justicia</t>
  </si>
  <si>
    <t>3.iv. Ampliar y fortalecer los centros integrados de atención a víctimas de la violencia.</t>
  </si>
  <si>
    <t>LÍNEAS DE ACCIÓN                                 (3 DÍGITOS)</t>
  </si>
  <si>
    <t>LÍNEA DE ACCIÓN                                   (2 DÍGITOS)</t>
  </si>
  <si>
    <t>LÍNEAS ESTRATÉGICAS              (1 DÍGITO)</t>
  </si>
  <si>
    <t>PRESUPUESTO 2016</t>
  </si>
  <si>
    <t>EJECUCIÓN 2016</t>
  </si>
  <si>
    <t>TOTAL PROYECTO</t>
  </si>
  <si>
    <t>2016 - 2020</t>
  </si>
  <si>
    <t>2. Desarrollar el capital humano</t>
  </si>
  <si>
    <t>Fortalecimiento del proceso de rehabilitación y reinserción social</t>
  </si>
  <si>
    <t>INCLUIDO EN MATRIZ DE FINANCIAMIENTO</t>
  </si>
  <si>
    <t>(Varios elementos)</t>
  </si>
  <si>
    <t>(v.3)</t>
  </si>
  <si>
    <t>Etiquetas de fila</t>
  </si>
  <si>
    <t>UNIDAD PRESUPUESTARIA</t>
  </si>
  <si>
    <t>LÍNEA DE TRABAJO</t>
  </si>
  <si>
    <t>RUBRO</t>
  </si>
  <si>
    <r>
      <rPr>
        <b/>
        <sz val="10"/>
        <rFont val="Arial Narrow"/>
        <family val="2"/>
      </rPr>
      <t>LÍNEA BASE</t>
    </r>
    <r>
      <rPr>
        <b/>
        <i/>
        <u/>
        <sz val="10"/>
        <rFont val="Arial Narrow"/>
        <family val="2"/>
      </rPr>
      <t xml:space="preserve"> 2015</t>
    </r>
  </si>
  <si>
    <t>PRESUPUESTO 2016
MONTO TOTAL
(Millones US$)
A + B + C + D</t>
  </si>
  <si>
    <t>FONDOS GOES
(Millones US$)
(A)</t>
  </si>
  <si>
    <t>FONDOS PROPIOS 
(Millones US$)
(B)</t>
  </si>
  <si>
    <t xml:space="preserve">MONTO PRÉSTAMO
(Millones US$)
(C) </t>
  </si>
  <si>
    <t>ORGANISMO / INSTITUCIÓN PRÉSTAMO</t>
  </si>
  <si>
    <t>MONTO COOPERACIÓN NO REEMBOLSABLE  
(Millones US$)
(D)</t>
  </si>
  <si>
    <t>ORGANISMO / INSTITUCIÓN COOPERACIÓN</t>
  </si>
  <si>
    <t>META FÍSICA</t>
  </si>
  <si>
    <t>Contar de TOTAL PROYECTO</t>
  </si>
  <si>
    <r>
      <t xml:space="preserve">PLAN DE LA ALIANZA PARA LA PROSPERIDAD DEL TRIÁNGULO NORTE (PAPTN) | </t>
    </r>
    <r>
      <rPr>
        <b/>
        <sz val="14"/>
        <color theme="1"/>
        <rFont val="Garamond"/>
        <family val="1"/>
      </rPr>
      <t>PRESUPUESTO 2016</t>
    </r>
  </si>
  <si>
    <r>
      <rPr>
        <b/>
        <i/>
        <u/>
        <sz val="12"/>
        <color rgb="FFFF0000"/>
        <rFont val="Arial"/>
        <family val="2"/>
      </rPr>
      <t>Indicaciones</t>
    </r>
    <r>
      <rPr>
        <b/>
        <i/>
        <sz val="12"/>
        <color rgb="FFFF0000"/>
        <rFont val="Arial"/>
        <family val="2"/>
      </rPr>
      <t>:</t>
    </r>
    <r>
      <rPr>
        <i/>
        <sz val="12"/>
        <color rgb="FFFF0000"/>
        <rFont val="Arial"/>
        <family val="2"/>
      </rPr>
      <t xml:space="preserve"> Reportar aquellos programas y proyectos relacionados con el PAPTN, </t>
    </r>
    <r>
      <rPr>
        <i/>
        <u/>
        <sz val="12"/>
        <color rgb="FFFF0000"/>
        <rFont val="Arial"/>
        <family val="2"/>
      </rPr>
      <t>que fueron incorporados en el anteproyecto de Presupuesto General de la Nación 2016</t>
    </r>
    <r>
      <rPr>
        <i/>
        <sz val="12"/>
        <color rgb="FFFF0000"/>
        <rFont val="Arial"/>
        <family val="2"/>
      </rPr>
      <t>, en línea de acción que corresponda a cada uno. 
Completar desde la columna E en adelante.</t>
    </r>
  </si>
  <si>
    <t>Se realizarán capacitaciones a Consejos Municipales de Prevención de la violencia y a los Cuerpos de Agentes Municipales, observatorios y capacitaciones vocacionales</t>
  </si>
  <si>
    <t xml:space="preserve">• Apopa, Ciudad Delgado,  Cuscatancingo, Mejicanos, Soyapango y San Salvador
</t>
  </si>
  <si>
    <t>12</t>
  </si>
  <si>
    <t>Desarrollo de la Inversión</t>
  </si>
  <si>
    <t>Inversión para la Justicia y Seguridad Pública</t>
  </si>
  <si>
    <t>Varios</t>
  </si>
  <si>
    <t>Se invertirá en el concepto general de la Dirección de Información y Análisis que coordinará un sistema de información para el MJSP el cual integrará varias bases de datos.  Fortalecimiento de DGCP y PREPAZ</t>
  </si>
  <si>
    <t>nacional</t>
  </si>
  <si>
    <t>varios</t>
  </si>
  <si>
    <t>Se realizarán capacitaciones en diversas especialidades y se implementarán talleres productivos como parte del modelo Yo Cambio en granjas penitenciarias.</t>
  </si>
  <si>
    <t>Centros Penitenciarios.</t>
  </si>
  <si>
    <t>N/A</t>
  </si>
  <si>
    <t>Construcción, Reparación, Reconstrucción y Equipamiento de Centros Penales</t>
  </si>
  <si>
    <t>Desarrollo del modelo Penitenciario</t>
  </si>
  <si>
    <t>BID</t>
  </si>
  <si>
    <t>BCIE</t>
  </si>
  <si>
    <t xml:space="preserve">31,000 privados de libertad </t>
  </si>
  <si>
    <t>CÓDIGO DE INVERSIÓN</t>
  </si>
  <si>
    <t>1.3</t>
  </si>
  <si>
    <t>1.3 Apoyo a la agricultura familiar y seguridad alimentaria.</t>
  </si>
  <si>
    <t>MAG</t>
  </si>
  <si>
    <t>02</t>
  </si>
  <si>
    <t>54</t>
  </si>
  <si>
    <t>1. Entrega de insumos agrícolas a productores de subsistencia</t>
  </si>
  <si>
    <t>El proyecto realiza entrega de insumos agricolas para la siembra de maíz y frijol, cuyo objetivo es el de garantizar la producción de granos básicos para la población y así garantizar la seguridad alimentaria del país.</t>
  </si>
  <si>
    <t xml:space="preserve">Zona Norte 1 (Cabañas), Zona Norte 2 (Morazán), Zona Norte 3 (Chalatenango, Cuscatlán y San Salvador), Zona Franja costera Marina (La Libertad, La Paz, La Unión, Sonsonate, Ahuachapán, Usulután) </t>
  </si>
  <si>
    <t>500,000 producctores y productoras de granos basicos</t>
  </si>
  <si>
    <t>Productores y productoras atendidos</t>
  </si>
  <si>
    <t>05, 06 y 08</t>
  </si>
  <si>
    <t>05-01, 06-02 y 08-01</t>
  </si>
  <si>
    <t>51, 54 y 61</t>
  </si>
  <si>
    <t>2. Seguridad alimentaria y nutricional</t>
  </si>
  <si>
    <t>Ampliar la cobertura de la asistencia técnica e incentivos para la producción de alimentos en los diferentes rubros agropecuarios la cual permita mejorar la utilización de nuevas tecnologias, el objetivo primordial es el de proveer de alimentos a la familia rural.</t>
  </si>
  <si>
    <t>62,000 productores de subsistencia de granos basicos, frutas, horalizas y especies menores</t>
  </si>
  <si>
    <t>05, 06 y 09</t>
  </si>
  <si>
    <t>3. Divercificación y mejora de la rentabilidad en la producción agropecuaria pesquera, acuicola y agroindustrial (Desarrollo de cadenas Productivas).</t>
  </si>
  <si>
    <t>Fomento y desarrollo de la producción agropecuaria, pesquera, acuicola y agroindustrial de alto valor agregado y comercial, con el objetivo de elebar los ingresos de las familias rurales. Contempla la asistencia técnica e investigación e insentivos para la producción así como para la transformación y comercialización de los producctos.</t>
  </si>
  <si>
    <t>20,000 Familias de las Cadenas</t>
  </si>
  <si>
    <t>06</t>
  </si>
  <si>
    <t>07</t>
  </si>
  <si>
    <t>5385</t>
  </si>
  <si>
    <t>5. Programa de Competitividad Territorial Rural - Amanecer Rural</t>
  </si>
  <si>
    <t>El Proyecto  de Competitividad Territorial Rural (Amanecer Rural), ha sido  implementado a nivel nacional, definiendo las zonas específicas con base en los siguientes criterios generales: (a) la tipología y caracterización del grupo-meta, esto es, concentración de usuarios-beneficiarios vulnerables pobres, como aquellos con potencial/activos productivos para insertarse en cadenas de valor; (b) la vocación productiva de las zonas y microregiones y la localización natural de las cadenas de valor (café, hortalizas, lechería de pequeño productor, marañon, granos básicos, etc.); (c) territorios con potencial desencadenante de desarrollo.</t>
  </si>
  <si>
    <t>Zona Norte 2 (Morazán), Zona Franja costera Marina (La Unión, Sonsonate, Ahuachapán, Usulután)</t>
  </si>
  <si>
    <t>13500 productores y productoras de alimentos</t>
  </si>
  <si>
    <t>05</t>
  </si>
  <si>
    <t>6. Proyecto de Desarrollo y Modernización Rural de la Región Central y Para central (PRODEMOR CENTRAL)</t>
  </si>
  <si>
    <t>Contempla el desarrollo y fortalecimiento a las Organizaciones de base, la asesoría técnica y capacitación para la producción, la transformación de actividades de subsistencia en negocios rentables y sostenibles, la integración a cadena de valor y el desarrollo organizacional de empresas y organizaciones</t>
  </si>
  <si>
    <t>Zona Norte 3 (Chalatenango y Cuscatlán), Zona Franja costera Marina (La Libertad y La Paz)</t>
  </si>
  <si>
    <t>5600 productores y productoras de alimentos</t>
  </si>
  <si>
    <t>11</t>
  </si>
  <si>
    <t>01</t>
  </si>
  <si>
    <t>61</t>
  </si>
  <si>
    <t>5562</t>
  </si>
  <si>
    <t>7. Proyecto de Apoyo a la Agricultura Familiar (PAAF)</t>
  </si>
  <si>
    <t>Construir y equipar plantas procesadoras de lácteos, para apoyar a los Centros de acopio de leche cruda de las asociaciones beneficiadas para que accesen a mercados formales (Programa Vaso de leche y empresas comerciales) e incrementen la rentabilidad de la producción con la entrega de tanques de refrigeración y almacenamiento de leche.
Rehabilitar o incoporar superficie productiva de bajo riego de Distritos, para incrementar la producción de alimentos</t>
  </si>
  <si>
    <t>Zona Norte 1 (Cabañas), Zona Norte 2 (Morazán), Zona Norte 3 (Chalatenango), Zona Franja costera Marina (La Paz, La Unión y Usulután)</t>
  </si>
  <si>
    <t>2400 productores y productoras</t>
  </si>
  <si>
    <t>6474</t>
  </si>
  <si>
    <t>10. Fomento al Desarrollo de la Acuicultura Familiar en los Municipios de Pobreza en El Salvador</t>
  </si>
  <si>
    <t>El Proyecto de Acuicultura Familiar tiene como propósito la reducción significativa de la pobreza, reactivar la actividad agrícola en la zona rural, así como la reactivación económica y la diversificación de las fuentes de alimento. En ese sentido, el Ministerio de Agricultura y Ganadería solicita el apoyo al gobierno de la República de China (Taiwán) para la ejecución del proyecto, aprovechando éste para que los pequeños productores que desarrollen sus capacidades en el cultivo de tilapia y aumentar el consumo de proteína animal para mejorar la nutrición de las familias beneficiarias y garantizar la seguridad alimentaria y además, que mejore sus ingresos económicos por la venta de los excedentes en la producción acuícola.</t>
  </si>
  <si>
    <t>Zona Norte 2 (Morazán), Zona Franja costera Marina (La Libertad, La Paz, La Unión, Sonsonate, Ahuachapán, Usulután)</t>
  </si>
  <si>
    <t>1200 productores y productoras</t>
  </si>
  <si>
    <t>Gobierno de Taiwán</t>
  </si>
  <si>
    <t>MOP</t>
  </si>
  <si>
    <t>03</t>
  </si>
  <si>
    <t>Porcentaje de proyecto finalizado/100</t>
  </si>
  <si>
    <t>2.iv. Construir y mejorar la vivienda y el entorno habitacional.</t>
  </si>
  <si>
    <t>2.9</t>
  </si>
  <si>
    <t>2.9 Construcción y mejoramiento de viviendas.</t>
  </si>
  <si>
    <t>54
61</t>
  </si>
  <si>
    <t>5100</t>
  </si>
  <si>
    <t>DOTACION DE VIVIENDAS PARA FAMILIAS EN ZONAS DE ALTO RIESGO Y AFECTADAS POR LA TORMENTA IDA</t>
  </si>
  <si>
    <t>OBJETIVO GENERAL: Atender el déficit habitacional cuantitativo pero abordado de una manera diferente a la simple producción de viviendas y al desarrollo de proyectos de vivienda unifamiliar de baja densidad constructiva (de uno o dos niveles), puesto se plantea generar acciones para la reconstrucción del tejido social, diversificar los mecanismos para la adquisición de vivienda, la renovación urbana de zonas degradas de nuestras ciudades y atender a la población más vulnerable. Actualmente el VMVDU cuenta con financiamiento para ejecutar un proyecto estratégico de construcción de vivienda cooperativa en altura, para habitantes del Centro Histórico de San Salvador, sin embargo es fundamental la gestión de recursos financieros para la ampliación del programa para ampliar el marco de actuación de los 6 componentes detallados anteriormente</t>
  </si>
  <si>
    <t>San Pedro Masahuat</t>
  </si>
  <si>
    <t>500 familias con soluciones habitacionales de interés social bajo un nuevo modelo de Cooperativas de Vivienda por Ayuda Mutua.  El proyecto beneficiará a aproximadamente el 6% de residentes en el Centro Histórico, los cuales ascienden a más de 8 mil habitantes según el censo del año 2007, y beneficia indirectamente a la población flotante que hace uso de dicho territorio para fines comerciales o de paso y vendedores del comercio informal que superan los 10 mil según algunas estimaciones planteadas en el plan parcial del CHSS.</t>
  </si>
  <si>
    <t>Familias beneficiadas</t>
  </si>
  <si>
    <t>2.10</t>
  </si>
  <si>
    <t>2.10 Mejoramiento del entorno habitacional especialmente enfocado en el acceso a agua potable, tratamiento de aguas residuales y electricidad, y el ordenamiento territorial.</t>
  </si>
  <si>
    <t>5132</t>
  </si>
  <si>
    <t>PROGRAMA DE VIVIENDA Y MEJORAMIENTO INTEGRAL DE ASENTAMIENTOS URBANOS PRECARIOS</t>
  </si>
  <si>
    <t>OBJETIVO GENERAL: Incidir en mejorar la calidad de vida de la población por medio de la ejecución de acciones encaminadas a la generación de hábitats adecuados y sustentables que contribuyan al buen vivir de la población impulsando el modelo de asentamientos humanos productivos y sostenibles.</t>
  </si>
  <si>
    <t>Suchitoto, Cuscatlan; Santa Maria, Usulutan</t>
  </si>
  <si>
    <t>Asentamientos Urbanos Precarios  (AUP) que viven en pobreza alta y extrema</t>
  </si>
  <si>
    <t>Hogares en Asentamientos Urbanos Precarios (AUP) que cuentan con servicio de agua potable y saneamiento (nuevo o mejorado)</t>
  </si>
  <si>
    <t xml:space="preserve">
5398</t>
  </si>
  <si>
    <t>"PROGRAMA MEJORAMIENTO INTEGRAL DE ASENTAMIENTOS PRECARIOS URBANOS-KFW (MIAPU-KFW) Canje de Deuda entre la República de Alemania y la República de El Salvador"</t>
  </si>
  <si>
    <t xml:space="preserve">Acajutla, Izalco, Sonsonate; </t>
  </si>
  <si>
    <t>1.1</t>
  </si>
  <si>
    <t>1.1 Desarrollo de las micro, pequeñas y medianas empresas (MIPyMES) e integración a las cadenas productivas regionales.</t>
  </si>
  <si>
    <t>FISDL</t>
  </si>
  <si>
    <t>6454</t>
  </si>
  <si>
    <t>05 EMPLEO Y EMPLEABILIDAD JOVEN</t>
  </si>
  <si>
    <t>02 INCLUSION PRODUCTIVA PARA PERSONAS EN CONDICION DE POBREZA Y VULNERABILIDAD</t>
  </si>
  <si>
    <t>62</t>
  </si>
  <si>
    <t>Generación de emprendimientos productivos a población en situación de pobreza y vulnerabilidad social</t>
  </si>
  <si>
    <t>Objetivo: Fortalecer las capacidades humanas y técnicas de los/las emprendedores/as, con el acompañamiento y asistencia técnica, a través de una metodología de intervención que inicia con la formación de la persona, formación empresarial básica y la dotación de equipo productivo con el fin último de mejorar sus ingresos.</t>
  </si>
  <si>
    <t>44 municipios</t>
  </si>
  <si>
    <t>Jóvenes y mujeres jefas de hogar en situación de pobreza y vulnerabilidad social</t>
  </si>
  <si>
    <t>Número de personas atendidas con emprendimientos</t>
  </si>
  <si>
    <t>2.3</t>
  </si>
  <si>
    <t>01 PROGRAMA APOYO TEMPORAL AL INGRESO</t>
  </si>
  <si>
    <t>51, 54 y 62</t>
  </si>
  <si>
    <t>5629</t>
  </si>
  <si>
    <t>Programa de Apoyo Temporal al Ingreso (PATI)</t>
  </si>
  <si>
    <t>El Programa de Apoyo Temporal al Ingreso (PATI), tiene el propósito de reducir el impacto negativo en contextos de crisis en los ingresos de las familias, a si como a fortalecer  principalmente las capacidades de las mujeres y la juventud participante, que viven en las zonas urbanas de mayor exclusion, para mejorar sus capacidades de empleabilidad  y su integración en la comunidad. Para ello el programa financiará prioritariamente la participación de las mujeres y jóvenes en proyectos comunitarios  y cursos de capaacitación técncia, así como  brindará ingresos  individuales  por valor de $100 mensuales  durante un peridodo de 6 meses; así mismo el PATI apoyará, como estrategia base, el fortalecimiento de las capacidades de las municipalidades participantes mediante asistencia técnica, capacitación y un complemento  monetario para  gastos administrativos relacionados directamente con los proyectos comunitarios que se ejecutarán; haciendo énfasis en actividades que fomenten la convivencia y cohesión social en los asentamientos donde intervenga y en la cooperación interinstitucional a nivel local.</t>
  </si>
  <si>
    <t xml:space="preserve">El programa se desarrollara en los 31 municipios que no han participado en el PATI y que han sido  seleccionados como elegibles de acuerdo a la propuesta de seleccion de territorios del. PAPTN
</t>
  </si>
  <si>
    <t xml:space="preserve">La población objetivo esta compuesta  por Mujeres y Hombres, de 16 años en adelante, de preferencia priorizando jefas de hogar,  y jovenes entre los 16 y 24 años.  </t>
  </si>
  <si>
    <t xml:space="preserve">
Número de participantes del PATI que han recibido apoyo al ingreso (4 pagos o más)
Porcentaje de participantes PATI que han completado la capacitación y proyectos comunitarios
</t>
  </si>
  <si>
    <t>03 APOYO AL PROGRAMA ERRADICACIÓN DE LA POBREZA EN EL SALVADOR</t>
  </si>
  <si>
    <t>03 INFRAESTRUCTURA SOCIAL BASICA</t>
  </si>
  <si>
    <t>54, 61 Y 62</t>
  </si>
  <si>
    <t xml:space="preserve">4997 </t>
  </si>
  <si>
    <t xml:space="preserve">Acceso a servicio de agua potable y saneamiento básico </t>
  </si>
  <si>
    <t>Incremento en el acceso a servicio de agua potable y saneamiento básico en 40 municipios de Pobreza Extrema Moderada y Baja priorizados. Los 4 municipios restantes (Pobreza Extrema Alta) ya estan siendo intervenidos en el marco de CSR.</t>
  </si>
  <si>
    <t xml:space="preserve">40 municipios </t>
  </si>
  <si>
    <t>Hogares sin acceso de agua potable</t>
  </si>
  <si>
    <t>Incremento de Hogares con acceso a agua potable</t>
  </si>
  <si>
    <t>**</t>
  </si>
  <si>
    <t>4997</t>
  </si>
  <si>
    <t xml:space="preserve">Acceso a servicio de energía eléctrica  </t>
  </si>
  <si>
    <t>Incremento en el acceso a servicio de energía electrica  en 40 municipios de Pobreza Extrema Moderada y Baja priorizados. Los 4 municipios restantes (Pobreza Extrema Alta) ya estan siendo intervenidos en el marco de CSR.</t>
  </si>
  <si>
    <t>04 APOYO AL DESARROLLO LOCAL</t>
  </si>
  <si>
    <t>05 PROGRAMA DE APOYO INTEGRAL A LA ESTRATEGIA DE PREVENCIÓN DE LA VIOLENCIA</t>
  </si>
  <si>
    <t>54 y 61</t>
  </si>
  <si>
    <t>6452</t>
  </si>
  <si>
    <t>Programa de Apoyo Integral a la Estrategia de Prevención de Violencia. Prevención de la violencia juvenil a nivel local</t>
  </si>
  <si>
    <t>El proyecto comprende el financiamiento de actividades agrupadas en los siguientes componentes: 
Fortalecimiento Institucional del MJSP
Prevención de la violencia juvenil a nivel local
Fortalecimiento del proceso de rehabilitación y reinserción social</t>
  </si>
  <si>
    <t>2.11</t>
  </si>
  <si>
    <t>Programa de retorno, reunificación familiar, organización de población salvadoreña en el exterior, asistencia y protección humanitaria. Generacion de emprendimientos productivos con población retornada</t>
  </si>
  <si>
    <t>Generación de oportunidades productivas a población retornada a traves de un proceso de identificación de capacidades y habilidades para su inserción a la actividad productiva, así como bono de apoyo a la producción.</t>
  </si>
  <si>
    <t xml:space="preserve">30 municipios con mayor población retornada </t>
  </si>
  <si>
    <t xml:space="preserve">hombres y mujeres migrantes retornados </t>
  </si>
  <si>
    <t>número de personas retornados intervenidos</t>
  </si>
  <si>
    <t>2.i. Expandir los sistemas de protección social y transferencias condicionadas.</t>
  </si>
  <si>
    <t>2.1</t>
  </si>
  <si>
    <t>2.1 Fortalecimiento de los Sistemas de Protección Social en territorios priorizados.</t>
  </si>
  <si>
    <t>01 APOYO EN EDUCACION Y SALUD</t>
  </si>
  <si>
    <t>51, 54, 55, 61 y 62</t>
  </si>
  <si>
    <t>4997
5630</t>
  </si>
  <si>
    <t>Sistema de Protección Social Universal (SPSU) - Expansión a 44 municipios</t>
  </si>
  <si>
    <t>Programas de Transferencias Monetarias Condicionadas  dirigidas a familias en condición de vulnerabilidad y Exclusión Social con el propósito de mejorar sus condiciones de vida, que incluye el componente de apoyo y seguimiento integral a las familias participantes.</t>
  </si>
  <si>
    <t xml:space="preserve">44 municipios </t>
  </si>
  <si>
    <t>1. FAMILIAS CON JOVENES QUE CURSAN ENTRE 7o GRADO Y BACHILLERATO
2. FAMILIAS CON NIÑOS ENTRE 0-5 AÑOS Y/O MUJERES EMBARAZADAS</t>
  </si>
  <si>
    <t>Familias atendidas a través de programas de Transferencias monetarias condicionadas</t>
  </si>
  <si>
    <t>Sistema de Protección Social Universal (SPSU)</t>
  </si>
  <si>
    <t>Nivel nacional</t>
  </si>
  <si>
    <t>MINEC</t>
  </si>
  <si>
    <t>03 Comercio, Inversión y Productivdad 
10 Programa de Apoyo al Desarrollo Productivo para la Inserción Internacional (Préstamo BID 2583)</t>
  </si>
  <si>
    <t>0302 Fomento Productivo, 0303 Fondo de Desarrollo Productivo,                         0304 Sistema Nacional de Desarrollo Productivo
0305 Innovación y Calidad
1001 Fortalecimiento de la Capacidad Técnica y Cofinanciamiento de Servicios de Desarrollo Empresarial
1003 Innovación, Tecnología para la Exportación</t>
  </si>
  <si>
    <t xml:space="preserve">51 Remuneraciones
54 Adquisiones de bienes y servicios
62 Transferencias de capital
</t>
  </si>
  <si>
    <t>FOMENTO Y DIVERSIFICACIÓN DE LA PRODUCCIÓN SALVADOREÑA</t>
  </si>
  <si>
    <t xml:space="preserve">Desarrollo de Infraestructura productiva para la competitivdad, que comprende la construcción y equipamiento de: Centro de Desarrollo y Embalaje de Productos, Centro de Innovación para las ramas de Textil y Confección, Plástico y Química Farmaceútica, Laboratorio Nacional de Calidad para la Exportacion de la Industria de Alimentos y Bebidas y Centro de Innovacion y Desarrollo Tecnológico en Diseño. </t>
  </si>
  <si>
    <t>Los centros y laboratorios se ubicarán en la zona central del país, sin embargo, los servicios se prestarán a las empresas que lo demanden a nivel nacional.</t>
  </si>
  <si>
    <t>Empresas o Unidades económicas</t>
  </si>
  <si>
    <t>Empresas atendidas</t>
  </si>
  <si>
    <t>10 Programa de Apoyo al Desarrollo Productivo para la Inserción Internacional (Préstamo BID 2583)</t>
  </si>
  <si>
    <t>1001 Fortalecimiento de la Capacidad Técnica y Cofinanciamiento de Servicios de Desarrollo Empresarial</t>
  </si>
  <si>
    <t>62 Transferencias de capital</t>
  </si>
  <si>
    <t>6025(Préstamo BID)</t>
  </si>
  <si>
    <t>UN PUEBLO UN PRODUCTO</t>
  </si>
  <si>
    <t>Desarrollo de productos y servicios identitarios basados en los recursos locales, mediante el cual se promueve el desarrollo de industrias y encadenamientos locales. mediante este programa se proporciona capacitación, asistencia técnica, fondos para inversión productiva y servicios de comercialización a grupos asociativos, cooperativas, micro y pequeñas empresas de manufactura, agroindustria y turismo con potencial de crecimiento para la puesta en valor de los recursos locales mediante la creación de productos y servicios con identidad local y con potencial de comercialización en mercados nacionales y de exportación.</t>
  </si>
  <si>
    <t>44 municipios seleccionados</t>
  </si>
  <si>
    <t>Micro y pequeña empresas, grupos asociativos productivos, cooperativas de producción y agroindustria</t>
  </si>
  <si>
    <t>Cadenas productivas constituidas</t>
  </si>
  <si>
    <t xml:space="preserve">0305 Innovación y Calidad
1001 Fortalecimiento de la Capacidad Técnica y Cofinanciamiento de Servicios de Desarrollo Empresarial
</t>
  </si>
  <si>
    <t>FONDO NACIONAL PARA EL EMPRENDIMIENTO INNOVADOR Y TECNOLOGICO (FONDOEMPRIT)</t>
  </si>
  <si>
    <t>Apoyo al desarrollo de empresas de servicio de alto valor agregado, específicamente en la industria creativa de animación digital, video juegos y audiovisuales,  mediante la implementación de un programa de fomento al emprendimiento innovador y tecnológico: "Proyecto PIXELS"</t>
  </si>
  <si>
    <t>Cobertura nacional con énfasis en los 44 municipios seleccionados</t>
  </si>
  <si>
    <t>Jovenes entre los 17 y 30 años de edad con habilidades natas para desembolverese en las industrias creativas</t>
  </si>
  <si>
    <t>Número de emprendedores apoyados</t>
  </si>
  <si>
    <t>BID 2583</t>
  </si>
  <si>
    <t>FOSEP</t>
  </si>
  <si>
    <t>GIZ
OEA</t>
  </si>
  <si>
    <t>2.iii. Mejorar la salud, nutrición y desarrollo infantil temprano.</t>
  </si>
  <si>
    <t>2.5</t>
  </si>
  <si>
    <t>2.5 Ampliación de programas costo-efectivos en atención primaria en salud.</t>
  </si>
  <si>
    <t>MINSAL</t>
  </si>
  <si>
    <t>06, 07, 09 y 10 Atención a la Persona.</t>
  </si>
  <si>
    <t>Adquisiciones de Bienes y Servicios</t>
  </si>
  <si>
    <t xml:space="preserve">Gestión integral de procesos, compra y provisión de medicamentos para los 44 municipios priorizados que conforman territorios funcionales. </t>
  </si>
  <si>
    <t xml:space="preserve">Fortalecimiento de la gestión central de medicamentos, dispositivos e insumos médicos. Implementado un sistema de gestión local  que permitan entregar productos de alta calidad a la población que requiere servicios de salud.
Incluye los siguientes sub-componentes:
1. Mejorar la infraestructura y equipamiento de almacenes de medicamentos, dispositivos e insumos médicos de 12 Centros departamentales de almacenamiento y distribución 
2. Compra de un vehículo refrigerado para cada una de las 44 micro-redes municipales de los municipios priorizados que conforman territorios funcionales.
3. Conectividad y equipamiento informático de las farmacias y almacenes de los establecimientos de las 44 redes de los municipios priorizados que conforman territorios funcionales. 
4. Adquisición mediante compra directa de los medicamentos desabastecidos en los establecimientos incluidos en el proyecto y una cantidad adicional para superar la brecha de financiamiento de los medicamentos para cumplir con las necesidades reales
</t>
  </si>
  <si>
    <t>1,305,633 habitantes</t>
  </si>
  <si>
    <t>Porcentaje de abastecimiento de medicamentos de calidad en el sector público</t>
  </si>
  <si>
    <t>Banco Mundial</t>
  </si>
  <si>
    <t>BID - SALUD MESOAMÉRICA 2015</t>
  </si>
  <si>
    <t>2.6</t>
  </si>
  <si>
    <t xml:space="preserve">2.6 Mejoramiento de la infraestructura de salud. </t>
  </si>
  <si>
    <t>01 
Ampliación de los Programas y Servicios de Salud
01 Fortalecimiento de Primer Nivel de Atención.</t>
  </si>
  <si>
    <t xml:space="preserve">Proyecto de fortalecimiento de la capacidad instalada de 19 hospitales para la atención materno infantil, </t>
  </si>
  <si>
    <t xml:space="preserve">Garantizar el acceso a los servicios de salud de la población de niños y niñas menores de 2 año y adolescentes embarazadas, a través del fortalecimiento de la infraestructura, adquisición de recurso humano, equipo e insumos de 19 hospitales ubicados en 12 departamentos donde se encuentran los 44 municipios focalizados.   
En los hospitales se aumentara la cobertura de banco de leche en 5 hospitales.   
</t>
  </si>
  <si>
    <t>Número y Porcentaje de hospitales que proveen atención especializada en Pediatría y Ginecoobstetricia permanentemente (7/24)</t>
  </si>
  <si>
    <t>a)  20 hospitales con Ginecoobstetricia 24 hrs (67%)
b)  9 hospitales con Pediatras 24 hrs. (30%)</t>
  </si>
  <si>
    <t>a)  22 hospitales con Ginecoobstetricia 24 hrs (75%)
b)  15 hospitales con Pediatras 24 hrs. (50%)</t>
  </si>
  <si>
    <t>a)  24 hospitales con Ginecoobstetricia 24 hrs (80%)
b)  21 hospitales con Pediatras 24 hrs. (70%)</t>
  </si>
  <si>
    <t>2.7</t>
  </si>
  <si>
    <t>2.7 Promoción de la salud sexual y reproductiva.</t>
  </si>
  <si>
    <t xml:space="preserve">17 Fortalecimiento de la Salud de la Mujer
01 
Ampliación de los Programas y Servicios de Salud
01
 Fortalecimiento de Primer Nivel de Atención.
 </t>
  </si>
  <si>
    <t>Proyecto de fortalecimiento de la Participación Social a través de la formación de grupos organizados</t>
  </si>
  <si>
    <t xml:space="preserve">1,355,708 habitantes </t>
  </si>
  <si>
    <t xml:space="preserve">% de establecimientos de salud con grupos de promotores juveniles de salud y círculos educativos con adolescentes embarazadas </t>
  </si>
  <si>
    <t>20% de establecimientos cuentan con grupos organizados</t>
  </si>
  <si>
    <t xml:space="preserve">40% de establecimientos cuentan con grupos organizados </t>
  </si>
  <si>
    <t xml:space="preserve">60% de establecimientos cuentan con grupos organizados </t>
  </si>
  <si>
    <t>2.8</t>
  </si>
  <si>
    <t>2.8 Ampliación de programas de desarrollo infantil temprano y pre-escolar.</t>
  </si>
  <si>
    <t>2.2</t>
  </si>
  <si>
    <t>2.2 Ampliación de la cobertura de educación secundaria.</t>
  </si>
  <si>
    <t>MINED</t>
  </si>
  <si>
    <t>Cultura Emprendedora</t>
  </si>
  <si>
    <t>Se desarrollaran  competencias emprendedoras para formular e implementar ideas de negocios, de corte cooperativo asociativo.</t>
  </si>
  <si>
    <t>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t>
  </si>
  <si>
    <t>Estudiantes de  Bachilleratos Técnicos Vocacionales públicos,  formados en cultura emprendedora.</t>
  </si>
  <si>
    <t>11,550 estudiantes formados</t>
  </si>
  <si>
    <t>ORIENTACIÓN VOCACIONAL PARA ESTUDIANTES DE NOVENO GRADO DE EDUCACIÓN BÁSICA Y EDUCACION MEDIA TECNICA.</t>
  </si>
  <si>
    <t>Consiste en apoyar a las y los jóvenes a definir su plan de vida, y selección de un bachuillerato de acuerdo a su vocación,  con el apoyo de los docentes de aula.</t>
  </si>
  <si>
    <t>Estudiantes de noveno grado de Educación Básica y Bachillerato Técnico.</t>
  </si>
  <si>
    <t>1900 estudiantes Orientados en su proyecto de vida</t>
  </si>
  <si>
    <t>Becas a Estudiantes de educación Superior de sedes MEGATEC</t>
  </si>
  <si>
    <t>Otorgar becas de estudio a estudiantes de  Educación Tecnológico Superior</t>
  </si>
  <si>
    <t>Estudiantes de Educación Superior.</t>
  </si>
  <si>
    <t>908 Estudiantes becados</t>
  </si>
  <si>
    <t>Becas Estudiantes de Media</t>
  </si>
  <si>
    <t>Otorgar becas de estudio a estudiantes de Bachillerato Técnico</t>
  </si>
  <si>
    <t>Estudiantes de Educación Media</t>
  </si>
  <si>
    <t>136 Estudiantes becados</t>
  </si>
  <si>
    <t>04, 05 y 06</t>
  </si>
  <si>
    <t>04-02, 05-01 y 06-01</t>
  </si>
  <si>
    <t>54, 56</t>
  </si>
  <si>
    <t>PROGRAMA DE ALIMENTACION Y SALUD ESCOLAR (PASE) Y VASO DE LECHE</t>
  </si>
  <si>
    <t>Contribuir a mejorar la capacidad de aprendizaje de los estudiantes por medio de la dotación de una ración diaria de alimentos, satisfaciendo sus necesidades alimentarias inmediatas y fortaleciendo las acciones educativas, introduciendo conocimientos y prácticas adecuadas en salud, alimentación y nutrición.</t>
  </si>
  <si>
    <t>Cobertura Nacional en 5,109 centros escolares públicos, en los 262 municipios del pais. (No se cubre la totalidad de centros escolares)</t>
  </si>
  <si>
    <t>1300000 nacional (294,094 estudiantes en triángulo norte)</t>
  </si>
  <si>
    <t>1.3 millones de estudiantes reciben alimentacion escolar a lo largo del periodo escolar</t>
  </si>
  <si>
    <t>PROGRAMA PAQUETE ESCOLAR</t>
  </si>
  <si>
    <t>Contribuir a incrementar la matricula y permanencia de los niños, niñas y adolescentes en la escuela, promoviendo la equidad. Ademas se fortalece y promueve el desarrollo local con la participación de proveedores micros y pequeños empresarios.</t>
  </si>
  <si>
    <t>Cobertura Nacional al 100% de los estudiantes de centros educativos públicos.</t>
  </si>
  <si>
    <t>1300000 nacional (297,388 estudiantes en triangulo norte)</t>
  </si>
  <si>
    <t>1.3 millones de estudiantes reciben paquete de útiles, zapatos y dos uniformes escolares.</t>
  </si>
  <si>
    <t>09</t>
  </si>
  <si>
    <t>* Proyecto de Mejora de la Calidad de la Educación, convenio de préstamo 8110 - SV</t>
  </si>
  <si>
    <t>Este proyecto contribuirá con la construccion  de infraestructura completa,para contribuir a los procesos de aprendizaje de los centros escolares del Sistema Integrado de EITP.</t>
  </si>
  <si>
    <t>En 2016 en  4 municipios: Izalco, Sonsonate, Jiquilisco y San Alejo con infraestructura completa  ubicados en 3 departamentos.</t>
  </si>
  <si>
    <t>7881 estudiantes , Izalco,  Sonsonate, Jiquilisco y San Alejo en 2016 en 3 departamentos</t>
  </si>
  <si>
    <t>9  centros escolares mejorados en infraestructura  incluida supervisión de la obra</t>
  </si>
  <si>
    <t>*Potenciando la Escuela Inclusiva de Tiempo Pleno en El Salvador</t>
  </si>
  <si>
    <t>Este proyecto contribuirá con la construccion  de infraestructura ,para contribuir a los procesos de aprendizaje de los centros escolares  EITP.</t>
  </si>
  <si>
    <t>En 2016  en 2 Centros escolares en 2 departamentos</t>
  </si>
  <si>
    <t>1578 estudiantes  pertenecientes  a  2 municipios  Ilobasco y El Carmen,  y 2 departamentos en 2016.</t>
  </si>
  <si>
    <t>2  centros escolares mejorados en infraestructura.</t>
  </si>
  <si>
    <t>PROYECTO LEMPITAS</t>
  </si>
  <si>
    <t>Facilitar el acceso a las tecnologías mediante la entrega de computadoras portátiles y la capacitación de docentes en integración de las TIC en el aula.</t>
  </si>
  <si>
    <t>Se entregó en San Salvador, La Libertad, San Miguel, Morazán, Santa Ana y Usulután.</t>
  </si>
  <si>
    <t>6,043 estudiantes
207 docentes</t>
  </si>
  <si>
    <t>125 CE mejorados en infraestructura tecnológica,  y 1,075 docentes capacitados.</t>
  </si>
  <si>
    <t>FANTEL</t>
  </si>
  <si>
    <t>Italia</t>
  </si>
  <si>
    <t>Fundación ALBA</t>
  </si>
  <si>
    <t>Programa: Atención a Estudiantes con Desempeño Sobresaliente (AEDS) en Competencias para la Investigación Científica: Academias Sabatinas Departamentales</t>
  </si>
  <si>
    <t>• Despliegue progresivo de una Red Nacional de Academias Sabatinas Departamentales (ASD) para la formación en competencias para la investigación científica de estudiantes con desempeño sobresaliente de Básica y Media.</t>
  </si>
  <si>
    <t>Academias Sanatinas Departamentales presentes en los departamentos: La Unión, Morazán,  Cabañas, Chalatenango, Ahuachapán, Sonsonate, Cuscatlán, San Vicente y Usulután, La Paz.</t>
  </si>
  <si>
    <t>374 Estudiantes provenientes de 30 municipios correspondientes a Triángulo Norte</t>
  </si>
  <si>
    <t>La Red Nacional de Academias Sabatinas Departamentales (ASD) brinda atención a 900 estudiantes de 8° y 9° Básica y 1° y 2° Media.</t>
  </si>
  <si>
    <t>*900 Estudiantes</t>
  </si>
  <si>
    <t>*1000 Estudiantes</t>
  </si>
  <si>
    <t>06/07</t>
  </si>
  <si>
    <t>56</t>
  </si>
  <si>
    <t>Programa de Atención a Estudiantes con Desempeño Sobresaliente (AEDS) en Competencias para la Investigación Científica: Academias Sabatinas Experimentales</t>
  </si>
  <si>
    <t>• Trasformación progresiva de iniciativas universitarias en Academias Sabatinas Experimentales (ASEx) para la formación en competencias para la investigación científica de estudiantes con desempeño sobresaliente de Básica y Media.</t>
  </si>
  <si>
    <t>Academias Sabatinas Experimentales  Ahuachapán, Santa Ana, Cabañas, Chalatenango,Cuscatlán, La Libertad, La Unión, Morazán, San Miguel, La Paz, Sonsonate, San Salvador y Usulután,  San Vicente</t>
  </si>
  <si>
    <t>169 Estudiantes Beneficiarios que pertenecen a los municipios del Trigángulo Norte</t>
  </si>
  <si>
    <t>Estudiantes de 4° Grado de Educación Básica a 2° año de Bachillerato, del sector Público y Privado del sistema de Educación Nacional.</t>
  </si>
  <si>
    <t>1,600 AEDS</t>
  </si>
  <si>
    <t>1,800 AEDS</t>
  </si>
  <si>
    <t>2.4</t>
  </si>
  <si>
    <t>2.4 Mejoramiento de la formación y carrera docente.</t>
  </si>
  <si>
    <t>07. Apoyos a instituciones adscritas y otras entidades</t>
  </si>
  <si>
    <t>Capacitación de Docente Técnicos y Tecnológicos para la formación en cultura emprendedora.</t>
  </si>
  <si>
    <t>Se  Capacitará a Docentes de  Centros Educativos de los Bachilleratos Técnicos y de las Sedes MEGATEC.</t>
  </si>
  <si>
    <t>Docentes técnicos .</t>
  </si>
  <si>
    <t>132 docentes capacitados</t>
  </si>
  <si>
    <t>Plan Nacional de Formación de Docentes en Servicio en el Sector Público</t>
  </si>
  <si>
    <t>Estructurar un plan de formaciòn continua para todos los docentes en servicio del sector público de los diferentes niveles y moladidades educativas, que fortalecerá la estrategia de construcción de un Sistema Nacional de Desarrollo Profesional Docente, el cual se implementará en diferentes fases, involucrando procesos dinámicos e innovadores de desarrollo profesional, así como estrategias y mecanismos de evaluación, seguimiento para la mejorara continua del sistema.</t>
  </si>
  <si>
    <t>44 municipios del plan PATN</t>
  </si>
  <si>
    <r>
      <t>30,000 docentes formados de los niveles de educación parvularia, educaciòn básica y media a nivel nacional y e</t>
    </r>
    <r>
      <rPr>
        <b/>
        <u/>
        <sz val="10"/>
        <color rgb="FF000000"/>
        <rFont val="Arial Narrow"/>
        <family val="2"/>
        <charset val="1"/>
      </rPr>
      <t>n 2016 los beneficiarios serán 11488 docentes</t>
    </r>
    <r>
      <rPr>
        <sz val="10"/>
        <color rgb="FF000000"/>
        <rFont val="Arial Narrow"/>
        <family val="2"/>
      </rPr>
      <t>.</t>
    </r>
  </si>
  <si>
    <t>Docentes en formación</t>
  </si>
  <si>
    <t>once mil  cuatrocientos ochenta y ocho docentes (11488)</t>
  </si>
  <si>
    <t>BIRF</t>
  </si>
  <si>
    <t>Programa Nacional de Alfabetización</t>
  </si>
  <si>
    <t>Este programa busca a tender a la población de 15 años en adelante (joven y adulta) que está fuera del sistema educativo, acercando la  oferta de servicios educativos por medio de circulos de alfabetización y de continuidad educativa.</t>
  </si>
  <si>
    <t>39 Municipios atendidos por el PNA que coinciden con los 44 del triangulo norte (en algunus de estos incluye el segundo  y tercer nivel de educación básica)</t>
  </si>
  <si>
    <t>10,389 asociados en 39 municipios de 12 departamentos: Guacotecti,  Ilobasco, Sensuntepeque ,San Carlos, San Francisco Gotera, Nueva Concepción , Suchitoto ,Aguilares ,
El Paisnal ,La Libertad ,Tamanique  ,El Rosario, Olocuilta, San Juan Nonualco, San Luis Talpa, San Rafael Obrajuelo, Santiago Nonualco , Zacatecoluca, San Pedro Masahuat,San Luis la Herradura, Conchagua  ,El Carmen, La Unión, Pasaquina, Intipucá,
San Alejo, Chirilagua, Acajutla,Izalco
San Julián, Sonsonate, Sonzacate, Jujutla, Concepción Batres, Jiquilisco, Puerto El Triunfo, Santa María, Usulután, San Dionisio.</t>
  </si>
  <si>
    <t>10,389 personas jóvenes y adultas alfabetizadas cada año.</t>
  </si>
  <si>
    <t>Programa de Modalidades Flexibles</t>
  </si>
  <si>
    <t>Este programa busca ampliar la cobertura y acercar oferta de servicios educativos, de educación media general con modalidades flexibles, para insertar jóvenes dentro y fuera del sistema educativo.</t>
  </si>
  <si>
    <t>36 Municipios atendidos con Modalidades Flexibles que coinciden con los 44 del triangulo norte, con bachillerato general</t>
  </si>
  <si>
    <t>1,725 estudiantes de 25 municipios de 11 departamentos: Ilobasco, Sensuntepeque, San Francisco Gotera, El Divisadero, Nueva Concepción, Suchitoto, Agiuilares, El Paisnal, La Libertad, El rosario,  Olocuilta, San Juan Nonualco, San Juan Talpa, San Luis Talpa, Santiago Nonualco,  Zacatecoluca, San Pedro Masahuat,  San Luis La Herradura, El Carmen,  La Unión, Pasaquina, Intipucá, Chirilagua, Acajutla, Izalco, San antonio del Monte,  Sonsonate, Sonzacate, Jujutla, Concepción  Batres, Jiquilisco, Ozatlán,  Puesto el Triunfo, Santa María y Usulután.</t>
  </si>
  <si>
    <t>9332 personas jóvenes y adultas atendidas con modalidades educativas cada año.</t>
  </si>
  <si>
    <t>Canje de Deuda KFW</t>
  </si>
  <si>
    <t>09
10</t>
  </si>
  <si>
    <t>02
09
10</t>
  </si>
  <si>
    <t>AECID</t>
  </si>
  <si>
    <t>4. Fortalecer las instituciones</t>
  </si>
  <si>
    <t>4.i. Fortalecimiento de la administración tributaria.</t>
  </si>
  <si>
    <t>4.1</t>
  </si>
  <si>
    <t>4.1 Incremento de la eficiencia y eficacia en la recaudación de impuestos.</t>
  </si>
  <si>
    <t>MH</t>
  </si>
  <si>
    <t>4.5</t>
  </si>
  <si>
    <t>4.5 Fortalecimiento de los gobiernos locales.</t>
  </si>
  <si>
    <t>4.iii. Mejoramiento de la transparencia y efectividad del gasto.</t>
  </si>
  <si>
    <t>4.7 Desarrollo de herramientas de planeación, ejecución, seguimiento y control del gasto público.</t>
  </si>
  <si>
    <t>Formación de promotores juveniles de salud, Círculos educativos con adolescentes embarazadas. Fortalecimiento en la atención integral en salud sexual y reproductiva. Con énfasis en el embarazo en adolescentes.
A través de la metodología entre pares discuten temas de autoestima, proyecto de vida, paternidad responsable, derechos, prevención de violencia sexual y planificación familiar.
A través de los círculos educativos se favorece la prevención del segundo o siguiente embarazo en adolescentes, fortaleciendo el reconocimiento de los derechos, referencia al sistema de protección.  Las Acciones en el componentes de la salud sexual y reproductiva son:
- Servicios de información, asesoramiento, educación y comunicación en materia de anti-concepción y salud reproductiva.
- Educación y servicios de atención prenatal, partos sin riesgo y pos-parto.
- Acceso a métodos anticonceptivos seguros y modernos.
- Información y tratamiento para las infecciones de transmisión sexual.
- Información, educación y asesoramiento sobre sexualidad, salud reproductiva y maternidad y paternidad responsable.
- Garantizar la participación de las mujeres en la toma de decisiones en los servicios de salud sexual y reproductiva.</t>
  </si>
  <si>
    <t>Valores</t>
  </si>
  <si>
    <t>Suma de PRESUPUESTO 2016</t>
  </si>
  <si>
    <t>Suma de MONTO PRÉSTAMO</t>
  </si>
  <si>
    <t xml:space="preserve">Suma de MONTO COOPERACIÓN NO REEMBOLSABLE  </t>
  </si>
  <si>
    <t>Reemplazo de la Flota Vehicular de la Policía Nacional Civil en apoyo al Modelo de Policía Comunitaria</t>
  </si>
  <si>
    <t>Se proyecta la adquisición de 3,463 de transporte entre vehículos patrulla y civiles tipo sedán, pick up doble cabina, camiones, microbuses, autobuses, gruas, montacargas y motocicletas, con la finalidad de potenciar la capacidad operativa de las diferentes Dependencias Policiales ubicadas en el territorio salvadoreño.</t>
  </si>
  <si>
    <t>El Salvador</t>
  </si>
  <si>
    <t>29,081 personas</t>
  </si>
  <si>
    <t>Medios de transporte adquiridos y operando</t>
  </si>
  <si>
    <t>Ampliación del Sistema de Radiocomunicación de la Policía Nacional Civil en apoyo al Modelo de Policía Comunitaria</t>
  </si>
  <si>
    <t xml:space="preserve">El proyecto consiste en migrar la infraestructura de los sistemas de radiocomunicación analógicos a una plataforma completamente digital, la cual permitirá implementar la red de radiocomunicación digital de área amplia de seguridad pública. Su ejecución comprende 5 fases que iniciaron ejecución en el año 2012 y continuan en los años 2013, 2014, 2015 y  2016. </t>
  </si>
  <si>
    <t>Occidental, Central, Metropolitana, Paracentral y Oriental</t>
  </si>
  <si>
    <t>29,084 personas</t>
  </si>
  <si>
    <t>Sistema de radiocomunicación modernizado</t>
  </si>
  <si>
    <t>1.11</t>
  </si>
  <si>
    <t>1.11 Expansión de corredores logísticos y fortalecimiento de red de transporte terrestre.</t>
  </si>
  <si>
    <t>FOVIAL</t>
  </si>
  <si>
    <t>MANTENIMIENTO PERIODICO DE LA RUTA CA12S: DV. LA LIBERTAD - PUERTO ACAJUTLA</t>
  </si>
  <si>
    <t>MANTENIMIENTO PERIODICO DE LA RUTA CA8AW: BY PASS SONSONATE (CA08W - Et CA12S)</t>
  </si>
  <si>
    <t>CEL</t>
  </si>
  <si>
    <t>CEPA</t>
  </si>
  <si>
    <t>ANDA</t>
  </si>
  <si>
    <t>Desarrollo de infraestructura hidráulica</t>
  </si>
  <si>
    <t>A nivel nacional</t>
  </si>
  <si>
    <t>AMSS</t>
  </si>
  <si>
    <t>Incremento de abastecimiento de agua potable</t>
  </si>
  <si>
    <t>225,600 m3</t>
  </si>
  <si>
    <t>PROGRAMA OBRAS DE MITIGACIÓN DE RIESGOS</t>
  </si>
  <si>
    <t>1.2 Ampliación del financiamiento a micro, pequeñas y medianas.</t>
  </si>
  <si>
    <t>1.5 Promoción de dialogo público-privados en torno a la implementación y monitoreo del Plan a través de los consejos de asesoría de cada país.</t>
  </si>
  <si>
    <t>1.ii. Fomentar la integración eléctrica regional.</t>
  </si>
  <si>
    <t xml:space="preserve">1.10 Promoción de la eficiencia. </t>
  </si>
  <si>
    <t xml:space="preserve">1.6 Ampliación del Mercado Eléctrico Regional. </t>
  </si>
  <si>
    <t xml:space="preserve">1.7 Expansión del Sistema de Interconexión Eléctrica para América Central- SIEPAC. </t>
  </si>
  <si>
    <t>1.8 Promoción de la interconexión gasífera de la región con México.</t>
  </si>
  <si>
    <t xml:space="preserve">1.9 Diversificación de la matriz energética. </t>
  </si>
  <si>
    <t>1.iv. Apoyar el proceso de integración regional.</t>
  </si>
  <si>
    <t>1.13 Promoción y facilitación del comercio internacional que incluye sistemas de control de calidad.</t>
  </si>
  <si>
    <t>1.14 Implementación del proceso de unión aduanera Honduras-Guatemala.</t>
  </si>
  <si>
    <t>1.15 Integración de las Agencias de Promoción de Inversión y Comercio.</t>
  </si>
  <si>
    <t>1.16 Fortalecimiento del control aduanero.</t>
  </si>
  <si>
    <t xml:space="preserve">3.5 Reducción de la mora judicial. </t>
  </si>
  <si>
    <t xml:space="preserve">3.7 Programas alternativos para la justicia de menores.  </t>
  </si>
  <si>
    <t>3.9 Mejoramiento del manejo de infractores y sentenciados.</t>
  </si>
  <si>
    <t>4.2 Profesionalización de los recursos humanos.</t>
  </si>
  <si>
    <t>4.3 Simplificación de los sistemas tributarios.</t>
  </si>
  <si>
    <t>4.4 Acceso e intercambio de información tributaria, patrimonial  y financiera.</t>
  </si>
  <si>
    <t>4.ii. Promoción de la convergencia de los sistemas tributarios.</t>
  </si>
  <si>
    <t>4.6 Armonización de los marcos normativos tributarios, en particular el IVA y el impuesto a la renta.</t>
  </si>
  <si>
    <t xml:space="preserve">4.8 Profesionalización del servicio civil </t>
  </si>
  <si>
    <t>5043</t>
  </si>
  <si>
    <t>5468</t>
  </si>
  <si>
    <t>5492</t>
  </si>
  <si>
    <t>6061</t>
  </si>
  <si>
    <t>5980</t>
  </si>
  <si>
    <t>PROGRAMA DE CAMINOS RURALES PARA EL DESARROLLO</t>
  </si>
  <si>
    <t>PROGRAMA DE CONCECTIVIDAD RURAL EN ZONA NORTE Y ORIENTE</t>
  </si>
  <si>
    <t>PROGRAMA DE CONECTIVIDAD DE LA INFRAESTRUCTURA VIAL PARA EL DESARROLLO</t>
  </si>
  <si>
    <t>CONTRUCCIÓN DE BY PASS EN LA CIUDAD DE SAN MIGUEL</t>
  </si>
  <si>
    <t>UE/AECID</t>
  </si>
  <si>
    <t>JICA</t>
  </si>
  <si>
    <t>1.9</t>
  </si>
  <si>
    <t>Parque Eólico Metapán</t>
  </si>
  <si>
    <t>Proyecto Eólico con una capacidad Instalada de 42 MW de potencia, y energía anual de 126.5 GWh. Objetivo: incrementar la oferta de energía con recursos renovables y contribuir a la diversificación de la matriz energética.</t>
  </si>
  <si>
    <t>Metapán, Santa Ana.</t>
  </si>
  <si>
    <t>Se producirá energía para aproximadamente 100 mil familias.</t>
  </si>
  <si>
    <t>MW Instalados.</t>
  </si>
  <si>
    <t>0 MW</t>
  </si>
  <si>
    <t>42 MW. Se proyecta que entre en operación en el año 2019.</t>
  </si>
  <si>
    <t>Proyecto Fotovoltaico Cerrón Grande</t>
  </si>
  <si>
    <t>Proyecto de energía solar fotovoltaica, de 8.5 MW pico. Objetivo: generar energía limpia y contribuir a diversificar la matriz energética.</t>
  </si>
  <si>
    <t xml:space="preserve">Se producirán 12.6 GWh, energía equivalente al consumo de 11 mil familias. </t>
  </si>
  <si>
    <t>8.5 MWp. Se proyecta que entre en operación en el año 2017.</t>
  </si>
  <si>
    <t>Proyecto Fotovoltaico 15 de Septiembre</t>
  </si>
  <si>
    <t>Proyecto de energía solar fotovoltaica, de 14.2 MW pico. Objetivo: generar energía limpia y contribuir a diversificar la matriz energética.</t>
  </si>
  <si>
    <t>En el Municipio de Estanzuelas, Departamento de Usulután.</t>
  </si>
  <si>
    <t xml:space="preserve">Se producirán 24 GWh, energía equivalente al consumo de 20 mil familias. </t>
  </si>
  <si>
    <t>14.2 MWp</t>
  </si>
  <si>
    <t>5570</t>
  </si>
  <si>
    <t>5821</t>
  </si>
  <si>
    <t>1.10</t>
  </si>
  <si>
    <t>1.10 Promoción de la eficiencia.</t>
  </si>
  <si>
    <t>3119</t>
  </si>
  <si>
    <t>4400</t>
  </si>
  <si>
    <t>5801</t>
  </si>
  <si>
    <t>6178</t>
  </si>
  <si>
    <t>622</t>
  </si>
  <si>
    <t>Proyecto Hidroeléctrico El Chaparral</t>
  </si>
  <si>
    <t>Expansión de la Central Hidroeléctrica 5 de Noviembre</t>
  </si>
  <si>
    <t>Programa de Eficiencia Energética en Instalaciones de CEL</t>
  </si>
  <si>
    <t>Reparación y mantenimiento de Bordas en El Bajo Lempa. Etapa I</t>
  </si>
  <si>
    <t>Proyecto Hidroeléctrico El Cimarrón</t>
  </si>
  <si>
    <t xml:space="preserve">En el Municipio de Jutiapa, Departamento de </t>
  </si>
  <si>
    <t>5354</t>
  </si>
  <si>
    <t xml:space="preserve">Apoyo Integral a la Estrategia de Prevención de la Violencia.
Fortalecimiento del área operativa de PREPAZ, cursos de capacitación, observatorio, inserción laboral. </t>
  </si>
  <si>
    <t>Apoyo Integral a la Estrategia de Prevención de la Violencia.
Sistema únificado de información, fortalecimiento de la DGCP y PREPAZ</t>
  </si>
  <si>
    <t>Apoyo Integral a la Estrategia de Prevención de la Violencia.
Talleres vocacionales e implementación de talleres productivos para granjas penitenciarias.</t>
  </si>
  <si>
    <t>5748
2896
5897
5899
5903
5904</t>
  </si>
  <si>
    <t>Construcción de 3 Centros Penitenciarios nuevos, contrucción de una Granja Penitenciaria, Readecuación de 3 Granajas Penitenciarias e i mplementación de un sistema de monitoreo electronico de privados de Libertad (Brazaletes):
- Obras Complementarias para finalización del Complejo Penitenciario de Seguridad Izalco FASE III.
- Adquisición de un Sistema de Brazaletes Electrónicos.
- Ampliación de Centro Penal de Izalco.
- Readecuación de Granja Penitenciaria de Zacatecoluca, La Paz.
- Readecuación de Granja Penitenciaria de Izalco, Sonsonate.
- Readecuación de Granja Penitenciaria en Santa Ana.</t>
  </si>
  <si>
    <t>KFW</t>
  </si>
  <si>
    <t>Obras de mejoramiento del Aeropuerto Internacional de El Salvador MOARG.</t>
  </si>
  <si>
    <t>Aeropuerto Internacional de El Salvador "Monseñor Oscar Arnulfo Romero y Galdámez", ubicado en San Luis Talpa</t>
  </si>
  <si>
    <t>1. Pasajeros nacionales e internacionales
2. Aerolíneas
3. Empresas de apoyo terrestre 4. Pasajeros entrando y saliendo
5. Tripulación
6. Empleados en general
7. Público en general</t>
  </si>
  <si>
    <t>Obras de mejoramiento del Puerto de Acajutla</t>
  </si>
  <si>
    <t>Nacional e Internacional</t>
  </si>
  <si>
    <t>1. Personal operativo
2. Navieras
3. Transportistas
4. Empresas importadoras y exportadoras</t>
  </si>
  <si>
    <t>3.9</t>
  </si>
  <si>
    <t>Fortalecimiento de capacidades institucionales para la seguridad ciudadana, desarrollo de competencias y remoción de tatuajes.</t>
  </si>
  <si>
    <t>China-Taiwan</t>
  </si>
  <si>
    <t>5673</t>
  </si>
  <si>
    <t>4766</t>
  </si>
  <si>
    <t>5670</t>
  </si>
  <si>
    <t xml:space="preserve">Construcción y equipamiento básico de la delegación de la Policía Nacional Civil </t>
  </si>
  <si>
    <t>DULUX</t>
  </si>
  <si>
    <t>4.4</t>
  </si>
  <si>
    <t>08</t>
  </si>
  <si>
    <t>4204</t>
  </si>
  <si>
    <t>10</t>
  </si>
  <si>
    <t>4958</t>
  </si>
  <si>
    <t>FISCALÍA</t>
  </si>
  <si>
    <t>CSJ</t>
  </si>
  <si>
    <t>FODES</t>
  </si>
  <si>
    <t>3.3</t>
  </si>
  <si>
    <t>FGR</t>
  </si>
  <si>
    <t>Construcción, Equipamiento y Modernización de las Oficinas Centrales de la FGR de El Salvador.</t>
  </si>
  <si>
    <t>Fortalecer las capacidades institucionales de la Fiscalía General de la República (FGR) mediante la centralización de las actividades y operaciones, fomentando la estandarización, profesionalización y tecnificación de todas las instancias vinculadas a la seguridad y administración de justicia en materia penal, garantizando al mismo tiempo que las víctimas y usuarios en general puedan tener acceso a la seguridad de una manera ordenada, eficiente, eficaz y más ágil.</t>
  </si>
  <si>
    <t>6093</t>
  </si>
  <si>
    <t>6092</t>
  </si>
  <si>
    <t>Construcción y Equipamiento del Depósito de Evidencias de la FGR</t>
  </si>
  <si>
    <t>3.5</t>
  </si>
  <si>
    <t>3.5 Reducción de mora judicial.</t>
  </si>
  <si>
    <t>Construcción Centro Judicial Integral de Santa Tecla, de segunda instancia de San Salvador y otras remodelaciones y ampliaciones</t>
  </si>
  <si>
    <t>3243
4344
6456</t>
  </si>
  <si>
    <t>1.4</t>
  </si>
  <si>
    <t>FOMILENIO II</t>
  </si>
  <si>
    <t>Mejoras regulatorias, Asocios Público-Privados y Apuestas por Inversiones</t>
  </si>
  <si>
    <t>MCC</t>
  </si>
  <si>
    <t>CAPITAL HUMANO FOMILENIO II</t>
  </si>
  <si>
    <t>Fortalecimiento del Sistema Nacional de Educación, Modelo Inclusivo de Tiempo Completo, Gobernanza del Sistema Integrado y Evaluación Continua de la Demanda del Trabajo.</t>
  </si>
  <si>
    <t>MITIGACIÓN SOCIAL AMBIENTAL DE LA CARRETERA EL LITORAL</t>
  </si>
  <si>
    <t>MITIGACIÓN SOCIAL AMBIENTAL EN CRUCES FRONTERIZOS</t>
  </si>
  <si>
    <t>PROYECTO CLIMA DE INVERSIÓN</t>
  </si>
  <si>
    <t>6451</t>
  </si>
  <si>
    <t>Fondo de Desarrollo Económico y Social (FODES) de los municipios</t>
  </si>
  <si>
    <t>Etiquetas de columna</t>
  </si>
  <si>
    <t>MOP - VMVDU</t>
  </si>
  <si>
    <t>MJSP - PREPAZ</t>
  </si>
  <si>
    <t>MJSP - PNC</t>
  </si>
  <si>
    <t>MJSP - DGCP - PREPAZ</t>
  </si>
  <si>
    <t>MJSP - DGCP</t>
  </si>
  <si>
    <t>FONDOS GOES + FONDOS PROPIOS</t>
  </si>
  <si>
    <t>Suma de FONDOS GOES + FONDOS PROPIOS</t>
  </si>
  <si>
    <t>Ejecución de la Primera Etapa del Proyecto de Agua Potable del Lago de Ilopango (PAPLI).
Proyecto de Rehabilitación del Sistema de Abastecimiento de Agua, denominado “Zona Norte”.
Primera etapa del Programa de Sustitución  Redes de Acueductos y Alcantarillados del AMSS.</t>
  </si>
  <si>
    <t>5128</t>
  </si>
  <si>
    <t>5131</t>
  </si>
  <si>
    <t>5209</t>
  </si>
  <si>
    <t>6015</t>
  </si>
  <si>
    <t>6132</t>
  </si>
  <si>
    <t>6135</t>
  </si>
  <si>
    <t>Programa Integrado de Salud</t>
  </si>
  <si>
    <t>Construcción y Equipamiento del Hospital Nacional de Maternidad, San Salvador</t>
  </si>
  <si>
    <t>Fortalecimiento del Sistema Público de Salud</t>
  </si>
  <si>
    <t>Programa Salud Mesoamérica 2015 - El Salvador</t>
  </si>
  <si>
    <t>Ampliación, Remodelación y Equipamiento de la Unidad Comunitaria de Salud Familiar Básica UCSF-B El Mozote.</t>
  </si>
  <si>
    <t>Remodelación y Equipamiento de la Unidad Comunitaria de Salud Familiar Básica UCSF-B Basica Boquín.</t>
  </si>
  <si>
    <t>MH - FODES</t>
  </si>
  <si>
    <t>Transferencia a los gobiernos locales.
Incluye inversiones para proyectos de saneamiento, calles, caminos vecinales, reparación de escuelas, recuperación de espacios públicos, entre otros.</t>
  </si>
  <si>
    <t>INSTITUCIONES</t>
  </si>
  <si>
    <t>LÍNEAS ESTRATÉGICAS PAPTN</t>
  </si>
  <si>
    <t>LÍNEAS ESTRATÉGICAS Y DE ACCIÓN PAPTN</t>
  </si>
  <si>
    <t>FONDOS PROPIOS</t>
  </si>
  <si>
    <t>PRÉSTAMOS</t>
  </si>
  <si>
    <t>COOPERACIÓN</t>
  </si>
  <si>
    <t>MOPTVDU</t>
  </si>
  <si>
    <t>PRESUPUESTO 2016 
(APROBADO)</t>
  </si>
  <si>
    <t>04 ---&gt; 02</t>
  </si>
  <si>
    <t>05 ---&gt; 03</t>
  </si>
  <si>
    <t>4377 ---&gt; 5540</t>
  </si>
  <si>
    <t>FIDA / OFID / BCIE</t>
  </si>
  <si>
    <t>FIDA / BCIE</t>
  </si>
  <si>
    <t>01 y 02</t>
  </si>
  <si>
    <t>54 y 55</t>
  </si>
  <si>
    <t>06-01, 06-02 y 08-01</t>
  </si>
  <si>
    <t>Programa de Infraestructura Tributaria</t>
  </si>
  <si>
    <t>Asistencia Técnica para la Administración Fiscal y Desempeño del Sector Público</t>
  </si>
  <si>
    <t>01 ---&gt; 01, 02, 03 y 04</t>
  </si>
  <si>
    <t>Mantener en óptimas condiciones la infraestructura física del Ramo y adquirir bienes inmuebles.</t>
  </si>
  <si>
    <t>Fortalecer las Direcciones Generales de Impuestos Internos, Aduanas y de Tesorería, para mejorar el intercambio de información y los procesos de fiscalización y control del cumplimiento de las obligaciones tributarias.
Modernizar la gestión administrativa financiera del sector público, los sistemas de Administración Financiera Integrado, de recursos humanos, compras públicas y deuda e inversión pública.
Apoyar las iniciativas elegibles para mejorar la administración de la información y estadística, el acceso a la información pública y la transparencia del sector público.
Fortalecimiento de las capacidades del Ministerio de Hacienda, para una adecuada coordinación y supervisión de la implementación del Proyecto.</t>
  </si>
  <si>
    <t>MINEC / CONAMYPE</t>
  </si>
  <si>
    <t>06. Implementadoras de Programas educativos</t>
  </si>
  <si>
    <t>01 --&gt; 07-06 y 08-04</t>
  </si>
  <si>
    <t>09 --&gt; 07 y 08</t>
  </si>
  <si>
    <t>PROGRAMA DE CAMINOS RURALES PROGRESIVOS EN EL SALVADOR - LAIF</t>
  </si>
  <si>
    <t>FONDOS PROPIOS / 
FONDO GENERAL</t>
  </si>
  <si>
    <t>PRÉSTAMOS EXTERNOS
(MONTO)</t>
  </si>
  <si>
    <t>DONACIONES
(MONTO)</t>
  </si>
  <si>
    <t>DONACIONES
(ORGANISMO / INSTITUC.)</t>
  </si>
  <si>
    <t>PRÉSTAMOS EXTERNOS
(ORGANISMO / INSTITUC.)</t>
  </si>
  <si>
    <t>PTE.</t>
  </si>
  <si>
    <t>BCIE No. 2139 2102</t>
  </si>
  <si>
    <t>1.v. Fortalecer la infraestructura y servicios en gobiernos locales</t>
  </si>
  <si>
    <t>1.17</t>
  </si>
  <si>
    <t>1.17 Fortalecer infraestructura y servicios públicos a nivel territorial</t>
  </si>
  <si>
    <t>BCIE / Francia</t>
  </si>
  <si>
    <t>PRESUPUESTO 2016 
(APROBADO)2</t>
  </si>
  <si>
    <t>FONDOS PROPIOS / 
FONDO GENERAL2</t>
  </si>
  <si>
    <t>PRÉSTAMOS EXTERNOS
(MONTO)2</t>
  </si>
  <si>
    <t>PRÉSTAMOS EXTERNOS
(ORGANISMO / INSTITUC.)2</t>
  </si>
  <si>
    <t>DONACIONES
(MONTO)2</t>
  </si>
  <si>
    <t>DONACIONES
(ORGANISMO / INSTITUC.)2</t>
  </si>
  <si>
    <t>VERSIÓN 11 DE ENERO</t>
  </si>
  <si>
    <t>VERSIÓN 14 DE ENERO   (CAMBIO EN MINED Y MINSAL)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</si>
</sst>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_-&quot;$&quot;* #,##0.00_-;\-&quot;$&quot;* #,##0.00_-;_-&quot;$&quot;* &quot;-&quot;??_-;_-@_-"/>
    <numFmt numFmtId="165" formatCode="_-* #,##0.00_-;\-* #,##0.00_-;_-* &quot;-&quot;??_-;_-@_-"/>
    <numFmt numFmtId="166" formatCode="&quot;$&quot;#,##0.00"/>
    <numFmt numFmtId="167" formatCode="_(* #,##0_);_(* \(#,##0\);_(* &quot;-&quot;??_);_(@_)"/>
    <numFmt numFmtId="168" formatCode="&quot;$&quot;#,##0.00;[Red]&quot;$&quot;#,##0.00"/>
    <numFmt numFmtId="169" formatCode="0.0%"/>
    <numFmt numFmtId="170" formatCode="0.00000"/>
    <numFmt numFmtId="171" formatCode="#.##0"/>
    <numFmt numFmtId="172" formatCode="#.###"/>
    <numFmt numFmtId="173" formatCode="\$#,##0.00;[Red]\$#,##0.00"/>
    <numFmt numFmtId="174" formatCode="_-&quot;$&quot;* #,##0.0_-;\-&quot;$&quot;* #,##0.0_-;_-&quot;$&quot;* &quot;-&quot;??_-;_-@_-"/>
    <numFmt numFmtId="175" formatCode="_-&quot;$&quot;* #,##0_-;\-&quot;$&quot;* #,##0_-;_-&quot;$&quot;* &quot;-&quot;??_-;_-@_-"/>
  </numFmts>
  <fonts count="59"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Narrow"/>
      <family val="2"/>
    </font>
    <font>
      <b/>
      <sz val="10"/>
      <name val="Arial Narrow"/>
      <family val="2"/>
    </font>
    <font>
      <b/>
      <sz val="8"/>
      <name val="Arial Narrow"/>
      <family val="2"/>
    </font>
    <font>
      <b/>
      <i/>
      <u/>
      <sz val="10"/>
      <name val="Arial Narrow"/>
      <family val="2"/>
    </font>
    <font>
      <b/>
      <sz val="9"/>
      <color theme="1"/>
      <name val="Arial Narrow"/>
      <family val="2"/>
    </font>
    <font>
      <sz val="12"/>
      <color theme="1"/>
      <name val="Garamond"/>
      <family val="1"/>
    </font>
    <font>
      <sz val="10"/>
      <name val="Arial"/>
      <family val="2"/>
    </font>
    <font>
      <b/>
      <sz val="9"/>
      <name val="Arial Narrow"/>
      <family val="2"/>
    </font>
    <font>
      <i/>
      <sz val="10"/>
      <name val="Arial Narrow"/>
      <family val="2"/>
    </font>
    <font>
      <sz val="10"/>
      <name val="Arial Narrow"/>
      <family val="2"/>
    </font>
    <font>
      <u/>
      <sz val="11"/>
      <color theme="10"/>
      <name val="Calibri"/>
      <family val="2"/>
      <scheme val="minor"/>
    </font>
    <font>
      <u/>
      <sz val="11"/>
      <color theme="11"/>
      <name val="Calibri"/>
      <family val="2"/>
      <scheme val="minor"/>
    </font>
    <font>
      <sz val="11"/>
      <color theme="1"/>
      <name val="Garamond"/>
      <family val="1"/>
    </font>
    <font>
      <sz val="10"/>
      <color rgb="FF000000"/>
      <name val="Arial Narrow"/>
      <family val="2"/>
    </font>
    <font>
      <b/>
      <sz val="14"/>
      <color theme="1"/>
      <name val="Garamond"/>
      <family val="1"/>
    </font>
    <font>
      <b/>
      <sz val="10"/>
      <color rgb="FFFF0000"/>
      <name val="Garamond"/>
      <family val="1"/>
    </font>
    <font>
      <b/>
      <i/>
      <u/>
      <sz val="10"/>
      <color theme="1"/>
      <name val="Arial Narrow"/>
      <family val="2"/>
    </font>
    <font>
      <sz val="14"/>
      <color theme="1"/>
      <name val="Marlett"/>
      <charset val="2"/>
    </font>
    <font>
      <sz val="11"/>
      <color theme="0"/>
      <name val="Garamond"/>
      <family val="1"/>
    </font>
    <font>
      <sz val="10"/>
      <color theme="0"/>
      <name val="Arial Narrow"/>
      <family val="2"/>
    </font>
    <font>
      <sz val="14"/>
      <color theme="0"/>
      <name val="Marlett"/>
      <charset val="2"/>
    </font>
    <font>
      <sz val="12"/>
      <color theme="0"/>
      <name val="Garamond"/>
      <family val="1"/>
    </font>
    <font>
      <b/>
      <sz val="10"/>
      <color theme="0"/>
      <name val="Arial Narrow"/>
      <family val="2"/>
    </font>
    <font>
      <b/>
      <sz val="10"/>
      <color theme="1"/>
      <name val="Arial Narrow"/>
      <family val="2"/>
    </font>
    <font>
      <sz val="14"/>
      <color theme="1"/>
      <name val="Garamond"/>
      <family val="1"/>
    </font>
    <font>
      <b/>
      <sz val="11"/>
      <name val="Garamond"/>
      <family val="1"/>
    </font>
    <font>
      <i/>
      <sz val="12"/>
      <color theme="0"/>
      <name val="Arial Narrow"/>
      <family val="2"/>
    </font>
    <font>
      <sz val="12"/>
      <name val="Garamond"/>
      <family val="1"/>
    </font>
    <font>
      <b/>
      <sz val="11"/>
      <color theme="1"/>
      <name val="Arial Narrow"/>
      <family val="2"/>
    </font>
    <font>
      <b/>
      <sz val="12"/>
      <color theme="1"/>
      <name val="Arial Narrow"/>
      <family val="2"/>
    </font>
    <font>
      <i/>
      <sz val="12"/>
      <color rgb="FFFF0000"/>
      <name val="Arial Narrow"/>
      <family val="2"/>
    </font>
    <font>
      <sz val="12"/>
      <name val="Arial Narrow"/>
      <family val="2"/>
    </font>
    <font>
      <i/>
      <sz val="12"/>
      <color rgb="FFFF0000"/>
      <name val="Arial"/>
      <family val="2"/>
    </font>
    <font>
      <b/>
      <i/>
      <u/>
      <sz val="12"/>
      <color rgb="FFFF0000"/>
      <name val="Arial"/>
      <family val="2"/>
    </font>
    <font>
      <b/>
      <i/>
      <sz val="12"/>
      <color rgb="FFFF0000"/>
      <name val="Arial"/>
      <family val="2"/>
    </font>
    <font>
      <i/>
      <u/>
      <sz val="12"/>
      <color rgb="FFFF0000"/>
      <name val="Arial"/>
      <family val="2"/>
    </font>
    <font>
      <sz val="9"/>
      <color indexed="81"/>
      <name val="Tahoma"/>
      <family val="2"/>
    </font>
    <font>
      <b/>
      <sz val="9"/>
      <color indexed="81"/>
      <name val="Tahoma"/>
      <family val="2"/>
    </font>
    <font>
      <sz val="12"/>
      <color theme="1"/>
      <name val="Garamond"/>
      <family val="1"/>
    </font>
    <font>
      <sz val="12"/>
      <color theme="1"/>
      <name val="Arial Narrow"/>
      <family val="2"/>
    </font>
    <font>
      <sz val="10"/>
      <color theme="1"/>
      <name val="Arial Narrow"/>
      <family val="2"/>
    </font>
    <font>
      <sz val="14"/>
      <color theme="1"/>
      <name val="Marlett"/>
      <charset val="2"/>
    </font>
    <font>
      <b/>
      <sz val="10"/>
      <color rgb="FF002060"/>
      <name val="Arial Narrow"/>
      <family val="2"/>
    </font>
    <font>
      <sz val="10"/>
      <color rgb="FF002060"/>
      <name val="Arial Narrow"/>
      <family val="2"/>
    </font>
    <font>
      <sz val="11"/>
      <color rgb="FF002060"/>
      <name val="Garamond"/>
      <family val="1"/>
    </font>
    <font>
      <sz val="11"/>
      <color rgb="FF000000"/>
      <name val="Garamond"/>
      <family val="1"/>
      <charset val="1"/>
    </font>
    <font>
      <b/>
      <sz val="10"/>
      <color rgb="FF000000"/>
      <name val="Arial Narrow"/>
      <family val="2"/>
      <charset val="1"/>
    </font>
    <font>
      <sz val="12"/>
      <color rgb="FF000000"/>
      <name val="Garamond"/>
      <family val="1"/>
      <charset val="1"/>
    </font>
    <font>
      <sz val="11"/>
      <color rgb="FF000000"/>
      <name val="Arial"/>
      <family val="2"/>
      <charset val="1"/>
    </font>
    <font>
      <sz val="10"/>
      <color rgb="FF000000"/>
      <name val="Arial"/>
      <family val="2"/>
      <charset val="1"/>
    </font>
    <font>
      <b/>
      <u/>
      <sz val="10"/>
      <color rgb="FF000000"/>
      <name val="Arial Narrow"/>
      <family val="2"/>
      <charset val="1"/>
    </font>
    <font>
      <sz val="9"/>
      <color indexed="81"/>
      <name val="Calibri"/>
      <family val="2"/>
    </font>
    <font>
      <b/>
      <sz val="9"/>
      <color indexed="81"/>
      <name val="Calibri"/>
      <family val="2"/>
    </font>
    <font>
      <b/>
      <sz val="11"/>
      <color theme="1"/>
      <name val="Calibri"/>
      <family val="2"/>
      <scheme val="minor"/>
    </font>
    <font>
      <sz val="11"/>
      <color theme="0"/>
      <name val="Calibri"/>
      <family val="2"/>
      <scheme val="minor"/>
    </font>
    <font>
      <sz val="8"/>
      <name val="Calibri"/>
      <family val="2"/>
      <scheme val="minor"/>
    </font>
  </fonts>
  <fills count="2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rgb="FFE0BD24"/>
        <bgColor indexed="64"/>
      </patternFill>
    </fill>
    <fill>
      <patternFill patternType="solid">
        <fgColor rgb="FF719725"/>
        <bgColor indexed="64"/>
      </patternFill>
    </fill>
    <fill>
      <patternFill patternType="solid">
        <fgColor rgb="FF349DEB"/>
        <bgColor indexed="64"/>
      </patternFill>
    </fill>
    <fill>
      <patternFill patternType="solid">
        <fgColor rgb="FFEAE8DA"/>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3"/>
        <bgColor indexed="64"/>
      </patternFill>
    </fill>
    <fill>
      <patternFill patternType="solid">
        <fgColor theme="3"/>
        <bgColor rgb="FF000000"/>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E0BD24"/>
        <bgColor rgb="FFFF9900"/>
      </patternFill>
    </fill>
    <fill>
      <patternFill patternType="solid">
        <fgColor rgb="FFFFFFFF"/>
        <bgColor rgb="FFEAE8DA"/>
      </patternFill>
    </fill>
    <fill>
      <patternFill patternType="solid">
        <fgColor rgb="FFDB7623"/>
        <bgColor indexed="64"/>
      </patternFill>
    </fill>
    <fill>
      <patternFill patternType="solid">
        <fgColor theme="4"/>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rgb="FFCCFFCC"/>
        <bgColor indexed="64"/>
      </patternFill>
    </fill>
    <fill>
      <patternFill patternType="solid">
        <fgColor rgb="FFFFFF00"/>
        <bgColor rgb="FFEAE8DA"/>
      </patternFill>
    </fill>
    <fill>
      <patternFill patternType="solid">
        <fgColor rgb="FFCCFFCC"/>
        <bgColor rgb="FFEAE8DA"/>
      </patternFill>
    </fill>
    <fill>
      <patternFill patternType="solid">
        <fgColor rgb="FFFFFDC7"/>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left>
      <right/>
      <top/>
      <bottom/>
      <diagonal/>
    </border>
    <border>
      <left/>
      <right style="thin">
        <color theme="0"/>
      </right>
      <top/>
      <bottom/>
      <diagonal/>
    </border>
    <border>
      <left style="dotted">
        <color auto="1"/>
      </left>
      <right style="dotted">
        <color auto="1"/>
      </right>
      <top style="dotted">
        <color auto="1"/>
      </top>
      <bottom style="dotted">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top style="thin">
        <color auto="1"/>
      </top>
      <bottom style="thin">
        <color auto="1"/>
      </bottom>
      <diagonal/>
    </border>
    <border>
      <left/>
      <right/>
      <top/>
      <bottom style="thin">
        <color theme="4" tint="0.39997558519241921"/>
      </bottom>
      <diagonal/>
    </border>
    <border>
      <left/>
      <right/>
      <top style="thin">
        <color theme="4" tint="0.39997558519241921"/>
      </top>
      <bottom/>
      <diagonal/>
    </border>
    <border>
      <left/>
      <right/>
      <top/>
      <bottom style="dotted">
        <color auto="1"/>
      </bottom>
      <diagonal/>
    </border>
    <border>
      <left/>
      <right style="dotted">
        <color auto="1"/>
      </right>
      <top/>
      <bottom style="dotted">
        <color auto="1"/>
      </bottom>
      <diagonal/>
    </border>
  </borders>
  <cellStyleXfs count="2320">
    <xf numFmtId="0" fontId="0" fillId="0" borderId="0"/>
    <xf numFmtId="43" fontId="2" fillId="0" borderId="0" applyFont="0" applyFill="0" applyBorder="0" applyAlignment="0" applyProtection="0"/>
    <xf numFmtId="0" fontId="9" fillId="0" borderId="0"/>
    <xf numFmtId="9"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285">
    <xf numFmtId="0" fontId="0" fillId="0" borderId="0" xfId="0"/>
    <xf numFmtId="0" fontId="3" fillId="0" borderId="0" xfId="0" applyFont="1" applyAlignment="1">
      <alignment wrapText="1"/>
    </xf>
    <xf numFmtId="0" fontId="3" fillId="0" borderId="0" xfId="0" applyFont="1" applyAlignment="1">
      <alignment vertical="top" wrapText="1"/>
    </xf>
    <xf numFmtId="0" fontId="3" fillId="0" borderId="0" xfId="0" applyFont="1"/>
    <xf numFmtId="0" fontId="3" fillId="0" borderId="0" xfId="0" applyFont="1" applyAlignment="1">
      <alignment horizontal="left" vertical="top" wrapText="1"/>
    </xf>
    <xf numFmtId="0" fontId="3" fillId="0" borderId="0" xfId="0" applyFont="1" applyAlignment="1">
      <alignment horizontal="right"/>
    </xf>
    <xf numFmtId="0" fontId="12" fillId="0" borderId="0" xfId="0" applyFont="1"/>
    <xf numFmtId="3" fontId="3"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right" vertical="center" wrapText="1"/>
    </xf>
    <xf numFmtId="0" fontId="3" fillId="0" borderId="0" xfId="0" applyFont="1" applyFill="1" applyAlignment="1">
      <alignment wrapText="1"/>
    </xf>
    <xf numFmtId="166" fontId="8" fillId="3" borderId="0" xfId="0" applyNumberFormat="1" applyFont="1" applyFill="1" applyBorder="1" applyAlignment="1">
      <alignment horizontal="right" vertical="center" wrapText="1"/>
    </xf>
    <xf numFmtId="0" fontId="3"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67" fontId="3" fillId="0" borderId="0" xfId="1" applyNumberFormat="1" applyFont="1" applyFill="1" applyBorder="1" applyAlignment="1">
      <alignment horizontal="left" vertical="center" wrapText="1"/>
    </xf>
    <xf numFmtId="3" fontId="3"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right" vertical="center" wrapText="1"/>
    </xf>
    <xf numFmtId="0" fontId="3" fillId="0" borderId="0" xfId="0" applyFont="1" applyFill="1" applyBorder="1" applyAlignment="1" applyProtection="1">
      <alignment horizontal="left" vertical="center" wrapText="1"/>
    </xf>
    <xf numFmtId="0" fontId="3" fillId="3" borderId="0" xfId="0" applyFont="1" applyFill="1" applyBorder="1" applyAlignment="1">
      <alignment wrapText="1"/>
    </xf>
    <xf numFmtId="0" fontId="3" fillId="0" borderId="0" xfId="0" applyFont="1" applyFill="1" applyBorder="1" applyAlignment="1">
      <alignment wrapText="1"/>
    </xf>
    <xf numFmtId="0" fontId="15" fillId="0" borderId="1" xfId="0" applyFont="1" applyFill="1" applyBorder="1" applyAlignment="1" applyProtection="1">
      <alignment vertical="top" wrapText="1"/>
    </xf>
    <xf numFmtId="49" fontId="3" fillId="0" borderId="1" xfId="0" applyNumberFormat="1" applyFont="1" applyFill="1" applyBorder="1" applyAlignment="1">
      <alignment horizontal="left" vertical="center" wrapText="1"/>
    </xf>
    <xf numFmtId="3" fontId="3" fillId="0" borderId="1" xfId="0" applyNumberFormat="1" applyFont="1" applyFill="1" applyBorder="1" applyAlignment="1">
      <alignment horizontal="right" vertical="top" wrapText="1"/>
    </xf>
    <xf numFmtId="9" fontId="3" fillId="0" borderId="1" xfId="3"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49" fontId="3" fillId="0"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49" fontId="3" fillId="0" borderId="5" xfId="0" applyNumberFormat="1" applyFont="1" applyFill="1" applyBorder="1" applyAlignment="1" applyProtection="1">
      <alignment horizontal="left" vertical="center" wrapText="1"/>
    </xf>
    <xf numFmtId="3" fontId="3" fillId="0" borderId="1" xfId="0" applyNumberFormat="1" applyFont="1" applyFill="1" applyBorder="1" applyAlignment="1">
      <alignment horizontal="left" vertical="center" wrapText="1"/>
    </xf>
    <xf numFmtId="0" fontId="3" fillId="0" borderId="0" xfId="0" applyFont="1" applyFill="1" applyBorder="1" applyAlignment="1" applyProtection="1">
      <alignment vertical="top"/>
    </xf>
    <xf numFmtId="0" fontId="19" fillId="0" borderId="0" xfId="0" applyFont="1" applyFill="1" applyBorder="1" applyAlignment="1" applyProtection="1">
      <alignment vertical="top" wrapText="1"/>
    </xf>
    <xf numFmtId="0" fontId="4" fillId="0" borderId="6" xfId="0" applyFont="1" applyFill="1" applyBorder="1" applyAlignment="1">
      <alignment horizontal="center" vertical="center" textRotation="90" wrapText="1"/>
    </xf>
    <xf numFmtId="0" fontId="0" fillId="0" borderId="0" xfId="0" pivotButton="1"/>
    <xf numFmtId="0" fontId="0" fillId="0" borderId="0" xfId="0" applyAlignment="1">
      <alignment horizontal="left"/>
    </xf>
    <xf numFmtId="0" fontId="0" fillId="0" borderId="0" xfId="0" applyAlignment="1">
      <alignment horizontal="left" indent="1"/>
    </xf>
    <xf numFmtId="3" fontId="20" fillId="0" borderId="1" xfId="0" applyNumberFormat="1" applyFont="1" applyFill="1" applyBorder="1" applyAlignment="1">
      <alignment horizontal="center" vertical="center" wrapText="1"/>
    </xf>
    <xf numFmtId="0" fontId="0" fillId="0" borderId="0" xfId="0" applyAlignment="1">
      <alignment horizontal="left" indent="2"/>
    </xf>
    <xf numFmtId="0" fontId="15" fillId="5" borderId="1" xfId="0" applyFont="1" applyFill="1" applyBorder="1" applyAlignment="1" applyProtection="1">
      <alignment vertical="top" wrapText="1"/>
    </xf>
    <xf numFmtId="49" fontId="3" fillId="5" borderId="5" xfId="0" applyNumberFormat="1" applyFont="1" applyFill="1" applyBorder="1" applyAlignment="1" applyProtection="1">
      <alignment horizontal="left"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3" fontId="3" fillId="5" borderId="1" xfId="1" applyNumberFormat="1" applyFont="1" applyFill="1" applyBorder="1" applyAlignment="1">
      <alignment horizontal="left" vertical="center" wrapText="1"/>
    </xf>
    <xf numFmtId="3" fontId="3" fillId="5" borderId="1" xfId="0" applyNumberFormat="1" applyFont="1" applyFill="1" applyBorder="1" applyAlignment="1">
      <alignment horizontal="center" vertical="center" wrapText="1"/>
    </xf>
    <xf numFmtId="3" fontId="20" fillId="5" borderId="1" xfId="0" applyNumberFormat="1" applyFont="1" applyFill="1" applyBorder="1" applyAlignment="1">
      <alignment horizontal="center" vertical="center" wrapText="1"/>
    </xf>
    <xf numFmtId="166" fontId="8" fillId="5" borderId="1" xfId="0" applyNumberFormat="1" applyFont="1" applyFill="1" applyBorder="1" applyAlignment="1">
      <alignment horizontal="right" vertical="center" wrapText="1"/>
    </xf>
    <xf numFmtId="0" fontId="21" fillId="6" borderId="1" xfId="0" applyFont="1" applyFill="1" applyBorder="1" applyAlignment="1" applyProtection="1">
      <alignment vertical="top" wrapText="1"/>
    </xf>
    <xf numFmtId="49" fontId="22" fillId="6" borderId="5" xfId="0" applyNumberFormat="1" applyFont="1" applyFill="1" applyBorder="1" applyAlignment="1" applyProtection="1">
      <alignment horizontal="left" vertical="center" wrapText="1"/>
    </xf>
    <xf numFmtId="49" fontId="22" fillId="6" borderId="1" xfId="0" applyNumberFormat="1" applyFont="1" applyFill="1" applyBorder="1" applyAlignment="1">
      <alignment horizontal="center" vertical="center" wrapText="1"/>
    </xf>
    <xf numFmtId="49" fontId="22" fillId="6" borderId="1" xfId="0" applyNumberFormat="1" applyFont="1" applyFill="1" applyBorder="1" applyAlignment="1">
      <alignment horizontal="left" vertical="center" wrapText="1"/>
    </xf>
    <xf numFmtId="3" fontId="22" fillId="6" borderId="1" xfId="0" applyNumberFormat="1" applyFont="1" applyFill="1" applyBorder="1" applyAlignment="1">
      <alignment horizontal="center" vertical="center" wrapText="1"/>
    </xf>
    <xf numFmtId="3" fontId="23" fillId="6" borderId="1" xfId="0" applyNumberFormat="1" applyFont="1" applyFill="1" applyBorder="1" applyAlignment="1">
      <alignment horizontal="center" vertical="center" wrapText="1"/>
    </xf>
    <xf numFmtId="166" fontId="24" fillId="6" borderId="1" xfId="0" applyNumberFormat="1" applyFont="1" applyFill="1" applyBorder="1" applyAlignment="1">
      <alignment horizontal="right" vertical="center" wrapText="1"/>
    </xf>
    <xf numFmtId="0" fontId="21" fillId="7" borderId="1" xfId="0" applyFont="1" applyFill="1" applyBorder="1" applyAlignment="1" applyProtection="1">
      <alignment vertical="top" wrapText="1"/>
    </xf>
    <xf numFmtId="49" fontId="22" fillId="7" borderId="5" xfId="0" applyNumberFormat="1" applyFont="1" applyFill="1" applyBorder="1" applyAlignment="1" applyProtection="1">
      <alignment horizontal="left" vertical="center" wrapText="1"/>
    </xf>
    <xf numFmtId="49" fontId="22" fillId="7" borderId="1" xfId="0" applyNumberFormat="1" applyFont="1" applyFill="1" applyBorder="1" applyAlignment="1">
      <alignment horizontal="center" vertical="center" wrapText="1"/>
    </xf>
    <xf numFmtId="49" fontId="22" fillId="7" borderId="1" xfId="0" applyNumberFormat="1" applyFont="1" applyFill="1" applyBorder="1" applyAlignment="1">
      <alignment horizontal="left" vertical="center" wrapText="1"/>
    </xf>
    <xf numFmtId="3" fontId="22" fillId="7" borderId="1" xfId="1" applyNumberFormat="1" applyFont="1" applyFill="1" applyBorder="1" applyAlignment="1">
      <alignment horizontal="left" vertical="center" wrapText="1"/>
    </xf>
    <xf numFmtId="3" fontId="22" fillId="7" borderId="1" xfId="0" applyNumberFormat="1" applyFont="1" applyFill="1" applyBorder="1" applyAlignment="1">
      <alignment horizontal="center" vertical="center" wrapText="1"/>
    </xf>
    <xf numFmtId="3" fontId="23" fillId="7" borderId="1" xfId="0" applyNumberFormat="1" applyFont="1" applyFill="1" applyBorder="1" applyAlignment="1">
      <alignment horizontal="center" vertical="center" wrapText="1"/>
    </xf>
    <xf numFmtId="166" fontId="24" fillId="7" borderId="1" xfId="0" applyNumberFormat="1" applyFont="1" applyFill="1" applyBorder="1" applyAlignment="1">
      <alignment horizontal="right" vertical="center" wrapText="1"/>
    </xf>
    <xf numFmtId="49" fontId="25" fillId="6" borderId="4" xfId="0" applyNumberFormat="1" applyFont="1" applyFill="1" applyBorder="1" applyAlignment="1" applyProtection="1">
      <alignment horizontal="center" vertical="center" wrapText="1"/>
    </xf>
    <xf numFmtId="49" fontId="26" fillId="0" borderId="4" xfId="0" applyNumberFormat="1" applyFont="1" applyFill="1" applyBorder="1" applyAlignment="1" applyProtection="1">
      <alignment horizontal="center" vertical="center" wrapText="1"/>
    </xf>
    <xf numFmtId="49" fontId="26" fillId="5" borderId="4" xfId="0" applyNumberFormat="1" applyFont="1" applyFill="1" applyBorder="1" applyAlignment="1" applyProtection="1">
      <alignment horizontal="center" vertical="center" wrapText="1"/>
    </xf>
    <xf numFmtId="49" fontId="25" fillId="7" borderId="4" xfId="0" applyNumberFormat="1" applyFont="1" applyFill="1" applyBorder="1" applyAlignment="1" applyProtection="1">
      <alignment horizontal="center" vertical="center" wrapText="1"/>
    </xf>
    <xf numFmtId="0" fontId="22" fillId="6" borderId="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22" fillId="7" borderId="4" xfId="0" applyFont="1" applyFill="1" applyBorder="1" applyAlignment="1" applyProtection="1">
      <alignment horizontal="left" vertical="center" wrapText="1"/>
    </xf>
    <xf numFmtId="0" fontId="28" fillId="4" borderId="0" xfId="0" applyFont="1" applyFill="1" applyAlignment="1">
      <alignment horizontal="center" vertical="center"/>
    </xf>
    <xf numFmtId="0" fontId="11"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top" wrapText="1"/>
    </xf>
    <xf numFmtId="0" fontId="3" fillId="0" borderId="0" xfId="0" applyFont="1" applyAlignment="1">
      <alignment horizontal="center"/>
    </xf>
    <xf numFmtId="168" fontId="24" fillId="6" borderId="1" xfId="0" applyNumberFormat="1" applyFont="1" applyFill="1" applyBorder="1" applyAlignment="1">
      <alignment horizontal="center" vertical="center" wrapText="1"/>
    </xf>
    <xf numFmtId="168" fontId="8" fillId="0" borderId="1" xfId="0" applyNumberFormat="1" applyFont="1" applyFill="1" applyBorder="1" applyAlignment="1">
      <alignment horizontal="center" vertical="center" wrapText="1"/>
    </xf>
    <xf numFmtId="168" fontId="8" fillId="5" borderId="1" xfId="0" applyNumberFormat="1" applyFont="1" applyFill="1" applyBorder="1" applyAlignment="1">
      <alignment horizontal="center" vertical="center" wrapText="1"/>
    </xf>
    <xf numFmtId="168" fontId="24" fillId="7" borderId="1" xfId="0" applyNumberFormat="1" applyFont="1" applyFill="1" applyBorder="1" applyAlignment="1">
      <alignment horizontal="center" vertical="center" wrapText="1"/>
    </xf>
    <xf numFmtId="168" fontId="24" fillId="6" borderId="1" xfId="0" applyNumberFormat="1" applyFont="1" applyFill="1" applyBorder="1" applyAlignment="1">
      <alignment horizontal="right" vertical="center" wrapText="1"/>
    </xf>
    <xf numFmtId="168" fontId="8" fillId="0" borderId="1" xfId="0" applyNumberFormat="1" applyFont="1" applyFill="1" applyBorder="1" applyAlignment="1">
      <alignment horizontal="right" vertical="center" wrapText="1"/>
    </xf>
    <xf numFmtId="168" fontId="8" fillId="5" borderId="1" xfId="0" applyNumberFormat="1" applyFont="1" applyFill="1" applyBorder="1" applyAlignment="1">
      <alignment horizontal="right" vertical="center" wrapText="1"/>
    </xf>
    <xf numFmtId="168" fontId="24" fillId="7" borderId="1" xfId="0" applyNumberFormat="1" applyFont="1" applyFill="1" applyBorder="1" applyAlignment="1">
      <alignment horizontal="right" vertical="center" wrapText="1"/>
    </xf>
    <xf numFmtId="49" fontId="11" fillId="0" borderId="0" xfId="0" applyNumberFormat="1" applyFont="1" applyFill="1" applyBorder="1" applyAlignment="1">
      <alignment vertical="center" wrapText="1"/>
    </xf>
    <xf numFmtId="168" fontId="27" fillId="0" borderId="10" xfId="420" applyNumberFormat="1" applyFont="1" applyBorder="1" applyAlignment="1">
      <alignment horizontal="center"/>
    </xf>
    <xf numFmtId="2" fontId="3" fillId="0" borderId="0" xfId="0" applyNumberFormat="1" applyFont="1"/>
    <xf numFmtId="169" fontId="3" fillId="0" borderId="0" xfId="3" applyNumberFormat="1" applyFont="1" applyAlignment="1">
      <alignment horizontal="left" indent="1"/>
    </xf>
    <xf numFmtId="0" fontId="26" fillId="4" borderId="0" xfId="0" applyFont="1" applyFill="1" applyAlignment="1">
      <alignment horizontal="center" vertical="center" wrapText="1"/>
    </xf>
    <xf numFmtId="170" fontId="4" fillId="0" borderId="0" xfId="0" applyNumberFormat="1" applyFont="1" applyFill="1" applyBorder="1" applyAlignment="1">
      <alignment horizontal="center" vertical="center"/>
    </xf>
    <xf numFmtId="170" fontId="12" fillId="0" borderId="0" xfId="0" applyNumberFormat="1" applyFont="1" applyFill="1"/>
    <xf numFmtId="170" fontId="12" fillId="0" borderId="0" xfId="0" applyNumberFormat="1" applyFont="1" applyFill="1" applyAlignment="1">
      <alignment vertical="center"/>
    </xf>
    <xf numFmtId="0" fontId="32" fillId="0" borderId="0" xfId="0" applyFont="1" applyFill="1" applyAlignment="1">
      <alignment horizontal="center" vertical="center" wrapText="1"/>
    </xf>
    <xf numFmtId="170" fontId="3" fillId="0" borderId="0" xfId="0" applyNumberFormat="1" applyFont="1" applyFill="1" applyAlignment="1">
      <alignment horizontal="center"/>
    </xf>
    <xf numFmtId="170" fontId="3" fillId="0" borderId="0" xfId="0" applyNumberFormat="1" applyFont="1" applyFill="1" applyBorder="1" applyAlignment="1">
      <alignment wrapText="1"/>
    </xf>
    <xf numFmtId="170" fontId="3" fillId="0" borderId="0" xfId="0" applyNumberFormat="1" applyFont="1" applyFill="1"/>
    <xf numFmtId="0" fontId="33"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0" fillId="0" borderId="0" xfId="0" applyNumberFormat="1"/>
    <xf numFmtId="0" fontId="25" fillId="11" borderId="7" xfId="0" applyFont="1" applyFill="1" applyBorder="1" applyAlignment="1">
      <alignment horizontal="center" vertical="center" wrapText="1"/>
    </xf>
    <xf numFmtId="0" fontId="25" fillId="12" borderId="7"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0" borderId="0" xfId="0" applyFont="1" applyFill="1" applyAlignment="1"/>
    <xf numFmtId="0" fontId="31" fillId="0" borderId="0" xfId="0" applyFont="1" applyFill="1" applyAlignment="1">
      <alignment horizontal="center" vertical="center" wrapText="1"/>
    </xf>
    <xf numFmtId="168" fontId="27" fillId="0" borderId="0" xfId="420" applyNumberFormat="1" applyFont="1" applyBorder="1" applyAlignment="1">
      <alignment horizontal="center"/>
    </xf>
    <xf numFmtId="0" fontId="27" fillId="0" borderId="0" xfId="0" applyFont="1" applyAlignment="1">
      <alignment horizontal="left" vertical="center"/>
    </xf>
    <xf numFmtId="0" fontId="42" fillId="2" borderId="2" xfId="0" applyFont="1" applyFill="1" applyBorder="1" applyAlignment="1" applyProtection="1">
      <alignment horizontal="left" vertical="center" wrapText="1"/>
    </xf>
    <xf numFmtId="0" fontId="42" fillId="2" borderId="3" xfId="0" applyFont="1" applyFill="1" applyBorder="1" applyAlignment="1">
      <alignment horizontal="center" vertical="center" wrapText="1"/>
    </xf>
    <xf numFmtId="0" fontId="42" fillId="2" borderId="3" xfId="0" applyFont="1" applyFill="1" applyBorder="1" applyAlignment="1">
      <alignment horizontal="left" vertical="center" wrapText="1"/>
    </xf>
    <xf numFmtId="0" fontId="42" fillId="2" borderId="6" xfId="0" applyFont="1" applyFill="1" applyBorder="1" applyAlignment="1">
      <alignment horizontal="left" vertical="center" wrapText="1"/>
    </xf>
    <xf numFmtId="0" fontId="42" fillId="2" borderId="6" xfId="0" applyFont="1" applyFill="1" applyBorder="1" applyAlignment="1">
      <alignment horizontal="center" vertical="center" wrapText="1"/>
    </xf>
    <xf numFmtId="0" fontId="42" fillId="2" borderId="6" xfId="0" applyFont="1" applyFill="1" applyBorder="1" applyAlignment="1">
      <alignment horizontal="right" vertical="center" wrapText="1"/>
    </xf>
    <xf numFmtId="168" fontId="27" fillId="0" borderId="10" xfId="420" applyNumberFormat="1" applyFont="1" applyBorder="1" applyAlignment="1">
      <alignment horizontal="center"/>
    </xf>
    <xf numFmtId="166" fontId="8" fillId="2" borderId="6" xfId="0" applyNumberFormat="1" applyFont="1" applyFill="1" applyBorder="1" applyAlignment="1">
      <alignment horizontal="right" vertical="center" wrapText="1"/>
    </xf>
    <xf numFmtId="0" fontId="8" fillId="2" borderId="0" xfId="0" applyFont="1" applyFill="1" applyAlignment="1" applyProtection="1">
      <alignment vertical="center" wrapText="1"/>
    </xf>
    <xf numFmtId="0" fontId="32" fillId="2" borderId="3" xfId="0" applyFont="1" applyFill="1" applyBorder="1" applyAlignment="1" applyProtection="1">
      <alignment horizontal="center" vertical="center" wrapText="1"/>
    </xf>
    <xf numFmtId="49" fontId="26"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3" fontId="3" fillId="0" borderId="1" xfId="0" applyNumberFormat="1" applyFont="1" applyFill="1" applyBorder="1" applyAlignment="1">
      <alignment horizontal="right" vertical="center" wrapText="1"/>
    </xf>
    <xf numFmtId="49" fontId="3" fillId="0" borderId="1" xfId="0" applyNumberFormat="1" applyFont="1" applyFill="1" applyBorder="1" applyAlignment="1" applyProtection="1">
      <alignment horizontal="left" vertical="center" wrapText="1"/>
    </xf>
    <xf numFmtId="168" fontId="41" fillId="0" borderId="1" xfId="0" applyNumberFormat="1" applyFont="1" applyFill="1" applyBorder="1" applyAlignment="1">
      <alignment horizontal="center" vertical="center" wrapText="1"/>
    </xf>
    <xf numFmtId="3" fontId="22" fillId="6" borderId="1" xfId="0" applyNumberFormat="1" applyFont="1" applyFill="1" applyBorder="1" applyAlignment="1">
      <alignment horizontal="left" vertical="center" wrapText="1"/>
    </xf>
    <xf numFmtId="0" fontId="12" fillId="0" borderId="0" xfId="0" applyFont="1" applyFill="1"/>
    <xf numFmtId="3" fontId="3" fillId="0" borderId="11" xfId="3" applyNumberFormat="1" applyFont="1" applyFill="1" applyBorder="1" applyAlignment="1">
      <alignment horizontal="center" vertical="center" wrapText="1"/>
    </xf>
    <xf numFmtId="0" fontId="15" fillId="0" borderId="11" xfId="0" applyFont="1" applyFill="1" applyBorder="1" applyAlignment="1" applyProtection="1">
      <alignment vertical="top" wrapText="1"/>
    </xf>
    <xf numFmtId="0" fontId="3" fillId="0" borderId="12" xfId="0" applyFont="1" applyFill="1" applyBorder="1" applyAlignment="1" applyProtection="1">
      <alignment horizontal="left" vertical="center" wrapText="1"/>
    </xf>
    <xf numFmtId="49" fontId="3" fillId="0" borderId="13" xfId="0" applyNumberFormat="1" applyFont="1" applyFill="1" applyBorder="1" applyAlignment="1" applyProtection="1">
      <alignment horizontal="left" vertical="center" wrapText="1"/>
    </xf>
    <xf numFmtId="49" fontId="3" fillId="0" borderId="11" xfId="0" applyNumberFormat="1" applyFont="1" applyFill="1" applyBorder="1" applyAlignment="1">
      <alignment horizontal="center" vertical="center" wrapText="1"/>
    </xf>
    <xf numFmtId="49" fontId="3" fillId="0" borderId="11" xfId="0" applyNumberFormat="1" applyFont="1" applyFill="1" applyBorder="1" applyAlignment="1">
      <alignment horizontal="left" vertical="center" wrapText="1"/>
    </xf>
    <xf numFmtId="49" fontId="46" fillId="0" borderId="1" xfId="0" applyNumberFormat="1" applyFont="1" applyFill="1" applyBorder="1" applyAlignment="1">
      <alignment horizontal="left" vertical="center" wrapText="1"/>
    </xf>
    <xf numFmtId="3" fontId="3" fillId="0" borderId="11" xfId="0" applyNumberFormat="1" applyFont="1" applyFill="1" applyBorder="1" applyAlignment="1">
      <alignment horizontal="left" vertical="center" wrapText="1"/>
    </xf>
    <xf numFmtId="9" fontId="3" fillId="0" borderId="11" xfId="3" applyFont="1" applyFill="1" applyBorder="1" applyAlignment="1">
      <alignment horizontal="center" vertical="center" wrapText="1"/>
    </xf>
    <xf numFmtId="3" fontId="20" fillId="0" borderId="11" xfId="0" applyNumberFormat="1" applyFont="1" applyFill="1" applyBorder="1" applyAlignment="1">
      <alignment horizontal="center" vertical="center" wrapText="1"/>
    </xf>
    <xf numFmtId="168" fontId="8" fillId="0" borderId="11" xfId="0" applyNumberFormat="1" applyFont="1" applyFill="1" applyBorder="1" applyAlignment="1">
      <alignment horizontal="right" vertical="center" wrapText="1"/>
    </xf>
    <xf numFmtId="168" fontId="8" fillId="0" borderId="11" xfId="0" applyNumberFormat="1" applyFont="1" applyFill="1" applyBorder="1" applyAlignment="1">
      <alignment horizontal="center" vertical="center" wrapText="1"/>
    </xf>
    <xf numFmtId="166" fontId="8" fillId="0" borderId="11" xfId="0" applyNumberFormat="1" applyFont="1" applyFill="1" applyBorder="1" applyAlignment="1">
      <alignment horizontal="right" vertical="center" wrapText="1"/>
    </xf>
    <xf numFmtId="0" fontId="47" fillId="0" borderId="1" xfId="0" applyFont="1" applyFill="1" applyBorder="1" applyAlignment="1" applyProtection="1">
      <alignment vertical="top" wrapText="1"/>
    </xf>
    <xf numFmtId="0" fontId="46" fillId="0" borderId="4" xfId="0" applyFont="1" applyFill="1" applyBorder="1" applyAlignment="1" applyProtection="1">
      <alignment horizontal="left" vertical="center" wrapText="1"/>
    </xf>
    <xf numFmtId="49" fontId="46" fillId="0" borderId="5" xfId="0" applyNumberFormat="1" applyFont="1" applyFill="1" applyBorder="1" applyAlignment="1" applyProtection="1">
      <alignment horizontal="left" vertical="center" wrapText="1"/>
    </xf>
    <xf numFmtId="49" fontId="46" fillId="0" borderId="1" xfId="0" applyNumberFormat="1" applyFont="1" applyFill="1" applyBorder="1" applyAlignment="1">
      <alignment horizontal="center" vertical="center" wrapText="1"/>
    </xf>
    <xf numFmtId="0" fontId="3" fillId="3" borderId="0" xfId="0" applyFont="1" applyFill="1" applyAlignment="1">
      <alignment wrapText="1"/>
    </xf>
    <xf numFmtId="3" fontId="3" fillId="0" borderId="1" xfId="1" applyNumberFormat="1" applyFont="1" applyFill="1" applyBorder="1" applyAlignment="1">
      <alignment horizontal="center" vertical="center" wrapText="1"/>
    </xf>
    <xf numFmtId="9" fontId="0" fillId="0" borderId="1" xfId="3" applyNumberFormat="1" applyFont="1" applyFill="1" applyBorder="1" applyAlignment="1">
      <alignment horizontal="center" vertical="center"/>
    </xf>
    <xf numFmtId="49" fontId="3" fillId="0" borderId="5"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22" fillId="6" borderId="5" xfId="0" applyNumberFormat="1" applyFont="1" applyFill="1" applyBorder="1" applyAlignment="1" applyProtection="1">
      <alignment horizontal="left" vertical="top" wrapText="1"/>
    </xf>
    <xf numFmtId="49" fontId="3" fillId="0" borderId="5" xfId="0" applyNumberFormat="1" applyFont="1" applyFill="1" applyBorder="1" applyAlignment="1" applyProtection="1">
      <alignment horizontal="left" vertical="top" wrapText="1"/>
    </xf>
    <xf numFmtId="166" fontId="8" fillId="17" borderId="1" xfId="0" applyNumberFormat="1" applyFont="1" applyFill="1" applyBorder="1" applyAlignment="1">
      <alignment horizontal="right" vertical="center" wrapText="1"/>
    </xf>
    <xf numFmtId="49" fontId="26" fillId="0" borderId="16" xfId="0" applyNumberFormat="1" applyFont="1" applyFill="1" applyBorder="1" applyAlignment="1" applyProtection="1">
      <alignment horizontal="center" vertical="center" wrapText="1"/>
    </xf>
    <xf numFmtId="168" fontId="8" fillId="0" borderId="1" xfId="420" applyNumberFormat="1" applyFont="1" applyFill="1" applyBorder="1" applyAlignment="1">
      <alignment horizontal="center" vertical="center" wrapText="1"/>
    </xf>
    <xf numFmtId="0" fontId="3" fillId="0" borderId="0" xfId="0" applyFont="1" applyFill="1"/>
    <xf numFmtId="168" fontId="15" fillId="0" borderId="1" xfId="0" applyNumberFormat="1" applyFont="1" applyFill="1" applyBorder="1" applyAlignment="1">
      <alignment horizontal="center" vertical="center" wrapText="1"/>
    </xf>
    <xf numFmtId="3" fontId="3" fillId="0" borderId="1" xfId="1" applyNumberFormat="1" applyFont="1" applyFill="1" applyBorder="1" applyAlignment="1">
      <alignment horizontal="left" vertical="center" wrapText="1"/>
    </xf>
    <xf numFmtId="3" fontId="3" fillId="0" borderId="1" xfId="3" applyNumberFormat="1" applyFont="1" applyFill="1" applyBorder="1" applyAlignment="1">
      <alignment horizontal="center" vertical="center" wrapText="1"/>
    </xf>
    <xf numFmtId="0" fontId="48" fillId="18" borderId="1" xfId="0" applyFont="1" applyFill="1" applyBorder="1" applyAlignment="1" applyProtection="1">
      <alignment vertical="top" wrapText="1"/>
    </xf>
    <xf numFmtId="0" fontId="16" fillId="18" borderId="4" xfId="0" applyFont="1" applyFill="1" applyBorder="1" applyAlignment="1" applyProtection="1">
      <alignment horizontal="left" vertical="center" wrapText="1"/>
    </xf>
    <xf numFmtId="49" fontId="49" fillId="18" borderId="4" xfId="0" applyNumberFormat="1" applyFont="1" applyFill="1" applyBorder="1" applyAlignment="1" applyProtection="1">
      <alignment horizontal="center" vertical="center" wrapText="1"/>
    </xf>
    <xf numFmtId="49" fontId="16" fillId="18" borderId="1" xfId="0" applyNumberFormat="1" applyFont="1" applyFill="1" applyBorder="1" applyAlignment="1">
      <alignment horizontal="center" vertical="center" wrapText="1"/>
    </xf>
    <xf numFmtId="49" fontId="16" fillId="18" borderId="1" xfId="0" applyNumberFormat="1" applyFont="1" applyFill="1" applyBorder="1" applyAlignment="1">
      <alignment horizontal="left" vertical="center" wrapText="1"/>
    </xf>
    <xf numFmtId="171" fontId="16" fillId="18" borderId="1" xfId="1" applyNumberFormat="1" applyFont="1" applyFill="1" applyBorder="1" applyAlignment="1" applyProtection="1">
      <alignment horizontal="left" vertical="center" wrapText="1"/>
    </xf>
    <xf numFmtId="171" fontId="16" fillId="18" borderId="1" xfId="0" applyNumberFormat="1" applyFont="1" applyFill="1" applyBorder="1" applyAlignment="1">
      <alignment horizontal="center" vertical="center" wrapText="1"/>
    </xf>
    <xf numFmtId="0" fontId="48" fillId="0" borderId="1" xfId="0" applyFont="1" applyBorder="1" applyAlignment="1" applyProtection="1">
      <alignment horizontal="left" vertical="center" wrapText="1"/>
    </xf>
    <xf numFmtId="0" fontId="16" fillId="0" borderId="4" xfId="0" applyFont="1" applyBorder="1" applyAlignment="1" applyProtection="1">
      <alignment horizontal="left" vertical="center" wrapText="1"/>
    </xf>
    <xf numFmtId="49" fontId="16" fillId="0" borderId="5" xfId="0" applyNumberFormat="1" applyFont="1" applyBorder="1" applyAlignment="1" applyProtection="1">
      <alignment horizontal="left" vertical="center" wrapText="1"/>
    </xf>
    <xf numFmtId="49" fontId="16"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171" fontId="16" fillId="0" borderId="1" xfId="1" applyNumberFormat="1" applyFont="1" applyBorder="1" applyAlignment="1" applyProtection="1">
      <alignment horizontal="left" vertical="center" wrapText="1"/>
    </xf>
    <xf numFmtId="171" fontId="16" fillId="0" borderId="1" xfId="0" applyNumberFormat="1" applyFont="1" applyBorder="1" applyAlignment="1">
      <alignment horizontal="center" vertical="center" wrapText="1"/>
    </xf>
    <xf numFmtId="0" fontId="48" fillId="19" borderId="1" xfId="0" applyFont="1" applyFill="1" applyBorder="1" applyAlignment="1" applyProtection="1">
      <alignment horizontal="left" vertical="center" wrapText="1"/>
    </xf>
    <xf numFmtId="49" fontId="16" fillId="19" borderId="1" xfId="0" applyNumberFormat="1" applyFont="1" applyFill="1" applyBorder="1" applyAlignment="1">
      <alignment horizontal="center" vertical="center" wrapText="1"/>
    </xf>
    <xf numFmtId="49" fontId="16" fillId="19" borderId="1" xfId="0" applyNumberFormat="1" applyFont="1" applyFill="1" applyBorder="1" applyAlignment="1">
      <alignment horizontal="left" vertical="center" wrapText="1"/>
    </xf>
    <xf numFmtId="0" fontId="16" fillId="19" borderId="1" xfId="0" applyFont="1" applyFill="1" applyBorder="1" applyAlignment="1">
      <alignment horizontal="left" vertical="center" wrapText="1"/>
    </xf>
    <xf numFmtId="0" fontId="16" fillId="19" borderId="1" xfId="0" applyFont="1" applyFill="1" applyBorder="1" applyAlignment="1">
      <alignment horizontal="center" vertical="center" wrapText="1"/>
    </xf>
    <xf numFmtId="0" fontId="12" fillId="19" borderId="1" xfId="0" applyFont="1" applyFill="1" applyBorder="1" applyAlignment="1">
      <alignment horizontal="center" vertical="center" wrapText="1"/>
    </xf>
    <xf numFmtId="171" fontId="16" fillId="19" borderId="1" xfId="0" applyNumberFormat="1" applyFont="1" applyFill="1" applyBorder="1" applyAlignment="1">
      <alignment horizontal="center" vertical="center" wrapText="1"/>
    </xf>
    <xf numFmtId="171" fontId="16" fillId="19" borderId="1" xfId="0" applyNumberFormat="1" applyFont="1" applyFill="1" applyBorder="1" applyAlignment="1">
      <alignment horizontal="left" vertical="center" wrapText="1"/>
    </xf>
    <xf numFmtId="0" fontId="48" fillId="0" borderId="1" xfId="0" applyFont="1" applyBorder="1" applyAlignment="1" applyProtection="1">
      <alignment vertical="top" wrapText="1"/>
    </xf>
    <xf numFmtId="172" fontId="16" fillId="0" borderId="1" xfId="1" applyNumberFormat="1" applyFont="1" applyBorder="1" applyAlignment="1" applyProtection="1">
      <alignment horizontal="center" vertical="center" wrapText="1"/>
    </xf>
    <xf numFmtId="172" fontId="16" fillId="0" borderId="1" xfId="0" applyNumberFormat="1" applyFont="1" applyBorder="1" applyAlignment="1">
      <alignment horizontal="center" vertical="center" wrapText="1"/>
    </xf>
    <xf numFmtId="0" fontId="51" fillId="0" borderId="1" xfId="0" applyFont="1" applyBorder="1" applyAlignment="1" applyProtection="1">
      <alignment vertical="top" wrapText="1"/>
    </xf>
    <xf numFmtId="49" fontId="52" fillId="0" borderId="1" xfId="0" applyNumberFormat="1" applyFont="1" applyBorder="1" applyAlignment="1">
      <alignment horizontal="center" vertical="center" wrapText="1"/>
    </xf>
    <xf numFmtId="49" fontId="52" fillId="0" borderId="1" xfId="0" applyNumberFormat="1" applyFont="1" applyBorder="1" applyAlignment="1">
      <alignment horizontal="left" vertical="center" wrapText="1"/>
    </xf>
    <xf numFmtId="171" fontId="52" fillId="0" borderId="1" xfId="0" applyNumberFormat="1" applyFont="1" applyBorder="1" applyAlignment="1">
      <alignment horizontal="left" vertical="center" wrapText="1"/>
    </xf>
    <xf numFmtId="171" fontId="52" fillId="0" borderId="1" xfId="0" applyNumberFormat="1" applyFont="1" applyBorder="1" applyAlignment="1">
      <alignment horizontal="center" vertical="center" wrapText="1"/>
    </xf>
    <xf numFmtId="0" fontId="16" fillId="18" borderId="1" xfId="0" applyFont="1" applyFill="1" applyBorder="1" applyAlignment="1" applyProtection="1">
      <alignment horizontal="left" vertical="center" wrapText="1"/>
    </xf>
    <xf numFmtId="49" fontId="49" fillId="18" borderId="1" xfId="0" applyNumberFormat="1" applyFont="1" applyFill="1" applyBorder="1" applyAlignment="1" applyProtection="1">
      <alignment horizontal="center" vertical="center" wrapText="1"/>
    </xf>
    <xf numFmtId="49" fontId="16" fillId="18" borderId="1" xfId="0" applyNumberFormat="1" applyFont="1" applyFill="1" applyBorder="1" applyAlignment="1" applyProtection="1">
      <alignment horizontal="left" vertical="center" wrapText="1"/>
    </xf>
    <xf numFmtId="0" fontId="16" fillId="0" borderId="1" xfId="0" applyFont="1" applyBorder="1" applyAlignment="1" applyProtection="1">
      <alignment horizontal="left" vertical="center" wrapText="1"/>
    </xf>
    <xf numFmtId="49" fontId="16" fillId="0" borderId="1" xfId="0" applyNumberFormat="1" applyFont="1" applyBorder="1" applyAlignment="1" applyProtection="1">
      <alignment horizontal="left" vertical="center" wrapText="1"/>
    </xf>
    <xf numFmtId="0" fontId="16" fillId="19" borderId="1" xfId="0" applyFont="1" applyFill="1" applyBorder="1" applyAlignment="1" applyProtection="1">
      <alignment horizontal="left" vertical="center" wrapText="1"/>
    </xf>
    <xf numFmtId="49" fontId="16" fillId="19" borderId="1" xfId="0" applyNumberFormat="1" applyFont="1" applyFill="1" applyBorder="1" applyAlignment="1" applyProtection="1">
      <alignment horizontal="left" vertical="center" wrapText="1"/>
    </xf>
    <xf numFmtId="172" fontId="16" fillId="0" borderId="1" xfId="0" applyNumberFormat="1" applyFont="1" applyBorder="1" applyAlignment="1">
      <alignment horizontal="left" vertical="center" wrapText="1"/>
    </xf>
    <xf numFmtId="0" fontId="0" fillId="0" borderId="1" xfId="0" applyBorder="1"/>
    <xf numFmtId="173" fontId="50" fillId="0" borderId="1" xfId="0" applyNumberFormat="1" applyFont="1" applyBorder="1" applyAlignment="1">
      <alignment horizontal="right" vertical="center" wrapText="1"/>
    </xf>
    <xf numFmtId="49" fontId="16" fillId="18" borderId="5" xfId="0" applyNumberFormat="1" applyFont="1" applyFill="1" applyBorder="1" applyAlignment="1" applyProtection="1">
      <alignment horizontal="left" vertical="center" wrapText="1"/>
    </xf>
    <xf numFmtId="49" fontId="16" fillId="0" borderId="5" xfId="0" applyNumberFormat="1" applyFont="1" applyBorder="1" applyAlignment="1">
      <alignment horizontal="center" vertical="center" wrapText="1"/>
    </xf>
    <xf numFmtId="49" fontId="26" fillId="0" borderId="12" xfId="0" applyNumberFormat="1" applyFont="1" applyFill="1" applyBorder="1" applyAlignment="1" applyProtection="1">
      <alignment horizontal="center" vertical="center" wrapText="1"/>
    </xf>
    <xf numFmtId="49" fontId="3" fillId="0" borderId="11" xfId="0" applyNumberFormat="1" applyFont="1" applyFill="1" applyBorder="1" applyAlignment="1" applyProtection="1">
      <alignment horizontal="left" vertical="center" wrapText="1"/>
    </xf>
    <xf numFmtId="3" fontId="3" fillId="0" borderId="11" xfId="0" applyNumberFormat="1" applyFont="1" applyFill="1" applyBorder="1" applyAlignment="1">
      <alignment horizontal="right" vertical="center" wrapText="1"/>
    </xf>
    <xf numFmtId="3" fontId="3" fillId="0" borderId="11" xfId="0" applyNumberFormat="1" applyFont="1" applyFill="1" applyBorder="1" applyAlignment="1">
      <alignment horizontal="center" vertical="center" wrapText="1"/>
    </xf>
    <xf numFmtId="3" fontId="43" fillId="0" borderId="11" xfId="0" applyNumberFormat="1" applyFont="1" applyFill="1" applyBorder="1" applyAlignment="1">
      <alignment horizontal="center" vertical="center" wrapText="1"/>
    </xf>
    <xf numFmtId="3" fontId="44" fillId="0" borderId="11" xfId="0" applyNumberFormat="1" applyFont="1" applyFill="1" applyBorder="1" applyAlignment="1">
      <alignment horizontal="center" vertical="center" wrapText="1"/>
    </xf>
    <xf numFmtId="168" fontId="41" fillId="0" borderId="11" xfId="0" applyNumberFormat="1" applyFont="1" applyFill="1" applyBorder="1" applyAlignment="1">
      <alignment horizontal="right" vertical="center" wrapText="1"/>
    </xf>
    <xf numFmtId="168" fontId="41" fillId="0" borderId="11" xfId="0" applyNumberFormat="1" applyFont="1" applyFill="1" applyBorder="1" applyAlignment="1">
      <alignment horizontal="center" vertical="center" wrapText="1"/>
    </xf>
    <xf numFmtId="166" fontId="41" fillId="0" borderId="11" xfId="0" applyNumberFormat="1" applyFont="1" applyFill="1" applyBorder="1" applyAlignment="1">
      <alignment horizontal="right" vertical="center" wrapText="1"/>
    </xf>
    <xf numFmtId="49" fontId="16" fillId="0" borderId="11" xfId="0" applyNumberFormat="1" applyFont="1" applyBorder="1" applyAlignment="1">
      <alignment horizontal="center" vertical="center" wrapText="1"/>
    </xf>
    <xf numFmtId="0" fontId="21" fillId="20" borderId="1" xfId="0" applyFont="1" applyFill="1" applyBorder="1" applyAlignment="1" applyProtection="1">
      <alignment vertical="top" wrapText="1"/>
    </xf>
    <xf numFmtId="49" fontId="22" fillId="20" borderId="1" xfId="0" applyNumberFormat="1" applyFont="1" applyFill="1" applyBorder="1" applyAlignment="1">
      <alignment horizontal="center" vertical="center" wrapText="1"/>
    </xf>
    <xf numFmtId="170" fontId="12" fillId="0" borderId="0" xfId="0" applyNumberFormat="1" applyFont="1" applyFill="1" applyBorder="1" applyAlignment="1">
      <alignment vertical="center"/>
    </xf>
    <xf numFmtId="0" fontId="22" fillId="20" borderId="1" xfId="0" applyFont="1" applyFill="1" applyBorder="1" applyAlignment="1" applyProtection="1">
      <alignment horizontal="left" vertical="center" wrapText="1"/>
    </xf>
    <xf numFmtId="49" fontId="25" fillId="20" borderId="1" xfId="0" applyNumberFormat="1" applyFont="1" applyFill="1" applyBorder="1" applyAlignment="1" applyProtection="1">
      <alignment horizontal="center" vertical="center" wrapText="1"/>
    </xf>
    <xf numFmtId="49" fontId="22" fillId="20" borderId="1" xfId="0" applyNumberFormat="1" applyFont="1" applyFill="1" applyBorder="1" applyAlignment="1" applyProtection="1">
      <alignment horizontal="left" vertical="center" wrapText="1"/>
    </xf>
    <xf numFmtId="168" fontId="8" fillId="0" borderId="1" xfId="3" applyNumberFormat="1" applyFont="1" applyFill="1" applyBorder="1" applyAlignment="1">
      <alignment horizontal="center" vertical="center" wrapText="1"/>
    </xf>
    <xf numFmtId="168" fontId="41" fillId="0" borderId="1" xfId="420" applyNumberFormat="1" applyFont="1" applyFill="1" applyBorder="1" applyAlignment="1">
      <alignment horizontal="center" vertical="center" wrapText="1"/>
    </xf>
    <xf numFmtId="168" fontId="41" fillId="0" borderId="11" xfId="420" applyNumberFormat="1" applyFont="1" applyFill="1" applyBorder="1" applyAlignment="1">
      <alignment horizontal="center" vertical="center" wrapText="1"/>
    </xf>
    <xf numFmtId="174" fontId="0" fillId="0" borderId="0" xfId="0" pivotButton="1" applyNumberFormat="1"/>
    <xf numFmtId="174" fontId="0" fillId="0" borderId="0" xfId="0" applyNumberFormat="1"/>
    <xf numFmtId="174" fontId="0" fillId="0" borderId="0" xfId="0" applyNumberFormat="1" applyAlignment="1">
      <alignment wrapText="1"/>
    </xf>
    <xf numFmtId="0" fontId="15" fillId="3" borderId="1" xfId="0" applyFont="1" applyFill="1" applyBorder="1" applyAlignment="1" applyProtection="1">
      <alignment vertical="top" wrapText="1"/>
    </xf>
    <xf numFmtId="0" fontId="3" fillId="3" borderId="4" xfId="0" applyFont="1" applyFill="1" applyBorder="1" applyAlignment="1" applyProtection="1">
      <alignment horizontal="left" vertical="center" wrapText="1"/>
    </xf>
    <xf numFmtId="49" fontId="3" fillId="3" borderId="5" xfId="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56" fillId="0" borderId="17" xfId="0" applyFont="1" applyBorder="1" applyAlignment="1">
      <alignment horizontal="left"/>
    </xf>
    <xf numFmtId="43" fontId="3" fillId="0" borderId="0" xfId="1" applyFont="1" applyAlignment="1">
      <alignment vertical="top" wrapText="1"/>
    </xf>
    <xf numFmtId="165" fontId="3" fillId="0" borderId="0" xfId="0" applyNumberFormat="1" applyFont="1" applyAlignment="1">
      <alignment vertical="top" wrapText="1"/>
    </xf>
    <xf numFmtId="49" fontId="26" fillId="4" borderId="16" xfId="0" applyNumberFormat="1" applyFont="1" applyFill="1" applyBorder="1" applyAlignment="1" applyProtection="1">
      <alignment horizontal="center" vertical="center" wrapText="1"/>
    </xf>
    <xf numFmtId="0" fontId="56" fillId="0" borderId="0" xfId="0" applyFont="1" applyAlignment="1">
      <alignment horizontal="left" indent="1"/>
    </xf>
    <xf numFmtId="9" fontId="12" fillId="0" borderId="0" xfId="3" applyFont="1" applyFill="1" applyAlignment="1">
      <alignment vertical="center"/>
    </xf>
    <xf numFmtId="168" fontId="22" fillId="20" borderId="1" xfId="0" applyNumberFormat="1" applyFont="1" applyFill="1" applyBorder="1" applyAlignment="1">
      <alignment horizontal="center" vertical="center" wrapText="1"/>
    </xf>
    <xf numFmtId="49" fontId="26" fillId="4" borderId="4" xfId="0" applyNumberFormat="1" applyFont="1" applyFill="1" applyBorder="1" applyAlignment="1" applyProtection="1">
      <alignment horizontal="center" vertical="center" wrapText="1"/>
    </xf>
    <xf numFmtId="9" fontId="0" fillId="0" borderId="0" xfId="3" applyFont="1"/>
    <xf numFmtId="0" fontId="5" fillId="8" borderId="7" xfId="0" applyFont="1" applyFill="1" applyBorder="1" applyAlignment="1">
      <alignment horizontal="center" vertical="center" textRotation="90" wrapText="1"/>
    </xf>
    <xf numFmtId="174" fontId="57" fillId="21" borderId="0" xfId="0" applyNumberFormat="1" applyFont="1" applyFill="1" applyAlignment="1">
      <alignment wrapText="1"/>
    </xf>
    <xf numFmtId="174" fontId="0" fillId="22" borderId="0" xfId="0" applyNumberFormat="1" applyFill="1"/>
    <xf numFmtId="166" fontId="8" fillId="2" borderId="6" xfId="0" applyNumberFormat="1" applyFont="1" applyFill="1" applyBorder="1" applyAlignment="1">
      <alignment horizontal="center" vertical="center" wrapText="1"/>
    </xf>
    <xf numFmtId="0" fontId="0" fillId="0" borderId="0" xfId="0" pivotButton="1" applyAlignment="1">
      <alignment vertical="center"/>
    </xf>
    <xf numFmtId="174" fontId="56" fillId="23" borderId="17" xfId="0" applyNumberFormat="1" applyFont="1" applyFill="1" applyBorder="1" applyAlignment="1">
      <alignment wrapText="1"/>
    </xf>
    <xf numFmtId="174" fontId="56" fillId="23" borderId="18" xfId="0" applyNumberFormat="1" applyFont="1" applyFill="1" applyBorder="1"/>
    <xf numFmtId="175" fontId="0" fillId="0" borderId="0" xfId="0" applyNumberFormat="1"/>
    <xf numFmtId="0" fontId="4" fillId="4" borderId="7" xfId="0"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6" fontId="8" fillId="0" borderId="11" xfId="0" applyNumberFormat="1" applyFont="1" applyFill="1" applyBorder="1" applyAlignment="1">
      <alignment horizontal="center" vertical="center" wrapText="1"/>
    </xf>
    <xf numFmtId="49" fontId="45" fillId="4" borderId="4" xfId="0" applyNumberFormat="1" applyFont="1" applyFill="1" applyBorder="1" applyAlignment="1" applyProtection="1">
      <alignment horizontal="center" vertical="center" wrapText="1"/>
    </xf>
    <xf numFmtId="4" fontId="42" fillId="2" borderId="6" xfId="0" applyNumberFormat="1" applyFont="1" applyFill="1" applyBorder="1" applyAlignment="1">
      <alignment horizontal="center" vertical="center" wrapText="1"/>
    </xf>
    <xf numFmtId="49" fontId="26" fillId="24" borderId="4" xfId="0" applyNumberFormat="1" applyFont="1" applyFill="1" applyBorder="1" applyAlignment="1" applyProtection="1">
      <alignment horizontal="center" vertical="center" wrapText="1"/>
    </xf>
    <xf numFmtId="49" fontId="26" fillId="4" borderId="1" xfId="0" applyNumberFormat="1" applyFont="1" applyFill="1" applyBorder="1" applyAlignment="1" applyProtection="1">
      <alignment horizontal="center" vertical="center" wrapText="1"/>
    </xf>
    <xf numFmtId="166" fontId="24" fillId="6" borderId="1" xfId="0" applyNumberFormat="1" applyFont="1" applyFill="1" applyBorder="1" applyAlignment="1">
      <alignment horizontal="center" vertical="center" wrapText="1"/>
    </xf>
    <xf numFmtId="166" fontId="8" fillId="5" borderId="1" xfId="0" applyNumberFormat="1" applyFont="1" applyFill="1" applyBorder="1" applyAlignment="1">
      <alignment horizontal="center" vertical="center" wrapText="1"/>
    </xf>
    <xf numFmtId="166" fontId="24" fillId="7" borderId="1" xfId="0" applyNumberFormat="1" applyFont="1" applyFill="1" applyBorder="1" applyAlignment="1">
      <alignment horizontal="center" vertical="center" wrapText="1"/>
    </xf>
    <xf numFmtId="166" fontId="24" fillId="20" borderId="1" xfId="0" applyNumberFormat="1" applyFont="1" applyFill="1" applyBorder="1" applyAlignment="1">
      <alignment horizontal="center" vertical="center" wrapText="1"/>
    </xf>
    <xf numFmtId="49" fontId="49" fillId="4" borderId="1" xfId="0" applyNumberFormat="1" applyFont="1" applyFill="1" applyBorder="1" applyAlignment="1" applyProtection="1">
      <alignment horizontal="center" vertical="center" wrapText="1"/>
    </xf>
    <xf numFmtId="49" fontId="49" fillId="4" borderId="4" xfId="0" applyNumberFormat="1" applyFont="1" applyFill="1" applyBorder="1" applyAlignment="1" applyProtection="1">
      <alignment horizontal="center" vertical="center" wrapText="1"/>
    </xf>
    <xf numFmtId="49" fontId="16" fillId="4" borderId="5" xfId="0" applyNumberFormat="1" applyFont="1" applyFill="1" applyBorder="1" applyAlignment="1">
      <alignment horizontal="center" vertical="center" wrapText="1"/>
    </xf>
    <xf numFmtId="49" fontId="49" fillId="25" borderId="1" xfId="0" applyNumberFormat="1" applyFont="1" applyFill="1" applyBorder="1" applyAlignment="1" applyProtection="1">
      <alignment horizontal="center" vertical="center" wrapText="1"/>
    </xf>
    <xf numFmtId="49" fontId="49" fillId="24" borderId="1" xfId="0" applyNumberFormat="1" applyFont="1" applyFill="1" applyBorder="1" applyAlignment="1" applyProtection="1">
      <alignment horizontal="center" vertical="center" wrapText="1"/>
    </xf>
    <xf numFmtId="0" fontId="24" fillId="6"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8" fillId="5" borderId="1" xfId="0" applyNumberFormat="1" applyFont="1" applyFill="1" applyBorder="1" applyAlignment="1">
      <alignment horizontal="center" vertical="center" wrapText="1"/>
    </xf>
    <xf numFmtId="0" fontId="24" fillId="7" borderId="1" xfId="0" applyNumberFormat="1" applyFont="1" applyFill="1" applyBorder="1" applyAlignment="1">
      <alignment horizontal="center" vertical="center" wrapText="1"/>
    </xf>
    <xf numFmtId="0" fontId="24" fillId="20" borderId="1" xfId="0" applyNumberFormat="1" applyFont="1" applyFill="1" applyBorder="1" applyAlignment="1">
      <alignment horizontal="center" vertical="center" wrapText="1"/>
    </xf>
    <xf numFmtId="49" fontId="49" fillId="26" borderId="1" xfId="0" applyNumberFormat="1" applyFont="1" applyFill="1" applyBorder="1" applyAlignment="1" applyProtection="1">
      <alignment horizontal="center" vertical="center" wrapText="1"/>
    </xf>
    <xf numFmtId="0" fontId="4" fillId="27" borderId="7" xfId="0" applyFont="1" applyFill="1" applyBorder="1" applyAlignment="1">
      <alignment horizontal="center" vertical="center" wrapText="1"/>
    </xf>
    <xf numFmtId="0" fontId="35" fillId="0" borderId="0" xfId="0" applyFont="1" applyAlignment="1">
      <alignment horizontal="left" vertical="center" wrapText="1"/>
    </xf>
    <xf numFmtId="0" fontId="29" fillId="9" borderId="0"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10" borderId="8" xfId="0" applyFont="1" applyFill="1" applyBorder="1" applyAlignment="1">
      <alignment horizontal="center" vertical="center" wrapText="1"/>
    </xf>
    <xf numFmtId="0" fontId="29" fillId="10" borderId="0" xfId="0" applyFont="1" applyFill="1" applyBorder="1" applyAlignment="1">
      <alignment horizontal="center" vertical="center" wrapText="1"/>
    </xf>
    <xf numFmtId="0" fontId="34" fillId="16" borderId="0" xfId="0" applyFont="1" applyFill="1" applyBorder="1" applyAlignment="1">
      <alignment horizontal="center" vertical="center" wrapText="1"/>
    </xf>
    <xf numFmtId="168" fontId="27" fillId="0" borderId="14" xfId="420" applyNumberFormat="1" applyFont="1" applyBorder="1" applyAlignment="1">
      <alignment horizontal="center"/>
    </xf>
    <xf numFmtId="168" fontId="27" fillId="0" borderId="15" xfId="420" applyNumberFormat="1" applyFont="1" applyBorder="1" applyAlignment="1">
      <alignment horizontal="center"/>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cellXfs>
  <cellStyles count="2320">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xfId="328" builtinId="8" hidden="1"/>
    <cellStyle name="Hipervínculo" xfId="330" builtinId="8" hidden="1"/>
    <cellStyle name="Hipervínculo" xfId="332" builtinId="8" hidden="1"/>
    <cellStyle name="Hipervínculo" xfId="334" builtinId="8" hidden="1"/>
    <cellStyle name="Hipervínculo" xfId="336" builtinId="8" hidden="1"/>
    <cellStyle name="Hipervínculo" xfId="338" builtinId="8" hidden="1"/>
    <cellStyle name="Hipervínculo" xfId="340" builtinId="8" hidden="1"/>
    <cellStyle name="Hipervínculo" xfId="342" builtinId="8" hidden="1"/>
    <cellStyle name="Hipervínculo" xfId="344" builtinId="8" hidden="1"/>
    <cellStyle name="Hipervínculo" xfId="346" builtinId="8" hidden="1"/>
    <cellStyle name="Hipervínculo" xfId="348" builtinId="8" hidden="1"/>
    <cellStyle name="Hipervínculo" xfId="350" builtinId="8" hidden="1"/>
    <cellStyle name="Hipervínculo" xfId="352" builtinId="8" hidden="1"/>
    <cellStyle name="Hipervínculo" xfId="354" builtinId="8" hidden="1"/>
    <cellStyle name="Hipervínculo" xfId="356" builtinId="8" hidden="1"/>
    <cellStyle name="Hipervínculo" xfId="358" builtinId="8" hidden="1"/>
    <cellStyle name="Hipervínculo" xfId="360" builtinId="8" hidden="1"/>
    <cellStyle name="Hipervínculo" xfId="362" builtinId="8" hidden="1"/>
    <cellStyle name="Hipervínculo" xfId="364" builtinId="8" hidden="1"/>
    <cellStyle name="Hipervínculo" xfId="366" builtinId="8" hidden="1"/>
    <cellStyle name="Hipervínculo" xfId="368" builtinId="8" hidden="1"/>
    <cellStyle name="Hipervínculo" xfId="370" builtinId="8" hidden="1"/>
    <cellStyle name="Hipervínculo" xfId="372" builtinId="8" hidden="1"/>
    <cellStyle name="Hipervínculo" xfId="374" builtinId="8" hidden="1"/>
    <cellStyle name="Hipervínculo" xfId="376" builtinId="8" hidden="1"/>
    <cellStyle name="Hipervínculo" xfId="378" builtinId="8" hidden="1"/>
    <cellStyle name="Hipervínculo" xfId="380" builtinId="8" hidden="1"/>
    <cellStyle name="Hipervínculo" xfId="382" builtinId="8" hidden="1"/>
    <cellStyle name="Hipervínculo" xfId="384" builtinId="8" hidden="1"/>
    <cellStyle name="Hipervínculo" xfId="386" builtinId="8" hidden="1"/>
    <cellStyle name="Hipervínculo" xfId="388" builtinId="8" hidden="1"/>
    <cellStyle name="Hipervínculo" xfId="390" builtinId="8" hidden="1"/>
    <cellStyle name="Hipervínculo" xfId="392" builtinId="8" hidden="1"/>
    <cellStyle name="Hipervínculo" xfId="394" builtinId="8" hidden="1"/>
    <cellStyle name="Hipervínculo" xfId="396" builtinId="8" hidden="1"/>
    <cellStyle name="Hipervínculo" xfId="398" builtinId="8" hidden="1"/>
    <cellStyle name="Hipervínculo" xfId="400"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xfId="739" builtinId="8" hidden="1"/>
    <cellStyle name="Hipervínculo" xfId="741" builtinId="8" hidden="1"/>
    <cellStyle name="Hipervínculo" xfId="743" builtinId="8" hidden="1"/>
    <cellStyle name="Hipervínculo" xfId="745" builtinId="8" hidden="1"/>
    <cellStyle name="Hipervínculo" xfId="747" builtinId="8" hidden="1"/>
    <cellStyle name="Hipervínculo" xfId="749" builtinId="8" hidden="1"/>
    <cellStyle name="Hipervínculo" xfId="751" builtinId="8" hidden="1"/>
    <cellStyle name="Hipervínculo" xfId="753" builtinId="8" hidden="1"/>
    <cellStyle name="Hipervínculo" xfId="755" builtinId="8" hidden="1"/>
    <cellStyle name="Hipervínculo" xfId="757" builtinId="8" hidden="1"/>
    <cellStyle name="Hipervínculo" xfId="759" builtinId="8" hidden="1"/>
    <cellStyle name="Hipervínculo" xfId="761" builtinId="8" hidden="1"/>
    <cellStyle name="Hipervínculo" xfId="763" builtinId="8" hidden="1"/>
    <cellStyle name="Hipervínculo" xfId="765" builtinId="8" hidden="1"/>
    <cellStyle name="Hipervínculo" xfId="767" builtinId="8" hidden="1"/>
    <cellStyle name="Hipervínculo" xfId="769" builtinId="8" hidden="1"/>
    <cellStyle name="Hipervínculo" xfId="771" builtinId="8" hidden="1"/>
    <cellStyle name="Hipervínculo" xfId="773" builtinId="8" hidden="1"/>
    <cellStyle name="Hipervínculo" xfId="775" builtinId="8" hidden="1"/>
    <cellStyle name="Hipervínculo" xfId="777" builtinId="8" hidden="1"/>
    <cellStyle name="Hipervínculo" xfId="779" builtinId="8" hidden="1"/>
    <cellStyle name="Hipervínculo" xfId="781" builtinId="8" hidden="1"/>
    <cellStyle name="Hipervínculo" xfId="783" builtinId="8" hidden="1"/>
    <cellStyle name="Hipervínculo" xfId="785" builtinId="8" hidden="1"/>
    <cellStyle name="Hipervínculo" xfId="787" builtinId="8" hidden="1"/>
    <cellStyle name="Hipervínculo" xfId="789" builtinId="8" hidden="1"/>
    <cellStyle name="Hipervínculo" xfId="791" builtinId="8" hidden="1"/>
    <cellStyle name="Hipervínculo" xfId="793" builtinId="8" hidden="1"/>
    <cellStyle name="Hipervínculo" xfId="795" builtinId="8" hidden="1"/>
    <cellStyle name="Hipervínculo" xfId="797" builtinId="8" hidden="1"/>
    <cellStyle name="Hipervínculo" xfId="799" builtinId="8" hidden="1"/>
    <cellStyle name="Hipervínculo" xfId="801" builtinId="8" hidden="1"/>
    <cellStyle name="Hipervínculo" xfId="803" builtinId="8" hidden="1"/>
    <cellStyle name="Hipervínculo" xfId="805" builtinId="8" hidden="1"/>
    <cellStyle name="Hipervínculo" xfId="807" builtinId="8" hidden="1"/>
    <cellStyle name="Hipervínculo" xfId="809" builtinId="8" hidden="1"/>
    <cellStyle name="Hipervínculo" xfId="811" builtinId="8" hidden="1"/>
    <cellStyle name="Hipervínculo" xfId="813" builtinId="8" hidden="1"/>
    <cellStyle name="Hipervínculo" xfId="815" builtinId="8" hidden="1"/>
    <cellStyle name="Hipervínculo" xfId="817" builtinId="8" hidden="1"/>
    <cellStyle name="Hipervínculo" xfId="819" builtinId="8" hidden="1"/>
    <cellStyle name="Hipervínculo" xfId="821" builtinId="8" hidden="1"/>
    <cellStyle name="Hipervínculo" xfId="823" builtinId="8" hidden="1"/>
    <cellStyle name="Hipervínculo" xfId="825" builtinId="8" hidden="1"/>
    <cellStyle name="Hipervínculo" xfId="827" builtinId="8" hidden="1"/>
    <cellStyle name="Hipervínculo" xfId="829" builtinId="8" hidden="1"/>
    <cellStyle name="Hipervínculo" xfId="831" builtinId="8" hidden="1"/>
    <cellStyle name="Hipervínculo" xfId="833" builtinId="8" hidden="1"/>
    <cellStyle name="Hipervínculo" xfId="835" builtinId="8" hidden="1"/>
    <cellStyle name="Hipervínculo" xfId="837" builtinId="8" hidden="1"/>
    <cellStyle name="Hipervínculo" xfId="839" builtinId="8" hidden="1"/>
    <cellStyle name="Hipervínculo" xfId="841" builtinId="8" hidden="1"/>
    <cellStyle name="Hipervínculo" xfId="843" builtinId="8" hidden="1"/>
    <cellStyle name="Hipervínculo" xfId="845" builtinId="8" hidden="1"/>
    <cellStyle name="Hipervínculo" xfId="847" builtinId="8" hidden="1"/>
    <cellStyle name="Hipervínculo" xfId="849" builtinId="8" hidden="1"/>
    <cellStyle name="Hipervínculo" xfId="851" builtinId="8" hidden="1"/>
    <cellStyle name="Hipervínculo" xfId="853" builtinId="8" hidden="1"/>
    <cellStyle name="Hipervínculo" xfId="855" builtinId="8" hidden="1"/>
    <cellStyle name="Hipervínculo" xfId="857" builtinId="8" hidden="1"/>
    <cellStyle name="Hipervínculo" xfId="859" builtinId="8" hidden="1"/>
    <cellStyle name="Hipervínculo" xfId="861" builtinId="8" hidden="1"/>
    <cellStyle name="Hipervínculo" xfId="863" builtinId="8" hidden="1"/>
    <cellStyle name="Hipervínculo" xfId="865" builtinId="8" hidden="1"/>
    <cellStyle name="Hipervínculo" xfId="867" builtinId="8" hidden="1"/>
    <cellStyle name="Hipervínculo" xfId="869" builtinId="8" hidden="1"/>
    <cellStyle name="Hipervínculo" xfId="871" builtinId="8" hidden="1"/>
    <cellStyle name="Hipervínculo" xfId="873" builtinId="8" hidden="1"/>
    <cellStyle name="Hipervínculo" xfId="875" builtinId="8" hidden="1"/>
    <cellStyle name="Hipervínculo" xfId="877" builtinId="8" hidden="1"/>
    <cellStyle name="Hipervínculo" xfId="879" builtinId="8" hidden="1"/>
    <cellStyle name="Hipervínculo" xfId="881" builtinId="8" hidden="1"/>
    <cellStyle name="Hipervínculo" xfId="883" builtinId="8" hidden="1"/>
    <cellStyle name="Hipervínculo" xfId="885" builtinId="8" hidden="1"/>
    <cellStyle name="Hipervínculo" xfId="887" builtinId="8" hidden="1"/>
    <cellStyle name="Hipervínculo" xfId="889" builtinId="8" hidden="1"/>
    <cellStyle name="Hipervínculo" xfId="891" builtinId="8" hidden="1"/>
    <cellStyle name="Hipervínculo" xfId="893" builtinId="8" hidden="1"/>
    <cellStyle name="Hipervínculo" xfId="895" builtinId="8" hidden="1"/>
    <cellStyle name="Hipervínculo" xfId="897" builtinId="8" hidden="1"/>
    <cellStyle name="Hipervínculo" xfId="899" builtinId="8" hidden="1"/>
    <cellStyle name="Hipervínculo" xfId="901" builtinId="8" hidden="1"/>
    <cellStyle name="Hipervínculo" xfId="903" builtinId="8" hidden="1"/>
    <cellStyle name="Hipervínculo" xfId="905" builtinId="8" hidden="1"/>
    <cellStyle name="Hipervínculo" xfId="907" builtinId="8" hidden="1"/>
    <cellStyle name="Hipervínculo" xfId="909" builtinId="8" hidden="1"/>
    <cellStyle name="Hipervínculo" xfId="911" builtinId="8" hidden="1"/>
    <cellStyle name="Hipervínculo" xfId="913" builtinId="8" hidden="1"/>
    <cellStyle name="Hipervínculo" xfId="915" builtinId="8" hidden="1"/>
    <cellStyle name="Hipervínculo" xfId="917" builtinId="8" hidden="1"/>
    <cellStyle name="Hipervínculo" xfId="919" builtinId="8" hidden="1"/>
    <cellStyle name="Hipervínculo" xfId="921" builtinId="8" hidden="1"/>
    <cellStyle name="Hipervínculo" xfId="923" builtinId="8" hidden="1"/>
    <cellStyle name="Hipervínculo" xfId="925" builtinId="8" hidden="1"/>
    <cellStyle name="Hipervínculo" xfId="927" builtinId="8" hidden="1"/>
    <cellStyle name="Hipervínculo" xfId="929" builtinId="8" hidden="1"/>
    <cellStyle name="Hipervínculo" xfId="931" builtinId="8" hidden="1"/>
    <cellStyle name="Hipervínculo" xfId="933" builtinId="8" hidden="1"/>
    <cellStyle name="Hipervínculo" xfId="935" builtinId="8" hidden="1"/>
    <cellStyle name="Hipervínculo" xfId="937" builtinId="8" hidden="1"/>
    <cellStyle name="Hipervínculo" xfId="939" builtinId="8" hidden="1"/>
    <cellStyle name="Hipervínculo" xfId="941" builtinId="8" hidden="1"/>
    <cellStyle name="Hipervínculo" xfId="943" builtinId="8" hidden="1"/>
    <cellStyle name="Hipervínculo" xfId="945" builtinId="8" hidden="1"/>
    <cellStyle name="Hipervínculo" xfId="947" builtinId="8" hidden="1"/>
    <cellStyle name="Hipervínculo" xfId="949" builtinId="8" hidden="1"/>
    <cellStyle name="Hipervínculo" xfId="951" builtinId="8" hidden="1"/>
    <cellStyle name="Hipervínculo" xfId="953" builtinId="8" hidden="1"/>
    <cellStyle name="Hipervínculo" xfId="955" builtinId="8" hidden="1"/>
    <cellStyle name="Hipervínculo" xfId="957" builtinId="8" hidden="1"/>
    <cellStyle name="Hipervínculo" xfId="959" builtinId="8" hidden="1"/>
    <cellStyle name="Hipervínculo" xfId="961" builtinId="8" hidden="1"/>
    <cellStyle name="Hipervínculo" xfId="963" builtinId="8" hidden="1"/>
    <cellStyle name="Hipervínculo" xfId="965" builtinId="8" hidden="1"/>
    <cellStyle name="Hipervínculo" xfId="967" builtinId="8" hidden="1"/>
    <cellStyle name="Hipervínculo" xfId="969" builtinId="8" hidden="1"/>
    <cellStyle name="Hipervínculo" xfId="971" builtinId="8" hidden="1"/>
    <cellStyle name="Hipervínculo" xfId="973" builtinId="8" hidden="1"/>
    <cellStyle name="Hipervínculo" xfId="975" builtinId="8" hidden="1"/>
    <cellStyle name="Hipervínculo" xfId="977" builtinId="8" hidden="1"/>
    <cellStyle name="Hipervínculo" xfId="979" builtinId="8" hidden="1"/>
    <cellStyle name="Hipervínculo" xfId="981" builtinId="8" hidden="1"/>
    <cellStyle name="Hipervínculo" xfId="983" builtinId="8" hidden="1"/>
    <cellStyle name="Hipervínculo" xfId="985" builtinId="8" hidden="1"/>
    <cellStyle name="Hipervínculo" xfId="987" builtinId="8" hidden="1"/>
    <cellStyle name="Hipervínculo" xfId="989" builtinId="8" hidden="1"/>
    <cellStyle name="Hipervínculo" xfId="991" builtinId="8" hidden="1"/>
    <cellStyle name="Hipervínculo" xfId="993" builtinId="8" hidden="1"/>
    <cellStyle name="Hipervínculo" xfId="995" builtinId="8" hidden="1"/>
    <cellStyle name="Hipervínculo" xfId="997" builtinId="8" hidden="1"/>
    <cellStyle name="Hipervínculo" xfId="999" builtinId="8" hidden="1"/>
    <cellStyle name="Hipervínculo" xfId="1001" builtinId="8" hidden="1"/>
    <cellStyle name="Hipervínculo" xfId="1003" builtinId="8" hidden="1"/>
    <cellStyle name="Hipervínculo" xfId="1005" builtinId="8" hidden="1"/>
    <cellStyle name="Hipervínculo" xfId="1007" builtinId="8" hidden="1"/>
    <cellStyle name="Hipervínculo" xfId="1009" builtinId="8" hidden="1"/>
    <cellStyle name="Hipervínculo" xfId="1011" builtinId="8" hidden="1"/>
    <cellStyle name="Hipervínculo" xfId="1013" builtinId="8" hidden="1"/>
    <cellStyle name="Hipervínculo" xfId="1015" builtinId="8" hidden="1"/>
    <cellStyle name="Hipervínculo" xfId="1017" builtinId="8" hidden="1"/>
    <cellStyle name="Hipervínculo" xfId="1019" builtinId="8" hidden="1"/>
    <cellStyle name="Hipervínculo" xfId="1021" builtinId="8" hidden="1"/>
    <cellStyle name="Hipervínculo" xfId="1023" builtinId="8" hidden="1"/>
    <cellStyle name="Hipervínculo" xfId="1025" builtinId="8" hidden="1"/>
    <cellStyle name="Hipervínculo" xfId="1027" builtinId="8" hidden="1"/>
    <cellStyle name="Hipervínculo" xfId="1029" builtinId="8" hidden="1"/>
    <cellStyle name="Hipervínculo" xfId="1031" builtinId="8" hidden="1"/>
    <cellStyle name="Hipervínculo" xfId="1033" builtinId="8" hidden="1"/>
    <cellStyle name="Hipervínculo" xfId="1035" builtinId="8" hidden="1"/>
    <cellStyle name="Hipervínculo" xfId="1037" builtinId="8" hidden="1"/>
    <cellStyle name="Hipervínculo" xfId="1039" builtinId="8" hidden="1"/>
    <cellStyle name="Hipervínculo" xfId="1041" builtinId="8" hidden="1"/>
    <cellStyle name="Hipervínculo" xfId="1043" builtinId="8" hidden="1"/>
    <cellStyle name="Hipervínculo" xfId="1045" builtinId="8" hidden="1"/>
    <cellStyle name="Hipervínculo" xfId="1047" builtinId="8" hidden="1"/>
    <cellStyle name="Hipervínculo" xfId="1049" builtinId="8" hidden="1"/>
    <cellStyle name="Hipervínculo" xfId="1051" builtinId="8" hidden="1"/>
    <cellStyle name="Hipervínculo" xfId="1053" builtinId="8" hidden="1"/>
    <cellStyle name="Hipervínculo" xfId="1055" builtinId="8" hidden="1"/>
    <cellStyle name="Hipervínculo" xfId="1057" builtinId="8" hidden="1"/>
    <cellStyle name="Hipervínculo" xfId="1059" builtinId="8" hidden="1"/>
    <cellStyle name="Hipervínculo" xfId="1061" builtinId="8" hidden="1"/>
    <cellStyle name="Hipervínculo" xfId="1063" builtinId="8" hidden="1"/>
    <cellStyle name="Hipervínculo" xfId="1065" builtinId="8" hidden="1"/>
    <cellStyle name="Hipervínculo" xfId="1067" builtinId="8" hidden="1"/>
    <cellStyle name="Hipervínculo" xfId="1069" builtinId="8" hidden="1"/>
    <cellStyle name="Hipervínculo" xfId="1071" builtinId="8" hidden="1"/>
    <cellStyle name="Hipervínculo" xfId="1073" builtinId="8" hidden="1"/>
    <cellStyle name="Hipervínculo" xfId="1075" builtinId="8" hidden="1"/>
    <cellStyle name="Hipervínculo" xfId="1077" builtinId="8" hidden="1"/>
    <cellStyle name="Hipervínculo" xfId="1079" builtinId="8" hidden="1"/>
    <cellStyle name="Hipervínculo" xfId="1081" builtinId="8" hidden="1"/>
    <cellStyle name="Hipervínculo" xfId="1083" builtinId="8" hidden="1"/>
    <cellStyle name="Hipervínculo" xfId="1085" builtinId="8" hidden="1"/>
    <cellStyle name="Hipervínculo" xfId="1087" builtinId="8" hidden="1"/>
    <cellStyle name="Hipervínculo" xfId="1089" builtinId="8" hidden="1"/>
    <cellStyle name="Hipervínculo" xfId="1091" builtinId="8" hidden="1"/>
    <cellStyle name="Hipervínculo" xfId="1093" builtinId="8" hidden="1"/>
    <cellStyle name="Hipervínculo" xfId="1095" builtinId="8" hidden="1"/>
    <cellStyle name="Hipervínculo" xfId="1097" builtinId="8" hidden="1"/>
    <cellStyle name="Hipervínculo" xfId="1099" builtinId="8" hidden="1"/>
    <cellStyle name="Hipervínculo" xfId="1101" builtinId="8" hidden="1"/>
    <cellStyle name="Hipervínculo" xfId="1103" builtinId="8" hidden="1"/>
    <cellStyle name="Hipervínculo" xfId="1105" builtinId="8" hidden="1"/>
    <cellStyle name="Hipervínculo" xfId="1107" builtinId="8" hidden="1"/>
    <cellStyle name="Hipervínculo" xfId="1109" builtinId="8" hidden="1"/>
    <cellStyle name="Hipervínculo" xfId="1111" builtinId="8" hidden="1"/>
    <cellStyle name="Hipervínculo" xfId="1113" builtinId="8" hidden="1"/>
    <cellStyle name="Hipervínculo" xfId="1115" builtinId="8" hidden="1"/>
    <cellStyle name="Hipervínculo" xfId="1117" builtinId="8" hidden="1"/>
    <cellStyle name="Hipervínculo" xfId="1119" builtinId="8" hidden="1"/>
    <cellStyle name="Hipervínculo" xfId="1121" builtinId="8" hidden="1"/>
    <cellStyle name="Hipervínculo" xfId="1123" builtinId="8" hidden="1"/>
    <cellStyle name="Hipervínculo" xfId="1125" builtinId="8" hidden="1"/>
    <cellStyle name="Hipervínculo" xfId="1127" builtinId="8" hidden="1"/>
    <cellStyle name="Hipervínculo" xfId="1129" builtinId="8" hidden="1"/>
    <cellStyle name="Hipervínculo" xfId="1131" builtinId="8" hidden="1"/>
    <cellStyle name="Hipervínculo" xfId="1133" builtinId="8" hidden="1"/>
    <cellStyle name="Hipervínculo" xfId="1135" builtinId="8" hidden="1"/>
    <cellStyle name="Hipervínculo" xfId="1137" builtinId="8" hidden="1"/>
    <cellStyle name="Hipervínculo" xfId="1139" builtinId="8" hidden="1"/>
    <cellStyle name="Hipervínculo" xfId="1141" builtinId="8" hidden="1"/>
    <cellStyle name="Hipervínculo" xfId="1143" builtinId="8" hidden="1"/>
    <cellStyle name="Hipervínculo" xfId="1145" builtinId="8" hidden="1"/>
    <cellStyle name="Hipervínculo" xfId="1147" builtinId="8" hidden="1"/>
    <cellStyle name="Hipervínculo" xfId="1150" builtinId="8" hidden="1"/>
    <cellStyle name="Hipervínculo" xfId="1152" builtinId="8" hidden="1"/>
    <cellStyle name="Hipervínculo" xfId="1154" builtinId="8" hidden="1"/>
    <cellStyle name="Hipervínculo" xfId="1156" builtinId="8" hidden="1"/>
    <cellStyle name="Hipervínculo" xfId="1158" builtinId="8" hidden="1"/>
    <cellStyle name="Hipervínculo" xfId="1160" builtinId="8" hidden="1"/>
    <cellStyle name="Hipervínculo" xfId="1162" builtinId="8" hidden="1"/>
    <cellStyle name="Hipervínculo" xfId="1164" builtinId="8" hidden="1"/>
    <cellStyle name="Hipervínculo" xfId="1166" builtinId="8" hidden="1"/>
    <cellStyle name="Hipervínculo" xfId="1168" builtinId="8" hidden="1"/>
    <cellStyle name="Hipervínculo" xfId="1170" builtinId="8" hidden="1"/>
    <cellStyle name="Hipervínculo" xfId="1172" builtinId="8" hidden="1"/>
    <cellStyle name="Hipervínculo" xfId="1174" builtinId="8" hidden="1"/>
    <cellStyle name="Hipervínculo" xfId="1176" builtinId="8" hidden="1"/>
    <cellStyle name="Hipervínculo" xfId="1178" builtinId="8" hidden="1"/>
    <cellStyle name="Hipervínculo" xfId="1180" builtinId="8" hidden="1"/>
    <cellStyle name="Hipervínculo" xfId="1182" builtinId="8" hidden="1"/>
    <cellStyle name="Hipervínculo" xfId="1184" builtinId="8" hidden="1"/>
    <cellStyle name="Hipervínculo" xfId="1186" builtinId="8" hidden="1"/>
    <cellStyle name="Hipervínculo" xfId="1188" builtinId="8" hidden="1"/>
    <cellStyle name="Hipervínculo" xfId="1190" builtinId="8" hidden="1"/>
    <cellStyle name="Hipervínculo" xfId="1192" builtinId="8" hidden="1"/>
    <cellStyle name="Hipervínculo" xfId="1194" builtinId="8" hidden="1"/>
    <cellStyle name="Hipervínculo" xfId="1196" builtinId="8" hidden="1"/>
    <cellStyle name="Hipervínculo" xfId="1198" builtinId="8" hidden="1"/>
    <cellStyle name="Hipervínculo" xfId="1200" builtinId="8" hidden="1"/>
    <cellStyle name="Hipervínculo" xfId="1202" builtinId="8" hidden="1"/>
    <cellStyle name="Hipervínculo" xfId="1204" builtinId="8" hidden="1"/>
    <cellStyle name="Hipervínculo" xfId="1206" builtinId="8" hidden="1"/>
    <cellStyle name="Hipervínculo" xfId="1208" builtinId="8" hidden="1"/>
    <cellStyle name="Hipervínculo" xfId="1210" builtinId="8" hidden="1"/>
    <cellStyle name="Hipervínculo" xfId="1212" builtinId="8" hidden="1"/>
    <cellStyle name="Hipervínculo" xfId="1214" builtinId="8" hidden="1"/>
    <cellStyle name="Hipervínculo" xfId="1216" builtinId="8" hidden="1"/>
    <cellStyle name="Hipervínculo" xfId="1218" builtinId="8" hidden="1"/>
    <cellStyle name="Hipervínculo" xfId="1220" builtinId="8" hidden="1"/>
    <cellStyle name="Hipervínculo" xfId="1222" builtinId="8" hidden="1"/>
    <cellStyle name="Hipervínculo" xfId="1224" builtinId="8" hidden="1"/>
    <cellStyle name="Hipervínculo" xfId="1226" builtinId="8" hidden="1"/>
    <cellStyle name="Hipervínculo" xfId="1228" builtinId="8" hidden="1"/>
    <cellStyle name="Hipervínculo" xfId="1230" builtinId="8" hidden="1"/>
    <cellStyle name="Hipervínculo" xfId="1232" builtinId="8" hidden="1"/>
    <cellStyle name="Hipervínculo" xfId="1234" builtinId="8" hidden="1"/>
    <cellStyle name="Hipervínculo" xfId="1236" builtinId="8" hidden="1"/>
    <cellStyle name="Hipervínculo" xfId="1238" builtinId="8" hidden="1"/>
    <cellStyle name="Hipervínculo" xfId="1240" builtinId="8" hidden="1"/>
    <cellStyle name="Hipervínculo" xfId="1242" builtinId="8" hidden="1"/>
    <cellStyle name="Hipervínculo" xfId="1244" builtinId="8" hidden="1"/>
    <cellStyle name="Hipervínculo" xfId="1246" builtinId="8" hidden="1"/>
    <cellStyle name="Hipervínculo" xfId="1248" builtinId="8" hidden="1"/>
    <cellStyle name="Hipervínculo" xfId="1250" builtinId="8" hidden="1"/>
    <cellStyle name="Hipervínculo" xfId="1252" builtinId="8" hidden="1"/>
    <cellStyle name="Hipervínculo" xfId="1254" builtinId="8" hidden="1"/>
    <cellStyle name="Hipervínculo" xfId="1256" builtinId="8" hidden="1"/>
    <cellStyle name="Hipervínculo" xfId="1258" builtinId="8" hidden="1"/>
    <cellStyle name="Hipervínculo" xfId="1260" builtinId="8" hidden="1"/>
    <cellStyle name="Hipervínculo" xfId="1262" builtinId="8" hidden="1"/>
    <cellStyle name="Hipervínculo" xfId="1264" builtinId="8" hidden="1"/>
    <cellStyle name="Hipervínculo" xfId="1266" builtinId="8" hidden="1"/>
    <cellStyle name="Hipervínculo" xfId="1268" builtinId="8" hidden="1"/>
    <cellStyle name="Hipervínculo" xfId="1270" builtinId="8" hidden="1"/>
    <cellStyle name="Hipervínculo" xfId="1272" builtinId="8" hidden="1"/>
    <cellStyle name="Hipervínculo" xfId="1274" builtinId="8" hidden="1"/>
    <cellStyle name="Hipervínculo" xfId="1276" builtinId="8" hidden="1"/>
    <cellStyle name="Hipervínculo" xfId="1278" builtinId="8" hidden="1"/>
    <cellStyle name="Hipervínculo" xfId="1280" builtinId="8" hidden="1"/>
    <cellStyle name="Hipervínculo" xfId="1282" builtinId="8" hidden="1"/>
    <cellStyle name="Hipervínculo" xfId="1284" builtinId="8" hidden="1"/>
    <cellStyle name="Hipervínculo" xfId="1286" builtinId="8" hidden="1"/>
    <cellStyle name="Hipervínculo" xfId="1288" builtinId="8" hidden="1"/>
    <cellStyle name="Hipervínculo" xfId="1290" builtinId="8" hidden="1"/>
    <cellStyle name="Hipervínculo" xfId="1292" builtinId="8" hidden="1"/>
    <cellStyle name="Hipervínculo" xfId="1294" builtinId="8" hidden="1"/>
    <cellStyle name="Hipervínculo" xfId="1296" builtinId="8" hidden="1"/>
    <cellStyle name="Hipervínculo" xfId="1298" builtinId="8" hidden="1"/>
    <cellStyle name="Hipervínculo" xfId="1300" builtinId="8" hidden="1"/>
    <cellStyle name="Hipervínculo" xfId="1302" builtinId="8" hidden="1"/>
    <cellStyle name="Hipervínculo" xfId="1304" builtinId="8" hidden="1"/>
    <cellStyle name="Hipervínculo" xfId="1306" builtinId="8" hidden="1"/>
    <cellStyle name="Hipervínculo" xfId="1308" builtinId="8" hidden="1"/>
    <cellStyle name="Hipervínculo" xfId="1310" builtinId="8" hidden="1"/>
    <cellStyle name="Hipervínculo" xfId="1312" builtinId="8" hidden="1"/>
    <cellStyle name="Hipervínculo" xfId="1314" builtinId="8" hidden="1"/>
    <cellStyle name="Hipervínculo" xfId="1316" builtinId="8" hidden="1"/>
    <cellStyle name="Hipervínculo" xfId="1318" builtinId="8" hidden="1"/>
    <cellStyle name="Hipervínculo" xfId="1320" builtinId="8" hidden="1"/>
    <cellStyle name="Hipervínculo" xfId="1322" builtinId="8" hidden="1"/>
    <cellStyle name="Hipervínculo" xfId="1324" builtinId="8" hidden="1"/>
    <cellStyle name="Hipervínculo" xfId="1326" builtinId="8" hidden="1"/>
    <cellStyle name="Hipervínculo" xfId="1328" builtinId="8" hidden="1"/>
    <cellStyle name="Hipervínculo" xfId="1330" builtinId="8" hidden="1"/>
    <cellStyle name="Hipervínculo" xfId="1332" builtinId="8" hidden="1"/>
    <cellStyle name="Hipervínculo" xfId="1334" builtinId="8" hidden="1"/>
    <cellStyle name="Hipervínculo" xfId="1336" builtinId="8" hidden="1"/>
    <cellStyle name="Hipervínculo" xfId="1338" builtinId="8" hidden="1"/>
    <cellStyle name="Hipervínculo" xfId="1340" builtinId="8" hidden="1"/>
    <cellStyle name="Hipervínculo" xfId="1342" builtinId="8" hidden="1"/>
    <cellStyle name="Hipervínculo" xfId="1344" builtinId="8" hidden="1"/>
    <cellStyle name="Hipervínculo" xfId="1346" builtinId="8" hidden="1"/>
    <cellStyle name="Hipervínculo" xfId="1348" builtinId="8" hidden="1"/>
    <cellStyle name="Hipervínculo" xfId="1350" builtinId="8" hidden="1"/>
    <cellStyle name="Hipervínculo" xfId="1352" builtinId="8" hidden="1"/>
    <cellStyle name="Hipervínculo" xfId="1354" builtinId="8" hidden="1"/>
    <cellStyle name="Hipervínculo" xfId="1356" builtinId="8" hidden="1"/>
    <cellStyle name="Hipervínculo" xfId="1358" builtinId="8" hidden="1"/>
    <cellStyle name="Hipervínculo" xfId="1360" builtinId="8" hidden="1"/>
    <cellStyle name="Hipervínculo" xfId="1362" builtinId="8" hidden="1"/>
    <cellStyle name="Hipervínculo" xfId="1364" builtinId="8" hidden="1"/>
    <cellStyle name="Hipervínculo" xfId="1366" builtinId="8" hidden="1"/>
    <cellStyle name="Hipervínculo" xfId="1368" builtinId="8" hidden="1"/>
    <cellStyle name="Hipervínculo" xfId="1370" builtinId="8" hidden="1"/>
    <cellStyle name="Hipervínculo" xfId="1372" builtinId="8" hidden="1"/>
    <cellStyle name="Hipervínculo" xfId="1374" builtinId="8" hidden="1"/>
    <cellStyle name="Hipervínculo" xfId="1376" builtinId="8" hidden="1"/>
    <cellStyle name="Hipervínculo" xfId="1378" builtinId="8" hidden="1"/>
    <cellStyle name="Hipervínculo" xfId="1380" builtinId="8" hidden="1"/>
    <cellStyle name="Hipervínculo" xfId="1382" builtinId="8" hidden="1"/>
    <cellStyle name="Hipervínculo" xfId="1384" builtinId="8" hidden="1"/>
    <cellStyle name="Hipervínculo" xfId="1386" builtinId="8" hidden="1"/>
    <cellStyle name="Hipervínculo" xfId="1388" builtinId="8" hidden="1"/>
    <cellStyle name="Hipervínculo" xfId="1390" builtinId="8" hidden="1"/>
    <cellStyle name="Hipervínculo" xfId="1392" builtinId="8" hidden="1"/>
    <cellStyle name="Hipervínculo" xfId="1394" builtinId="8" hidden="1"/>
    <cellStyle name="Hipervínculo" xfId="1396" builtinId="8" hidden="1"/>
    <cellStyle name="Hipervínculo" xfId="1398" builtinId="8" hidden="1"/>
    <cellStyle name="Hipervínculo" xfId="1400" builtinId="8" hidden="1"/>
    <cellStyle name="Hipervínculo" xfId="1402" builtinId="8" hidden="1"/>
    <cellStyle name="Hipervínculo" xfId="1404" builtinId="8" hidden="1"/>
    <cellStyle name="Hipervínculo" xfId="1406" builtinId="8" hidden="1"/>
    <cellStyle name="Hipervínculo" xfId="1408" builtinId="8" hidden="1"/>
    <cellStyle name="Hipervínculo" xfId="1410" builtinId="8" hidden="1"/>
    <cellStyle name="Hipervínculo" xfId="1412" builtinId="8" hidden="1"/>
    <cellStyle name="Hipervínculo" xfId="1414" builtinId="8" hidden="1"/>
    <cellStyle name="Hipervínculo" xfId="1416" builtinId="8" hidden="1"/>
    <cellStyle name="Hipervínculo" xfId="1418" builtinId="8" hidden="1"/>
    <cellStyle name="Hipervínculo" xfId="1420" builtinId="8" hidden="1"/>
    <cellStyle name="Hipervínculo" xfId="1422" builtinId="8" hidden="1"/>
    <cellStyle name="Hipervínculo" xfId="1424" builtinId="8" hidden="1"/>
    <cellStyle name="Hipervínculo" xfId="1426" builtinId="8" hidden="1"/>
    <cellStyle name="Hipervínculo" xfId="1428" builtinId="8" hidden="1"/>
    <cellStyle name="Hipervínculo" xfId="1430" builtinId="8" hidden="1"/>
    <cellStyle name="Hipervínculo" xfId="1432" builtinId="8" hidden="1"/>
    <cellStyle name="Hipervínculo" xfId="1434" builtinId="8" hidden="1"/>
    <cellStyle name="Hipervínculo" xfId="1436" builtinId="8" hidden="1"/>
    <cellStyle name="Hipervínculo" xfId="1438" builtinId="8" hidden="1"/>
    <cellStyle name="Hipervínculo" xfId="1440" builtinId="8" hidden="1"/>
    <cellStyle name="Hipervínculo" xfId="1442" builtinId="8" hidden="1"/>
    <cellStyle name="Hipervínculo" xfId="1444" builtinId="8" hidden="1"/>
    <cellStyle name="Hipervínculo" xfId="1446" builtinId="8" hidden="1"/>
    <cellStyle name="Hipervínculo" xfId="1448" builtinId="8" hidden="1"/>
    <cellStyle name="Hipervínculo" xfId="1450" builtinId="8" hidden="1"/>
    <cellStyle name="Hipervínculo" xfId="1452" builtinId="8" hidden="1"/>
    <cellStyle name="Hipervínculo" xfId="1454" builtinId="8" hidden="1"/>
    <cellStyle name="Hipervínculo" xfId="1456" builtinId="8" hidden="1"/>
    <cellStyle name="Hipervínculo" xfId="1458" builtinId="8" hidden="1"/>
    <cellStyle name="Hipervínculo" xfId="1460" builtinId="8" hidden="1"/>
    <cellStyle name="Hipervínculo" xfId="1462" builtinId="8" hidden="1"/>
    <cellStyle name="Hipervínculo" xfId="1464" builtinId="8" hidden="1"/>
    <cellStyle name="Hipervínculo" xfId="1466" builtinId="8" hidden="1"/>
    <cellStyle name="Hipervínculo" xfId="1468" builtinId="8" hidden="1"/>
    <cellStyle name="Hipervínculo" xfId="1470" builtinId="8" hidden="1"/>
    <cellStyle name="Hipervínculo" xfId="1472" builtinId="8" hidden="1"/>
    <cellStyle name="Hipervínculo" xfId="1474" builtinId="8" hidden="1"/>
    <cellStyle name="Hipervínculo" xfId="1476" builtinId="8" hidden="1"/>
    <cellStyle name="Hipervínculo" xfId="1478" builtinId="8" hidden="1"/>
    <cellStyle name="Hipervínculo" xfId="1480" builtinId="8" hidden="1"/>
    <cellStyle name="Hipervínculo" xfId="1482" builtinId="8" hidden="1"/>
    <cellStyle name="Hipervínculo" xfId="1484" builtinId="8" hidden="1"/>
    <cellStyle name="Hipervínculo" xfId="1486" builtinId="8" hidden="1"/>
    <cellStyle name="Hipervínculo" xfId="1488" builtinId="8" hidden="1"/>
    <cellStyle name="Hipervínculo" xfId="1490" builtinId="8" hidden="1"/>
    <cellStyle name="Hipervínculo" xfId="1492" builtinId="8" hidden="1"/>
    <cellStyle name="Hipervínculo" xfId="1494" builtinId="8" hidden="1"/>
    <cellStyle name="Hipervínculo" xfId="1496" builtinId="8" hidden="1"/>
    <cellStyle name="Hipervínculo" xfId="1498" builtinId="8" hidden="1"/>
    <cellStyle name="Hipervínculo" xfId="1500" builtinId="8" hidden="1"/>
    <cellStyle name="Hipervínculo" xfId="1502" builtinId="8" hidden="1"/>
    <cellStyle name="Hipervínculo" xfId="1504" builtinId="8" hidden="1"/>
    <cellStyle name="Hipervínculo" xfId="1506" builtinId="8" hidden="1"/>
    <cellStyle name="Hipervínculo" xfId="1508" builtinId="8" hidden="1"/>
    <cellStyle name="Hipervínculo" xfId="1510" builtinId="8" hidden="1"/>
    <cellStyle name="Hipervínculo" xfId="1512" builtinId="8" hidden="1"/>
    <cellStyle name="Hipervínculo" xfId="1514" builtinId="8" hidden="1"/>
    <cellStyle name="Hipervínculo" xfId="1516" builtinId="8" hidden="1"/>
    <cellStyle name="Hipervínculo" xfId="1518" builtinId="8" hidden="1"/>
    <cellStyle name="Hipervínculo" xfId="1520" builtinId="8" hidden="1"/>
    <cellStyle name="Hipervínculo" xfId="1522" builtinId="8" hidden="1"/>
    <cellStyle name="Hipervínculo" xfId="1524" builtinId="8" hidden="1"/>
    <cellStyle name="Hipervínculo" xfId="1526" builtinId="8" hidden="1"/>
    <cellStyle name="Hipervínculo" xfId="1528" builtinId="8" hidden="1"/>
    <cellStyle name="Hipervínculo" xfId="1530" builtinId="8" hidden="1"/>
    <cellStyle name="Hipervínculo" xfId="1532" builtinId="8" hidden="1"/>
    <cellStyle name="Hipervínculo" xfId="1534" builtinId="8" hidden="1"/>
    <cellStyle name="Hipervínculo" xfId="1536" builtinId="8" hidden="1"/>
    <cellStyle name="Hipervínculo" xfId="1538" builtinId="8" hidden="1"/>
    <cellStyle name="Hipervínculo" xfId="1540" builtinId="8" hidden="1"/>
    <cellStyle name="Hipervínculo" xfId="1542" builtinId="8" hidden="1"/>
    <cellStyle name="Hipervínculo" xfId="1544" builtinId="8" hidden="1"/>
    <cellStyle name="Hipervínculo" xfId="1546" builtinId="8" hidden="1"/>
    <cellStyle name="Hipervínculo" xfId="1548" builtinId="8" hidden="1"/>
    <cellStyle name="Hipervínculo" xfId="1550" builtinId="8" hidden="1"/>
    <cellStyle name="Hipervínculo" xfId="1552" builtinId="8" hidden="1"/>
    <cellStyle name="Hipervínculo" xfId="1554" builtinId="8" hidden="1"/>
    <cellStyle name="Hipervínculo" xfId="1556" builtinId="8" hidden="1"/>
    <cellStyle name="Hipervínculo" xfId="1558" builtinId="8" hidden="1"/>
    <cellStyle name="Hipervínculo" xfId="1560" builtinId="8" hidden="1"/>
    <cellStyle name="Hipervínculo" xfId="1562" builtinId="8" hidden="1"/>
    <cellStyle name="Hipervínculo" xfId="1564" builtinId="8" hidden="1"/>
    <cellStyle name="Hipervínculo" xfId="1566" builtinId="8" hidden="1"/>
    <cellStyle name="Hipervínculo" xfId="1568" builtinId="8" hidden="1"/>
    <cellStyle name="Hipervínculo" xfId="1570" builtinId="8" hidden="1"/>
    <cellStyle name="Hipervínculo" xfId="1572" builtinId="8" hidden="1"/>
    <cellStyle name="Hipervínculo" xfId="1574" builtinId="8" hidden="1"/>
    <cellStyle name="Hipervínculo" xfId="1576" builtinId="8" hidden="1"/>
    <cellStyle name="Hipervínculo" xfId="1578" builtinId="8" hidden="1"/>
    <cellStyle name="Hipervínculo" xfId="1580" builtinId="8" hidden="1"/>
    <cellStyle name="Hipervínculo" xfId="1582" builtinId="8" hidden="1"/>
    <cellStyle name="Hipervínculo" xfId="1584" builtinId="8" hidden="1"/>
    <cellStyle name="Hipervínculo" xfId="1586" builtinId="8" hidden="1"/>
    <cellStyle name="Hipervínculo" xfId="1588" builtinId="8" hidden="1"/>
    <cellStyle name="Hipervínculo" xfId="1590" builtinId="8" hidden="1"/>
    <cellStyle name="Hipervínculo" xfId="1592" builtinId="8" hidden="1"/>
    <cellStyle name="Hipervínculo" xfId="1594" builtinId="8" hidden="1"/>
    <cellStyle name="Hipervínculo" xfId="1596" builtinId="8" hidden="1"/>
    <cellStyle name="Hipervínculo" xfId="1598" builtinId="8" hidden="1"/>
    <cellStyle name="Hipervínculo" xfId="1600" builtinId="8" hidden="1"/>
    <cellStyle name="Hipervínculo" xfId="1602" builtinId="8" hidden="1"/>
    <cellStyle name="Hipervínculo" xfId="1604" builtinId="8" hidden="1"/>
    <cellStyle name="Hipervínculo" xfId="1606" builtinId="8" hidden="1"/>
    <cellStyle name="Hipervínculo" xfId="1608" builtinId="8" hidden="1"/>
    <cellStyle name="Hipervínculo" xfId="1610" builtinId="8" hidden="1"/>
    <cellStyle name="Hipervínculo" xfId="1612" builtinId="8" hidden="1"/>
    <cellStyle name="Hipervínculo" xfId="1614" builtinId="8" hidden="1"/>
    <cellStyle name="Hipervínculo" xfId="1616" builtinId="8" hidden="1"/>
    <cellStyle name="Hipervínculo" xfId="1618" builtinId="8" hidden="1"/>
    <cellStyle name="Hipervínculo" xfId="1620" builtinId="8" hidden="1"/>
    <cellStyle name="Hipervínculo" xfId="1622" builtinId="8" hidden="1"/>
    <cellStyle name="Hipervínculo" xfId="1624" builtinId="8" hidden="1"/>
    <cellStyle name="Hipervínculo" xfId="1626" builtinId="8" hidden="1"/>
    <cellStyle name="Hipervínculo" xfId="1628" builtinId="8" hidden="1"/>
    <cellStyle name="Hipervínculo" xfId="1630" builtinId="8" hidden="1"/>
    <cellStyle name="Hipervínculo" xfId="1632" builtinId="8" hidden="1"/>
    <cellStyle name="Hipervínculo" xfId="1634" builtinId="8" hidden="1"/>
    <cellStyle name="Hipervínculo" xfId="1636" builtinId="8" hidden="1"/>
    <cellStyle name="Hipervínculo" xfId="1638" builtinId="8" hidden="1"/>
    <cellStyle name="Hipervínculo" xfId="1640" builtinId="8" hidden="1"/>
    <cellStyle name="Hipervínculo" xfId="1642" builtinId="8" hidden="1"/>
    <cellStyle name="Hipervínculo" xfId="1644" builtinId="8" hidden="1"/>
    <cellStyle name="Hipervínculo" xfId="1646" builtinId="8" hidden="1"/>
    <cellStyle name="Hipervínculo" xfId="1648" builtinId="8" hidden="1"/>
    <cellStyle name="Hipervínculo" xfId="1650" builtinId="8" hidden="1"/>
    <cellStyle name="Hipervínculo" xfId="1652" builtinId="8" hidden="1"/>
    <cellStyle name="Hipervínculo" xfId="1654" builtinId="8" hidden="1"/>
    <cellStyle name="Hipervínculo" xfId="1656" builtinId="8" hidden="1"/>
    <cellStyle name="Hipervínculo" xfId="1658" builtinId="8" hidden="1"/>
    <cellStyle name="Hipervínculo" xfId="1660" builtinId="8" hidden="1"/>
    <cellStyle name="Hipervínculo" xfId="1662" builtinId="8" hidden="1"/>
    <cellStyle name="Hipervínculo" xfId="1664" builtinId="8" hidden="1"/>
    <cellStyle name="Hipervínculo" xfId="1666" builtinId="8" hidden="1"/>
    <cellStyle name="Hipervínculo" xfId="1668" builtinId="8" hidden="1"/>
    <cellStyle name="Hipervínculo" xfId="1670" builtinId="8" hidden="1"/>
    <cellStyle name="Hipervínculo" xfId="1672" builtinId="8" hidden="1"/>
    <cellStyle name="Hipervínculo" xfId="1674" builtinId="8" hidden="1"/>
    <cellStyle name="Hipervínculo" xfId="1676" builtinId="8" hidden="1"/>
    <cellStyle name="Hipervínculo" xfId="1678" builtinId="8" hidden="1"/>
    <cellStyle name="Hipervínculo" xfId="1680" builtinId="8" hidden="1"/>
    <cellStyle name="Hipervínculo" xfId="1682" builtinId="8" hidden="1"/>
    <cellStyle name="Hipervínculo" xfId="1684" builtinId="8" hidden="1"/>
    <cellStyle name="Hipervínculo" xfId="1686" builtinId="8" hidden="1"/>
    <cellStyle name="Hipervínculo" xfId="1688" builtinId="8" hidden="1"/>
    <cellStyle name="Hipervínculo" xfId="1690" builtinId="8" hidden="1"/>
    <cellStyle name="Hipervínculo" xfId="1692" builtinId="8" hidden="1"/>
    <cellStyle name="Hipervínculo" xfId="1694" builtinId="8" hidden="1"/>
    <cellStyle name="Hipervínculo" xfId="1696" builtinId="8" hidden="1"/>
    <cellStyle name="Hipervínculo" xfId="1698" builtinId="8" hidden="1"/>
    <cellStyle name="Hipervínculo" xfId="1700" builtinId="8" hidden="1"/>
    <cellStyle name="Hipervínculo" xfId="1702" builtinId="8" hidden="1"/>
    <cellStyle name="Hipervínculo" xfId="1704" builtinId="8" hidden="1"/>
    <cellStyle name="Hipervínculo" xfId="1706" builtinId="8" hidden="1"/>
    <cellStyle name="Hipervínculo" xfId="1708" builtinId="8" hidden="1"/>
    <cellStyle name="Hipervínculo" xfId="1710" builtinId="8" hidden="1"/>
    <cellStyle name="Hipervínculo" xfId="1712" builtinId="8" hidden="1"/>
    <cellStyle name="Hipervínculo" xfId="1714" builtinId="8" hidden="1"/>
    <cellStyle name="Hipervínculo" xfId="1716" builtinId="8" hidden="1"/>
    <cellStyle name="Hipervínculo" xfId="1718" builtinId="8" hidden="1"/>
    <cellStyle name="Hipervínculo" xfId="1720" builtinId="8" hidden="1"/>
    <cellStyle name="Hipervínculo" xfId="1722" builtinId="8" hidden="1"/>
    <cellStyle name="Hipervínculo" xfId="1724" builtinId="8" hidden="1"/>
    <cellStyle name="Hipervínculo" xfId="1726" builtinId="8" hidden="1"/>
    <cellStyle name="Hipervínculo" xfId="1728" builtinId="8" hidden="1"/>
    <cellStyle name="Hipervínculo" xfId="1730" builtinId="8" hidden="1"/>
    <cellStyle name="Hipervínculo" xfId="1732" builtinId="8" hidden="1"/>
    <cellStyle name="Hipervínculo" xfId="1734" builtinId="8" hidden="1"/>
    <cellStyle name="Hipervínculo" xfId="1736" builtinId="8" hidden="1"/>
    <cellStyle name="Hipervínculo" xfId="1738" builtinId="8" hidden="1"/>
    <cellStyle name="Hipervínculo" xfId="1740" builtinId="8" hidden="1"/>
    <cellStyle name="Hipervínculo" xfId="1742" builtinId="8" hidden="1"/>
    <cellStyle name="Hipervínculo" xfId="1744" builtinId="8" hidden="1"/>
    <cellStyle name="Hipervínculo" xfId="1746" builtinId="8" hidden="1"/>
    <cellStyle name="Hipervínculo" xfId="1748" builtinId="8" hidden="1"/>
    <cellStyle name="Hipervínculo" xfId="1750" builtinId="8" hidden="1"/>
    <cellStyle name="Hipervínculo" xfId="1752" builtinId="8" hidden="1"/>
    <cellStyle name="Hipervínculo" xfId="1754" builtinId="8" hidden="1"/>
    <cellStyle name="Hipervínculo" xfId="1756" builtinId="8" hidden="1"/>
    <cellStyle name="Hipervínculo" xfId="1758" builtinId="8" hidden="1"/>
    <cellStyle name="Hipervínculo" xfId="1760" builtinId="8" hidden="1"/>
    <cellStyle name="Hipervínculo" xfId="1762" builtinId="8" hidden="1"/>
    <cellStyle name="Hipervínculo" xfId="1764" builtinId="8" hidden="1"/>
    <cellStyle name="Hipervínculo" xfId="1766" builtinId="8" hidden="1"/>
    <cellStyle name="Hipervínculo" xfId="1768" builtinId="8" hidden="1"/>
    <cellStyle name="Hipervínculo" xfId="1770" builtinId="8" hidden="1"/>
    <cellStyle name="Hipervínculo" xfId="1772" builtinId="8" hidden="1"/>
    <cellStyle name="Hipervínculo" xfId="1774" builtinId="8" hidden="1"/>
    <cellStyle name="Hipervínculo" xfId="1776" builtinId="8" hidden="1"/>
    <cellStyle name="Hipervínculo" xfId="1778" builtinId="8" hidden="1"/>
    <cellStyle name="Hipervínculo" xfId="1780" builtinId="8" hidden="1"/>
    <cellStyle name="Hipervínculo" xfId="1782" builtinId="8" hidden="1"/>
    <cellStyle name="Hipervínculo" xfId="1784" builtinId="8" hidden="1"/>
    <cellStyle name="Hipervínculo" xfId="1786" builtinId="8" hidden="1"/>
    <cellStyle name="Hipervínculo" xfId="1788" builtinId="8" hidden="1"/>
    <cellStyle name="Hipervínculo" xfId="1790" builtinId="8" hidden="1"/>
    <cellStyle name="Hipervínculo" xfId="1792" builtinId="8" hidden="1"/>
    <cellStyle name="Hipervínculo" xfId="1794" builtinId="8" hidden="1"/>
    <cellStyle name="Hipervínculo" xfId="1796" builtinId="8" hidden="1"/>
    <cellStyle name="Hipervínculo" xfId="1798" builtinId="8" hidden="1"/>
    <cellStyle name="Hipervínculo" xfId="1800" builtinId="8" hidden="1"/>
    <cellStyle name="Hipervínculo" xfId="1802" builtinId="8" hidden="1"/>
    <cellStyle name="Hipervínculo" xfId="1804" builtinId="8" hidden="1"/>
    <cellStyle name="Hipervínculo" xfId="1806" builtinId="8" hidden="1"/>
    <cellStyle name="Hipervínculo" xfId="1808" builtinId="8" hidden="1"/>
    <cellStyle name="Hipervínculo" xfId="1810" builtinId="8" hidden="1"/>
    <cellStyle name="Hipervínculo" xfId="1812" builtinId="8" hidden="1"/>
    <cellStyle name="Hipervínculo" xfId="1814" builtinId="8" hidden="1"/>
    <cellStyle name="Hipervínculo" xfId="1816" builtinId="8" hidden="1"/>
    <cellStyle name="Hipervínculo" xfId="1818" builtinId="8" hidden="1"/>
    <cellStyle name="Hipervínculo" xfId="1820" builtinId="8" hidden="1"/>
    <cellStyle name="Hipervínculo" xfId="1822" builtinId="8" hidden="1"/>
    <cellStyle name="Hipervínculo" xfId="1824" builtinId="8" hidden="1"/>
    <cellStyle name="Hipervínculo" xfId="1826" builtinId="8" hidden="1"/>
    <cellStyle name="Hipervínculo" xfId="1828" builtinId="8" hidden="1"/>
    <cellStyle name="Hipervínculo" xfId="1830" builtinId="8" hidden="1"/>
    <cellStyle name="Hipervínculo" xfId="1832" builtinId="8" hidden="1"/>
    <cellStyle name="Hipervínculo" xfId="1834" builtinId="8" hidden="1"/>
    <cellStyle name="Hipervínculo" xfId="1836" builtinId="8" hidden="1"/>
    <cellStyle name="Hipervínculo" xfId="1838" builtinId="8" hidden="1"/>
    <cellStyle name="Hipervínculo" xfId="1840" builtinId="8" hidden="1"/>
    <cellStyle name="Hipervínculo" xfId="1842" builtinId="8" hidden="1"/>
    <cellStyle name="Hipervínculo" xfId="1844" builtinId="8" hidden="1"/>
    <cellStyle name="Hipervínculo" xfId="1846" builtinId="8" hidden="1"/>
    <cellStyle name="Hipervínculo" xfId="1848" builtinId="8" hidden="1"/>
    <cellStyle name="Hipervínculo" xfId="1850" builtinId="8" hidden="1"/>
    <cellStyle name="Hipervínculo" xfId="1852" builtinId="8" hidden="1"/>
    <cellStyle name="Hipervínculo" xfId="1854" builtinId="8" hidden="1"/>
    <cellStyle name="Hipervínculo" xfId="1856" builtinId="8" hidden="1"/>
    <cellStyle name="Hipervínculo" xfId="1858" builtinId="8" hidden="1"/>
    <cellStyle name="Hipervínculo" xfId="1860" builtinId="8" hidden="1"/>
    <cellStyle name="Hipervínculo" xfId="1862" builtinId="8" hidden="1"/>
    <cellStyle name="Hipervínculo" xfId="1864" builtinId="8" hidden="1"/>
    <cellStyle name="Hipervínculo" xfId="1866" builtinId="8" hidden="1"/>
    <cellStyle name="Hipervínculo" xfId="1868" builtinId="8" hidden="1"/>
    <cellStyle name="Hipervínculo" xfId="1870" builtinId="8" hidden="1"/>
    <cellStyle name="Hipervínculo" xfId="1872" builtinId="8" hidden="1"/>
    <cellStyle name="Hipervínculo" xfId="1874" builtinId="8" hidden="1"/>
    <cellStyle name="Hipervínculo" xfId="1876" builtinId="8" hidden="1"/>
    <cellStyle name="Hipervínculo" xfId="1878" builtinId="8" hidden="1"/>
    <cellStyle name="Hipervínculo" xfId="1880" builtinId="8" hidden="1"/>
    <cellStyle name="Hipervínculo" xfId="1882" builtinId="8" hidden="1"/>
    <cellStyle name="Hipervínculo" xfId="1884" builtinId="8" hidden="1"/>
    <cellStyle name="Hipervínculo" xfId="1886" builtinId="8" hidden="1"/>
    <cellStyle name="Hipervínculo" xfId="1888" builtinId="8" hidden="1"/>
    <cellStyle name="Hipervínculo" xfId="1890" builtinId="8" hidden="1"/>
    <cellStyle name="Hipervínculo" xfId="1892" builtinId="8" hidden="1"/>
    <cellStyle name="Hipervínculo" xfId="1894" builtinId="8" hidden="1"/>
    <cellStyle name="Hipervínculo" xfId="1896" builtinId="8" hidden="1"/>
    <cellStyle name="Hipervínculo" xfId="1898" builtinId="8" hidden="1"/>
    <cellStyle name="Hipervínculo" xfId="1900" builtinId="8" hidden="1"/>
    <cellStyle name="Hipervínculo" xfId="1902" builtinId="8" hidden="1"/>
    <cellStyle name="Hipervínculo" xfId="1904" builtinId="8" hidden="1"/>
    <cellStyle name="Hipervínculo" xfId="1906" builtinId="8" hidden="1"/>
    <cellStyle name="Hipervínculo" xfId="1908" builtinId="8" hidden="1"/>
    <cellStyle name="Hipervínculo" xfId="1910" builtinId="8" hidden="1"/>
    <cellStyle name="Hipervínculo" xfId="1912" builtinId="8" hidden="1"/>
    <cellStyle name="Hipervínculo" xfId="1914" builtinId="8" hidden="1"/>
    <cellStyle name="Hipervínculo" xfId="1916" builtinId="8" hidden="1"/>
    <cellStyle name="Hipervínculo" xfId="1918" builtinId="8" hidden="1"/>
    <cellStyle name="Hipervínculo" xfId="1920" builtinId="8" hidden="1"/>
    <cellStyle name="Hipervínculo" xfId="1922" builtinId="8" hidden="1"/>
    <cellStyle name="Hipervínculo" xfId="1924" builtinId="8" hidden="1"/>
    <cellStyle name="Hipervínculo" xfId="1926" builtinId="8" hidden="1"/>
    <cellStyle name="Hipervínculo" xfId="1928" builtinId="8" hidden="1"/>
    <cellStyle name="Hipervínculo" xfId="1930" builtinId="8" hidden="1"/>
    <cellStyle name="Hipervínculo" xfId="1932" builtinId="8" hidden="1"/>
    <cellStyle name="Hipervínculo" xfId="1934" builtinId="8" hidden="1"/>
    <cellStyle name="Hipervínculo" xfId="1936" builtinId="8" hidden="1"/>
    <cellStyle name="Hipervínculo" xfId="1938" builtinId="8" hidden="1"/>
    <cellStyle name="Hipervínculo" xfId="1940" builtinId="8" hidden="1"/>
    <cellStyle name="Hipervínculo" xfId="1942" builtinId="8" hidden="1"/>
    <cellStyle name="Hipervínculo" xfId="1944" builtinId="8" hidden="1"/>
    <cellStyle name="Hipervínculo" xfId="1946" builtinId="8" hidden="1"/>
    <cellStyle name="Hipervínculo" xfId="1948" builtinId="8" hidden="1"/>
    <cellStyle name="Hipervínculo" xfId="1950" builtinId="8" hidden="1"/>
    <cellStyle name="Hipervínculo" xfId="1952" builtinId="8" hidden="1"/>
    <cellStyle name="Hipervínculo" xfId="1954" builtinId="8" hidden="1"/>
    <cellStyle name="Hipervínculo" xfId="1956" builtinId="8" hidden="1"/>
    <cellStyle name="Hipervínculo" xfId="1958" builtinId="8" hidden="1"/>
    <cellStyle name="Hipervínculo" xfId="1960" builtinId="8" hidden="1"/>
    <cellStyle name="Hipervínculo" xfId="1962" builtinId="8" hidden="1"/>
    <cellStyle name="Hipervínculo" xfId="1964" builtinId="8" hidden="1"/>
    <cellStyle name="Hipervínculo" xfId="1966" builtinId="8" hidden="1"/>
    <cellStyle name="Hipervínculo" xfId="1968" builtinId="8" hidden="1"/>
    <cellStyle name="Hipervínculo" xfId="1970" builtinId="8" hidden="1"/>
    <cellStyle name="Hipervínculo" xfId="1972" builtinId="8" hidden="1"/>
    <cellStyle name="Hipervínculo" xfId="1974" builtinId="8" hidden="1"/>
    <cellStyle name="Hipervínculo" xfId="1976" builtinId="8" hidden="1"/>
    <cellStyle name="Hipervínculo" xfId="1978" builtinId="8" hidden="1"/>
    <cellStyle name="Hipervínculo" xfId="1980" builtinId="8" hidden="1"/>
    <cellStyle name="Hipervínculo" xfId="1982" builtinId="8" hidden="1"/>
    <cellStyle name="Hipervínculo" xfId="1984" builtinId="8" hidden="1"/>
    <cellStyle name="Hipervínculo" xfId="1986" builtinId="8" hidden="1"/>
    <cellStyle name="Hipervínculo" xfId="1988" builtinId="8" hidden="1"/>
    <cellStyle name="Hipervínculo" xfId="1990" builtinId="8" hidden="1"/>
    <cellStyle name="Hipervínculo" xfId="1992" builtinId="8" hidden="1"/>
    <cellStyle name="Hipervínculo" xfId="1994" builtinId="8" hidden="1"/>
    <cellStyle name="Hipervínculo" xfId="1996" builtinId="8" hidden="1"/>
    <cellStyle name="Hipervínculo" xfId="1998" builtinId="8" hidden="1"/>
    <cellStyle name="Hipervínculo" xfId="2000" builtinId="8" hidden="1"/>
    <cellStyle name="Hipervínculo" xfId="2002" builtinId="8" hidden="1"/>
    <cellStyle name="Hipervínculo" xfId="2004" builtinId="8" hidden="1"/>
    <cellStyle name="Hipervínculo" xfId="2006" builtinId="8" hidden="1"/>
    <cellStyle name="Hipervínculo" xfId="2008" builtinId="8" hidden="1"/>
    <cellStyle name="Hipervínculo" xfId="2010" builtinId="8" hidden="1"/>
    <cellStyle name="Hipervínculo" xfId="2012" builtinId="8" hidden="1"/>
    <cellStyle name="Hipervínculo" xfId="2014" builtinId="8" hidden="1"/>
    <cellStyle name="Hipervínculo" xfId="2016" builtinId="8" hidden="1"/>
    <cellStyle name="Hipervínculo" xfId="2018" builtinId="8" hidden="1"/>
    <cellStyle name="Hipervínculo" xfId="2020" builtinId="8" hidden="1"/>
    <cellStyle name="Hipervínculo" xfId="2022" builtinId="8" hidden="1"/>
    <cellStyle name="Hipervínculo" xfId="2024" builtinId="8" hidden="1"/>
    <cellStyle name="Hipervínculo" xfId="2026" builtinId="8" hidden="1"/>
    <cellStyle name="Hipervínculo" xfId="2028" builtinId="8" hidden="1"/>
    <cellStyle name="Hipervínculo" xfId="2030" builtinId="8" hidden="1"/>
    <cellStyle name="Hipervínculo" xfId="2032" builtinId="8" hidden="1"/>
    <cellStyle name="Hipervínculo" xfId="2034" builtinId="8" hidden="1"/>
    <cellStyle name="Hipervínculo" xfId="2036" builtinId="8" hidden="1"/>
    <cellStyle name="Hipervínculo" xfId="2038" builtinId="8" hidden="1"/>
    <cellStyle name="Hipervínculo" xfId="2040" builtinId="8" hidden="1"/>
    <cellStyle name="Hipervínculo" xfId="2042" builtinId="8" hidden="1"/>
    <cellStyle name="Hipervínculo" xfId="2044" builtinId="8" hidden="1"/>
    <cellStyle name="Hipervínculo" xfId="2046" builtinId="8" hidden="1"/>
    <cellStyle name="Hipervínculo" xfId="2048" builtinId="8" hidden="1"/>
    <cellStyle name="Hipervínculo" xfId="2050" builtinId="8" hidden="1"/>
    <cellStyle name="Hipervínculo" xfId="2052" builtinId="8" hidden="1"/>
    <cellStyle name="Hipervínculo" xfId="2054" builtinId="8" hidden="1"/>
    <cellStyle name="Hipervínculo" xfId="2056" builtinId="8" hidden="1"/>
    <cellStyle name="Hipervínculo" xfId="2058" builtinId="8" hidden="1"/>
    <cellStyle name="Hipervínculo" xfId="2060" builtinId="8" hidden="1"/>
    <cellStyle name="Hipervínculo" xfId="2062" builtinId="8" hidden="1"/>
    <cellStyle name="Hipervínculo" xfId="2064" builtinId="8" hidden="1"/>
    <cellStyle name="Hipervínculo" xfId="2066" builtinId="8" hidden="1"/>
    <cellStyle name="Hipervínculo" xfId="2068" builtinId="8" hidden="1"/>
    <cellStyle name="Hipervínculo" xfId="2070" builtinId="8" hidden="1"/>
    <cellStyle name="Hipervínculo" xfId="2072" builtinId="8" hidden="1"/>
    <cellStyle name="Hipervínculo" xfId="2074" builtinId="8" hidden="1"/>
    <cellStyle name="Hipervínculo" xfId="2076" builtinId="8" hidden="1"/>
    <cellStyle name="Hipervínculo" xfId="2078" builtinId="8" hidden="1"/>
    <cellStyle name="Hipervínculo" xfId="2080" builtinId="8" hidden="1"/>
    <cellStyle name="Hipervínculo" xfId="2082" builtinId="8" hidden="1"/>
    <cellStyle name="Hipervínculo" xfId="2084" builtinId="8" hidden="1"/>
    <cellStyle name="Hipervínculo" xfId="2086" builtinId="8" hidden="1"/>
    <cellStyle name="Hipervínculo" xfId="2088" builtinId="8" hidden="1"/>
    <cellStyle name="Hipervínculo" xfId="2090" builtinId="8" hidden="1"/>
    <cellStyle name="Hipervínculo" xfId="2092" builtinId="8" hidden="1"/>
    <cellStyle name="Hipervínculo" xfId="2094" builtinId="8" hidden="1"/>
    <cellStyle name="Hipervínculo" xfId="2096" builtinId="8" hidden="1"/>
    <cellStyle name="Hipervínculo" xfId="2098" builtinId="8" hidden="1"/>
    <cellStyle name="Hipervínculo" xfId="2100" builtinId="8" hidden="1"/>
    <cellStyle name="Hipervínculo" xfId="2102" builtinId="8" hidden="1"/>
    <cellStyle name="Hipervínculo" xfId="2104" builtinId="8" hidden="1"/>
    <cellStyle name="Hipervínculo" xfId="2106" builtinId="8" hidden="1"/>
    <cellStyle name="Hipervínculo" xfId="2108" builtinId="8" hidden="1"/>
    <cellStyle name="Hipervínculo" xfId="2110" builtinId="8" hidden="1"/>
    <cellStyle name="Hipervínculo" xfId="2112" builtinId="8" hidden="1"/>
    <cellStyle name="Hipervínculo" xfId="2114" builtinId="8" hidden="1"/>
    <cellStyle name="Hipervínculo" xfId="2116" builtinId="8" hidden="1"/>
    <cellStyle name="Hipervínculo" xfId="2118" builtinId="8" hidden="1"/>
    <cellStyle name="Hipervínculo" xfId="2120" builtinId="8" hidden="1"/>
    <cellStyle name="Hipervínculo" xfId="2122" builtinId="8" hidden="1"/>
    <cellStyle name="Hipervínculo" xfId="2124" builtinId="8" hidden="1"/>
    <cellStyle name="Hipervínculo" xfId="2126" builtinId="8" hidden="1"/>
    <cellStyle name="Hipervínculo" xfId="2128" builtinId="8" hidden="1"/>
    <cellStyle name="Hipervínculo" xfId="2130" builtinId="8" hidden="1"/>
    <cellStyle name="Hipervínculo" xfId="2132" builtinId="8" hidden="1"/>
    <cellStyle name="Hipervínculo" xfId="2134" builtinId="8" hidden="1"/>
    <cellStyle name="Hipervínculo" xfId="2136" builtinId="8" hidden="1"/>
    <cellStyle name="Hipervínculo" xfId="2138" builtinId="8" hidden="1"/>
    <cellStyle name="Hipervínculo" xfId="2140" builtinId="8" hidden="1"/>
    <cellStyle name="Hipervínculo" xfId="2142" builtinId="8" hidden="1"/>
    <cellStyle name="Hipervínculo" xfId="2144" builtinId="8" hidden="1"/>
    <cellStyle name="Hipervínculo" xfId="2146" builtinId="8" hidden="1"/>
    <cellStyle name="Hipervínculo" xfId="2148" builtinId="8" hidden="1"/>
    <cellStyle name="Hipervínculo" xfId="2150" builtinId="8" hidden="1"/>
    <cellStyle name="Hipervínculo" xfId="2152" builtinId="8" hidden="1"/>
    <cellStyle name="Hipervínculo" xfId="2154" builtinId="8" hidden="1"/>
    <cellStyle name="Hipervínculo" xfId="2156" builtinId="8" hidden="1"/>
    <cellStyle name="Hipervínculo" xfId="2158" builtinId="8" hidden="1"/>
    <cellStyle name="Hipervínculo" xfId="2160" builtinId="8" hidden="1"/>
    <cellStyle name="Hipervínculo" xfId="2162" builtinId="8" hidden="1"/>
    <cellStyle name="Hipervínculo" xfId="2164" builtinId="8" hidden="1"/>
    <cellStyle name="Hipervínculo" xfId="2166" builtinId="8" hidden="1"/>
    <cellStyle name="Hipervínculo" xfId="2168" builtinId="8" hidden="1"/>
    <cellStyle name="Hipervínculo" xfId="2170" builtinId="8" hidden="1"/>
    <cellStyle name="Hipervínculo" xfId="2172" builtinId="8" hidden="1"/>
    <cellStyle name="Hipervínculo" xfId="2174" builtinId="8" hidden="1"/>
    <cellStyle name="Hipervínculo" xfId="2176" builtinId="8" hidden="1"/>
    <cellStyle name="Hipervínculo" xfId="2178" builtinId="8" hidden="1"/>
    <cellStyle name="Hipervínculo" xfId="2180" builtinId="8" hidden="1"/>
    <cellStyle name="Hipervínculo" xfId="2182" builtinId="8" hidden="1"/>
    <cellStyle name="Hipervínculo" xfId="2184" builtinId="8" hidden="1"/>
    <cellStyle name="Hipervínculo" xfId="2186" builtinId="8" hidden="1"/>
    <cellStyle name="Hipervínculo" xfId="2188" builtinId="8" hidden="1"/>
    <cellStyle name="Hipervínculo" xfId="2190" builtinId="8" hidden="1"/>
    <cellStyle name="Hipervínculo" xfId="2192" builtinId="8" hidden="1"/>
    <cellStyle name="Hipervínculo" xfId="2194" builtinId="8" hidden="1"/>
    <cellStyle name="Hipervínculo" xfId="2196" builtinId="8" hidden="1"/>
    <cellStyle name="Hipervínculo" xfId="2198" builtinId="8" hidden="1"/>
    <cellStyle name="Hipervínculo" xfId="2200" builtinId="8" hidden="1"/>
    <cellStyle name="Hipervínculo" xfId="2202" builtinId="8" hidden="1"/>
    <cellStyle name="Hipervínculo" xfId="2204" builtinId="8" hidden="1"/>
    <cellStyle name="Hipervínculo" xfId="2206" builtinId="8" hidden="1"/>
    <cellStyle name="Hipervínculo" xfId="2208" builtinId="8" hidden="1"/>
    <cellStyle name="Hipervínculo" xfId="2210" builtinId="8" hidden="1"/>
    <cellStyle name="Hipervínculo" xfId="2212" builtinId="8" hidden="1"/>
    <cellStyle name="Hipervínculo" xfId="2214" builtinId="8" hidden="1"/>
    <cellStyle name="Hipervínculo" xfId="2216" builtinId="8" hidden="1"/>
    <cellStyle name="Hipervínculo" xfId="2218" builtinId="8" hidden="1"/>
    <cellStyle name="Hipervínculo" xfId="2220" builtinId="8" hidden="1"/>
    <cellStyle name="Hipervínculo" xfId="2222" builtinId="8" hidden="1"/>
    <cellStyle name="Hipervínculo" xfId="2224" builtinId="8" hidden="1"/>
    <cellStyle name="Hipervínculo" xfId="2226" builtinId="8" hidden="1"/>
    <cellStyle name="Hipervínculo" xfId="2228" builtinId="8" hidden="1"/>
    <cellStyle name="Hipervínculo" xfId="2230" builtinId="8" hidden="1"/>
    <cellStyle name="Hipervínculo" xfId="2232" builtinId="8" hidden="1"/>
    <cellStyle name="Hipervínculo" xfId="2234" builtinId="8" hidden="1"/>
    <cellStyle name="Hipervínculo" xfId="2236" builtinId="8" hidden="1"/>
    <cellStyle name="Hipervínculo" xfId="2238" builtinId="8" hidden="1"/>
    <cellStyle name="Hipervínculo" xfId="2240" builtinId="8" hidden="1"/>
    <cellStyle name="Hipervínculo" xfId="2242" builtinId="8" hidden="1"/>
    <cellStyle name="Hipervínculo" xfId="2244" builtinId="8" hidden="1"/>
    <cellStyle name="Hipervínculo" xfId="2246" builtinId="8" hidden="1"/>
    <cellStyle name="Hipervínculo" xfId="2248" builtinId="8" hidden="1"/>
    <cellStyle name="Hipervínculo" xfId="2250" builtinId="8" hidden="1"/>
    <cellStyle name="Hipervínculo" xfId="2252" builtinId="8" hidden="1"/>
    <cellStyle name="Hipervínculo" xfId="2254" builtinId="8" hidden="1"/>
    <cellStyle name="Hipervínculo" xfId="2256" builtinId="8" hidden="1"/>
    <cellStyle name="Hipervínculo" xfId="2258" builtinId="8" hidden="1"/>
    <cellStyle name="Hipervínculo" xfId="2260" builtinId="8" hidden="1"/>
    <cellStyle name="Hipervínculo" xfId="2262" builtinId="8" hidden="1"/>
    <cellStyle name="Hipervínculo" xfId="2264" builtinId="8" hidden="1"/>
    <cellStyle name="Hipervínculo" xfId="2266" builtinId="8" hidden="1"/>
    <cellStyle name="Hipervínculo" xfId="2268" builtinId="8" hidden="1"/>
    <cellStyle name="Hipervínculo" xfId="2270" builtinId="8" hidden="1"/>
    <cellStyle name="Hipervínculo" xfId="2272" builtinId="8" hidden="1"/>
    <cellStyle name="Hipervínculo" xfId="2274" builtinId="8" hidden="1"/>
    <cellStyle name="Hipervínculo" xfId="2276" builtinId="8" hidden="1"/>
    <cellStyle name="Hipervínculo" xfId="2278" builtinId="8" hidden="1"/>
    <cellStyle name="Hipervínculo" xfId="2280" builtinId="8" hidden="1"/>
    <cellStyle name="Hipervínculo" xfId="2282" builtinId="8" hidden="1"/>
    <cellStyle name="Hipervínculo" xfId="2284" builtinId="8" hidden="1"/>
    <cellStyle name="Hipervínculo" xfId="2286" builtinId="8" hidden="1"/>
    <cellStyle name="Hipervínculo" xfId="2288" builtinId="8" hidden="1"/>
    <cellStyle name="Hipervínculo" xfId="2290" builtinId="8" hidden="1"/>
    <cellStyle name="Hipervínculo" xfId="2292" builtinId="8" hidden="1"/>
    <cellStyle name="Hipervínculo" xfId="2294" builtinId="8" hidden="1"/>
    <cellStyle name="Hipervínculo" xfId="2296" builtinId="8" hidden="1"/>
    <cellStyle name="Hipervínculo" xfId="2298" builtinId="8" hidden="1"/>
    <cellStyle name="Hipervínculo" xfId="2300" builtinId="8" hidden="1"/>
    <cellStyle name="Hipervínculo" xfId="2302" builtinId="8" hidden="1"/>
    <cellStyle name="Hipervínculo" xfId="2304" builtinId="8" hidden="1"/>
    <cellStyle name="Hipervínculo" xfId="2306" builtinId="8" hidden="1"/>
    <cellStyle name="Hipervínculo" xfId="2308" builtinId="8" hidden="1"/>
    <cellStyle name="Hipervínculo" xfId="2310" builtinId="8" hidden="1"/>
    <cellStyle name="Hipervínculo" xfId="2312" builtinId="8" hidden="1"/>
    <cellStyle name="Hipervínculo" xfId="2314" builtinId="8" hidden="1"/>
    <cellStyle name="Hipervínculo" xfId="2316" builtinId="8" hidden="1"/>
    <cellStyle name="Hipervínculo" xfId="2318" builtinId="8"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Hipervínculo visitado" xfId="329" builtinId="9" hidden="1"/>
    <cellStyle name="Hipervínculo visitado" xfId="331" builtinId="9" hidden="1"/>
    <cellStyle name="Hipervínculo visitado" xfId="333" builtinId="9" hidden="1"/>
    <cellStyle name="Hipervínculo visitado" xfId="335" builtinId="9" hidden="1"/>
    <cellStyle name="Hipervínculo visitado" xfId="337" builtinId="9" hidden="1"/>
    <cellStyle name="Hipervínculo visitado" xfId="339" builtinId="9" hidden="1"/>
    <cellStyle name="Hipervínculo visitado" xfId="341" builtinId="9" hidden="1"/>
    <cellStyle name="Hipervínculo visitado" xfId="343" builtinId="9" hidden="1"/>
    <cellStyle name="Hipervínculo visitado" xfId="345" builtinId="9" hidden="1"/>
    <cellStyle name="Hipervínculo visitado" xfId="347" builtinId="9" hidden="1"/>
    <cellStyle name="Hipervínculo visitado" xfId="349" builtinId="9" hidden="1"/>
    <cellStyle name="Hipervínculo visitado" xfId="351" builtinId="9" hidden="1"/>
    <cellStyle name="Hipervínculo visitado" xfId="353" builtinId="9" hidden="1"/>
    <cellStyle name="Hipervínculo visitado" xfId="355" builtinId="9" hidden="1"/>
    <cellStyle name="Hipervínculo visitado" xfId="357" builtinId="9" hidden="1"/>
    <cellStyle name="Hipervínculo visitado" xfId="359" builtinId="9" hidden="1"/>
    <cellStyle name="Hipervínculo visitado" xfId="361" builtinId="9" hidden="1"/>
    <cellStyle name="Hipervínculo visitado" xfId="363" builtinId="9" hidden="1"/>
    <cellStyle name="Hipervínculo visitado" xfId="365" builtinId="9" hidden="1"/>
    <cellStyle name="Hipervínculo visitado" xfId="367" builtinId="9" hidden="1"/>
    <cellStyle name="Hipervínculo visitado" xfId="369" builtinId="9" hidden="1"/>
    <cellStyle name="Hipervínculo visitado" xfId="371" builtinId="9" hidden="1"/>
    <cellStyle name="Hipervínculo visitado" xfId="373" builtinId="9" hidden="1"/>
    <cellStyle name="Hipervínculo visitado" xfId="375" builtinId="9" hidden="1"/>
    <cellStyle name="Hipervínculo visitado" xfId="377" builtinId="9" hidden="1"/>
    <cellStyle name="Hipervínculo visitado" xfId="379" builtinId="9" hidden="1"/>
    <cellStyle name="Hipervínculo visitado" xfId="381" builtinId="9" hidden="1"/>
    <cellStyle name="Hipervínculo visitado" xfId="383" builtinId="9" hidden="1"/>
    <cellStyle name="Hipervínculo visitado" xfId="385" builtinId="9" hidden="1"/>
    <cellStyle name="Hipervínculo visitado" xfId="387" builtinId="9" hidden="1"/>
    <cellStyle name="Hipervínculo visitado" xfId="389" builtinId="9" hidden="1"/>
    <cellStyle name="Hipervínculo visitado" xfId="391" builtinId="9" hidden="1"/>
    <cellStyle name="Hipervínculo visitado" xfId="393" builtinId="9" hidden="1"/>
    <cellStyle name="Hipervínculo visitado" xfId="395" builtinId="9" hidden="1"/>
    <cellStyle name="Hipervínculo visitado" xfId="397" builtinId="9" hidden="1"/>
    <cellStyle name="Hipervínculo visitado" xfId="399" builtinId="9" hidden="1"/>
    <cellStyle name="Hipervínculo visitado" xfId="401"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Hipervínculo visitado" xfId="740" builtinId="9" hidden="1"/>
    <cellStyle name="Hipervínculo visitado" xfId="742" builtinId="9" hidden="1"/>
    <cellStyle name="Hipervínculo visitado" xfId="744" builtinId="9" hidden="1"/>
    <cellStyle name="Hipervínculo visitado" xfId="746" builtinId="9" hidden="1"/>
    <cellStyle name="Hipervínculo visitado" xfId="748" builtinId="9" hidden="1"/>
    <cellStyle name="Hipervínculo visitado" xfId="750" builtinId="9" hidden="1"/>
    <cellStyle name="Hipervínculo visitado" xfId="752" builtinId="9" hidden="1"/>
    <cellStyle name="Hipervínculo visitado" xfId="754" builtinId="9" hidden="1"/>
    <cellStyle name="Hipervínculo visitado" xfId="756" builtinId="9" hidden="1"/>
    <cellStyle name="Hipervínculo visitado" xfId="758" builtinId="9" hidden="1"/>
    <cellStyle name="Hipervínculo visitado" xfId="760" builtinId="9" hidden="1"/>
    <cellStyle name="Hipervínculo visitado" xfId="762" builtinId="9" hidden="1"/>
    <cellStyle name="Hipervínculo visitado" xfId="764" builtinId="9" hidden="1"/>
    <cellStyle name="Hipervínculo visitado" xfId="766" builtinId="9" hidden="1"/>
    <cellStyle name="Hipervínculo visitado" xfId="768" builtinId="9" hidden="1"/>
    <cellStyle name="Hipervínculo visitado" xfId="770" builtinId="9" hidden="1"/>
    <cellStyle name="Hipervínculo visitado" xfId="772" builtinId="9" hidden="1"/>
    <cellStyle name="Hipervínculo visitado" xfId="774" builtinId="9" hidden="1"/>
    <cellStyle name="Hipervínculo visitado" xfId="776" builtinId="9" hidden="1"/>
    <cellStyle name="Hipervínculo visitado" xfId="778" builtinId="9" hidden="1"/>
    <cellStyle name="Hipervínculo visitado" xfId="780" builtinId="9" hidden="1"/>
    <cellStyle name="Hipervínculo visitado" xfId="782" builtinId="9" hidden="1"/>
    <cellStyle name="Hipervínculo visitado" xfId="784" builtinId="9" hidden="1"/>
    <cellStyle name="Hipervínculo visitado" xfId="786" builtinId="9" hidden="1"/>
    <cellStyle name="Hipervínculo visitado" xfId="788" builtinId="9" hidden="1"/>
    <cellStyle name="Hipervínculo visitado" xfId="790" builtinId="9" hidden="1"/>
    <cellStyle name="Hipervínculo visitado" xfId="792" builtinId="9" hidden="1"/>
    <cellStyle name="Hipervínculo visitado" xfId="794" builtinId="9" hidden="1"/>
    <cellStyle name="Hipervínculo visitado" xfId="796" builtinId="9" hidden="1"/>
    <cellStyle name="Hipervínculo visitado" xfId="798" builtinId="9" hidden="1"/>
    <cellStyle name="Hipervínculo visitado" xfId="800" builtinId="9" hidden="1"/>
    <cellStyle name="Hipervínculo visitado" xfId="802" builtinId="9" hidden="1"/>
    <cellStyle name="Hipervínculo visitado" xfId="804" builtinId="9" hidden="1"/>
    <cellStyle name="Hipervínculo visitado" xfId="806" builtinId="9" hidden="1"/>
    <cellStyle name="Hipervínculo visitado" xfId="808" builtinId="9" hidden="1"/>
    <cellStyle name="Hipervínculo visitado" xfId="810" builtinId="9" hidden="1"/>
    <cellStyle name="Hipervínculo visitado" xfId="812" builtinId="9" hidden="1"/>
    <cellStyle name="Hipervínculo visitado" xfId="814" builtinId="9" hidden="1"/>
    <cellStyle name="Hipervínculo visitado" xfId="816" builtinId="9" hidden="1"/>
    <cellStyle name="Hipervínculo visitado" xfId="818" builtinId="9" hidden="1"/>
    <cellStyle name="Hipervínculo visitado" xfId="820" builtinId="9" hidden="1"/>
    <cellStyle name="Hipervínculo visitado" xfId="822" builtinId="9" hidden="1"/>
    <cellStyle name="Hipervínculo visitado" xfId="824" builtinId="9" hidden="1"/>
    <cellStyle name="Hipervínculo visitado" xfId="826" builtinId="9" hidden="1"/>
    <cellStyle name="Hipervínculo visitado" xfId="828" builtinId="9" hidden="1"/>
    <cellStyle name="Hipervínculo visitado" xfId="830" builtinId="9" hidden="1"/>
    <cellStyle name="Hipervínculo visitado" xfId="832" builtinId="9" hidden="1"/>
    <cellStyle name="Hipervínculo visitado" xfId="834" builtinId="9" hidden="1"/>
    <cellStyle name="Hipervínculo visitado" xfId="836" builtinId="9" hidden="1"/>
    <cellStyle name="Hipervínculo visitado" xfId="838" builtinId="9" hidden="1"/>
    <cellStyle name="Hipervínculo visitado" xfId="840" builtinId="9" hidden="1"/>
    <cellStyle name="Hipervínculo visitado" xfId="842" builtinId="9" hidden="1"/>
    <cellStyle name="Hipervínculo visitado" xfId="844" builtinId="9" hidden="1"/>
    <cellStyle name="Hipervínculo visitado" xfId="846" builtinId="9" hidden="1"/>
    <cellStyle name="Hipervínculo visitado" xfId="848" builtinId="9" hidden="1"/>
    <cellStyle name="Hipervínculo visitado" xfId="850" builtinId="9" hidden="1"/>
    <cellStyle name="Hipervínculo visitado" xfId="852" builtinId="9" hidden="1"/>
    <cellStyle name="Hipervínculo visitado" xfId="854" builtinId="9" hidden="1"/>
    <cellStyle name="Hipervínculo visitado" xfId="856" builtinId="9" hidden="1"/>
    <cellStyle name="Hipervínculo visitado" xfId="858" builtinId="9" hidden="1"/>
    <cellStyle name="Hipervínculo visitado" xfId="860" builtinId="9" hidden="1"/>
    <cellStyle name="Hipervínculo visitado" xfId="862" builtinId="9" hidden="1"/>
    <cellStyle name="Hipervínculo visitado" xfId="864" builtinId="9" hidden="1"/>
    <cellStyle name="Hipervínculo visitado" xfId="866" builtinId="9" hidden="1"/>
    <cellStyle name="Hipervínculo visitado" xfId="868" builtinId="9" hidden="1"/>
    <cellStyle name="Hipervínculo visitado" xfId="870" builtinId="9" hidden="1"/>
    <cellStyle name="Hipervínculo visitado" xfId="872" builtinId="9" hidden="1"/>
    <cellStyle name="Hipervínculo visitado" xfId="874" builtinId="9" hidden="1"/>
    <cellStyle name="Hipervínculo visitado" xfId="876" builtinId="9" hidden="1"/>
    <cellStyle name="Hipervínculo visitado" xfId="878" builtinId="9" hidden="1"/>
    <cellStyle name="Hipervínculo visitado" xfId="880" builtinId="9" hidden="1"/>
    <cellStyle name="Hipervínculo visitado" xfId="882" builtinId="9" hidden="1"/>
    <cellStyle name="Hipervínculo visitado" xfId="884" builtinId="9" hidden="1"/>
    <cellStyle name="Hipervínculo visitado" xfId="886" builtinId="9" hidden="1"/>
    <cellStyle name="Hipervínculo visitado" xfId="888" builtinId="9" hidden="1"/>
    <cellStyle name="Hipervínculo visitado" xfId="890" builtinId="9" hidden="1"/>
    <cellStyle name="Hipervínculo visitado" xfId="892" builtinId="9" hidden="1"/>
    <cellStyle name="Hipervínculo visitado" xfId="894" builtinId="9" hidden="1"/>
    <cellStyle name="Hipervínculo visitado" xfId="896" builtinId="9" hidden="1"/>
    <cellStyle name="Hipervínculo visitado" xfId="898" builtinId="9" hidden="1"/>
    <cellStyle name="Hipervínculo visitado" xfId="900" builtinId="9" hidden="1"/>
    <cellStyle name="Hipervínculo visitado" xfId="902" builtinId="9" hidden="1"/>
    <cellStyle name="Hipervínculo visitado" xfId="904" builtinId="9" hidden="1"/>
    <cellStyle name="Hipervínculo visitado" xfId="906" builtinId="9" hidden="1"/>
    <cellStyle name="Hipervínculo visitado" xfId="908" builtinId="9" hidden="1"/>
    <cellStyle name="Hipervínculo visitado" xfId="910" builtinId="9" hidden="1"/>
    <cellStyle name="Hipervínculo visitado" xfId="912" builtinId="9" hidden="1"/>
    <cellStyle name="Hipervínculo visitado" xfId="914" builtinId="9" hidden="1"/>
    <cellStyle name="Hipervínculo visitado" xfId="916" builtinId="9" hidden="1"/>
    <cellStyle name="Hipervínculo visitado" xfId="918" builtinId="9" hidden="1"/>
    <cellStyle name="Hipervínculo visitado" xfId="920" builtinId="9" hidden="1"/>
    <cellStyle name="Hipervínculo visitado" xfId="922" builtinId="9" hidden="1"/>
    <cellStyle name="Hipervínculo visitado" xfId="924" builtinId="9" hidden="1"/>
    <cellStyle name="Hipervínculo visitado" xfId="926" builtinId="9" hidden="1"/>
    <cellStyle name="Hipervínculo visitado" xfId="928" builtinId="9" hidden="1"/>
    <cellStyle name="Hipervínculo visitado" xfId="930" builtinId="9" hidden="1"/>
    <cellStyle name="Hipervínculo visitado" xfId="932" builtinId="9" hidden="1"/>
    <cellStyle name="Hipervínculo visitado" xfId="934" builtinId="9" hidden="1"/>
    <cellStyle name="Hipervínculo visitado" xfId="936" builtinId="9" hidden="1"/>
    <cellStyle name="Hipervínculo visitado" xfId="938" builtinId="9" hidden="1"/>
    <cellStyle name="Hipervínculo visitado" xfId="940" builtinId="9" hidden="1"/>
    <cellStyle name="Hipervínculo visitado" xfId="942" builtinId="9" hidden="1"/>
    <cellStyle name="Hipervínculo visitado" xfId="944" builtinId="9" hidden="1"/>
    <cellStyle name="Hipervínculo visitado" xfId="946" builtinId="9" hidden="1"/>
    <cellStyle name="Hipervínculo visitado" xfId="948" builtinId="9" hidden="1"/>
    <cellStyle name="Hipervínculo visitado" xfId="950" builtinId="9" hidden="1"/>
    <cellStyle name="Hipervínculo visitado" xfId="952" builtinId="9" hidden="1"/>
    <cellStyle name="Hipervínculo visitado" xfId="954" builtinId="9" hidden="1"/>
    <cellStyle name="Hipervínculo visitado" xfId="956" builtinId="9" hidden="1"/>
    <cellStyle name="Hipervínculo visitado" xfId="958" builtinId="9" hidden="1"/>
    <cellStyle name="Hipervínculo visitado" xfId="960" builtinId="9" hidden="1"/>
    <cellStyle name="Hipervínculo visitado" xfId="962" builtinId="9" hidden="1"/>
    <cellStyle name="Hipervínculo visitado" xfId="964" builtinId="9" hidden="1"/>
    <cellStyle name="Hipervínculo visitado" xfId="966" builtinId="9" hidden="1"/>
    <cellStyle name="Hipervínculo visitado" xfId="968" builtinId="9" hidden="1"/>
    <cellStyle name="Hipervínculo visitado" xfId="970" builtinId="9" hidden="1"/>
    <cellStyle name="Hipervínculo visitado" xfId="972" builtinId="9" hidden="1"/>
    <cellStyle name="Hipervínculo visitado" xfId="974" builtinId="9" hidden="1"/>
    <cellStyle name="Hipervínculo visitado" xfId="976" builtinId="9" hidden="1"/>
    <cellStyle name="Hipervínculo visitado" xfId="978" builtinId="9" hidden="1"/>
    <cellStyle name="Hipervínculo visitado" xfId="980" builtinId="9" hidden="1"/>
    <cellStyle name="Hipervínculo visitado" xfId="982" builtinId="9" hidden="1"/>
    <cellStyle name="Hipervínculo visitado" xfId="984" builtinId="9" hidden="1"/>
    <cellStyle name="Hipervínculo visitado" xfId="986" builtinId="9" hidden="1"/>
    <cellStyle name="Hipervínculo visitado" xfId="988" builtinId="9" hidden="1"/>
    <cellStyle name="Hipervínculo visitado" xfId="990" builtinId="9" hidden="1"/>
    <cellStyle name="Hipervínculo visitado" xfId="992" builtinId="9" hidden="1"/>
    <cellStyle name="Hipervínculo visitado" xfId="994" builtinId="9" hidden="1"/>
    <cellStyle name="Hipervínculo visitado" xfId="996" builtinId="9" hidden="1"/>
    <cellStyle name="Hipervínculo visitado" xfId="998" builtinId="9" hidden="1"/>
    <cellStyle name="Hipervínculo visitado" xfId="1000" builtinId="9" hidden="1"/>
    <cellStyle name="Hipervínculo visitado" xfId="1002" builtinId="9" hidden="1"/>
    <cellStyle name="Hipervínculo visitado" xfId="1004" builtinId="9" hidden="1"/>
    <cellStyle name="Hipervínculo visitado" xfId="1006" builtinId="9" hidden="1"/>
    <cellStyle name="Hipervínculo visitado" xfId="1008" builtinId="9" hidden="1"/>
    <cellStyle name="Hipervínculo visitado" xfId="1010" builtinId="9" hidden="1"/>
    <cellStyle name="Hipervínculo visitado" xfId="1012" builtinId="9" hidden="1"/>
    <cellStyle name="Hipervínculo visitado" xfId="1014" builtinId="9" hidden="1"/>
    <cellStyle name="Hipervínculo visitado" xfId="1016" builtinId="9" hidden="1"/>
    <cellStyle name="Hipervínculo visitado" xfId="1018" builtinId="9" hidden="1"/>
    <cellStyle name="Hipervínculo visitado" xfId="1020" builtinId="9" hidden="1"/>
    <cellStyle name="Hipervínculo visitado" xfId="1022" builtinId="9" hidden="1"/>
    <cellStyle name="Hipervínculo visitado" xfId="1024" builtinId="9" hidden="1"/>
    <cellStyle name="Hipervínculo visitado" xfId="1026" builtinId="9" hidden="1"/>
    <cellStyle name="Hipervínculo visitado" xfId="1028" builtinId="9" hidden="1"/>
    <cellStyle name="Hipervínculo visitado" xfId="1030" builtinId="9" hidden="1"/>
    <cellStyle name="Hipervínculo visitado" xfId="1032" builtinId="9" hidden="1"/>
    <cellStyle name="Hipervínculo visitado" xfId="1034" builtinId="9" hidden="1"/>
    <cellStyle name="Hipervínculo visitado" xfId="1036" builtinId="9" hidden="1"/>
    <cellStyle name="Hipervínculo visitado" xfId="1038" builtinId="9" hidden="1"/>
    <cellStyle name="Hipervínculo visitado" xfId="1040" builtinId="9" hidden="1"/>
    <cellStyle name="Hipervínculo visitado" xfId="1042" builtinId="9" hidden="1"/>
    <cellStyle name="Hipervínculo visitado" xfId="1044" builtinId="9" hidden="1"/>
    <cellStyle name="Hipervínculo visitado" xfId="1046" builtinId="9" hidden="1"/>
    <cellStyle name="Hipervínculo visitado" xfId="1048" builtinId="9" hidden="1"/>
    <cellStyle name="Hipervínculo visitado" xfId="1050" builtinId="9" hidden="1"/>
    <cellStyle name="Hipervínculo visitado" xfId="1052" builtinId="9" hidden="1"/>
    <cellStyle name="Hipervínculo visitado" xfId="1054" builtinId="9" hidden="1"/>
    <cellStyle name="Hipervínculo visitado" xfId="1056" builtinId="9" hidden="1"/>
    <cellStyle name="Hipervínculo visitado" xfId="1058" builtinId="9" hidden="1"/>
    <cellStyle name="Hipervínculo visitado" xfId="1060" builtinId="9" hidden="1"/>
    <cellStyle name="Hipervínculo visitado" xfId="1062" builtinId="9" hidden="1"/>
    <cellStyle name="Hipervínculo visitado" xfId="1064" builtinId="9" hidden="1"/>
    <cellStyle name="Hipervínculo visitado" xfId="1066" builtinId="9" hidden="1"/>
    <cellStyle name="Hipervínculo visitado" xfId="1068" builtinId="9" hidden="1"/>
    <cellStyle name="Hipervínculo visitado" xfId="1070" builtinId="9" hidden="1"/>
    <cellStyle name="Hipervínculo visitado" xfId="1072" builtinId="9" hidden="1"/>
    <cellStyle name="Hipervínculo visitado" xfId="1074" builtinId="9" hidden="1"/>
    <cellStyle name="Hipervínculo visitado" xfId="1076" builtinId="9" hidden="1"/>
    <cellStyle name="Hipervínculo visitado" xfId="1078" builtinId="9" hidden="1"/>
    <cellStyle name="Hipervínculo visitado" xfId="1080" builtinId="9" hidden="1"/>
    <cellStyle name="Hipervínculo visitado" xfId="1082" builtinId="9" hidden="1"/>
    <cellStyle name="Hipervínculo visitado" xfId="1084" builtinId="9" hidden="1"/>
    <cellStyle name="Hipervínculo visitado" xfId="1086" builtinId="9" hidden="1"/>
    <cellStyle name="Hipervínculo visitado" xfId="1088" builtinId="9" hidden="1"/>
    <cellStyle name="Hipervínculo visitado" xfId="1090" builtinId="9" hidden="1"/>
    <cellStyle name="Hipervínculo visitado" xfId="1092" builtinId="9" hidden="1"/>
    <cellStyle name="Hipervínculo visitado" xfId="1094" builtinId="9" hidden="1"/>
    <cellStyle name="Hipervínculo visitado" xfId="1096" builtinId="9" hidden="1"/>
    <cellStyle name="Hipervínculo visitado" xfId="1098" builtinId="9" hidden="1"/>
    <cellStyle name="Hipervínculo visitado" xfId="1100" builtinId="9" hidden="1"/>
    <cellStyle name="Hipervínculo visitado" xfId="1102" builtinId="9" hidden="1"/>
    <cellStyle name="Hipervínculo visitado" xfId="1104" builtinId="9" hidden="1"/>
    <cellStyle name="Hipervínculo visitado" xfId="1106" builtinId="9" hidden="1"/>
    <cellStyle name="Hipervínculo visitado" xfId="1108" builtinId="9" hidden="1"/>
    <cellStyle name="Hipervínculo visitado" xfId="1110" builtinId="9" hidden="1"/>
    <cellStyle name="Hipervínculo visitado" xfId="1112" builtinId="9" hidden="1"/>
    <cellStyle name="Hipervínculo visitado" xfId="1114" builtinId="9" hidden="1"/>
    <cellStyle name="Hipervínculo visitado" xfId="1116" builtinId="9" hidden="1"/>
    <cellStyle name="Hipervínculo visitado" xfId="1118" builtinId="9" hidden="1"/>
    <cellStyle name="Hipervínculo visitado" xfId="1120" builtinId="9" hidden="1"/>
    <cellStyle name="Hipervínculo visitado" xfId="1122" builtinId="9" hidden="1"/>
    <cellStyle name="Hipervínculo visitado" xfId="1124" builtinId="9" hidden="1"/>
    <cellStyle name="Hipervínculo visitado" xfId="1126" builtinId="9" hidden="1"/>
    <cellStyle name="Hipervínculo visitado" xfId="1128" builtinId="9" hidden="1"/>
    <cellStyle name="Hipervínculo visitado" xfId="1130" builtinId="9" hidden="1"/>
    <cellStyle name="Hipervínculo visitado" xfId="1132" builtinId="9" hidden="1"/>
    <cellStyle name="Hipervínculo visitado" xfId="1134" builtinId="9" hidden="1"/>
    <cellStyle name="Hipervínculo visitado" xfId="1136" builtinId="9" hidden="1"/>
    <cellStyle name="Hipervínculo visitado" xfId="1138" builtinId="9" hidden="1"/>
    <cellStyle name="Hipervínculo visitado" xfId="1140" builtinId="9" hidden="1"/>
    <cellStyle name="Hipervínculo visitado" xfId="1142" builtinId="9" hidden="1"/>
    <cellStyle name="Hipervínculo visitado" xfId="1144" builtinId="9" hidden="1"/>
    <cellStyle name="Hipervínculo visitado" xfId="1146" builtinId="9" hidden="1"/>
    <cellStyle name="Hipervínculo visitado" xfId="1148" builtinId="9" hidden="1"/>
    <cellStyle name="Hipervínculo visitado" xfId="1151" builtinId="9" hidden="1"/>
    <cellStyle name="Hipervínculo visitado" xfId="1153" builtinId="9" hidden="1"/>
    <cellStyle name="Hipervínculo visitado" xfId="1155" builtinId="9" hidden="1"/>
    <cellStyle name="Hipervínculo visitado" xfId="1157" builtinId="9" hidden="1"/>
    <cellStyle name="Hipervínculo visitado" xfId="1159" builtinId="9" hidden="1"/>
    <cellStyle name="Hipervínculo visitado" xfId="1161" builtinId="9" hidden="1"/>
    <cellStyle name="Hipervínculo visitado" xfId="1163" builtinId="9" hidden="1"/>
    <cellStyle name="Hipervínculo visitado" xfId="1165" builtinId="9" hidden="1"/>
    <cellStyle name="Hipervínculo visitado" xfId="1167" builtinId="9" hidden="1"/>
    <cellStyle name="Hipervínculo visitado" xfId="1169" builtinId="9" hidden="1"/>
    <cellStyle name="Hipervínculo visitado" xfId="1171" builtinId="9" hidden="1"/>
    <cellStyle name="Hipervínculo visitado" xfId="1173" builtinId="9" hidden="1"/>
    <cellStyle name="Hipervínculo visitado" xfId="1175" builtinId="9" hidden="1"/>
    <cellStyle name="Hipervínculo visitado" xfId="1177" builtinId="9" hidden="1"/>
    <cellStyle name="Hipervínculo visitado" xfId="1179" builtinId="9" hidden="1"/>
    <cellStyle name="Hipervínculo visitado" xfId="1181" builtinId="9" hidden="1"/>
    <cellStyle name="Hipervínculo visitado" xfId="1183" builtinId="9" hidden="1"/>
    <cellStyle name="Hipervínculo visitado" xfId="1185" builtinId="9" hidden="1"/>
    <cellStyle name="Hipervínculo visitado" xfId="1187" builtinId="9" hidden="1"/>
    <cellStyle name="Hipervínculo visitado" xfId="1189" builtinId="9" hidden="1"/>
    <cellStyle name="Hipervínculo visitado" xfId="1191" builtinId="9" hidden="1"/>
    <cellStyle name="Hipervínculo visitado" xfId="1193" builtinId="9" hidden="1"/>
    <cellStyle name="Hipervínculo visitado" xfId="1195" builtinId="9" hidden="1"/>
    <cellStyle name="Hipervínculo visitado" xfId="1197" builtinId="9" hidden="1"/>
    <cellStyle name="Hipervínculo visitado" xfId="1199" builtinId="9" hidden="1"/>
    <cellStyle name="Hipervínculo visitado" xfId="1201" builtinId="9" hidden="1"/>
    <cellStyle name="Hipervínculo visitado" xfId="1203" builtinId="9" hidden="1"/>
    <cellStyle name="Hipervínculo visitado" xfId="1205" builtinId="9" hidden="1"/>
    <cellStyle name="Hipervínculo visitado" xfId="1207" builtinId="9" hidden="1"/>
    <cellStyle name="Hipervínculo visitado" xfId="1209" builtinId="9" hidden="1"/>
    <cellStyle name="Hipervínculo visitado" xfId="1211" builtinId="9" hidden="1"/>
    <cellStyle name="Hipervínculo visitado" xfId="1213" builtinId="9" hidden="1"/>
    <cellStyle name="Hipervínculo visitado" xfId="1215" builtinId="9" hidden="1"/>
    <cellStyle name="Hipervínculo visitado" xfId="1217" builtinId="9" hidden="1"/>
    <cellStyle name="Hipervínculo visitado" xfId="1219" builtinId="9" hidden="1"/>
    <cellStyle name="Hipervínculo visitado" xfId="1221" builtinId="9" hidden="1"/>
    <cellStyle name="Hipervínculo visitado" xfId="1223" builtinId="9" hidden="1"/>
    <cellStyle name="Hipervínculo visitado" xfId="1225" builtinId="9" hidden="1"/>
    <cellStyle name="Hipervínculo visitado" xfId="1227" builtinId="9" hidden="1"/>
    <cellStyle name="Hipervínculo visitado" xfId="1229" builtinId="9" hidden="1"/>
    <cellStyle name="Hipervínculo visitado" xfId="1231" builtinId="9" hidden="1"/>
    <cellStyle name="Hipervínculo visitado" xfId="1233" builtinId="9" hidden="1"/>
    <cellStyle name="Hipervínculo visitado" xfId="1235" builtinId="9" hidden="1"/>
    <cellStyle name="Hipervínculo visitado" xfId="1237" builtinId="9" hidden="1"/>
    <cellStyle name="Hipervínculo visitado" xfId="1239" builtinId="9" hidden="1"/>
    <cellStyle name="Hipervínculo visitado" xfId="1241" builtinId="9" hidden="1"/>
    <cellStyle name="Hipervínculo visitado" xfId="1243" builtinId="9" hidden="1"/>
    <cellStyle name="Hipervínculo visitado" xfId="1245" builtinId="9" hidden="1"/>
    <cellStyle name="Hipervínculo visitado" xfId="1247" builtinId="9" hidden="1"/>
    <cellStyle name="Hipervínculo visitado" xfId="1249" builtinId="9" hidden="1"/>
    <cellStyle name="Hipervínculo visitado" xfId="1251" builtinId="9" hidden="1"/>
    <cellStyle name="Hipervínculo visitado" xfId="1253" builtinId="9" hidden="1"/>
    <cellStyle name="Hipervínculo visitado" xfId="1255" builtinId="9" hidden="1"/>
    <cellStyle name="Hipervínculo visitado" xfId="1257" builtinId="9" hidden="1"/>
    <cellStyle name="Hipervínculo visitado" xfId="1259" builtinId="9" hidden="1"/>
    <cellStyle name="Hipervínculo visitado" xfId="1261" builtinId="9" hidden="1"/>
    <cellStyle name="Hipervínculo visitado" xfId="1263" builtinId="9" hidden="1"/>
    <cellStyle name="Hipervínculo visitado" xfId="1265" builtinId="9" hidden="1"/>
    <cellStyle name="Hipervínculo visitado" xfId="1267" builtinId="9" hidden="1"/>
    <cellStyle name="Hipervínculo visitado" xfId="1269" builtinId="9" hidden="1"/>
    <cellStyle name="Hipervínculo visitado" xfId="1271" builtinId="9" hidden="1"/>
    <cellStyle name="Hipervínculo visitado" xfId="1273" builtinId="9" hidden="1"/>
    <cellStyle name="Hipervínculo visitado" xfId="1275" builtinId="9" hidden="1"/>
    <cellStyle name="Hipervínculo visitado" xfId="1277" builtinId="9" hidden="1"/>
    <cellStyle name="Hipervínculo visitado" xfId="1279" builtinId="9" hidden="1"/>
    <cellStyle name="Hipervínculo visitado" xfId="1281" builtinId="9" hidden="1"/>
    <cellStyle name="Hipervínculo visitado" xfId="1283" builtinId="9" hidden="1"/>
    <cellStyle name="Hipervínculo visitado" xfId="1285" builtinId="9" hidden="1"/>
    <cellStyle name="Hipervínculo visitado" xfId="1287" builtinId="9" hidden="1"/>
    <cellStyle name="Hipervínculo visitado" xfId="1289" builtinId="9" hidden="1"/>
    <cellStyle name="Hipervínculo visitado" xfId="1291" builtinId="9" hidden="1"/>
    <cellStyle name="Hipervínculo visitado" xfId="1293" builtinId="9" hidden="1"/>
    <cellStyle name="Hipervínculo visitado" xfId="1295" builtinId="9" hidden="1"/>
    <cellStyle name="Hipervínculo visitado" xfId="1297" builtinId="9" hidden="1"/>
    <cellStyle name="Hipervínculo visitado" xfId="1299" builtinId="9" hidden="1"/>
    <cellStyle name="Hipervínculo visitado" xfId="1301" builtinId="9" hidden="1"/>
    <cellStyle name="Hipervínculo visitado" xfId="1303" builtinId="9" hidden="1"/>
    <cellStyle name="Hipervínculo visitado" xfId="1305" builtinId="9" hidden="1"/>
    <cellStyle name="Hipervínculo visitado" xfId="1307" builtinId="9" hidden="1"/>
    <cellStyle name="Hipervínculo visitado" xfId="1309" builtinId="9" hidden="1"/>
    <cellStyle name="Hipervínculo visitado" xfId="1311" builtinId="9" hidden="1"/>
    <cellStyle name="Hipervínculo visitado" xfId="1313" builtinId="9" hidden="1"/>
    <cellStyle name="Hipervínculo visitado" xfId="1315" builtinId="9" hidden="1"/>
    <cellStyle name="Hipervínculo visitado" xfId="1317" builtinId="9" hidden="1"/>
    <cellStyle name="Hipervínculo visitado" xfId="1319" builtinId="9" hidden="1"/>
    <cellStyle name="Hipervínculo visitado" xfId="1321" builtinId="9" hidden="1"/>
    <cellStyle name="Hipervínculo visitado" xfId="1323" builtinId="9" hidden="1"/>
    <cellStyle name="Hipervínculo visitado" xfId="1325" builtinId="9" hidden="1"/>
    <cellStyle name="Hipervínculo visitado" xfId="1327" builtinId="9" hidden="1"/>
    <cellStyle name="Hipervínculo visitado" xfId="1329" builtinId="9" hidden="1"/>
    <cellStyle name="Hipervínculo visitado" xfId="1331" builtinId="9" hidden="1"/>
    <cellStyle name="Hipervínculo visitado" xfId="1333" builtinId="9" hidden="1"/>
    <cellStyle name="Hipervínculo visitado" xfId="1335" builtinId="9" hidden="1"/>
    <cellStyle name="Hipervínculo visitado" xfId="1337" builtinId="9" hidden="1"/>
    <cellStyle name="Hipervínculo visitado" xfId="1339" builtinId="9" hidden="1"/>
    <cellStyle name="Hipervínculo visitado" xfId="1341" builtinId="9" hidden="1"/>
    <cellStyle name="Hipervínculo visitado" xfId="1343" builtinId="9" hidden="1"/>
    <cellStyle name="Hipervínculo visitado" xfId="1345" builtinId="9" hidden="1"/>
    <cellStyle name="Hipervínculo visitado" xfId="1347" builtinId="9" hidden="1"/>
    <cellStyle name="Hipervínculo visitado" xfId="1349" builtinId="9" hidden="1"/>
    <cellStyle name="Hipervínculo visitado" xfId="1351" builtinId="9" hidden="1"/>
    <cellStyle name="Hipervínculo visitado" xfId="1353" builtinId="9" hidden="1"/>
    <cellStyle name="Hipervínculo visitado" xfId="1355" builtinId="9" hidden="1"/>
    <cellStyle name="Hipervínculo visitado" xfId="1357" builtinId="9" hidden="1"/>
    <cellStyle name="Hipervínculo visitado" xfId="1359" builtinId="9" hidden="1"/>
    <cellStyle name="Hipervínculo visitado" xfId="1361" builtinId="9" hidden="1"/>
    <cellStyle name="Hipervínculo visitado" xfId="1363" builtinId="9" hidden="1"/>
    <cellStyle name="Hipervínculo visitado" xfId="1365" builtinId="9" hidden="1"/>
    <cellStyle name="Hipervínculo visitado" xfId="1367" builtinId="9" hidden="1"/>
    <cellStyle name="Hipervínculo visitado" xfId="1369" builtinId="9" hidden="1"/>
    <cellStyle name="Hipervínculo visitado" xfId="1371" builtinId="9" hidden="1"/>
    <cellStyle name="Hipervínculo visitado" xfId="1373" builtinId="9" hidden="1"/>
    <cellStyle name="Hipervínculo visitado" xfId="1375" builtinId="9" hidden="1"/>
    <cellStyle name="Hipervínculo visitado" xfId="1377" builtinId="9" hidden="1"/>
    <cellStyle name="Hipervínculo visitado" xfId="1379" builtinId="9" hidden="1"/>
    <cellStyle name="Hipervínculo visitado" xfId="1381" builtinId="9" hidden="1"/>
    <cellStyle name="Hipervínculo visitado" xfId="1383" builtinId="9" hidden="1"/>
    <cellStyle name="Hipervínculo visitado" xfId="1385" builtinId="9" hidden="1"/>
    <cellStyle name="Hipervínculo visitado" xfId="1387" builtinId="9" hidden="1"/>
    <cellStyle name="Hipervínculo visitado" xfId="1389" builtinId="9" hidden="1"/>
    <cellStyle name="Hipervínculo visitado" xfId="1391" builtinId="9" hidden="1"/>
    <cellStyle name="Hipervínculo visitado" xfId="1393" builtinId="9" hidden="1"/>
    <cellStyle name="Hipervínculo visitado" xfId="1395" builtinId="9" hidden="1"/>
    <cellStyle name="Hipervínculo visitado" xfId="1397" builtinId="9" hidden="1"/>
    <cellStyle name="Hipervínculo visitado" xfId="1399" builtinId="9" hidden="1"/>
    <cellStyle name="Hipervínculo visitado" xfId="1401" builtinId="9" hidden="1"/>
    <cellStyle name="Hipervínculo visitado" xfId="1403" builtinId="9" hidden="1"/>
    <cellStyle name="Hipervínculo visitado" xfId="1405" builtinId="9" hidden="1"/>
    <cellStyle name="Hipervínculo visitado" xfId="1407" builtinId="9" hidden="1"/>
    <cellStyle name="Hipervínculo visitado" xfId="1409" builtinId="9" hidden="1"/>
    <cellStyle name="Hipervínculo visitado" xfId="1411" builtinId="9" hidden="1"/>
    <cellStyle name="Hipervínculo visitado" xfId="1413" builtinId="9" hidden="1"/>
    <cellStyle name="Hipervínculo visitado" xfId="1415" builtinId="9" hidden="1"/>
    <cellStyle name="Hipervínculo visitado" xfId="1417" builtinId="9" hidden="1"/>
    <cellStyle name="Hipervínculo visitado" xfId="1419" builtinId="9" hidden="1"/>
    <cellStyle name="Hipervínculo visitado" xfId="1421" builtinId="9" hidden="1"/>
    <cellStyle name="Hipervínculo visitado" xfId="1423" builtinId="9" hidden="1"/>
    <cellStyle name="Hipervínculo visitado" xfId="1425" builtinId="9" hidden="1"/>
    <cellStyle name="Hipervínculo visitado" xfId="1427" builtinId="9" hidden="1"/>
    <cellStyle name="Hipervínculo visitado" xfId="1429" builtinId="9" hidden="1"/>
    <cellStyle name="Hipervínculo visitado" xfId="1431" builtinId="9" hidden="1"/>
    <cellStyle name="Hipervínculo visitado" xfId="1433" builtinId="9" hidden="1"/>
    <cellStyle name="Hipervínculo visitado" xfId="1435" builtinId="9" hidden="1"/>
    <cellStyle name="Hipervínculo visitado" xfId="1437" builtinId="9" hidden="1"/>
    <cellStyle name="Hipervínculo visitado" xfId="1439" builtinId="9" hidden="1"/>
    <cellStyle name="Hipervínculo visitado" xfId="1441" builtinId="9" hidden="1"/>
    <cellStyle name="Hipervínculo visitado" xfId="1443" builtinId="9" hidden="1"/>
    <cellStyle name="Hipervínculo visitado" xfId="1445" builtinId="9" hidden="1"/>
    <cellStyle name="Hipervínculo visitado" xfId="1447" builtinId="9" hidden="1"/>
    <cellStyle name="Hipervínculo visitado" xfId="1449" builtinId="9" hidden="1"/>
    <cellStyle name="Hipervínculo visitado" xfId="1451" builtinId="9" hidden="1"/>
    <cellStyle name="Hipervínculo visitado" xfId="1453" builtinId="9" hidden="1"/>
    <cellStyle name="Hipervínculo visitado" xfId="1455" builtinId="9" hidden="1"/>
    <cellStyle name="Hipervínculo visitado" xfId="1457" builtinId="9" hidden="1"/>
    <cellStyle name="Hipervínculo visitado" xfId="1459" builtinId="9" hidden="1"/>
    <cellStyle name="Hipervínculo visitado" xfId="1461" builtinId="9" hidden="1"/>
    <cellStyle name="Hipervínculo visitado" xfId="1463" builtinId="9" hidden="1"/>
    <cellStyle name="Hipervínculo visitado" xfId="1465" builtinId="9" hidden="1"/>
    <cellStyle name="Hipervínculo visitado" xfId="1467" builtinId="9" hidden="1"/>
    <cellStyle name="Hipervínculo visitado" xfId="1469" builtinId="9" hidden="1"/>
    <cellStyle name="Hipervínculo visitado" xfId="1471" builtinId="9" hidden="1"/>
    <cellStyle name="Hipervínculo visitado" xfId="1473" builtinId="9" hidden="1"/>
    <cellStyle name="Hipervínculo visitado" xfId="1475" builtinId="9" hidden="1"/>
    <cellStyle name="Hipervínculo visitado" xfId="1477" builtinId="9" hidden="1"/>
    <cellStyle name="Hipervínculo visitado" xfId="1479" builtinId="9" hidden="1"/>
    <cellStyle name="Hipervínculo visitado" xfId="1481" builtinId="9" hidden="1"/>
    <cellStyle name="Hipervínculo visitado" xfId="1483" builtinId="9" hidden="1"/>
    <cellStyle name="Hipervínculo visitado" xfId="1485" builtinId="9" hidden="1"/>
    <cellStyle name="Hipervínculo visitado" xfId="1487" builtinId="9" hidden="1"/>
    <cellStyle name="Hipervínculo visitado" xfId="1489" builtinId="9" hidden="1"/>
    <cellStyle name="Hipervínculo visitado" xfId="1491" builtinId="9" hidden="1"/>
    <cellStyle name="Hipervínculo visitado" xfId="1493" builtinId="9" hidden="1"/>
    <cellStyle name="Hipervínculo visitado" xfId="1495" builtinId="9" hidden="1"/>
    <cellStyle name="Hipervínculo visitado" xfId="1497" builtinId="9" hidden="1"/>
    <cellStyle name="Hipervínculo visitado" xfId="1499" builtinId="9" hidden="1"/>
    <cellStyle name="Hipervínculo visitado" xfId="1501" builtinId="9" hidden="1"/>
    <cellStyle name="Hipervínculo visitado" xfId="1503" builtinId="9" hidden="1"/>
    <cellStyle name="Hipervínculo visitado" xfId="1505" builtinId="9" hidden="1"/>
    <cellStyle name="Hipervínculo visitado" xfId="1507" builtinId="9" hidden="1"/>
    <cellStyle name="Hipervínculo visitado" xfId="1509" builtinId="9" hidden="1"/>
    <cellStyle name="Hipervínculo visitado" xfId="1511" builtinId="9" hidden="1"/>
    <cellStyle name="Hipervínculo visitado" xfId="1513" builtinId="9" hidden="1"/>
    <cellStyle name="Hipervínculo visitado" xfId="1515" builtinId="9" hidden="1"/>
    <cellStyle name="Hipervínculo visitado" xfId="1517" builtinId="9" hidden="1"/>
    <cellStyle name="Hipervínculo visitado" xfId="1519" builtinId="9" hidden="1"/>
    <cellStyle name="Hipervínculo visitado" xfId="1521" builtinId="9" hidden="1"/>
    <cellStyle name="Hipervínculo visitado" xfId="1523" builtinId="9" hidden="1"/>
    <cellStyle name="Hipervínculo visitado" xfId="1525" builtinId="9" hidden="1"/>
    <cellStyle name="Hipervínculo visitado" xfId="1527" builtinId="9" hidden="1"/>
    <cellStyle name="Hipervínculo visitado" xfId="1529" builtinId="9" hidden="1"/>
    <cellStyle name="Hipervínculo visitado" xfId="1531" builtinId="9" hidden="1"/>
    <cellStyle name="Hipervínculo visitado" xfId="1533" builtinId="9" hidden="1"/>
    <cellStyle name="Hipervínculo visitado" xfId="1535" builtinId="9" hidden="1"/>
    <cellStyle name="Hipervínculo visitado" xfId="1537" builtinId="9" hidden="1"/>
    <cellStyle name="Hipervínculo visitado" xfId="1539" builtinId="9" hidden="1"/>
    <cellStyle name="Hipervínculo visitado" xfId="1541" builtinId="9" hidden="1"/>
    <cellStyle name="Hipervínculo visitado" xfId="1543" builtinId="9" hidden="1"/>
    <cellStyle name="Hipervínculo visitado" xfId="1545" builtinId="9" hidden="1"/>
    <cellStyle name="Hipervínculo visitado" xfId="1547" builtinId="9" hidden="1"/>
    <cellStyle name="Hipervínculo visitado" xfId="1549" builtinId="9" hidden="1"/>
    <cellStyle name="Hipervínculo visitado" xfId="1551" builtinId="9" hidden="1"/>
    <cellStyle name="Hipervínculo visitado" xfId="1553" builtinId="9" hidden="1"/>
    <cellStyle name="Hipervínculo visitado" xfId="1555" builtinId="9" hidden="1"/>
    <cellStyle name="Hipervínculo visitado" xfId="1557" builtinId="9" hidden="1"/>
    <cellStyle name="Hipervínculo visitado" xfId="1559" builtinId="9" hidden="1"/>
    <cellStyle name="Hipervínculo visitado" xfId="1561" builtinId="9" hidden="1"/>
    <cellStyle name="Hipervínculo visitado" xfId="1563" builtinId="9" hidden="1"/>
    <cellStyle name="Hipervínculo visitado" xfId="1565" builtinId="9" hidden="1"/>
    <cellStyle name="Hipervínculo visitado" xfId="1567" builtinId="9" hidden="1"/>
    <cellStyle name="Hipervínculo visitado" xfId="1569" builtinId="9" hidden="1"/>
    <cellStyle name="Hipervínculo visitado" xfId="1571" builtinId="9" hidden="1"/>
    <cellStyle name="Hipervínculo visitado" xfId="1573" builtinId="9" hidden="1"/>
    <cellStyle name="Hipervínculo visitado" xfId="1575" builtinId="9" hidden="1"/>
    <cellStyle name="Hipervínculo visitado" xfId="1577" builtinId="9" hidden="1"/>
    <cellStyle name="Hipervínculo visitado" xfId="1579" builtinId="9" hidden="1"/>
    <cellStyle name="Hipervínculo visitado" xfId="1581" builtinId="9" hidden="1"/>
    <cellStyle name="Hipervínculo visitado" xfId="1583" builtinId="9" hidden="1"/>
    <cellStyle name="Hipervínculo visitado" xfId="1585" builtinId="9" hidden="1"/>
    <cellStyle name="Hipervínculo visitado" xfId="1587" builtinId="9" hidden="1"/>
    <cellStyle name="Hipervínculo visitado" xfId="1589" builtinId="9" hidden="1"/>
    <cellStyle name="Hipervínculo visitado" xfId="1591" builtinId="9" hidden="1"/>
    <cellStyle name="Hipervínculo visitado" xfId="1593" builtinId="9" hidden="1"/>
    <cellStyle name="Hipervínculo visitado" xfId="1595" builtinId="9" hidden="1"/>
    <cellStyle name="Hipervínculo visitado" xfId="1597" builtinId="9" hidden="1"/>
    <cellStyle name="Hipervínculo visitado" xfId="1599" builtinId="9" hidden="1"/>
    <cellStyle name="Hipervínculo visitado" xfId="1601" builtinId="9" hidden="1"/>
    <cellStyle name="Hipervínculo visitado" xfId="1603" builtinId="9" hidden="1"/>
    <cellStyle name="Hipervínculo visitado" xfId="1605" builtinId="9" hidden="1"/>
    <cellStyle name="Hipervínculo visitado" xfId="1607" builtinId="9" hidden="1"/>
    <cellStyle name="Hipervínculo visitado" xfId="1609" builtinId="9" hidden="1"/>
    <cellStyle name="Hipervínculo visitado" xfId="1611" builtinId="9" hidden="1"/>
    <cellStyle name="Hipervínculo visitado" xfId="1613" builtinId="9" hidden="1"/>
    <cellStyle name="Hipervínculo visitado" xfId="1615" builtinId="9" hidden="1"/>
    <cellStyle name="Hipervínculo visitado" xfId="1617" builtinId="9" hidden="1"/>
    <cellStyle name="Hipervínculo visitado" xfId="1619" builtinId="9" hidden="1"/>
    <cellStyle name="Hipervínculo visitado" xfId="1621" builtinId="9" hidden="1"/>
    <cellStyle name="Hipervínculo visitado" xfId="1623" builtinId="9" hidden="1"/>
    <cellStyle name="Hipervínculo visitado" xfId="1625" builtinId="9" hidden="1"/>
    <cellStyle name="Hipervínculo visitado" xfId="1627" builtinId="9" hidden="1"/>
    <cellStyle name="Hipervínculo visitado" xfId="1629" builtinId="9" hidden="1"/>
    <cellStyle name="Hipervínculo visitado" xfId="1631" builtinId="9" hidden="1"/>
    <cellStyle name="Hipervínculo visitado" xfId="1633" builtinId="9" hidden="1"/>
    <cellStyle name="Hipervínculo visitado" xfId="1635" builtinId="9" hidden="1"/>
    <cellStyle name="Hipervínculo visitado" xfId="1637" builtinId="9" hidden="1"/>
    <cellStyle name="Hipervínculo visitado" xfId="1639" builtinId="9" hidden="1"/>
    <cellStyle name="Hipervínculo visitado" xfId="1641" builtinId="9" hidden="1"/>
    <cellStyle name="Hipervínculo visitado" xfId="1643" builtinId="9" hidden="1"/>
    <cellStyle name="Hipervínculo visitado" xfId="1645" builtinId="9" hidden="1"/>
    <cellStyle name="Hipervínculo visitado" xfId="1647" builtinId="9" hidden="1"/>
    <cellStyle name="Hipervínculo visitado" xfId="1649" builtinId="9" hidden="1"/>
    <cellStyle name="Hipervínculo visitado" xfId="1651" builtinId="9" hidden="1"/>
    <cellStyle name="Hipervínculo visitado" xfId="1653" builtinId="9" hidden="1"/>
    <cellStyle name="Hipervínculo visitado" xfId="1655" builtinId="9" hidden="1"/>
    <cellStyle name="Hipervínculo visitado" xfId="1657" builtinId="9" hidden="1"/>
    <cellStyle name="Hipervínculo visitado" xfId="1659" builtinId="9" hidden="1"/>
    <cellStyle name="Hipervínculo visitado" xfId="1661" builtinId="9" hidden="1"/>
    <cellStyle name="Hipervínculo visitado" xfId="1663" builtinId="9" hidden="1"/>
    <cellStyle name="Hipervínculo visitado" xfId="1665" builtinId="9" hidden="1"/>
    <cellStyle name="Hipervínculo visitado" xfId="1667" builtinId="9" hidden="1"/>
    <cellStyle name="Hipervínculo visitado" xfId="1669" builtinId="9" hidden="1"/>
    <cellStyle name="Hipervínculo visitado" xfId="1671" builtinId="9" hidden="1"/>
    <cellStyle name="Hipervínculo visitado" xfId="1673" builtinId="9" hidden="1"/>
    <cellStyle name="Hipervínculo visitado" xfId="1675" builtinId="9" hidden="1"/>
    <cellStyle name="Hipervínculo visitado" xfId="1677" builtinId="9" hidden="1"/>
    <cellStyle name="Hipervínculo visitado" xfId="1679" builtinId="9" hidden="1"/>
    <cellStyle name="Hipervínculo visitado" xfId="1681" builtinId="9" hidden="1"/>
    <cellStyle name="Hipervínculo visitado" xfId="1683" builtinId="9" hidden="1"/>
    <cellStyle name="Hipervínculo visitado" xfId="1685" builtinId="9" hidden="1"/>
    <cellStyle name="Hipervínculo visitado" xfId="1687" builtinId="9" hidden="1"/>
    <cellStyle name="Hipervínculo visitado" xfId="1689" builtinId="9" hidden="1"/>
    <cellStyle name="Hipervínculo visitado" xfId="1691" builtinId="9" hidden="1"/>
    <cellStyle name="Hipervínculo visitado" xfId="1693" builtinId="9" hidden="1"/>
    <cellStyle name="Hipervínculo visitado" xfId="1695" builtinId="9" hidden="1"/>
    <cellStyle name="Hipervínculo visitado" xfId="1697" builtinId="9" hidden="1"/>
    <cellStyle name="Hipervínculo visitado" xfId="1699" builtinId="9" hidden="1"/>
    <cellStyle name="Hipervínculo visitado" xfId="1701" builtinId="9" hidden="1"/>
    <cellStyle name="Hipervínculo visitado" xfId="1703" builtinId="9" hidden="1"/>
    <cellStyle name="Hipervínculo visitado" xfId="1705" builtinId="9" hidden="1"/>
    <cellStyle name="Hipervínculo visitado" xfId="1707" builtinId="9" hidden="1"/>
    <cellStyle name="Hipervínculo visitado" xfId="1709" builtinId="9" hidden="1"/>
    <cellStyle name="Hipervínculo visitado" xfId="1711" builtinId="9" hidden="1"/>
    <cellStyle name="Hipervínculo visitado" xfId="1713" builtinId="9" hidden="1"/>
    <cellStyle name="Hipervínculo visitado" xfId="1715" builtinId="9" hidden="1"/>
    <cellStyle name="Hipervínculo visitado" xfId="1717" builtinId="9" hidden="1"/>
    <cellStyle name="Hipervínculo visitado" xfId="1719" builtinId="9" hidden="1"/>
    <cellStyle name="Hipervínculo visitado" xfId="1721" builtinId="9" hidden="1"/>
    <cellStyle name="Hipervínculo visitado" xfId="1723" builtinId="9" hidden="1"/>
    <cellStyle name="Hipervínculo visitado" xfId="1725" builtinId="9" hidden="1"/>
    <cellStyle name="Hipervínculo visitado" xfId="1727" builtinId="9" hidden="1"/>
    <cellStyle name="Hipervínculo visitado" xfId="1729" builtinId="9" hidden="1"/>
    <cellStyle name="Hipervínculo visitado" xfId="1731" builtinId="9" hidden="1"/>
    <cellStyle name="Hipervínculo visitado" xfId="1733" builtinId="9" hidden="1"/>
    <cellStyle name="Hipervínculo visitado" xfId="1735" builtinId="9" hidden="1"/>
    <cellStyle name="Hipervínculo visitado" xfId="1737" builtinId="9" hidden="1"/>
    <cellStyle name="Hipervínculo visitado" xfId="1739" builtinId="9" hidden="1"/>
    <cellStyle name="Hipervínculo visitado" xfId="1741" builtinId="9" hidden="1"/>
    <cellStyle name="Hipervínculo visitado" xfId="1743" builtinId="9" hidden="1"/>
    <cellStyle name="Hipervínculo visitado" xfId="1745" builtinId="9" hidden="1"/>
    <cellStyle name="Hipervínculo visitado" xfId="1747" builtinId="9" hidden="1"/>
    <cellStyle name="Hipervínculo visitado" xfId="1749" builtinId="9" hidden="1"/>
    <cellStyle name="Hipervínculo visitado" xfId="1751" builtinId="9" hidden="1"/>
    <cellStyle name="Hipervínculo visitado" xfId="1753" builtinId="9" hidden="1"/>
    <cellStyle name="Hipervínculo visitado" xfId="1755" builtinId="9" hidden="1"/>
    <cellStyle name="Hipervínculo visitado" xfId="1757" builtinId="9" hidden="1"/>
    <cellStyle name="Hipervínculo visitado" xfId="1759" builtinId="9" hidden="1"/>
    <cellStyle name="Hipervínculo visitado" xfId="1761" builtinId="9" hidden="1"/>
    <cellStyle name="Hipervínculo visitado" xfId="1763" builtinId="9" hidden="1"/>
    <cellStyle name="Hipervínculo visitado" xfId="1765" builtinId="9" hidden="1"/>
    <cellStyle name="Hipervínculo visitado" xfId="1767" builtinId="9" hidden="1"/>
    <cellStyle name="Hipervínculo visitado" xfId="1769" builtinId="9" hidden="1"/>
    <cellStyle name="Hipervínculo visitado" xfId="1771" builtinId="9" hidden="1"/>
    <cellStyle name="Hipervínculo visitado" xfId="1773" builtinId="9" hidden="1"/>
    <cellStyle name="Hipervínculo visitado" xfId="1775" builtinId="9" hidden="1"/>
    <cellStyle name="Hipervínculo visitado" xfId="1777" builtinId="9" hidden="1"/>
    <cellStyle name="Hipervínculo visitado" xfId="1779" builtinId="9" hidden="1"/>
    <cellStyle name="Hipervínculo visitado" xfId="1781" builtinId="9" hidden="1"/>
    <cellStyle name="Hipervínculo visitado" xfId="1783" builtinId="9" hidden="1"/>
    <cellStyle name="Hipervínculo visitado" xfId="1785" builtinId="9" hidden="1"/>
    <cellStyle name="Hipervínculo visitado" xfId="1787" builtinId="9" hidden="1"/>
    <cellStyle name="Hipervínculo visitado" xfId="1789" builtinId="9" hidden="1"/>
    <cellStyle name="Hipervínculo visitado" xfId="1791" builtinId="9" hidden="1"/>
    <cellStyle name="Hipervínculo visitado" xfId="1793" builtinId="9" hidden="1"/>
    <cellStyle name="Hipervínculo visitado" xfId="1795" builtinId="9" hidden="1"/>
    <cellStyle name="Hipervínculo visitado" xfId="1797" builtinId="9" hidden="1"/>
    <cellStyle name="Hipervínculo visitado" xfId="1799" builtinId="9" hidden="1"/>
    <cellStyle name="Hipervínculo visitado" xfId="1801" builtinId="9" hidden="1"/>
    <cellStyle name="Hipervínculo visitado" xfId="1803" builtinId="9" hidden="1"/>
    <cellStyle name="Hipervínculo visitado" xfId="1805" builtinId="9" hidden="1"/>
    <cellStyle name="Hipervínculo visitado" xfId="1807" builtinId="9" hidden="1"/>
    <cellStyle name="Hipervínculo visitado" xfId="1809" builtinId="9" hidden="1"/>
    <cellStyle name="Hipervínculo visitado" xfId="1811" builtinId="9" hidden="1"/>
    <cellStyle name="Hipervínculo visitado" xfId="1813" builtinId="9" hidden="1"/>
    <cellStyle name="Hipervínculo visitado" xfId="1815" builtinId="9" hidden="1"/>
    <cellStyle name="Hipervínculo visitado" xfId="1817" builtinId="9" hidden="1"/>
    <cellStyle name="Hipervínculo visitado" xfId="1819" builtinId="9" hidden="1"/>
    <cellStyle name="Hipervínculo visitado" xfId="1821" builtinId="9" hidden="1"/>
    <cellStyle name="Hipervínculo visitado" xfId="1823" builtinId="9" hidden="1"/>
    <cellStyle name="Hipervínculo visitado" xfId="1825" builtinId="9" hidden="1"/>
    <cellStyle name="Hipervínculo visitado" xfId="1827" builtinId="9" hidden="1"/>
    <cellStyle name="Hipervínculo visitado" xfId="1829" builtinId="9" hidden="1"/>
    <cellStyle name="Hipervínculo visitado" xfId="1831" builtinId="9" hidden="1"/>
    <cellStyle name="Hipervínculo visitado" xfId="1833" builtinId="9" hidden="1"/>
    <cellStyle name="Hipervínculo visitado" xfId="1835" builtinId="9" hidden="1"/>
    <cellStyle name="Hipervínculo visitado" xfId="1837" builtinId="9" hidden="1"/>
    <cellStyle name="Hipervínculo visitado" xfId="1839" builtinId="9" hidden="1"/>
    <cellStyle name="Hipervínculo visitado" xfId="1841" builtinId="9" hidden="1"/>
    <cellStyle name="Hipervínculo visitado" xfId="1843" builtinId="9" hidden="1"/>
    <cellStyle name="Hipervínculo visitado" xfId="1845" builtinId="9" hidden="1"/>
    <cellStyle name="Hipervínculo visitado" xfId="1847" builtinId="9" hidden="1"/>
    <cellStyle name="Hipervínculo visitado" xfId="1849" builtinId="9" hidden="1"/>
    <cellStyle name="Hipervínculo visitado" xfId="1851" builtinId="9" hidden="1"/>
    <cellStyle name="Hipervínculo visitado" xfId="1853" builtinId="9" hidden="1"/>
    <cellStyle name="Hipervínculo visitado" xfId="1855" builtinId="9" hidden="1"/>
    <cellStyle name="Hipervínculo visitado" xfId="1857" builtinId="9" hidden="1"/>
    <cellStyle name="Hipervínculo visitado" xfId="1859" builtinId="9" hidden="1"/>
    <cellStyle name="Hipervínculo visitado" xfId="1861" builtinId="9" hidden="1"/>
    <cellStyle name="Hipervínculo visitado" xfId="1863" builtinId="9" hidden="1"/>
    <cellStyle name="Hipervínculo visitado" xfId="1865" builtinId="9" hidden="1"/>
    <cellStyle name="Hipervínculo visitado" xfId="1867" builtinId="9" hidden="1"/>
    <cellStyle name="Hipervínculo visitado" xfId="1869" builtinId="9" hidden="1"/>
    <cellStyle name="Hipervínculo visitado" xfId="1871" builtinId="9" hidden="1"/>
    <cellStyle name="Hipervínculo visitado" xfId="1873" builtinId="9" hidden="1"/>
    <cellStyle name="Hipervínculo visitado" xfId="1875" builtinId="9" hidden="1"/>
    <cellStyle name="Hipervínculo visitado" xfId="1877" builtinId="9" hidden="1"/>
    <cellStyle name="Hipervínculo visitado" xfId="1879" builtinId="9" hidden="1"/>
    <cellStyle name="Hipervínculo visitado" xfId="1881" builtinId="9" hidden="1"/>
    <cellStyle name="Hipervínculo visitado" xfId="1883" builtinId="9" hidden="1"/>
    <cellStyle name="Hipervínculo visitado" xfId="1885" builtinId="9" hidden="1"/>
    <cellStyle name="Hipervínculo visitado" xfId="1887" builtinId="9" hidden="1"/>
    <cellStyle name="Hipervínculo visitado" xfId="1889" builtinId="9" hidden="1"/>
    <cellStyle name="Hipervínculo visitado" xfId="1891" builtinId="9" hidden="1"/>
    <cellStyle name="Hipervínculo visitado" xfId="1893" builtinId="9" hidden="1"/>
    <cellStyle name="Hipervínculo visitado" xfId="1895" builtinId="9" hidden="1"/>
    <cellStyle name="Hipervínculo visitado" xfId="1897" builtinId="9" hidden="1"/>
    <cellStyle name="Hipervínculo visitado" xfId="1899" builtinId="9" hidden="1"/>
    <cellStyle name="Hipervínculo visitado" xfId="1901" builtinId="9" hidden="1"/>
    <cellStyle name="Hipervínculo visitado" xfId="1903" builtinId="9" hidden="1"/>
    <cellStyle name="Hipervínculo visitado" xfId="1905" builtinId="9" hidden="1"/>
    <cellStyle name="Hipervínculo visitado" xfId="1907" builtinId="9" hidden="1"/>
    <cellStyle name="Hipervínculo visitado" xfId="1909" builtinId="9" hidden="1"/>
    <cellStyle name="Hipervínculo visitado" xfId="1911" builtinId="9" hidden="1"/>
    <cellStyle name="Hipervínculo visitado" xfId="1913" builtinId="9" hidden="1"/>
    <cellStyle name="Hipervínculo visitado" xfId="1915" builtinId="9" hidden="1"/>
    <cellStyle name="Hipervínculo visitado" xfId="1917" builtinId="9" hidden="1"/>
    <cellStyle name="Hipervínculo visitado" xfId="1919" builtinId="9" hidden="1"/>
    <cellStyle name="Hipervínculo visitado" xfId="1921" builtinId="9" hidden="1"/>
    <cellStyle name="Hipervínculo visitado" xfId="1923" builtinId="9" hidden="1"/>
    <cellStyle name="Hipervínculo visitado" xfId="1925" builtinId="9" hidden="1"/>
    <cellStyle name="Hipervínculo visitado" xfId="1927" builtinId="9" hidden="1"/>
    <cellStyle name="Hipervínculo visitado" xfId="1929" builtinId="9" hidden="1"/>
    <cellStyle name="Hipervínculo visitado" xfId="1931" builtinId="9" hidden="1"/>
    <cellStyle name="Hipervínculo visitado" xfId="1933" builtinId="9" hidden="1"/>
    <cellStyle name="Hipervínculo visitado" xfId="1935" builtinId="9" hidden="1"/>
    <cellStyle name="Hipervínculo visitado" xfId="1937" builtinId="9" hidden="1"/>
    <cellStyle name="Hipervínculo visitado" xfId="1939" builtinId="9" hidden="1"/>
    <cellStyle name="Hipervínculo visitado" xfId="1941" builtinId="9" hidden="1"/>
    <cellStyle name="Hipervínculo visitado" xfId="1943" builtinId="9" hidden="1"/>
    <cellStyle name="Hipervínculo visitado" xfId="1945" builtinId="9" hidden="1"/>
    <cellStyle name="Hipervínculo visitado" xfId="1947" builtinId="9" hidden="1"/>
    <cellStyle name="Hipervínculo visitado" xfId="1949" builtinId="9" hidden="1"/>
    <cellStyle name="Hipervínculo visitado" xfId="1951" builtinId="9" hidden="1"/>
    <cellStyle name="Hipervínculo visitado" xfId="1953" builtinId="9" hidden="1"/>
    <cellStyle name="Hipervínculo visitado" xfId="1955" builtinId="9" hidden="1"/>
    <cellStyle name="Hipervínculo visitado" xfId="1957" builtinId="9" hidden="1"/>
    <cellStyle name="Hipervínculo visitado" xfId="1959" builtinId="9" hidden="1"/>
    <cellStyle name="Hipervínculo visitado" xfId="1961" builtinId="9" hidden="1"/>
    <cellStyle name="Hipervínculo visitado" xfId="1963" builtinId="9" hidden="1"/>
    <cellStyle name="Hipervínculo visitado" xfId="1965" builtinId="9" hidden="1"/>
    <cellStyle name="Hipervínculo visitado" xfId="1967" builtinId="9" hidden="1"/>
    <cellStyle name="Hipervínculo visitado" xfId="1969" builtinId="9" hidden="1"/>
    <cellStyle name="Hipervínculo visitado" xfId="1971" builtinId="9" hidden="1"/>
    <cellStyle name="Hipervínculo visitado" xfId="1973" builtinId="9" hidden="1"/>
    <cellStyle name="Hipervínculo visitado" xfId="1975" builtinId="9" hidden="1"/>
    <cellStyle name="Hipervínculo visitado" xfId="1977" builtinId="9" hidden="1"/>
    <cellStyle name="Hipervínculo visitado" xfId="1979" builtinId="9" hidden="1"/>
    <cellStyle name="Hipervínculo visitado" xfId="1981" builtinId="9" hidden="1"/>
    <cellStyle name="Hipervínculo visitado" xfId="1983" builtinId="9" hidden="1"/>
    <cellStyle name="Hipervínculo visitado" xfId="1985" builtinId="9" hidden="1"/>
    <cellStyle name="Hipervínculo visitado" xfId="1987" builtinId="9" hidden="1"/>
    <cellStyle name="Hipervínculo visitado" xfId="1989" builtinId="9" hidden="1"/>
    <cellStyle name="Hipervínculo visitado" xfId="1991" builtinId="9" hidden="1"/>
    <cellStyle name="Hipervínculo visitado" xfId="1993" builtinId="9" hidden="1"/>
    <cellStyle name="Hipervínculo visitado" xfId="1995" builtinId="9" hidden="1"/>
    <cellStyle name="Hipervínculo visitado" xfId="1997" builtinId="9" hidden="1"/>
    <cellStyle name="Hipervínculo visitado" xfId="1999" builtinId="9" hidden="1"/>
    <cellStyle name="Hipervínculo visitado" xfId="2001" builtinId="9" hidden="1"/>
    <cellStyle name="Hipervínculo visitado" xfId="2003" builtinId="9" hidden="1"/>
    <cellStyle name="Hipervínculo visitado" xfId="2005" builtinId="9" hidden="1"/>
    <cellStyle name="Hipervínculo visitado" xfId="2007" builtinId="9" hidden="1"/>
    <cellStyle name="Hipervínculo visitado" xfId="2009" builtinId="9" hidden="1"/>
    <cellStyle name="Hipervínculo visitado" xfId="2011" builtinId="9" hidden="1"/>
    <cellStyle name="Hipervínculo visitado" xfId="2013" builtinId="9" hidden="1"/>
    <cellStyle name="Hipervínculo visitado" xfId="2015" builtinId="9" hidden="1"/>
    <cellStyle name="Hipervínculo visitado" xfId="2017" builtinId="9" hidden="1"/>
    <cellStyle name="Hipervínculo visitado" xfId="2019" builtinId="9" hidden="1"/>
    <cellStyle name="Hipervínculo visitado" xfId="2021" builtinId="9" hidden="1"/>
    <cellStyle name="Hipervínculo visitado" xfId="2023" builtinId="9" hidden="1"/>
    <cellStyle name="Hipervínculo visitado" xfId="2025" builtinId="9" hidden="1"/>
    <cellStyle name="Hipervínculo visitado" xfId="2027" builtinId="9" hidden="1"/>
    <cellStyle name="Hipervínculo visitado" xfId="2029" builtinId="9" hidden="1"/>
    <cellStyle name="Hipervínculo visitado" xfId="2031" builtinId="9" hidden="1"/>
    <cellStyle name="Hipervínculo visitado" xfId="2033" builtinId="9" hidden="1"/>
    <cellStyle name="Hipervínculo visitado" xfId="2035" builtinId="9" hidden="1"/>
    <cellStyle name="Hipervínculo visitado" xfId="2037" builtinId="9" hidden="1"/>
    <cellStyle name="Hipervínculo visitado" xfId="2039" builtinId="9" hidden="1"/>
    <cellStyle name="Hipervínculo visitado" xfId="2041" builtinId="9" hidden="1"/>
    <cellStyle name="Hipervínculo visitado" xfId="2043" builtinId="9" hidden="1"/>
    <cellStyle name="Hipervínculo visitado" xfId="2045" builtinId="9" hidden="1"/>
    <cellStyle name="Hipervínculo visitado" xfId="2047" builtinId="9" hidden="1"/>
    <cellStyle name="Hipervínculo visitado" xfId="2049" builtinId="9" hidden="1"/>
    <cellStyle name="Hipervínculo visitado" xfId="2051" builtinId="9" hidden="1"/>
    <cellStyle name="Hipervínculo visitado" xfId="2053" builtinId="9" hidden="1"/>
    <cellStyle name="Hipervínculo visitado" xfId="2055" builtinId="9" hidden="1"/>
    <cellStyle name="Hipervínculo visitado" xfId="2057" builtinId="9" hidden="1"/>
    <cellStyle name="Hipervínculo visitado" xfId="2059" builtinId="9" hidden="1"/>
    <cellStyle name="Hipervínculo visitado" xfId="2061" builtinId="9" hidden="1"/>
    <cellStyle name="Hipervínculo visitado" xfId="2063" builtinId="9" hidden="1"/>
    <cellStyle name="Hipervínculo visitado" xfId="2065" builtinId="9" hidden="1"/>
    <cellStyle name="Hipervínculo visitado" xfId="2067" builtinId="9" hidden="1"/>
    <cellStyle name="Hipervínculo visitado" xfId="2069" builtinId="9" hidden="1"/>
    <cellStyle name="Hipervínculo visitado" xfId="2071" builtinId="9" hidden="1"/>
    <cellStyle name="Hipervínculo visitado" xfId="2073" builtinId="9" hidden="1"/>
    <cellStyle name="Hipervínculo visitado" xfId="2075" builtinId="9" hidden="1"/>
    <cellStyle name="Hipervínculo visitado" xfId="2077" builtinId="9" hidden="1"/>
    <cellStyle name="Hipervínculo visitado" xfId="2079" builtinId="9" hidden="1"/>
    <cellStyle name="Hipervínculo visitado" xfId="2081" builtinId="9" hidden="1"/>
    <cellStyle name="Hipervínculo visitado" xfId="2083" builtinId="9" hidden="1"/>
    <cellStyle name="Hipervínculo visitado" xfId="2085" builtinId="9" hidden="1"/>
    <cellStyle name="Hipervínculo visitado" xfId="2087" builtinId="9" hidden="1"/>
    <cellStyle name="Hipervínculo visitado" xfId="2089" builtinId="9" hidden="1"/>
    <cellStyle name="Hipervínculo visitado" xfId="2091" builtinId="9" hidden="1"/>
    <cellStyle name="Hipervínculo visitado" xfId="2093" builtinId="9" hidden="1"/>
    <cellStyle name="Hipervínculo visitado" xfId="2095" builtinId="9" hidden="1"/>
    <cellStyle name="Hipervínculo visitado" xfId="2097" builtinId="9" hidden="1"/>
    <cellStyle name="Hipervínculo visitado" xfId="2099" builtinId="9" hidden="1"/>
    <cellStyle name="Hipervínculo visitado" xfId="2101" builtinId="9" hidden="1"/>
    <cellStyle name="Hipervínculo visitado" xfId="2103" builtinId="9" hidden="1"/>
    <cellStyle name="Hipervínculo visitado" xfId="2105" builtinId="9" hidden="1"/>
    <cellStyle name="Hipervínculo visitado" xfId="2107" builtinId="9" hidden="1"/>
    <cellStyle name="Hipervínculo visitado" xfId="2109" builtinId="9" hidden="1"/>
    <cellStyle name="Hipervínculo visitado" xfId="2111" builtinId="9" hidden="1"/>
    <cellStyle name="Hipervínculo visitado" xfId="2113" builtinId="9" hidden="1"/>
    <cellStyle name="Hipervínculo visitado" xfId="2115" builtinId="9" hidden="1"/>
    <cellStyle name="Hipervínculo visitado" xfId="2117" builtinId="9" hidden="1"/>
    <cellStyle name="Hipervínculo visitado" xfId="2119" builtinId="9" hidden="1"/>
    <cellStyle name="Hipervínculo visitado" xfId="2121" builtinId="9" hidden="1"/>
    <cellStyle name="Hipervínculo visitado" xfId="2123" builtinId="9" hidden="1"/>
    <cellStyle name="Hipervínculo visitado" xfId="2125" builtinId="9" hidden="1"/>
    <cellStyle name="Hipervínculo visitado" xfId="2127" builtinId="9" hidden="1"/>
    <cellStyle name="Hipervínculo visitado" xfId="2129" builtinId="9" hidden="1"/>
    <cellStyle name="Hipervínculo visitado" xfId="2131" builtinId="9" hidden="1"/>
    <cellStyle name="Hipervínculo visitado" xfId="2133" builtinId="9" hidden="1"/>
    <cellStyle name="Hipervínculo visitado" xfId="2135" builtinId="9" hidden="1"/>
    <cellStyle name="Hipervínculo visitado" xfId="2137" builtinId="9" hidden="1"/>
    <cellStyle name="Hipervínculo visitado" xfId="2139" builtinId="9" hidden="1"/>
    <cellStyle name="Hipervínculo visitado" xfId="2141" builtinId="9" hidden="1"/>
    <cellStyle name="Hipervínculo visitado" xfId="2143" builtinId="9" hidden="1"/>
    <cellStyle name="Hipervínculo visitado" xfId="2145" builtinId="9" hidden="1"/>
    <cellStyle name="Hipervínculo visitado" xfId="2147" builtinId="9" hidden="1"/>
    <cellStyle name="Hipervínculo visitado" xfId="2149" builtinId="9" hidden="1"/>
    <cellStyle name="Hipervínculo visitado" xfId="2151" builtinId="9" hidden="1"/>
    <cellStyle name="Hipervínculo visitado" xfId="2153" builtinId="9" hidden="1"/>
    <cellStyle name="Hipervínculo visitado" xfId="2155" builtinId="9" hidden="1"/>
    <cellStyle name="Hipervínculo visitado" xfId="2157" builtinId="9" hidden="1"/>
    <cellStyle name="Hipervínculo visitado" xfId="2159" builtinId="9" hidden="1"/>
    <cellStyle name="Hipervínculo visitado" xfId="2161" builtinId="9" hidden="1"/>
    <cellStyle name="Hipervínculo visitado" xfId="2163" builtinId="9" hidden="1"/>
    <cellStyle name="Hipervínculo visitado" xfId="2165" builtinId="9" hidden="1"/>
    <cellStyle name="Hipervínculo visitado" xfId="2167" builtinId="9" hidden="1"/>
    <cellStyle name="Hipervínculo visitado" xfId="2169" builtinId="9" hidden="1"/>
    <cellStyle name="Hipervínculo visitado" xfId="2171" builtinId="9" hidden="1"/>
    <cellStyle name="Hipervínculo visitado" xfId="2173" builtinId="9" hidden="1"/>
    <cellStyle name="Hipervínculo visitado" xfId="2175" builtinId="9" hidden="1"/>
    <cellStyle name="Hipervínculo visitado" xfId="2177" builtinId="9" hidden="1"/>
    <cellStyle name="Hipervínculo visitado" xfId="2179" builtinId="9" hidden="1"/>
    <cellStyle name="Hipervínculo visitado" xfId="2181" builtinId="9" hidden="1"/>
    <cellStyle name="Hipervínculo visitado" xfId="2183" builtinId="9" hidden="1"/>
    <cellStyle name="Hipervínculo visitado" xfId="2185" builtinId="9" hidden="1"/>
    <cellStyle name="Hipervínculo visitado" xfId="2187" builtinId="9" hidden="1"/>
    <cellStyle name="Hipervínculo visitado" xfId="2189" builtinId="9" hidden="1"/>
    <cellStyle name="Hipervínculo visitado" xfId="2191" builtinId="9" hidden="1"/>
    <cellStyle name="Hipervínculo visitado" xfId="2193" builtinId="9" hidden="1"/>
    <cellStyle name="Hipervínculo visitado" xfId="2195" builtinId="9" hidden="1"/>
    <cellStyle name="Hipervínculo visitado" xfId="2197" builtinId="9" hidden="1"/>
    <cellStyle name="Hipervínculo visitado" xfId="2199" builtinId="9" hidden="1"/>
    <cellStyle name="Hipervínculo visitado" xfId="2201" builtinId="9" hidden="1"/>
    <cellStyle name="Hipervínculo visitado" xfId="2203" builtinId="9" hidden="1"/>
    <cellStyle name="Hipervínculo visitado" xfId="2205" builtinId="9" hidden="1"/>
    <cellStyle name="Hipervínculo visitado" xfId="2207" builtinId="9" hidden="1"/>
    <cellStyle name="Hipervínculo visitado" xfId="2209" builtinId="9" hidden="1"/>
    <cellStyle name="Hipervínculo visitado" xfId="2211" builtinId="9" hidden="1"/>
    <cellStyle name="Hipervínculo visitado" xfId="2213" builtinId="9" hidden="1"/>
    <cellStyle name="Hipervínculo visitado" xfId="2215" builtinId="9" hidden="1"/>
    <cellStyle name="Hipervínculo visitado" xfId="2217" builtinId="9" hidden="1"/>
    <cellStyle name="Hipervínculo visitado" xfId="2219" builtinId="9" hidden="1"/>
    <cellStyle name="Hipervínculo visitado" xfId="2221" builtinId="9" hidden="1"/>
    <cellStyle name="Hipervínculo visitado" xfId="2223" builtinId="9" hidden="1"/>
    <cellStyle name="Hipervínculo visitado" xfId="2225" builtinId="9" hidden="1"/>
    <cellStyle name="Hipervínculo visitado" xfId="2227" builtinId="9" hidden="1"/>
    <cellStyle name="Hipervínculo visitado" xfId="2229" builtinId="9" hidden="1"/>
    <cellStyle name="Hipervínculo visitado" xfId="2231" builtinId="9" hidden="1"/>
    <cellStyle name="Hipervínculo visitado" xfId="2233" builtinId="9" hidden="1"/>
    <cellStyle name="Hipervínculo visitado" xfId="2235" builtinId="9" hidden="1"/>
    <cellStyle name="Hipervínculo visitado" xfId="2237" builtinId="9" hidden="1"/>
    <cellStyle name="Hipervínculo visitado" xfId="2239" builtinId="9" hidden="1"/>
    <cellStyle name="Hipervínculo visitado" xfId="2241" builtinId="9" hidden="1"/>
    <cellStyle name="Hipervínculo visitado" xfId="2243" builtinId="9" hidden="1"/>
    <cellStyle name="Hipervínculo visitado" xfId="2245" builtinId="9" hidden="1"/>
    <cellStyle name="Hipervínculo visitado" xfId="2247" builtinId="9" hidden="1"/>
    <cellStyle name="Hipervínculo visitado" xfId="2249" builtinId="9" hidden="1"/>
    <cellStyle name="Hipervínculo visitado" xfId="2251" builtinId="9" hidden="1"/>
    <cellStyle name="Hipervínculo visitado" xfId="2253" builtinId="9" hidden="1"/>
    <cellStyle name="Hipervínculo visitado" xfId="2255" builtinId="9" hidden="1"/>
    <cellStyle name="Hipervínculo visitado" xfId="2257" builtinId="9" hidden="1"/>
    <cellStyle name="Hipervínculo visitado" xfId="2259" builtinId="9" hidden="1"/>
    <cellStyle name="Hipervínculo visitado" xfId="2261" builtinId="9" hidden="1"/>
    <cellStyle name="Hipervínculo visitado" xfId="2263" builtinId="9" hidden="1"/>
    <cellStyle name="Hipervínculo visitado" xfId="2265" builtinId="9" hidden="1"/>
    <cellStyle name="Hipervínculo visitado" xfId="2267" builtinId="9" hidden="1"/>
    <cellStyle name="Hipervínculo visitado" xfId="2269" builtinId="9" hidden="1"/>
    <cellStyle name="Hipervínculo visitado" xfId="2271" builtinId="9" hidden="1"/>
    <cellStyle name="Hipervínculo visitado" xfId="2273" builtinId="9" hidden="1"/>
    <cellStyle name="Hipervínculo visitado" xfId="2275" builtinId="9" hidden="1"/>
    <cellStyle name="Hipervínculo visitado" xfId="2277" builtinId="9" hidden="1"/>
    <cellStyle name="Hipervínculo visitado" xfId="2279" builtinId="9" hidden="1"/>
    <cellStyle name="Hipervínculo visitado" xfId="2281" builtinId="9" hidden="1"/>
    <cellStyle name="Hipervínculo visitado" xfId="2283" builtinId="9" hidden="1"/>
    <cellStyle name="Hipervínculo visitado" xfId="2285" builtinId="9" hidden="1"/>
    <cellStyle name="Hipervínculo visitado" xfId="2287" builtinId="9" hidden="1"/>
    <cellStyle name="Hipervínculo visitado" xfId="2289" builtinId="9" hidden="1"/>
    <cellStyle name="Hipervínculo visitado" xfId="2291" builtinId="9" hidden="1"/>
    <cellStyle name="Hipervínculo visitado" xfId="2293" builtinId="9" hidden="1"/>
    <cellStyle name="Hipervínculo visitado" xfId="2295" builtinId="9" hidden="1"/>
    <cellStyle name="Hipervínculo visitado" xfId="2297" builtinId="9" hidden="1"/>
    <cellStyle name="Hipervínculo visitado" xfId="2299" builtinId="9" hidden="1"/>
    <cellStyle name="Hipervínculo visitado" xfId="2301" builtinId="9" hidden="1"/>
    <cellStyle name="Hipervínculo visitado" xfId="2303" builtinId="9" hidden="1"/>
    <cellStyle name="Hipervínculo visitado" xfId="2305" builtinId="9" hidden="1"/>
    <cellStyle name="Hipervínculo visitado" xfId="2307" builtinId="9" hidden="1"/>
    <cellStyle name="Hipervínculo visitado" xfId="2309" builtinId="9" hidden="1"/>
    <cellStyle name="Hipervínculo visitado" xfId="2311" builtinId="9" hidden="1"/>
    <cellStyle name="Hipervínculo visitado" xfId="2313" builtinId="9" hidden="1"/>
    <cellStyle name="Hipervínculo visitado" xfId="2315" builtinId="9" hidden="1"/>
    <cellStyle name="Hipervínculo visitado" xfId="2317" builtinId="9" hidden="1"/>
    <cellStyle name="Hipervínculo visitado" xfId="2319" builtinId="9" hidden="1"/>
    <cellStyle name="Millares" xfId="1" builtinId="3"/>
    <cellStyle name="Moneda" xfId="420" builtinId="4"/>
    <cellStyle name="Normal" xfId="0" builtinId="0"/>
    <cellStyle name="Normal 2" xfId="1149"/>
    <cellStyle name="Normal 3" xfId="2"/>
    <cellStyle name="Porcentaje" xfId="3" builtinId="5"/>
  </cellStyles>
  <dxfs count="139">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rial Narrow"/>
        <scheme val="none"/>
      </font>
      <numFmt numFmtId="3" formatCode="#,##0"/>
      <fill>
        <patternFill patternType="none">
          <fgColor indexed="64"/>
          <bgColor theme="0" tint="-0.14999847407452621"/>
        </patternFill>
      </fill>
      <alignment horizontal="right" vertical="top"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rial Narrow"/>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0" tint="-0.14999847407452621"/>
        </patternFill>
      </fill>
      <alignment horizontal="right" vertical="center"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6"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6"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none">
          <fgColor indexed="64"/>
          <bgColor indexed="6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solid">
          <fgColor indexed="64"/>
          <bgColor rgb="FFFFFF0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solid">
          <fgColor indexed="64"/>
          <bgColor rgb="FFFFFF0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aramond"/>
        <scheme val="none"/>
      </font>
      <numFmt numFmtId="166" formatCode="&quot;$&quot;#,##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8" formatCode="&quot;$&quot;#,##0.00;[Red]&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0" formatCode="General"/>
      <fill>
        <patternFill patternType="solid">
          <fgColor indexed="64"/>
          <bgColor rgb="FFDB7623"/>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166" formatCode="&quot;$&quot;#,##0.00"/>
      <fill>
        <patternFill patternType="solid">
          <fgColor indexed="64"/>
          <bgColor rgb="FFDB7623"/>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0" formatCode="General"/>
      <fill>
        <patternFill patternType="solid">
          <fgColor indexed="64"/>
          <bgColor rgb="FFDB7623"/>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166" formatCode="&quot;$&quot;#,##0.00"/>
      <fill>
        <patternFill patternType="solid">
          <fgColor indexed="64"/>
          <bgColor rgb="FFDB7623"/>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166" formatCode="&quot;$&quot;#,##0.00"/>
      <fill>
        <patternFill patternType="solid">
          <fgColor indexed="64"/>
          <bgColor rgb="FFDB7623"/>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166" formatCode="&quot;$&quot;#,##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0" formatCode="General"/>
      <fill>
        <patternFill patternType="solid">
          <fgColor indexed="64"/>
          <bgColor rgb="FFDB762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166" formatCode="&quot;$&quot;#,##0.00"/>
      <fill>
        <patternFill patternType="solid">
          <fgColor indexed="64"/>
          <bgColor rgb="FFDB762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0" formatCode="General"/>
      <fill>
        <patternFill patternType="solid">
          <fgColor indexed="64"/>
          <bgColor rgb="FFDB762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166" formatCode="&quot;$&quot;#,##0.00"/>
      <fill>
        <patternFill patternType="solid">
          <fgColor indexed="64"/>
          <bgColor rgb="FFDB762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Garamond"/>
        <scheme val="none"/>
      </font>
      <numFmt numFmtId="166" formatCode="&quot;$&quot;#,##0.00"/>
      <fill>
        <patternFill patternType="solid">
          <fgColor indexed="64"/>
          <bgColor rgb="FFDB7623"/>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numFmt numFmtId="4" formatCode="#,##0.0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Garamond"/>
        <scheme val="none"/>
      </font>
      <numFmt numFmtId="166"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theme="1"/>
        <name val="Marlett"/>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theme="1"/>
        <name val="Marlett"/>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rial Narrow"/>
        <scheme val="none"/>
      </font>
      <numFmt numFmtId="3" formatCode="#,##0"/>
      <fill>
        <patternFill patternType="solid">
          <fgColor indexed="64"/>
          <bgColor theme="0" tint="-0.14999847407452621"/>
        </patternFill>
      </fill>
      <alignment horizontal="center" vertical="center"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 formatCode="#,##0"/>
      <fill>
        <patternFill patternType="solid">
          <fgColor indexed="64"/>
          <bgColor theme="0" tint="-0.14999847407452621"/>
        </patternFill>
      </fill>
      <alignment horizontal="center" vertical="center" textRotation="0" wrapText="1" indent="0" justifyLastLine="0" shrinkToFit="0" readingOrder="0"/>
      <border>
        <left style="thin">
          <color auto="1"/>
        </left>
        <right style="thin">
          <color auto="1"/>
        </righ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 formatCode="#,##0"/>
      <fill>
        <patternFill patternType="solid">
          <fgColor indexed="64"/>
          <bgColor theme="0" tint="-0.14999847407452621"/>
        </patternFill>
      </fill>
      <alignment horizontal="center" vertical="center" textRotation="0" wrapText="1" indent="0" justifyLastLine="0" shrinkToFit="0" readingOrder="0"/>
      <border>
        <left style="thin">
          <color auto="1"/>
        </left>
        <right style="thin">
          <color auto="1"/>
        </righ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 formatCode="#,##0"/>
      <fill>
        <patternFill patternType="solid">
          <fgColor indexed="64"/>
          <bgColor theme="0" tint="-0.14999847407452621"/>
        </patternFill>
      </fill>
      <alignment horizontal="center" vertical="center" textRotation="0" wrapText="1" indent="0" justifyLastLine="0" shrinkToFit="0" readingOrder="0"/>
      <border>
        <left style="thin">
          <color auto="1"/>
        </left>
        <right style="thin">
          <color auto="1"/>
        </righ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left"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left"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 formatCode="#,##0"/>
      <fill>
        <patternFill patternType="solid">
          <fgColor indexed="64"/>
          <bgColor theme="0" tint="-0.14999847407452621"/>
        </patternFill>
      </fill>
      <alignment horizontal="left" vertical="center" textRotation="0" wrapText="1" indent="0" justifyLastLine="0" shrinkToFit="0" readingOrder="0"/>
      <border>
        <left style="thin">
          <color auto="1"/>
        </lef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rial Narrow"/>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left"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outline="0">
        <left style="thin">
          <color auto="1"/>
        </lef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outline="0">
        <left style="thin">
          <color auto="1"/>
        </lef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theme="1"/>
        <name val="Arial Narrow"/>
        <scheme val="none"/>
      </font>
      <numFmt numFmtId="30" formatCode="@"/>
      <fill>
        <patternFill patternType="solid">
          <fgColor indexed="64"/>
          <bgColor theme="0" tint="-0.14999847407452621"/>
        </patternFill>
      </fill>
      <alignment horizontal="center" vertical="center" textRotation="0" wrapText="1" indent="0" justifyLastLine="0" shrinkToFit="0" readingOrder="0"/>
      <border outline="0">
        <left style="thin">
          <color auto="1"/>
        </left>
      </border>
    </dxf>
    <dxf>
      <font>
        <b val="0"/>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left" vertical="center" textRotation="0" wrapText="1" indent="0" justifyLastLine="0" shrinkToFit="0" readingOrder="0"/>
      <border diagonalUp="0" diagonalDown="0" outline="0">
        <left/>
        <right style="thin">
          <color auto="1"/>
        </right>
        <top/>
        <bottom/>
      </border>
      <protection locked="1" hidden="0"/>
    </dxf>
    <dxf>
      <font>
        <b val="0"/>
        <i val="0"/>
        <strike val="0"/>
        <condense val="0"/>
        <extend val="0"/>
        <outline val="0"/>
        <shadow val="0"/>
        <u val="none"/>
        <vertAlign val="baseline"/>
        <sz val="10"/>
        <color theme="1"/>
        <name val="Arial Narrow"/>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outline="0">
        <left/>
        <right style="thin">
          <color auto="1"/>
        </right>
      </border>
      <protection locked="1" hidden="0"/>
    </dxf>
    <dxf>
      <font>
        <b/>
        <i val="0"/>
        <strike val="0"/>
        <condense val="0"/>
        <extend val="0"/>
        <outline val="0"/>
        <shadow val="0"/>
        <u val="none"/>
        <vertAlign val="baseline"/>
        <sz val="12"/>
        <color theme="1"/>
        <name val="Arial Narrow"/>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auto="1"/>
        </left>
        <right/>
        <top/>
        <bottom/>
      </border>
      <protection locked="1" hidden="0"/>
    </dxf>
    <dxf>
      <font>
        <b/>
        <i val="0"/>
        <strike val="0"/>
        <condense val="0"/>
        <extend val="0"/>
        <outline val="0"/>
        <shadow val="0"/>
        <u val="none"/>
        <vertAlign val="baseline"/>
        <sz val="10"/>
        <color theme="1"/>
        <name val="Arial Narrow"/>
        <scheme val="none"/>
      </font>
      <numFmt numFmtId="30" formatCode="@"/>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2"/>
        <color theme="1"/>
        <name val="Garamond"/>
        <scheme val="none"/>
      </font>
      <fill>
        <patternFill patternType="solid">
          <fgColor indexed="64"/>
          <bgColor theme="2" tint="-9.9978637043366805E-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relativeIndent="-1"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Garamond"/>
        <scheme val="none"/>
      </font>
      <fill>
        <patternFill patternType="solid">
          <fgColor indexed="64"/>
          <bgColor theme="2" tint="-9.9978637043366805E-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Garamond"/>
        <scheme val="none"/>
      </font>
      <fill>
        <patternFill patternType="solid">
          <fgColor indexed="64"/>
          <bgColor theme="0" tint="-0.14999847407452621"/>
        </patternFill>
      </fill>
      <alignment horizontal="general" vertical="top" textRotation="0" wrapText="1" indent="0" justifyLastLine="0" shrinkToFit="0" readingOrder="0"/>
      <protection locked="1" hidden="0"/>
    </dxf>
    <dxf>
      <font>
        <strike val="0"/>
        <outline val="0"/>
        <shadow val="0"/>
        <u val="none"/>
        <vertAlign val="baseline"/>
        <sz val="12"/>
        <color theme="1"/>
      </font>
      <fill>
        <patternFill patternType="solid">
          <fgColor indexed="64"/>
          <bgColor theme="2" tint="-9.9978637043366805E-2"/>
        </patternFill>
      </fill>
      <alignment vertical="center" textRotation="0" wrapText="1" justifyLastLine="0" shrinkToFit="0"/>
    </dxf>
    <dxf>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left style="thin">
          <color auto="1"/>
        </left>
        <right style="thin">
          <color auto="1"/>
        </right>
        <top/>
        <bottom/>
        <vertical style="thin">
          <color auto="1"/>
        </vertical>
        <horizontal style="thin">
          <color indexed="64"/>
        </horizontal>
      </border>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ont>
        <color theme="0"/>
      </font>
    </dxf>
    <dxf>
      <fill>
        <patternFill patternType="solid">
          <fgColor indexed="64"/>
          <bgColor theme="4"/>
        </patternFill>
      </fill>
    </dxf>
    <dxf>
      <alignment vertical="center" readingOrder="0"/>
    </dxf>
    <dxf>
      <alignment wrapText="1"/>
    </dxf>
    <dxf>
      <numFmt numFmtId="174" formatCode="_-&quot;$&quot;* #,##0.0_-;\-&quot;$&quot;* #,##0.0_-;_-&quot;$&quot;* &quot;-&quot;??_-;_-@_-"/>
    </dxf>
    <dxf>
      <numFmt numFmtId="174" formatCode="_-&quot;$&quot;* #,##0.0_-;\-&quot;$&quot;* #,##0.0_-;_-&quot;$&quot;* &quot;-&quot;??_-;_-@_-"/>
    </dxf>
    <dxf>
      <numFmt numFmtId="174" formatCode="_-&quot;$&quot;* #,##0.0_-;\-&quot;$&quot;* #,##0.0_-;_-&quot;$&quot;* &quot;-&quot;??_-;_-@_-"/>
    </dxf>
    <dxf>
      <numFmt numFmtId="174" formatCode="_-&quot;$&quot;* #,##0.0_-;\-&quot;$&quot;* #,##0.0_-;_-&quot;$&quot;* &quot;-&quot;??_-;_-@_-"/>
    </dxf>
    <dxf>
      <alignment vertical="center" readingOrder="0"/>
    </dxf>
    <dxf>
      <fill>
        <patternFill patternType="solid">
          <fgColor indexed="64"/>
          <bgColor theme="2"/>
        </patternFill>
      </fill>
    </dxf>
    <dxf>
      <font>
        <color theme="0"/>
      </font>
    </dxf>
    <dxf>
      <fill>
        <patternFill patternType="solid">
          <fgColor indexed="64"/>
          <bgColor theme="4"/>
        </patternFill>
      </fill>
    </dxf>
    <dxf>
      <alignment wrapText="1"/>
    </dxf>
    <dxf>
      <numFmt numFmtId="174" formatCode="_-&quot;$&quot;* #,##0.0_-;\-&quot;$&quot;* #,##0.0_-;_-&quot;$&quot;* &quot;-&quot;??_-;_-@_-"/>
    </dxf>
    <dxf>
      <numFmt numFmtId="174" formatCode="_-&quot;$&quot;* #,##0.0_-;\-&quot;$&quot;* #,##0.0_-;_-&quot;$&quot;* &quot;-&quot;??_-;_-@_-"/>
    </dxf>
    <dxf>
      <numFmt numFmtId="174" formatCode="_-&quot;$&quot;* #,##0.0_-;\-&quot;$&quot;* #,##0.0_-;_-&quot;$&quot;* &quot;-&quot;??_-;_-@_-"/>
    </dxf>
    <dxf>
      <numFmt numFmtId="174" formatCode="_-&quot;$&quot;* #,##0.0_-;\-&quot;$&quot;* #,##0.0_-;_-&quot;$&quot;* &quot;-&quot;??_-;_-@_-"/>
    </dxf>
    <dxf>
      <fill>
        <patternFill patternType="solid">
          <fgColor indexed="64"/>
          <bgColor theme="2"/>
        </patternFill>
      </fill>
    </dxf>
    <dxf>
      <font>
        <color theme="0"/>
      </font>
    </dxf>
    <dxf>
      <fill>
        <patternFill patternType="solid">
          <fgColor indexed="64"/>
          <bgColor theme="4"/>
        </patternFill>
      </fill>
    </dxf>
    <dxf>
      <alignment wrapText="1"/>
    </dxf>
    <dxf>
      <alignment wrapText="1"/>
    </dxf>
    <dxf>
      <numFmt numFmtId="174" formatCode="_-&quot;$&quot;* #,##0.0_-;\-&quot;$&quot;* #,##0.0_-;_-&quot;$&quot;* &quot;-&quot;??_-;_-@_-"/>
    </dxf>
    <dxf>
      <numFmt numFmtId="174" formatCode="_-&quot;$&quot;* #,##0.0_-;\-&quot;$&quot;* #,##0.0_-;_-&quot;$&quot;* &quot;-&quot;??_-;_-@_-"/>
    </dxf>
    <dxf>
      <numFmt numFmtId="174" formatCode="_-&quot;$&quot;* #,##0.0_-;\-&quot;$&quot;* #,##0.0_-;_-&quot;$&quot;* &quot;-&quot;??_-;_-@_-"/>
    </dxf>
    <dxf>
      <numFmt numFmtId="174" formatCode="_-&quot;$&quot;* #,##0.0_-;\-&quot;$&quot;* #,##0.0_-;_-&quot;$&quot;* &quot;-&quot;??_-;_-@_-"/>
    </dxf>
    <dxf>
      <numFmt numFmtId="174" formatCode="_-&quot;$&quot;* #,##0.0_-;\-&quot;$&quot;* #,##0.0_-;_-&quot;$&quot;* &quot;-&quot;??_-;_-@_-"/>
    </dxf>
    <dxf>
      <alignment vertical="center" readingOrder="0"/>
    </dxf>
    <dxf>
      <fill>
        <patternFill patternType="solid">
          <fgColor indexed="64"/>
          <bgColor theme="2"/>
        </patternFill>
      </fill>
    </dxf>
    <dxf>
      <font>
        <color theme="0"/>
      </font>
    </dxf>
    <dxf>
      <fill>
        <patternFill patternType="solid">
          <fgColor indexed="64"/>
          <bgColor theme="4"/>
        </patternFill>
      </fill>
    </dxf>
    <dxf>
      <alignment wrapText="1"/>
    </dxf>
    <dxf>
      <numFmt numFmtId="174" formatCode="_-&quot;$&quot;* #,##0.0_-;\-&quot;$&quot;* #,##0.0_-;_-&quot;$&quot;* &quot;-&quot;??_-;_-@_-"/>
    </dxf>
    <dxf>
      <numFmt numFmtId="174" formatCode="_-&quot;$&quot;* #,##0.0_-;\-&quot;$&quot;* #,##0.0_-;_-&quot;$&quot;* &quot;-&quot;??_-;_-@_-"/>
    </dxf>
    <dxf>
      <numFmt numFmtId="174" formatCode="_-&quot;$&quot;* #,##0.0_-;\-&quot;$&quot;* #,##0.0_-;_-&quot;$&quot;* &quot;-&quot;??_-;_-@_-"/>
    </dxf>
    <dxf>
      <numFmt numFmtId="174" formatCode="_-&quot;$&quot;* #,##0.0_-;\-&quot;$&quot;* #,##0.0_-;_-&quot;$&quot;* &quot;-&quot;??_-;_-@_-"/>
    </dxf>
  </dxfs>
  <tableStyles count="0" defaultTableStyle="TableStyleMedium9" defaultPivotStyle="PivotStyleLight16"/>
  <colors>
    <mruColors>
      <color rgb="FFFFFF00"/>
      <color rgb="FFD7D72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'EJES POR FUENTE DE FINAN.'!$A$5:$A$8</c:f>
              <c:strCache>
                <c:ptCount val="4"/>
                <c:pt idx="0">
                  <c:v>1. Dinamizar el sector productivo</c:v>
                </c:pt>
                <c:pt idx="1">
                  <c:v>2. Desarrollar el capital humano</c:v>
                </c:pt>
                <c:pt idx="2">
                  <c:v>3. Mejorar la seguridad ciudadana y acceso a la justicia</c:v>
                </c:pt>
                <c:pt idx="3">
                  <c:v>4. Fortalecer las instituciones</c:v>
                </c:pt>
              </c:strCache>
            </c:strRef>
          </c:cat>
          <c:val>
            <c:numRef>
              <c:f>'EJES POR FUENTE DE FINAN.'!$B$5:$B$8</c:f>
              <c:numCache>
                <c:formatCode>_-"$"* #,##0.0_-;\-"$"* #,##0.0_-;_-"$"* "-"??_-;_-@_-</c:formatCode>
                <c:ptCount val="4"/>
                <c:pt idx="0">
                  <c:v>350.91288871142501</c:v>
                </c:pt>
                <c:pt idx="1">
                  <c:v>304.55127433857501</c:v>
                </c:pt>
                <c:pt idx="2">
                  <c:v>86.013515000000012</c:v>
                </c:pt>
                <c:pt idx="3">
                  <c:v>272.77999999999997</c:v>
                </c:pt>
              </c:numCache>
            </c:numRef>
          </c:val>
          <c:extLst>
            <c:ext xmlns:c16="http://schemas.microsoft.com/office/drawing/2014/chart" uri="{C3380CC4-5D6E-409C-BE32-E72D297353CC}">
              <c16:uniqueId val="{00000000-E5D4-4800-A0CB-72CB55AC67D8}"/>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0131579282501"/>
          <c:y val="3.6959862171726601E-2"/>
          <c:w val="0.79784850092181003"/>
          <c:h val="0.72485644651958203"/>
        </c:manualLayout>
      </c:layout>
      <c:barChart>
        <c:barDir val="bar"/>
        <c:grouping val="stacked"/>
        <c:varyColors val="0"/>
        <c:ser>
          <c:idx val="0"/>
          <c:order val="0"/>
          <c:tx>
            <c:strRef>
              <c:f>'INSTITUCIONES POR EJE'!$B$25</c:f>
              <c:strCache>
                <c:ptCount val="1"/>
                <c:pt idx="0">
                  <c:v>1. Dinamizar el sector productivo</c:v>
                </c:pt>
              </c:strCache>
            </c:strRef>
          </c:tx>
          <c:spPr>
            <a:solidFill>
              <a:schemeClr val="accent3">
                <a:lumMod val="75000"/>
              </a:schemeClr>
            </a:solidFill>
          </c:spPr>
          <c:invertIfNegative val="0"/>
          <c:cat>
            <c:strRef>
              <c:f>'INSTITUCIONES POR EJE'!$A$26:$A$41</c:f>
              <c:strCache>
                <c:ptCount val="16"/>
                <c:pt idx="0">
                  <c:v>MH</c:v>
                </c:pt>
                <c:pt idx="1">
                  <c:v>MH - FODES</c:v>
                </c:pt>
                <c:pt idx="2">
                  <c:v>CSJ</c:v>
                </c:pt>
                <c:pt idx="3">
                  <c:v>FGR</c:v>
                </c:pt>
                <c:pt idx="4">
                  <c:v>MJSP</c:v>
                </c:pt>
                <c:pt idx="5">
                  <c:v>FISDL</c:v>
                </c:pt>
                <c:pt idx="6">
                  <c:v>MINED</c:v>
                </c:pt>
                <c:pt idx="7">
                  <c:v>ANDA</c:v>
                </c:pt>
                <c:pt idx="8">
                  <c:v>MINSAL</c:v>
                </c:pt>
                <c:pt idx="9">
                  <c:v>FOVIAL</c:v>
                </c:pt>
                <c:pt idx="10">
                  <c:v>MINEC</c:v>
                </c:pt>
                <c:pt idx="11">
                  <c:v>FOMILENIO II</c:v>
                </c:pt>
                <c:pt idx="12">
                  <c:v>MOPTVDU</c:v>
                </c:pt>
                <c:pt idx="13">
                  <c:v>CEPA</c:v>
                </c:pt>
                <c:pt idx="14">
                  <c:v>MAG</c:v>
                </c:pt>
                <c:pt idx="15">
                  <c:v>CEL</c:v>
                </c:pt>
              </c:strCache>
            </c:strRef>
          </c:cat>
          <c:val>
            <c:numRef>
              <c:f>'INSTITUCIONES POR EJE'!$B$26:$B$41</c:f>
              <c:numCache>
                <c:formatCode>_-"$"* #,##0.0_-;\-"$"* #,##0.0_-;_-"$"* "-"??_-;_-@_-</c:formatCode>
                <c:ptCount val="16"/>
                <c:pt idx="0">
                  <c:v>0</c:v>
                </c:pt>
                <c:pt idx="1">
                  <c:v>261.37650500000001</c:v>
                </c:pt>
                <c:pt idx="2">
                  <c:v>0</c:v>
                </c:pt>
                <c:pt idx="3">
                  <c:v>0</c:v>
                </c:pt>
                <c:pt idx="4">
                  <c:v>0</c:v>
                </c:pt>
                <c:pt idx="5">
                  <c:v>1</c:v>
                </c:pt>
                <c:pt idx="6">
                  <c:v>0</c:v>
                </c:pt>
                <c:pt idx="7">
                  <c:v>0</c:v>
                </c:pt>
                <c:pt idx="8">
                  <c:v>0</c:v>
                </c:pt>
                <c:pt idx="9">
                  <c:v>4.7280788500000002</c:v>
                </c:pt>
                <c:pt idx="10">
                  <c:v>7.4499399999999998</c:v>
                </c:pt>
                <c:pt idx="11">
                  <c:v>18.161841861424961</c:v>
                </c:pt>
                <c:pt idx="12">
                  <c:v>21.482240000000001</c:v>
                </c:pt>
                <c:pt idx="13">
                  <c:v>50.434520000000006</c:v>
                </c:pt>
                <c:pt idx="14">
                  <c:v>58.648572999999999</c:v>
                </c:pt>
                <c:pt idx="15">
                  <c:v>189.01569500000002</c:v>
                </c:pt>
              </c:numCache>
            </c:numRef>
          </c:val>
          <c:extLst>
            <c:ext xmlns:c16="http://schemas.microsoft.com/office/drawing/2014/chart" uri="{C3380CC4-5D6E-409C-BE32-E72D297353CC}">
              <c16:uniqueId val="{00000000-0412-4071-A997-8A69CA88A793}"/>
            </c:ext>
          </c:extLst>
        </c:ser>
        <c:ser>
          <c:idx val="3"/>
          <c:order val="1"/>
          <c:tx>
            <c:strRef>
              <c:f>'INSTITUCIONES POR EJE'!$C$25</c:f>
              <c:strCache>
                <c:ptCount val="1"/>
                <c:pt idx="0">
                  <c:v>2. Desarrollar el capital humano</c:v>
                </c:pt>
              </c:strCache>
            </c:strRef>
          </c:tx>
          <c:spPr>
            <a:solidFill>
              <a:srgbClr val="D7D729"/>
            </a:solidFill>
          </c:spPr>
          <c:invertIfNegative val="0"/>
          <c:cat>
            <c:strRef>
              <c:f>'INSTITUCIONES POR EJE'!$A$26:$A$41</c:f>
              <c:strCache>
                <c:ptCount val="16"/>
                <c:pt idx="0">
                  <c:v>MH</c:v>
                </c:pt>
                <c:pt idx="1">
                  <c:v>MH - FODES</c:v>
                </c:pt>
                <c:pt idx="2">
                  <c:v>CSJ</c:v>
                </c:pt>
                <c:pt idx="3">
                  <c:v>FGR</c:v>
                </c:pt>
                <c:pt idx="4">
                  <c:v>MJSP</c:v>
                </c:pt>
                <c:pt idx="5">
                  <c:v>FISDL</c:v>
                </c:pt>
                <c:pt idx="6">
                  <c:v>MINED</c:v>
                </c:pt>
                <c:pt idx="7">
                  <c:v>ANDA</c:v>
                </c:pt>
                <c:pt idx="8">
                  <c:v>MINSAL</c:v>
                </c:pt>
                <c:pt idx="9">
                  <c:v>FOVIAL</c:v>
                </c:pt>
                <c:pt idx="10">
                  <c:v>MINEC</c:v>
                </c:pt>
                <c:pt idx="11">
                  <c:v>FOMILENIO II</c:v>
                </c:pt>
                <c:pt idx="12">
                  <c:v>MOPTVDU</c:v>
                </c:pt>
                <c:pt idx="13">
                  <c:v>CEPA</c:v>
                </c:pt>
                <c:pt idx="14">
                  <c:v>MAG</c:v>
                </c:pt>
                <c:pt idx="15">
                  <c:v>CEL</c:v>
                </c:pt>
              </c:strCache>
            </c:strRef>
          </c:cat>
          <c:val>
            <c:numRef>
              <c:f>'INSTITUCIONES POR EJE'!$C$26:$C$41</c:f>
              <c:numCache>
                <c:formatCode>_-"$"* #,##0.0_-;\-"$"* #,##0.0_-;_-"$"* "-"??_-;_-@_-</c:formatCode>
                <c:ptCount val="16"/>
                <c:pt idx="0">
                  <c:v>0</c:v>
                </c:pt>
                <c:pt idx="1">
                  <c:v>0</c:v>
                </c:pt>
                <c:pt idx="2">
                  <c:v>0</c:v>
                </c:pt>
                <c:pt idx="3">
                  <c:v>0</c:v>
                </c:pt>
                <c:pt idx="4">
                  <c:v>0</c:v>
                </c:pt>
                <c:pt idx="5">
                  <c:v>26.925000000000004</c:v>
                </c:pt>
                <c:pt idx="6">
                  <c:v>40.471083560000004</c:v>
                </c:pt>
                <c:pt idx="7">
                  <c:v>70</c:v>
                </c:pt>
                <c:pt idx="8">
                  <c:v>145.63462264</c:v>
                </c:pt>
                <c:pt idx="9">
                  <c:v>0</c:v>
                </c:pt>
                <c:pt idx="10">
                  <c:v>0</c:v>
                </c:pt>
                <c:pt idx="11">
                  <c:v>10.11426813857504</c:v>
                </c:pt>
                <c:pt idx="12">
                  <c:v>11.4063</c:v>
                </c:pt>
                <c:pt idx="13">
                  <c:v>0</c:v>
                </c:pt>
                <c:pt idx="14">
                  <c:v>0</c:v>
                </c:pt>
                <c:pt idx="15">
                  <c:v>0</c:v>
                </c:pt>
              </c:numCache>
            </c:numRef>
          </c:val>
          <c:extLst>
            <c:ext xmlns:c16="http://schemas.microsoft.com/office/drawing/2014/chart" uri="{C3380CC4-5D6E-409C-BE32-E72D297353CC}">
              <c16:uniqueId val="{00000001-0412-4071-A997-8A69CA88A793}"/>
            </c:ext>
          </c:extLst>
        </c:ser>
        <c:ser>
          <c:idx val="1"/>
          <c:order val="2"/>
          <c:tx>
            <c:strRef>
              <c:f>'INSTITUCIONES POR EJE'!$D$25</c:f>
              <c:strCache>
                <c:ptCount val="1"/>
                <c:pt idx="0">
                  <c:v>3. Mejorar la seguridad ciudadana y acceso a la justicia</c:v>
                </c:pt>
              </c:strCache>
            </c:strRef>
          </c:tx>
          <c:spPr>
            <a:solidFill>
              <a:schemeClr val="accent5">
                <a:lumMod val="75000"/>
              </a:schemeClr>
            </a:solidFill>
          </c:spPr>
          <c:invertIfNegative val="0"/>
          <c:cat>
            <c:strRef>
              <c:f>'INSTITUCIONES POR EJE'!$A$26:$A$41</c:f>
              <c:strCache>
                <c:ptCount val="16"/>
                <c:pt idx="0">
                  <c:v>MH</c:v>
                </c:pt>
                <c:pt idx="1">
                  <c:v>MH - FODES</c:v>
                </c:pt>
                <c:pt idx="2">
                  <c:v>CSJ</c:v>
                </c:pt>
                <c:pt idx="3">
                  <c:v>FGR</c:v>
                </c:pt>
                <c:pt idx="4">
                  <c:v>MJSP</c:v>
                </c:pt>
                <c:pt idx="5">
                  <c:v>FISDL</c:v>
                </c:pt>
                <c:pt idx="6">
                  <c:v>MINED</c:v>
                </c:pt>
                <c:pt idx="7">
                  <c:v>ANDA</c:v>
                </c:pt>
                <c:pt idx="8">
                  <c:v>MINSAL</c:v>
                </c:pt>
                <c:pt idx="9">
                  <c:v>FOVIAL</c:v>
                </c:pt>
                <c:pt idx="10">
                  <c:v>MINEC</c:v>
                </c:pt>
                <c:pt idx="11">
                  <c:v>FOMILENIO II</c:v>
                </c:pt>
                <c:pt idx="12">
                  <c:v>MOPTVDU</c:v>
                </c:pt>
                <c:pt idx="13">
                  <c:v>CEPA</c:v>
                </c:pt>
                <c:pt idx="14">
                  <c:v>MAG</c:v>
                </c:pt>
                <c:pt idx="15">
                  <c:v>CEL</c:v>
                </c:pt>
              </c:strCache>
            </c:strRef>
          </c:cat>
          <c:val>
            <c:numRef>
              <c:f>'INSTITUCIONES POR EJE'!$D$26:$D$41</c:f>
              <c:numCache>
                <c:formatCode>_-"$"* #,##0.0_-;\-"$"* #,##0.0_-;_-"$"* "-"??_-;_-@_-</c:formatCode>
                <c:ptCount val="16"/>
                <c:pt idx="0">
                  <c:v>0</c:v>
                </c:pt>
                <c:pt idx="1">
                  <c:v>0</c:v>
                </c:pt>
                <c:pt idx="2">
                  <c:v>10.5</c:v>
                </c:pt>
                <c:pt idx="3">
                  <c:v>17.756</c:v>
                </c:pt>
                <c:pt idx="4">
                  <c:v>56.757515000000012</c:v>
                </c:pt>
                <c:pt idx="5">
                  <c:v>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0412-4071-A997-8A69CA88A793}"/>
            </c:ext>
          </c:extLst>
        </c:ser>
        <c:ser>
          <c:idx val="2"/>
          <c:order val="3"/>
          <c:tx>
            <c:strRef>
              <c:f>'INSTITUCIONES POR EJE'!$E$25</c:f>
              <c:strCache>
                <c:ptCount val="1"/>
                <c:pt idx="0">
                  <c:v>4. Fortalecer las instituciones</c:v>
                </c:pt>
              </c:strCache>
            </c:strRef>
          </c:tx>
          <c:spPr>
            <a:solidFill>
              <a:schemeClr val="accent6"/>
            </a:solidFill>
          </c:spPr>
          <c:invertIfNegative val="0"/>
          <c:cat>
            <c:strRef>
              <c:f>'INSTITUCIONES POR EJE'!$A$26:$A$41</c:f>
              <c:strCache>
                <c:ptCount val="16"/>
                <c:pt idx="0">
                  <c:v>MH</c:v>
                </c:pt>
                <c:pt idx="1">
                  <c:v>MH - FODES</c:v>
                </c:pt>
                <c:pt idx="2">
                  <c:v>CSJ</c:v>
                </c:pt>
                <c:pt idx="3">
                  <c:v>FGR</c:v>
                </c:pt>
                <c:pt idx="4">
                  <c:v>MJSP</c:v>
                </c:pt>
                <c:pt idx="5">
                  <c:v>FISDL</c:v>
                </c:pt>
                <c:pt idx="6">
                  <c:v>MINED</c:v>
                </c:pt>
                <c:pt idx="7">
                  <c:v>ANDA</c:v>
                </c:pt>
                <c:pt idx="8">
                  <c:v>MINSAL</c:v>
                </c:pt>
                <c:pt idx="9">
                  <c:v>FOVIAL</c:v>
                </c:pt>
                <c:pt idx="10">
                  <c:v>MINEC</c:v>
                </c:pt>
                <c:pt idx="11">
                  <c:v>FOMILENIO II</c:v>
                </c:pt>
                <c:pt idx="12">
                  <c:v>MOPTVDU</c:v>
                </c:pt>
                <c:pt idx="13">
                  <c:v>CEPA</c:v>
                </c:pt>
                <c:pt idx="14">
                  <c:v>MAG</c:v>
                </c:pt>
                <c:pt idx="15">
                  <c:v>CEL</c:v>
                </c:pt>
              </c:strCache>
            </c:strRef>
          </c:cat>
          <c:val>
            <c:numRef>
              <c:f>'INSTITUCIONES POR EJE'!$E$26:$E$41</c:f>
              <c:numCache>
                <c:formatCode>_-"$"* #,##0.0_-;\-"$"* #,##0.0_-;_-"$"* "-"??_-;_-@_-</c:formatCode>
                <c:ptCount val="16"/>
                <c:pt idx="0">
                  <c:v>11.4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0412-4071-A997-8A69CA88A793}"/>
            </c:ext>
          </c:extLst>
        </c:ser>
        <c:dLbls>
          <c:showLegendKey val="0"/>
          <c:showVal val="0"/>
          <c:showCatName val="0"/>
          <c:showSerName val="0"/>
          <c:showPercent val="0"/>
          <c:showBubbleSize val="0"/>
        </c:dLbls>
        <c:gapWidth val="50"/>
        <c:overlap val="100"/>
        <c:axId val="-1682074976"/>
        <c:axId val="-1682068992"/>
      </c:barChart>
      <c:barChart>
        <c:barDir val="bar"/>
        <c:grouping val="clustered"/>
        <c:varyColors val="0"/>
        <c:ser>
          <c:idx val="4"/>
          <c:order val="4"/>
          <c:tx>
            <c:strRef>
              <c:f>'INSTITUCIONES POR EJE'!$F$25</c:f>
              <c:strCache>
                <c:ptCount val="1"/>
              </c:strCache>
            </c:strRef>
          </c:tx>
          <c:spPr>
            <a:no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'INSTITUCIONES POR EJE'!$A$26:$A$41</c:f>
              <c:strCache>
                <c:ptCount val="16"/>
                <c:pt idx="0">
                  <c:v>MH</c:v>
                </c:pt>
                <c:pt idx="1">
                  <c:v>MH - FODES</c:v>
                </c:pt>
                <c:pt idx="2">
                  <c:v>CSJ</c:v>
                </c:pt>
                <c:pt idx="3">
                  <c:v>FGR</c:v>
                </c:pt>
                <c:pt idx="4">
                  <c:v>MJSP</c:v>
                </c:pt>
                <c:pt idx="5">
                  <c:v>FISDL</c:v>
                </c:pt>
                <c:pt idx="6">
                  <c:v>MINED</c:v>
                </c:pt>
                <c:pt idx="7">
                  <c:v>ANDA</c:v>
                </c:pt>
                <c:pt idx="8">
                  <c:v>MINSAL</c:v>
                </c:pt>
                <c:pt idx="9">
                  <c:v>FOVIAL</c:v>
                </c:pt>
                <c:pt idx="10">
                  <c:v>MINEC</c:v>
                </c:pt>
                <c:pt idx="11">
                  <c:v>FOMILENIO II</c:v>
                </c:pt>
                <c:pt idx="12">
                  <c:v>MOPTVDU</c:v>
                </c:pt>
                <c:pt idx="13">
                  <c:v>CEPA</c:v>
                </c:pt>
                <c:pt idx="14">
                  <c:v>MAG</c:v>
                </c:pt>
                <c:pt idx="15">
                  <c:v>CEL</c:v>
                </c:pt>
              </c:strCache>
            </c:strRef>
          </c:cat>
          <c:val>
            <c:numRef>
              <c:f>'INSTITUCIONES POR EJE'!$F$26:$F$41</c:f>
              <c:numCache>
                <c:formatCode>_-"$"* #,##0.0_-;\-"$"* #,##0.0_-;_-"$"* "-"??_-;_-@_-</c:formatCode>
                <c:ptCount val="16"/>
                <c:pt idx="0">
                  <c:v>11.4</c:v>
                </c:pt>
                <c:pt idx="1">
                  <c:v>261.37650500000001</c:v>
                </c:pt>
                <c:pt idx="2">
                  <c:v>10.5</c:v>
                </c:pt>
                <c:pt idx="3">
                  <c:v>17.756</c:v>
                </c:pt>
                <c:pt idx="4">
                  <c:v>56.757515000000012</c:v>
                </c:pt>
                <c:pt idx="5">
                  <c:v>28.925000000000004</c:v>
                </c:pt>
                <c:pt idx="6">
                  <c:v>40.471083560000004</c:v>
                </c:pt>
                <c:pt idx="7">
                  <c:v>70</c:v>
                </c:pt>
                <c:pt idx="8">
                  <c:v>145.63462264</c:v>
                </c:pt>
                <c:pt idx="9">
                  <c:v>4.7280788500000002</c:v>
                </c:pt>
                <c:pt idx="10">
                  <c:v>7.4499399999999998</c:v>
                </c:pt>
                <c:pt idx="11">
                  <c:v>28.276110000000003</c:v>
                </c:pt>
                <c:pt idx="12">
                  <c:v>32.888539999999999</c:v>
                </c:pt>
                <c:pt idx="13">
                  <c:v>50.434520000000006</c:v>
                </c:pt>
                <c:pt idx="14">
                  <c:v>58.648572999999999</c:v>
                </c:pt>
                <c:pt idx="15">
                  <c:v>189.01569500000002</c:v>
                </c:pt>
              </c:numCache>
            </c:numRef>
          </c:val>
          <c:extLst>
            <c:ext xmlns:c16="http://schemas.microsoft.com/office/drawing/2014/chart" uri="{C3380CC4-5D6E-409C-BE32-E72D297353CC}">
              <c16:uniqueId val="{00000004-0412-4071-A997-8A69CA88A793}"/>
            </c:ext>
          </c:extLst>
        </c:ser>
        <c:dLbls>
          <c:showLegendKey val="0"/>
          <c:showVal val="0"/>
          <c:showCatName val="0"/>
          <c:showSerName val="0"/>
          <c:showPercent val="0"/>
          <c:showBubbleSize val="0"/>
        </c:dLbls>
        <c:gapWidth val="50"/>
        <c:axId val="-1682072800"/>
        <c:axId val="-1682073344"/>
      </c:barChart>
      <c:catAx>
        <c:axId val="-1682074976"/>
        <c:scaling>
          <c:orientation val="minMax"/>
        </c:scaling>
        <c:delete val="0"/>
        <c:axPos val="l"/>
        <c:majorGridlines>
          <c:spPr>
            <a:ln>
              <a:prstDash val="dash"/>
            </a:ln>
          </c:spPr>
        </c:majorGridlines>
        <c:numFmt formatCode="General" sourceLinked="1"/>
        <c:majorTickMark val="out"/>
        <c:minorTickMark val="none"/>
        <c:tickLblPos val="nextTo"/>
        <c:crossAx val="-1682068992"/>
        <c:crosses val="autoZero"/>
        <c:auto val="1"/>
        <c:lblAlgn val="ctr"/>
        <c:lblOffset val="100"/>
        <c:noMultiLvlLbl val="0"/>
      </c:catAx>
      <c:valAx>
        <c:axId val="-1682068992"/>
        <c:scaling>
          <c:orientation val="minMax"/>
        </c:scaling>
        <c:delete val="0"/>
        <c:axPos val="b"/>
        <c:majorGridlines>
          <c:spPr>
            <a:ln>
              <a:prstDash val="dashDot"/>
            </a:ln>
          </c:spPr>
        </c:majorGridlines>
        <c:numFmt formatCode="_-&quot;$&quot;* #,##0.0_-;\-&quot;$&quot;* #,##0.0_-;_-&quot;$&quot;* &quot;-&quot;??_-;_-@_-" sourceLinked="1"/>
        <c:majorTickMark val="out"/>
        <c:minorTickMark val="none"/>
        <c:tickLblPos val="nextTo"/>
        <c:crossAx val="-1682074976"/>
        <c:crosses val="autoZero"/>
        <c:crossBetween val="between"/>
      </c:valAx>
      <c:valAx>
        <c:axId val="-1682073344"/>
        <c:scaling>
          <c:orientation val="minMax"/>
        </c:scaling>
        <c:delete val="1"/>
        <c:axPos val="t"/>
        <c:numFmt formatCode="_-&quot;$&quot;* #,##0.0_-;\-&quot;$&quot;* #,##0.0_-;_-&quot;$&quot;* &quot;-&quot;??_-;_-@_-" sourceLinked="1"/>
        <c:majorTickMark val="out"/>
        <c:minorTickMark val="none"/>
        <c:tickLblPos val="nextTo"/>
        <c:crossAx val="-1682072800"/>
        <c:crosses val="max"/>
        <c:crossBetween val="between"/>
      </c:valAx>
      <c:catAx>
        <c:axId val="-1682072800"/>
        <c:scaling>
          <c:orientation val="minMax"/>
        </c:scaling>
        <c:delete val="1"/>
        <c:axPos val="l"/>
        <c:numFmt formatCode="General" sourceLinked="1"/>
        <c:majorTickMark val="out"/>
        <c:minorTickMark val="none"/>
        <c:tickLblPos val="nextTo"/>
        <c:crossAx val="-1682073344"/>
        <c:crosses val="autoZero"/>
        <c:auto val="1"/>
        <c:lblAlgn val="ctr"/>
        <c:lblOffset val="100"/>
        <c:noMultiLvlLbl val="0"/>
      </c:catAx>
    </c:plotArea>
    <c:legend>
      <c:legendPos val="b"/>
      <c:layout>
        <c:manualLayout>
          <c:xMode val="edge"/>
          <c:yMode val="edge"/>
          <c:x val="0"/>
          <c:y val="0.85942950058416201"/>
          <c:w val="1"/>
          <c:h val="0.14057049941583799"/>
        </c:manualLayout>
      </c:layout>
      <c:overlay val="0"/>
      <c:txPr>
        <a:bodyPr/>
        <a:lstStyle/>
        <a:p>
          <a:pPr>
            <a:defRPr sz="800"/>
          </a:pPr>
          <a:endParaRPr lang="es-SV"/>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'LÍNEAS DE ACCIÓN POR FUENTE'!$C$23</c:f>
              <c:strCache>
                <c:ptCount val="1"/>
                <c:pt idx="0">
                  <c:v>FONDOS PROPIOS</c:v>
                </c:pt>
              </c:strCache>
            </c:strRef>
          </c:tx>
          <c:spPr>
            <a:solidFill>
              <a:schemeClr val="accent4">
                <a:lumMod val="75000"/>
              </a:schemeClr>
            </a:solidFill>
          </c:spPr>
          <c:invertIfNegative val="0"/>
          <c:cat>
            <c:strRef>
              <c:f>'LÍNEAS DE ACCIÓN POR FUENTE'!$A$24:$A$35</c:f>
              <c:strCache>
                <c:ptCount val="12"/>
                <c:pt idx="0">
                  <c:v>4.i. Fortalecimiento de la administración tributaria.</c:v>
                </c:pt>
                <c:pt idx="1">
                  <c:v>3.iii. Mejorar los centros penitenciarios y centros de atención a menores.</c:v>
                </c:pt>
                <c:pt idx="2">
                  <c:v>3.ii. Fortalecer los operadores de justicia y reducir la mora judicial.</c:v>
                </c:pt>
                <c:pt idx="3">
                  <c:v>3.i. Ampliar programas de seguridad comunitaria y prevención social del delito.</c:v>
                </c:pt>
                <c:pt idx="4">
                  <c:v>2.v. Favorecer la reinserción social y económica de los migrantes retornados.</c:v>
                </c:pt>
                <c:pt idx="5">
                  <c:v>2.iv. Construir y mejorar la vivienda y el entorno habitacional.</c:v>
                </c:pt>
                <c:pt idx="6">
                  <c:v>2.iii. Mejorar la salud, nutrición y desarrollo infantil temprano.</c:v>
                </c:pt>
                <c:pt idx="7">
                  <c:v>2.ii. Aumentar la cobertura y mejorar la calidad de la educación secundaria, tercer ciclo y vocacional.</c:v>
                </c:pt>
                <c:pt idx="8">
                  <c:v>2.i. Expandir los sistemas de protección social y transferencias condicionadas.</c:v>
                </c:pt>
                <c:pt idx="9">
                  <c:v>1.iii. Mejorar y expandir infraestructura y corredores logísticos.</c:v>
                </c:pt>
                <c:pt idx="10">
                  <c:v>1.ii. Fomentar la integración eléctrica regional.</c:v>
                </c:pt>
                <c:pt idx="11">
                  <c:v>1.i. Promoción de sectores estratégicos y atracción de inversión.</c:v>
                </c:pt>
              </c:strCache>
            </c:strRef>
          </c:cat>
          <c:val>
            <c:numRef>
              <c:f>'LÍNEAS DE ACCIÓN POR FUENTE'!$C$24:$C$35</c:f>
              <c:numCache>
                <c:formatCode>_-"$"* #,##0_-;\-"$"* #,##0_-;_-"$"* "-"??_-;_-@_-</c:formatCode>
                <c:ptCount val="12"/>
                <c:pt idx="0">
                  <c:v>261.38</c:v>
                </c:pt>
                <c:pt idx="1">
                  <c:v>0</c:v>
                </c:pt>
                <c:pt idx="2">
                  <c:v>10.5</c:v>
                </c:pt>
                <c:pt idx="3">
                  <c:v>7.4</c:v>
                </c:pt>
                <c:pt idx="4">
                  <c:v>0</c:v>
                </c:pt>
                <c:pt idx="5">
                  <c:v>75.196299999999994</c:v>
                </c:pt>
                <c:pt idx="6">
                  <c:v>109.02961764</c:v>
                </c:pt>
                <c:pt idx="7">
                  <c:v>26.301083560000002</c:v>
                </c:pt>
                <c:pt idx="8">
                  <c:v>17.900000000000002</c:v>
                </c:pt>
                <c:pt idx="9">
                  <c:v>57.261303850000004</c:v>
                </c:pt>
                <c:pt idx="10">
                  <c:v>76.493449999999982</c:v>
                </c:pt>
                <c:pt idx="11">
                  <c:v>43.785173</c:v>
                </c:pt>
              </c:numCache>
            </c:numRef>
          </c:val>
          <c:extLst>
            <c:ext xmlns:c16="http://schemas.microsoft.com/office/drawing/2014/chart" uri="{C3380CC4-5D6E-409C-BE32-E72D297353CC}">
              <c16:uniqueId val="{00000000-F851-4075-93E6-DFB8EA720534}"/>
            </c:ext>
          </c:extLst>
        </c:ser>
        <c:ser>
          <c:idx val="1"/>
          <c:order val="2"/>
          <c:tx>
            <c:strRef>
              <c:f>'LÍNEAS DE ACCIÓN POR FUENTE'!$D$23</c:f>
              <c:strCache>
                <c:ptCount val="1"/>
                <c:pt idx="0">
                  <c:v>PRÉSTAMOS</c:v>
                </c:pt>
              </c:strCache>
            </c:strRef>
          </c:tx>
          <c:spPr>
            <a:solidFill>
              <a:schemeClr val="accent3">
                <a:lumMod val="60000"/>
                <a:lumOff val="40000"/>
              </a:schemeClr>
            </a:solidFill>
          </c:spPr>
          <c:invertIfNegative val="0"/>
          <c:cat>
            <c:strRef>
              <c:f>'LÍNEAS DE ACCIÓN POR FUENTE'!$A$24:$A$35</c:f>
              <c:strCache>
                <c:ptCount val="12"/>
                <c:pt idx="0">
                  <c:v>4.i. Fortalecimiento de la administración tributaria.</c:v>
                </c:pt>
                <c:pt idx="1">
                  <c:v>3.iii. Mejorar los centros penitenciarios y centros de atención a menores.</c:v>
                </c:pt>
                <c:pt idx="2">
                  <c:v>3.ii. Fortalecer los operadores de justicia y reducir la mora judicial.</c:v>
                </c:pt>
                <c:pt idx="3">
                  <c:v>3.i. Ampliar programas de seguridad comunitaria y prevención social del delito.</c:v>
                </c:pt>
                <c:pt idx="4">
                  <c:v>2.v. Favorecer la reinserción social y económica de los migrantes retornados.</c:v>
                </c:pt>
                <c:pt idx="5">
                  <c:v>2.iv. Construir y mejorar la vivienda y el entorno habitacional.</c:v>
                </c:pt>
                <c:pt idx="6">
                  <c:v>2.iii. Mejorar la salud, nutrición y desarrollo infantil temprano.</c:v>
                </c:pt>
                <c:pt idx="7">
                  <c:v>2.ii. Aumentar la cobertura y mejorar la calidad de la educación secundaria, tercer ciclo y vocacional.</c:v>
                </c:pt>
                <c:pt idx="8">
                  <c:v>2.i. Expandir los sistemas de protección social y transferencias condicionadas.</c:v>
                </c:pt>
                <c:pt idx="9">
                  <c:v>1.iii. Mejorar y expandir infraestructura y corredores logísticos.</c:v>
                </c:pt>
                <c:pt idx="10">
                  <c:v>1.ii. Fomentar la integración eléctrica regional.</c:v>
                </c:pt>
                <c:pt idx="11">
                  <c:v>1.i. Promoción de sectores estratégicos y atracción de inversión.</c:v>
                </c:pt>
              </c:strCache>
            </c:strRef>
          </c:cat>
          <c:val>
            <c:numRef>
              <c:f>'LÍNEAS DE ACCIÓN POR FUENTE'!$D$24:$D$35</c:f>
              <c:numCache>
                <c:formatCode>_-"$"* #,##0_-;\-"$"* #,##0_-;_-"$"* "-"??_-;_-@_-</c:formatCode>
                <c:ptCount val="12"/>
                <c:pt idx="0">
                  <c:v>11.4</c:v>
                </c:pt>
                <c:pt idx="1">
                  <c:v>43.554155000000002</c:v>
                </c:pt>
                <c:pt idx="2">
                  <c:v>19.851749999999999</c:v>
                </c:pt>
                <c:pt idx="3">
                  <c:v>3.2076099999999999</c:v>
                </c:pt>
                <c:pt idx="4">
                  <c:v>1</c:v>
                </c:pt>
                <c:pt idx="5">
                  <c:v>12.610000000000001</c:v>
                </c:pt>
                <c:pt idx="6">
                  <c:v>36.122254999999996</c:v>
                </c:pt>
                <c:pt idx="7">
                  <c:v>12.84429813857504</c:v>
                </c:pt>
                <c:pt idx="8">
                  <c:v>0</c:v>
                </c:pt>
                <c:pt idx="9">
                  <c:v>17.371218219540864</c:v>
                </c:pt>
                <c:pt idx="10">
                  <c:v>110.509255</c:v>
                </c:pt>
                <c:pt idx="11">
                  <c:v>27.758943641884098</c:v>
                </c:pt>
              </c:numCache>
            </c:numRef>
          </c:val>
          <c:extLst>
            <c:ext xmlns:c16="http://schemas.microsoft.com/office/drawing/2014/chart" uri="{C3380CC4-5D6E-409C-BE32-E72D297353CC}">
              <c16:uniqueId val="{00000001-F851-4075-93E6-DFB8EA720534}"/>
            </c:ext>
          </c:extLst>
        </c:ser>
        <c:dLbls>
          <c:showLegendKey val="0"/>
          <c:showVal val="0"/>
          <c:showCatName val="0"/>
          <c:showSerName val="0"/>
          <c:showPercent val="0"/>
          <c:showBubbleSize val="0"/>
        </c:dLbls>
        <c:gapWidth val="25"/>
        <c:overlap val="100"/>
        <c:axId val="-1682071712"/>
        <c:axId val="-1682082048"/>
      </c:barChart>
      <c:barChart>
        <c:barDir val="bar"/>
        <c:grouping val="stacked"/>
        <c:varyColors val="0"/>
        <c:ser>
          <c:idx val="3"/>
          <c:order val="1"/>
          <c:tx>
            <c:strRef>
              <c:f>'LÍNEAS DE ACCIÓN POR FUENTE'!$E$23</c:f>
              <c:strCache>
                <c:ptCount val="1"/>
                <c:pt idx="0">
                  <c:v>COOPERACIÓN</c:v>
                </c:pt>
              </c:strCache>
            </c:strRef>
          </c:tx>
          <c:spPr>
            <a:solidFill>
              <a:schemeClr val="accent5">
                <a:lumMod val="75000"/>
              </a:schemeClr>
            </a:solidFill>
          </c:spPr>
          <c:invertIfNegative val="0"/>
          <c:val>
            <c:numRef>
              <c:f>'LÍNEAS DE ACCIÓN POR FUENTE'!$E$24:$E$35</c:f>
              <c:numCache>
                <c:formatCode>_-"$"* #,##0_-;\-"$"* #,##0_-;_-"$"* "-"??_-;_-@_-</c:formatCode>
                <c:ptCount val="12"/>
                <c:pt idx="0">
                  <c:v>0</c:v>
                </c:pt>
                <c:pt idx="1">
                  <c:v>1.5</c:v>
                </c:pt>
                <c:pt idx="2">
                  <c:v>0</c:v>
                </c:pt>
                <c:pt idx="3">
                  <c:v>0</c:v>
                </c:pt>
                <c:pt idx="4">
                  <c:v>0</c:v>
                </c:pt>
                <c:pt idx="5">
                  <c:v>0.9</c:v>
                </c:pt>
                <c:pt idx="6">
                  <c:v>3.4627499999999998</c:v>
                </c:pt>
                <c:pt idx="7">
                  <c:v>9.1849699999999999</c:v>
                </c:pt>
                <c:pt idx="8">
                  <c:v>0</c:v>
                </c:pt>
                <c:pt idx="9">
                  <c:v>5.5574750000000002</c:v>
                </c:pt>
                <c:pt idx="10">
                  <c:v>2.0089899999999998</c:v>
                </c:pt>
                <c:pt idx="11">
                  <c:v>10.163079999999999</c:v>
                </c:pt>
              </c:numCache>
            </c:numRef>
          </c:val>
          <c:extLst>
            <c:ext xmlns:c16="http://schemas.microsoft.com/office/drawing/2014/chart" uri="{C3380CC4-5D6E-409C-BE32-E72D297353CC}">
              <c16:uniqueId val="{00000002-F851-4075-93E6-DFB8EA720534}"/>
            </c:ext>
          </c:extLst>
        </c:ser>
        <c:ser>
          <c:idx val="2"/>
          <c:order val="3"/>
          <c:tx>
            <c:strRef>
              <c:f>'LÍNEAS DE ACCIÓN POR FUENTE'!$B$23</c:f>
              <c:strCache>
                <c:ptCount val="1"/>
              </c:strCache>
            </c:strRef>
          </c:tx>
          <c:spPr>
            <a:noFill/>
          </c:spPr>
          <c:invertIfNegative val="0"/>
          <c:dLbls>
            <c:dLbl>
              <c:idx val="0"/>
              <c:layout>
                <c:manualLayout>
                  <c:x val="0.235854916483412"/>
                  <c:y val="-8.39066453098527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51-4075-93E6-DFB8EA720534}"/>
                </c:ext>
              </c:extLst>
            </c:dLbl>
            <c:dLbl>
              <c:idx val="1"/>
              <c:layout>
                <c:manualLayout>
                  <c:x val="6.66916867254186E-2"/>
                  <c:y val="-7.691050838285900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51-4075-93E6-DFB8EA720534}"/>
                </c:ext>
              </c:extLst>
            </c:dLbl>
            <c:dLbl>
              <c:idx val="2"/>
              <c:layout>
                <c:manualLayout>
                  <c:x val="6.6091138327263405E-2"/>
                  <c:y val="4.195167101433520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51-4075-93E6-DFB8EA720534}"/>
                </c:ext>
              </c:extLst>
            </c:dLbl>
            <c:dLbl>
              <c:idx val="3"/>
              <c:layout>
                <c:manualLayout>
                  <c:x val="4.8876868989177903E-2"/>
                  <c:y val="-7.691050838285900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51-4075-93E6-DFB8EA720534}"/>
                </c:ext>
              </c:extLst>
            </c:dLbl>
            <c:dLbl>
              <c:idx val="4"/>
              <c:layout>
                <c:manualLayout>
                  <c:x val="3.860457739797749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51-4075-93E6-DFB8EA720534}"/>
                </c:ext>
              </c:extLst>
            </c:dLbl>
            <c:dLbl>
              <c:idx val="5"/>
              <c:layout>
                <c:manualLayout>
                  <c:x val="0.106429033048416"/>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51-4075-93E6-DFB8EA720534}"/>
                </c:ext>
              </c:extLst>
            </c:dLbl>
            <c:dLbl>
              <c:idx val="6"/>
              <c:layout>
                <c:manualLayout>
                  <c:x val="0.14450440438443901"/>
                  <c:y val="-7.691050838285900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51-4075-93E6-DFB8EA720534}"/>
                </c:ext>
              </c:extLst>
            </c:dLbl>
            <c:dLbl>
              <c:idx val="7"/>
              <c:layout>
                <c:manualLayout>
                  <c:x val="5.005334765539100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51-4075-93E6-DFB8EA720534}"/>
                </c:ext>
              </c:extLst>
            </c:dLbl>
            <c:dLbl>
              <c:idx val="8"/>
              <c:layout>
                <c:manualLayout>
                  <c:x val="5.870301977371750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51-4075-93E6-DFB8EA720534}"/>
                </c:ext>
              </c:extLst>
            </c:dLbl>
            <c:dLbl>
              <c:idx val="9"/>
              <c:layout>
                <c:manualLayout>
                  <c:x val="8.503319846952270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51-4075-93E6-DFB8EA720534}"/>
                </c:ext>
              </c:extLst>
            </c:dLbl>
            <c:dLbl>
              <c:idx val="10"/>
              <c:layout>
                <c:manualLayout>
                  <c:x val="0.17750358428251301"/>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51-4075-93E6-DFB8EA720534}"/>
                </c:ext>
              </c:extLst>
            </c:dLbl>
            <c:dLbl>
              <c:idx val="11"/>
              <c:layout>
                <c:manualLayout>
                  <c:x val="5.6416213199035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51-4075-93E6-DFB8EA720534}"/>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'LÍNEAS DE ACCIÓN POR FUENTE'!$B$24:$B$35</c:f>
              <c:numCache>
                <c:formatCode>_-"$"* #,##0_-;\-"$"* #,##0_-;_-"$"* "-"??_-;_-@_-</c:formatCode>
                <c:ptCount val="12"/>
                <c:pt idx="0">
                  <c:v>272.77999999999997</c:v>
                </c:pt>
                <c:pt idx="1">
                  <c:v>45.054155000000002</c:v>
                </c:pt>
                <c:pt idx="2">
                  <c:v>30.351749999999999</c:v>
                </c:pt>
                <c:pt idx="3">
                  <c:v>10.607610000000001</c:v>
                </c:pt>
                <c:pt idx="4">
                  <c:v>1</c:v>
                </c:pt>
                <c:pt idx="5">
                  <c:v>88.706299999999999</c:v>
                </c:pt>
                <c:pt idx="6">
                  <c:v>148.61462263999999</c:v>
                </c:pt>
                <c:pt idx="7">
                  <c:v>48.330351698575043</c:v>
                </c:pt>
                <c:pt idx="8">
                  <c:v>17.900000000000002</c:v>
                </c:pt>
                <c:pt idx="9">
                  <c:v>80.189997069540865</c:v>
                </c:pt>
                <c:pt idx="10">
                  <c:v>189.01569500000002</c:v>
                </c:pt>
                <c:pt idx="11">
                  <c:v>81.707196641884096</c:v>
                </c:pt>
              </c:numCache>
            </c:numRef>
          </c:val>
          <c:extLst>
            <c:ext xmlns:c16="http://schemas.microsoft.com/office/drawing/2014/chart" uri="{C3380CC4-5D6E-409C-BE32-E72D297353CC}">
              <c16:uniqueId val="{0000000F-F851-4075-93E6-DFB8EA720534}"/>
            </c:ext>
          </c:extLst>
        </c:ser>
        <c:dLbls>
          <c:showLegendKey val="0"/>
          <c:showVal val="0"/>
          <c:showCatName val="0"/>
          <c:showSerName val="0"/>
          <c:showPercent val="0"/>
          <c:showBubbleSize val="0"/>
        </c:dLbls>
        <c:gapWidth val="25"/>
        <c:overlap val="100"/>
        <c:axId val="-1682070080"/>
        <c:axId val="-1682071168"/>
      </c:barChart>
      <c:catAx>
        <c:axId val="-1682071712"/>
        <c:scaling>
          <c:orientation val="minMax"/>
        </c:scaling>
        <c:delete val="0"/>
        <c:axPos val="l"/>
        <c:numFmt formatCode="General" sourceLinked="0"/>
        <c:majorTickMark val="none"/>
        <c:minorTickMark val="none"/>
        <c:tickLblPos val="nextTo"/>
        <c:txPr>
          <a:bodyPr/>
          <a:lstStyle/>
          <a:p>
            <a:pPr>
              <a:defRPr sz="800"/>
            </a:pPr>
            <a:endParaRPr lang="es-SV"/>
          </a:p>
        </c:txPr>
        <c:crossAx val="-1682082048"/>
        <c:crosses val="autoZero"/>
        <c:auto val="1"/>
        <c:lblAlgn val="ctr"/>
        <c:lblOffset val="100"/>
        <c:noMultiLvlLbl val="0"/>
      </c:catAx>
      <c:valAx>
        <c:axId val="-1682082048"/>
        <c:scaling>
          <c:orientation val="minMax"/>
        </c:scaling>
        <c:delete val="0"/>
        <c:axPos val="b"/>
        <c:majorGridlines>
          <c:spPr>
            <a:ln>
              <a:prstDash val="dash"/>
            </a:ln>
          </c:spPr>
        </c:majorGridlines>
        <c:numFmt formatCode="_-&quot;$&quot;* #,##0_-;\-&quot;$&quot;* #,##0_-;_-&quot;$&quot;* &quot;-&quot;??_-;_-@_-" sourceLinked="1"/>
        <c:majorTickMark val="none"/>
        <c:minorTickMark val="none"/>
        <c:tickLblPos val="nextTo"/>
        <c:crossAx val="-1682071712"/>
        <c:crosses val="autoZero"/>
        <c:crossBetween val="between"/>
      </c:valAx>
      <c:valAx>
        <c:axId val="-1682071168"/>
        <c:scaling>
          <c:orientation val="minMax"/>
        </c:scaling>
        <c:delete val="1"/>
        <c:axPos val="t"/>
        <c:numFmt formatCode="_-&quot;$&quot;* #,##0_-;\-&quot;$&quot;* #,##0_-;_-&quot;$&quot;* &quot;-&quot;??_-;_-@_-" sourceLinked="1"/>
        <c:majorTickMark val="out"/>
        <c:minorTickMark val="none"/>
        <c:tickLblPos val="nextTo"/>
        <c:crossAx val="-1682070080"/>
        <c:crosses val="max"/>
        <c:crossBetween val="between"/>
      </c:valAx>
      <c:catAx>
        <c:axId val="-1682070080"/>
        <c:scaling>
          <c:orientation val="minMax"/>
        </c:scaling>
        <c:delete val="1"/>
        <c:axPos val="l"/>
        <c:majorTickMark val="out"/>
        <c:minorTickMark val="none"/>
        <c:tickLblPos val="nextTo"/>
        <c:crossAx val="-1682071168"/>
        <c:crosses val="autoZero"/>
        <c:auto val="1"/>
        <c:lblAlgn val="ctr"/>
        <c:lblOffset val="100"/>
        <c:noMultiLvlLbl val="0"/>
      </c:catAx>
    </c:plotArea>
    <c:legend>
      <c:legendPos val="b"/>
      <c:overlay val="0"/>
    </c:legend>
    <c:plotVisOnly val="1"/>
    <c:dispBlanksAs val="gap"/>
    <c:showDLblsOverMax val="0"/>
  </c:chart>
  <c:spPr>
    <a:ln>
      <a:noFill/>
    </a:ln>
  </c:spPr>
  <c:txPr>
    <a:bodyPr/>
    <a:lstStyle/>
    <a:p>
      <a:pPr>
        <a:defRPr>
          <a:latin typeface="Trebuchet MS" panose="020B0603020202020204" pitchFamily="34" charset="0"/>
        </a:defRPr>
      </a:pPr>
      <a:endParaRPr lang="es-SV"/>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393700</xdr:colOff>
      <xdr:row>10</xdr:row>
      <xdr:rowOff>19050</xdr:rowOff>
    </xdr:from>
    <xdr:to>
      <xdr:col>3</xdr:col>
      <xdr:colOff>927100</xdr:colOff>
      <xdr:row>25</xdr:row>
      <xdr:rowOff>95250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25</xdr:row>
      <xdr:rowOff>0</xdr:rowOff>
    </xdr:from>
    <xdr:to>
      <xdr:col>14</xdr:col>
      <xdr:colOff>193040</xdr:colOff>
      <xdr:row>49</xdr:row>
      <xdr:rowOff>0</xdr:rowOff>
    </xdr:to>
    <xdr:graphicFrame macro="">
      <xdr:nvGraphicFramePr>
        <xdr:cNvPr id="4" name="1 Gráfico">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22</xdr:row>
      <xdr:rowOff>0</xdr:rowOff>
    </xdr:from>
    <xdr:to>
      <xdr:col>14</xdr:col>
      <xdr:colOff>1424609</xdr:colOff>
      <xdr:row>39</xdr:row>
      <xdr:rowOff>4693</xdr:rowOff>
    </xdr:to>
    <xdr:graphicFrame macro="">
      <xdr:nvGraphicFramePr>
        <xdr:cNvPr id="2" name="5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Nadezhda/Documents/1%20Planificaci&#243;n%20Nacional/Plan%20de%20Alianza%20para%20la%20Prosperidad%20del%20Tr&#225;ngulo%20Norte%20(PAPTN)/INSTITUCIONES/MJSP%20Matriz%20Presupuesto%202016%20(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Nadezhda/Documents/1%20Planificaci&#243;n%20Nacional/Plan%20de%20Alianza%20para%20la%20Prosperidad%20del%20Tr&#225;ngulo%20Norte%20(PAPTN)/INSTITUCIONES/Presupuesto%202016/Matices%20de%20instituciones/Presupuesto%202016%20(v.5).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Users/Nadezhda/Documents/1%20Planificaci&#243;n%20Nacional/Plan%20de%20Alianza%20para%20la%20Prosperidad%20del%20Tr&#225;ngulo%20Norte%20(PAPTN)/Matrices%20de%20instituciones/Presupuesto%202016%20(v.5)%20comparativo%2011012016.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Nadezhda Peña" refreshedDate="42263.600524189816" createdVersion="4" refreshedVersion="4" minRefreshableVersion="3" recordCount="303">
  <cacheSource type="worksheet">
    <worksheetSource name="Tabla1" r:id="rId2"/>
  </cacheSource>
  <cacheFields count="35">
    <cacheField name="LÍNEAS ESTRATÉGICAS              (1 DÍGITO)" numFmtId="0">
      <sharedItems count="4">
        <s v="1. Dinamizar el sector productivo"/>
        <s v="2. Desarrollar el capital humano"/>
        <s v="3. Mejorar la seguridad ciudadana y acceso a la justicia"/>
        <s v="4. Fortalecer las instituciones"/>
      </sharedItems>
    </cacheField>
    <cacheField name="LÍNEA DE ACCIÓN                                   (2 DÍGITOS)" numFmtId="0">
      <sharedItems count="16">
        <s v="1.i. Promoción de sectores estratégicos y atracción de inversión."/>
        <s v="1.ii. Fomentar la integración eléctrica regional."/>
        <s v="1.iii. Mejorar y expandir infraestructura y corredores logísticos."/>
        <s v="1.iv. Apoyar el proceso de integración regional."/>
        <s v="2.i. Expandir los sistemas de protección social y transferencias condicionadas."/>
        <s v="2.ii. Aumentar la cobertura y mejorar la calidad de la educación secundaria, tercer ciclo y vocacional."/>
        <s v="2.iii. Mejorar la salud, nutrición y desarrollo infantil temprano."/>
        <s v="2.iv. Construir y mejorar la vivienda y el entorno habitacional."/>
        <s v="2.v. Favorecer la reinserción social y económica de los migrantes retornados."/>
        <s v="3.i. Ampliar programas de seguridad comunitaria y prevención social del delito."/>
        <s v="3.ii. Fortalecer los operadores de justicia y reducir la mora judicial."/>
        <s v="3.iii. Mejorar los centros penitenciarios y centros de atención a menores."/>
        <s v="3.iv. Ampliar y fortalecer los centros integrados de atención a víctimas de la violencia."/>
        <s v="4.i. Fortalecimiento de la administración tributaria."/>
        <s v="4.ii. Promoción de la convergencia de los sistemas tributarios."/>
        <s v="4.iii. Mejoramiento de la transparencia y efectividad del gasto."/>
      </sharedItems>
    </cacheField>
    <cacheField name="# ACC." numFmtId="49">
      <sharedItems containsMixedTypes="1" containsNumber="1" minValue="1.2" maxValue="3.3"/>
    </cacheField>
    <cacheField name="LÍNEAS DE ACCIÓN                                 (3 DÍGITOS)" numFmtId="49">
      <sharedItems count="45">
        <s v="1.1 Desarrollo de las micro, pequeñas y medianas empresas (MIPyMES) e integración a las cadenas productivas regionales."/>
        <s v="1.2 Ampliación del financiamiento a micro, pequeñas y medianas."/>
        <s v="1.3 Apoyo a la agricultura familiar y seguridad alimentaria."/>
        <s v="1.4 Promoción de la inversión privada coordinada a nivel regional. "/>
        <s v="1.5 Promoción de dialogo público-privados en torno a la implementación y monitoreo del Plan a través de los consejos de asesoría de cada país."/>
        <s v="1.6 Ampliación del Mercado Eléctrico Regional. "/>
        <s v="1.7 Expansión del Sistema de Interconexión Eléctrica para América Central- SIEPAC. "/>
        <s v="1.8 Promoción de la interconexión gasífera de la región con México."/>
        <s v="1.9 Diversificación de la matriz energética. "/>
        <s v="1.10 Promoción de la eficiencia. "/>
        <s v="1.11 Expansión de corredores logísticos y fortalecimiento de red de transporte terrestre."/>
        <s v="1.12 Mejoramiento de puertos, aeropuertos y pasos de frontera."/>
        <s v="1.13 Promoción y facilitación del comercio internacional que incluye sistemas de control de calidad."/>
        <s v="1.14 Implementación del proceso de unión aduanera Honduras-Guatemala."/>
        <s v="1.15 Integración de las Agencias de Promoción de Inversión y Comercio."/>
        <s v="1.16 Fortalecimiento del control aduanero."/>
        <s v="2.1 Fortalecimiento de los Sistemas de Protección Social en territorios priorizados."/>
        <s v="2.2 Ampliación de la cobertura de educación secundaria."/>
        <s v="2.3 Mejoramiento de la formación para el trabajo de jóvenes. "/>
        <s v="2.4 Mejoramiento de la formación y carrera docente."/>
        <s v="2.5 Ampliación de programas costo-efectivos en atención primaria en salud."/>
        <s v="2.6 Mejoramiento de la infraestructura de salud. "/>
        <s v="2.7 Promoción de la salud sexual y reproductiva."/>
        <s v="2.8 Ampliación de programas de desarrollo infantil temprano y pre-escolar."/>
        <s v="2.9 Construcción y mejoramiento de viviendas."/>
        <s v="2.10 Mejoramiento del entorno habitacional especialmente enfocado en el acceso a agua potable, tratamiento de aguas residuales y electricidad, y el ordenamiento territorial."/>
        <s v="2.11 Fortalecimiento de programas de acogida a migrantes retornados."/>
        <s v="3.1 Fortalecimiento de  la seguridad comunitaria y espacios seguros."/>
        <s v="3.2 Mejoramiento de la gestión policial."/>
        <s v="3.3 Fortalecimiento de las instituciones de investigación del delito."/>
        <s v="3.4 Consolidación la lucha contra las maras y pandillas, el narcotráfico, la extorsión, la trata y el tráfico de personas."/>
        <s v="3.5 Reducción de la mora judicial. "/>
        <s v="3.6 Mejoramiento de infraestructura y gestión de centros penitenciarios y de detención de menores."/>
        <s v="3.7 Programas alternativos para la justicia de menores.  "/>
        <s v="3.8 Bloqueo de sistemas de comunicación."/>
        <s v="3.9 Mejoramiento del manejo de infractores y sentenciados."/>
        <s v="3.10 Fortalecimiento de  centros integrados de atención con énfasis en atención victimas de violencia contra la mujer, salud sexual y reproductiva y empoderamiento económico de las mujeres."/>
        <s v="4.1 Incremento de la eficiencia y eficacia en la recaudación de impuestos."/>
        <s v="4.2 Profesionalización de los recursos humanos."/>
        <s v="4.3 Simplificación de los sistemas tributarios."/>
        <s v="4.4 Acceso e intercambio de información tributaria, patrimonial  y financiera."/>
        <s v="4.5 Fortalecimiento de los gobiernos locales."/>
        <s v="4.6 Armonización de los marcos normativos tributarios, en particular el IVA y el impuesto a la renta."/>
        <s v="4.7 Desarrollo de herramientas de planeación, ejecución, seguimiento y control del gasto público."/>
        <s v="4.8 Profesionalización del servicio civil "/>
      </sharedItems>
    </cacheField>
    <cacheField name="INSTITUCIÓN" numFmtId="49">
      <sharedItems containsBlank="1"/>
    </cacheField>
    <cacheField name="UNIDAD PRESUPUESTARIA" numFmtId="49">
      <sharedItems containsNonDate="0" containsString="0" containsBlank="1"/>
    </cacheField>
    <cacheField name="LÍNEA DE TRABAJO" numFmtId="49">
      <sharedItems containsNonDate="0" containsString="0" containsBlank="1"/>
    </cacheField>
    <cacheField name="RUBRO" numFmtId="49">
      <sharedItems containsNonDate="0" containsString="0" containsBlank="1"/>
    </cacheField>
    <cacheField name="PROYECTOS" numFmtId="0">
      <sharedItems containsBlank="1" longText="1"/>
    </cacheField>
    <cacheField name="DESCRIPCIÓN GENERAL" numFmtId="0">
      <sharedItems containsBlank="1" longText="1"/>
    </cacheField>
    <cacheField name="TERRITORIO" numFmtId="49">
      <sharedItems containsBlank="1" longText="1"/>
    </cacheField>
    <cacheField name="BENEFICIARIOS" numFmtId="0">
      <sharedItems containsBlank="1" containsMixedTypes="1" containsNumber="1" containsInteger="1" minValue="1821" maxValue="557493" longText="1"/>
    </cacheField>
    <cacheField name="INDICADOR" numFmtId="49">
      <sharedItems containsBlank="1" longText="1"/>
    </cacheField>
    <cacheField name="LÍNEA BASE 2015" numFmtId="0">
      <sharedItems containsBlank="1" containsMixedTypes="1" containsNumber="1" minValue="0" maxValue="62197"/>
    </cacheField>
    <cacheField name="2015" numFmtId="0">
      <sharedItems containsBlank="1" containsMixedTypes="1" containsNumber="1" minValue="0" maxValue="451018"/>
    </cacheField>
    <cacheField name="2016" numFmtId="0">
      <sharedItems containsBlank="1" containsMixedTypes="1" containsNumber="1" minValue="0.1" maxValue="451018"/>
    </cacheField>
    <cacheField name="a 2019" numFmtId="0">
      <sharedItems containsBlank="1" containsMixedTypes="1" containsNumber="1" minValue="0" maxValue="451018"/>
    </cacheField>
    <cacheField name="INICIA EN 2016" numFmtId="0">
      <sharedItems containsBlank="1"/>
    </cacheField>
    <cacheField name="EJECUCIÓN 2016" numFmtId="0">
      <sharedItems containsBlank="1"/>
    </cacheField>
    <cacheField name="PRESUPUESTO 2016_x000d_MONTO TOTAL_x000d_(Millones US$)_x000d_A + B + C + D" numFmtId="0">
      <sharedItems containsString="0" containsBlank="1" containsNumber="1" minValue="0.01" maxValue="166"/>
    </cacheField>
    <cacheField name="FONDOS GOES_x000d_(Millones US$)_x000d_(A)" numFmtId="0">
      <sharedItems containsString="0" containsBlank="1" containsNumber="1" minValue="0.01" maxValue="166"/>
    </cacheField>
    <cacheField name="FONDOS PROPIOS _x000d_(Millones US$)_x000d_(B)" numFmtId="168">
      <sharedItems containsString="0" containsBlank="1" containsNumber="1" minValue="0.12" maxValue="27.8"/>
    </cacheField>
    <cacheField name="MONTO PRÉSTAMO_x000d_(Millones US$)_x000d_(C) " numFmtId="168">
      <sharedItems containsBlank="1"/>
    </cacheField>
    <cacheField name="ORGANISMO / INSTITUCIÓN PRÉSTAMO" numFmtId="168">
      <sharedItems containsString="0" containsBlank="1" containsNumber="1" minValue="0.16320000000000001" maxValue="13.046339999999999"/>
    </cacheField>
    <cacheField name="MONTO COOPERACIÓN NO REEMBOLSABLE  _x000d_(Millones US$)_x000d_(D)" numFmtId="168">
      <sharedItems containsBlank="1"/>
    </cacheField>
    <cacheField name="ORGANISMO / INSTITUCIÓN COOPERACIÓN" numFmtId="0">
      <sharedItems containsString="0" containsBlank="1" containsNumber="1" minValue="0" maxValue="59.4"/>
    </cacheField>
    <cacheField name="TOTAL PROYECTO" numFmtId="168">
      <sharedItems containsString="0" containsBlank="1" containsNumber="1" minValue="0.46592503000000002" maxValue="800"/>
    </cacheField>
    <cacheField name="INVERSIÓN TOTAL          (Millones US$)" numFmtId="0">
      <sharedItems containsString="0" containsBlank="1" containsNumber="1" minValue="0" maxValue="900"/>
    </cacheField>
    <cacheField name="RECURSOS NACIONALES        (Millones US$)" numFmtId="0">
      <sharedItems containsString="0" containsBlank="1" containsNumber="1" minValue="0" maxValue="900"/>
    </cacheField>
    <cacheField name="APOYO SOCIOS PAPTN       (Millones US$)" numFmtId="0">
      <sharedItems containsString="0" containsBlank="1" containsNumber="1" minValue="0" maxValue="300"/>
    </cacheField>
    <cacheField name="COMENTARIO / OBSERVACIÓN" numFmtId="0">
      <sharedItems containsBlank="1" longText="1"/>
    </cacheField>
    <cacheField name="INSTITUCIÓN QUE ENVÍA" numFmtId="49">
      <sharedItems containsBlank="1" count="34">
        <m/>
        <s v="MINEC"/>
        <s v="FISDL"/>
        <s v="CONAMYPE"/>
        <s v="MARN"/>
        <s v="SIS"/>
        <s v="INJUVE"/>
        <s v="STPP"/>
        <s v="MAG"/>
        <s v="PRODUCTIVO / MJSP"/>
        <s v="CNE"/>
        <s v="CEL"/>
        <s v="SECTOR PRIVADO"/>
        <s v="MOP"/>
        <s v="CEPA"/>
        <s v="MINED"/>
        <s v="ISNA"/>
        <s v="SEGURIDAD / INJUVE"/>
        <s v="MJSP"/>
        <s v="SEGURIDAD / STPP"/>
        <s v="MINSAL"/>
        <s v="C.HUMANO / MJSP"/>
        <s v="MRREE"/>
        <s v="SEGURIDAD / MH"/>
        <s v="SEGURIDAD / MINSAL"/>
        <s v="SEGURIDAD / FISDL"/>
        <s v="SEGURIDAD / CNSCC"/>
        <s v="SEGURIDAD / FGR"/>
        <s v="SEGURIDAD / MJSP"/>
        <s v="SEGURIDAD / ISNA"/>
        <s v="SEGURIDAD / ISDEMU"/>
        <s v="SEGURIDAD / SIS"/>
        <s v="MH"/>
        <s v="SPCTA"/>
      </sharedItems>
    </cacheField>
    <cacheField name="INSTITUCIÓN LÍDER" numFmtId="0">
      <sharedItems containsBlank="1"/>
    </cacheField>
    <cacheField name="CORRELAT." numFmtId="3">
      <sharedItems containsSemiMixedTypes="0" containsString="0" containsNumber="1" containsInteger="1" minValue="1" maxValue="303"/>
    </cacheField>
    <cacheField name="OBSERVACIONES STPP"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Nadezhda Peña" refreshedDate="42276.759161458336" createdVersion="4" refreshedVersion="4" minRefreshableVersion="3" recordCount="109">
  <cacheSource type="worksheet">
    <worksheetSource name="Tabla1" r:id="rId2"/>
  </cacheSource>
  <cacheFields count="37">
    <cacheField name="LÍNEAS ESTRATÉGICAS              (1 DÍGITO)" numFmtId="0">
      <sharedItems count="4">
        <s v="1. Dinamizar el sector productivo"/>
        <s v="2. Desarrollar el capital humano"/>
        <s v="3. Mejorar la seguridad ciudadana y acceso a la justicia"/>
        <s v="4. Fortalecer las instituciones"/>
      </sharedItems>
    </cacheField>
    <cacheField name="LÍNEA DE ACCIÓN                                   (2 DÍGITOS)" numFmtId="0">
      <sharedItems count="12">
        <s v="1.i. Promoción de sectores estratégicos y atracción de inversión."/>
        <s v="1.ii. Fomentar la integración eléctrica regional."/>
        <s v="1.iii. Mejorar y expandir infraestructura y corredores logísticos."/>
        <s v="2.i. Expandir los sistemas de protección social y transferencias condicionadas."/>
        <s v="2.ii. Aumentar la cobertura y mejorar la calidad de la educación secundaria, tercer ciclo y vocacional."/>
        <s v="2.iii. Mejorar la salud, nutrición y desarrollo infantil temprano."/>
        <s v="2.iv. Construir y mejorar la vivienda y el entorno habitacional."/>
        <s v="2.v. Favorecer la reinserción social y económica de los migrantes retornados."/>
        <s v="3.i. Ampliar programas de seguridad comunitaria y prevención social del delito."/>
        <s v="3.ii. Fortalecer los operadores de justicia y reducir la mora judicial."/>
        <s v="3.iii. Mejorar los centros penitenciarios y centros de atención a menores."/>
        <s v="4.i. Fortalecimiento de la administración tributaria."/>
      </sharedItems>
    </cacheField>
    <cacheField name="# ACC." numFmtId="49">
      <sharedItems/>
    </cacheField>
    <cacheField name="LÍNEAS DE ACCIÓN                                 (3 DÍGITOS)" numFmtId="0">
      <sharedItems/>
    </cacheField>
    <cacheField name="INSTITUCIÓN" numFmtId="49">
      <sharedItems containsBlank="1" count="21">
        <m/>
        <s v="FISDL"/>
        <s v="MINEC"/>
        <s v="MAG"/>
        <s v="FOMILENIO II"/>
        <s v="CEL"/>
        <s v="FOVIAL"/>
        <s v="MOP"/>
        <s v="CEPA"/>
        <s v="MINED"/>
        <s v="MINSAL"/>
        <s v="MOP - VMVDU"/>
        <s v="ANDA"/>
        <s v="MJSP - PREPAZ"/>
        <s v="MJSP - PNC"/>
        <s v="MJSP - DGCP - PREPAZ"/>
        <s v="FGR"/>
        <s v="CSJ"/>
        <s v="MJSP - DGCP"/>
        <s v="MH"/>
        <s v="MH - FODES"/>
      </sharedItems>
    </cacheField>
    <cacheField name="UNIDAD PRESUPUESTARIA" numFmtId="49">
      <sharedItems containsBlank="1"/>
    </cacheField>
    <cacheField name="LÍNEA DE TRABAJO" numFmtId="49">
      <sharedItems containsBlank="1" longText="1"/>
    </cacheField>
    <cacheField name="RUBRO" numFmtId="49">
      <sharedItems containsBlank="1"/>
    </cacheField>
    <cacheField name="CÓDIGO DE INVERSIÓN" numFmtId="0">
      <sharedItems containsBlank="1" containsMixedTypes="1" containsNumber="1" containsInteger="1" minValue="373" maxValue="5098"/>
    </cacheField>
    <cacheField name="PROYECTOS" numFmtId="0">
      <sharedItems containsBlank="1"/>
    </cacheField>
    <cacheField name="DESCRIPCIÓN GENERAL" numFmtId="0">
      <sharedItems containsBlank="1" longText="1"/>
    </cacheField>
    <cacheField name="TERRITORIO" numFmtId="0">
      <sharedItems containsBlank="1" longText="1"/>
    </cacheField>
    <cacheField name="BENEFICIARIOS" numFmtId="0">
      <sharedItems containsBlank="1" containsMixedTypes="1" containsNumber="1" containsInteger="1" minValue="25643" maxValue="1093579" longText="1"/>
    </cacheField>
    <cacheField name="INDICADOR" numFmtId="0">
      <sharedItems containsBlank="1"/>
    </cacheField>
    <cacheField name="LÍNEA BASE 2015" numFmtId="0">
      <sharedItems containsBlank="1" containsMixedTypes="1" containsNumber="1" minValue="0" maxValue="451018"/>
    </cacheField>
    <cacheField name="2015" numFmtId="0">
      <sharedItems containsBlank="1" containsMixedTypes="1" containsNumber="1" minValue="0" maxValue="451018"/>
    </cacheField>
    <cacheField name="2016" numFmtId="0">
      <sharedItems containsBlank="1" containsMixedTypes="1" containsNumber="1" minValue="0.89113242102490176" maxValue="500000"/>
    </cacheField>
    <cacheField name="a 2019" numFmtId="0">
      <sharedItems containsBlank="1" containsMixedTypes="1" containsNumber="1" containsInteger="1" minValue="0" maxValue="451018"/>
    </cacheField>
    <cacheField name="INICIA EN 2016" numFmtId="0">
      <sharedItems containsBlank="1"/>
    </cacheField>
    <cacheField name="EJECUCIÓN 2016" numFmtId="0">
      <sharedItems containsBlank="1"/>
    </cacheField>
    <cacheField name="PRESUPUESTO 2016_x000d_MONTO TOTAL_x000d_(Millones US$)_x000d_A + B + C + D" numFmtId="0">
      <sharedItems containsString="0" containsBlank="1" containsNumber="1" minValue="0" maxValue="261.38"/>
    </cacheField>
    <cacheField name="FONDOS GOES + FONDOS PROPIOS" numFmtId="0">
      <sharedItems containsString="0" containsBlank="1" containsNumber="1" minValue="0" maxValue="261.38"/>
    </cacheField>
    <cacheField name="FONDOS GOES_x000d_(Millones US$)_x000d_(A)" numFmtId="0">
      <sharedItems containsString="0" containsBlank="1" containsNumber="1" minValue="1.155E-2" maxValue="261.38"/>
    </cacheField>
    <cacheField name="FONDOS PROPIOS _x000d_(Millones US$)_x000d_(B)" numFmtId="0">
      <sharedItems containsString="0" containsBlank="1" containsNumber="1" minValue="0.52822999999999998" maxValue="70"/>
    </cacheField>
    <cacheField name="MONTO PRÉSTAMO_x000d_(Millones US$)_x000d_(C) " numFmtId="0">
      <sharedItems containsString="0" containsBlank="1" containsNumber="1" minValue="0" maxValue="63.987265000000001"/>
    </cacheField>
    <cacheField name="ORGANISMO / INSTITUCIÓN PRÉSTAMO" numFmtId="0">
      <sharedItems containsBlank="1"/>
    </cacheField>
    <cacheField name="MONTO COOPERACIÓN NO REEMBOLSABLE  _x000d_(Millones US$)_x000d_(D)" numFmtId="0">
      <sharedItems containsString="0" containsBlank="1" containsNumber="1" minValue="0.17499999999999999" maxValue="9.270624999999999"/>
    </cacheField>
    <cacheField name="ORGANISMO / INSTITUCIÓN COOPERACIÓN" numFmtId="0">
      <sharedItems containsBlank="1"/>
    </cacheField>
    <cacheField name="TOTAL PROYECTO" numFmtId="0">
      <sharedItems containsString="0" containsBlank="1" containsNumber="1" minValue="0.46592503000000002" maxValue="0.46592503000000002"/>
    </cacheField>
    <cacheField name="INVERSIÓN TOTAL          (Millones US$)" numFmtId="0">
      <sharedItems containsString="0" containsBlank="1" containsNumber="1" minValue="40" maxValue="150"/>
    </cacheField>
    <cacheField name="RECURSOS NACIONALES        (Millones US$)" numFmtId="0">
      <sharedItems containsString="0" containsBlank="1" containsNumber="1" minValue="20" maxValue="100"/>
    </cacheField>
    <cacheField name="APOYO SOCIOS PAPTN       (Millones US$)" numFmtId="0">
      <sharedItems containsString="0" containsBlank="1" containsNumber="1" containsInteger="1" minValue="20" maxValue="70"/>
    </cacheField>
    <cacheField name="COMENTARIO / OBSERVACIÓN" numFmtId="0">
      <sharedItems containsBlank="1" longText="1"/>
    </cacheField>
    <cacheField name="INSTITUCIÓN QUE ENVÍA" numFmtId="0">
      <sharedItems containsBlank="1" count="16">
        <m/>
        <s v="FISDL"/>
        <s v="MINEC"/>
        <s v="MAG"/>
        <s v="FOMILENIO II"/>
        <s v="CEL"/>
        <s v="FOVIAL"/>
        <s v="MOP"/>
        <s v="CEPA"/>
        <s v="MINED"/>
        <s v="MINSAL"/>
        <s v="ANDA"/>
        <s v="MJSP"/>
        <s v="FGR"/>
        <s v="CSJ"/>
        <s v="MH"/>
      </sharedItems>
    </cacheField>
    <cacheField name="INSTITUCIÓN LÍDER" numFmtId="0">
      <sharedItems containsNonDate="0" containsString="0" containsBlank="1"/>
    </cacheField>
    <cacheField name="CORRELAT." numFmtId="3">
      <sharedItems containsSemiMixedTypes="0" containsString="0" containsNumber="1" containsInteger="1" minValue="1" maxValue="109"/>
    </cacheField>
    <cacheField name="comprobación" numFmtId="165">
      <sharedItems containsString="0" containsBlank="1" containsNumber="1" minValue="-1.1102230246251565E-16" maxValue="2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Nadezhda Peña" refreshedDate="42380.653402662036" createdVersion="4" refreshedVersion="4" minRefreshableVersion="3" recordCount="111">
  <cacheSource type="worksheet">
    <worksheetSource name="Tabla1" r:id="rId2"/>
  </cacheSource>
  <cacheFields count="43">
    <cacheField name="LÍNEAS ESTRATÉGICAS              (1 DÍGITO)" numFmtId="0">
      <sharedItems count="4">
        <s v="1. Dinamizar el sector productivo"/>
        <s v="2. Desarrollar el capital humano"/>
        <s v="3. Mejorar la seguridad ciudadana y acceso a la justicia"/>
        <s v="4. Fortalecer las instituciones"/>
      </sharedItems>
    </cacheField>
    <cacheField name="LÍNEA DE ACCIÓN                                   (2 DÍGITOS)" numFmtId="0">
      <sharedItems/>
    </cacheField>
    <cacheField name="# ACC." numFmtId="49">
      <sharedItems/>
    </cacheField>
    <cacheField name="LÍNEAS DE ACCIÓN                                 (3 DÍGITOS)" numFmtId="0">
      <sharedItems/>
    </cacheField>
    <cacheField name="INSTITUCIÓN" numFmtId="49">
      <sharedItems containsBlank="1"/>
    </cacheField>
    <cacheField name="UNIDAD PRESUPUESTARIA" numFmtId="49">
      <sharedItems containsBlank="1"/>
    </cacheField>
    <cacheField name="LÍNEA DE TRABAJO" numFmtId="49">
      <sharedItems containsBlank="1" longText="1"/>
    </cacheField>
    <cacheField name="RUBRO" numFmtId="49">
      <sharedItems containsBlank="1"/>
    </cacheField>
    <cacheField name="CÓDIGO DE INVERSIÓN" numFmtId="0">
      <sharedItems containsBlank="1" containsMixedTypes="1" containsNumber="1" containsInteger="1" minValue="373" maxValue="5098" count="46">
        <m/>
        <s v="6454"/>
        <s v="6025(Préstamo BID)"/>
        <s v="5385"/>
        <s v="4377 ---&gt; 5540"/>
        <s v="5562"/>
        <s v="6474"/>
        <n v="373"/>
        <s v="5570"/>
        <s v="5821"/>
        <s v="3119"/>
        <s v="4400"/>
        <s v="5801"/>
        <s v="6178"/>
        <s v="622"/>
        <s v="5043"/>
        <s v="5468"/>
        <s v="5492"/>
        <s v="6061"/>
        <s v="5980"/>
        <n v="5098"/>
        <s v="4997_x000d_5630"/>
        <s v="5629"/>
        <s v="5128"/>
        <s v="5131"/>
        <s v="5209"/>
        <s v="6015"/>
        <s v="6132"/>
        <s v="6135"/>
        <s v="5100"/>
        <s v="5132"/>
        <s v="_x000d_5398"/>
        <s v="4997 "/>
        <s v="4997"/>
        <s v="5354"/>
        <s v="6452"/>
        <s v="5673"/>
        <s v="4766"/>
        <s v="5670"/>
        <s v="6093"/>
        <s v="6092"/>
        <s v="3243_x000d_4344_x000d_6456"/>
        <s v="5748_x000d_2896_x000d_5897_x000d_5899_x000d_5903_x000d_5904"/>
        <s v="6451"/>
        <s v="4204"/>
        <s v="4958"/>
      </sharedItems>
    </cacheField>
    <cacheField name="PROYECTOS" numFmtId="0">
      <sharedItems containsBlank="1"/>
    </cacheField>
    <cacheField name="DESCRIPCIÓN GENERAL" numFmtId="0">
      <sharedItems containsBlank="1" longText="1"/>
    </cacheField>
    <cacheField name="TERRITORIO" numFmtId="0">
      <sharedItems containsBlank="1" longText="1"/>
    </cacheField>
    <cacheField name="BENEFICIARIOS" numFmtId="0">
      <sharedItems containsBlank="1" containsMixedTypes="1" containsNumber="1" containsInteger="1" minValue="25643" maxValue="1093579" longText="1"/>
    </cacheField>
    <cacheField name="INDICADOR" numFmtId="0">
      <sharedItems containsBlank="1"/>
    </cacheField>
    <cacheField name="LÍNEA BASE 2015" numFmtId="0">
      <sharedItems containsBlank="1" containsMixedTypes="1" containsNumber="1" minValue="0" maxValue="451018"/>
    </cacheField>
    <cacheField name="2015" numFmtId="0">
      <sharedItems containsBlank="1" containsMixedTypes="1" containsNumber="1" minValue="0" maxValue="451018"/>
    </cacheField>
    <cacheField name="2016" numFmtId="0">
      <sharedItems containsBlank="1" containsMixedTypes="1" containsNumber="1" minValue="0.89113242102490176" maxValue="500000"/>
    </cacheField>
    <cacheField name="a 2019" numFmtId="0">
      <sharedItems containsBlank="1" containsMixedTypes="1" containsNumber="1" containsInteger="1" minValue="0" maxValue="451018"/>
    </cacheField>
    <cacheField name="INICIA EN 2016" numFmtId="0">
      <sharedItems containsBlank="1"/>
    </cacheField>
    <cacheField name="EJECUCIÓN 2016" numFmtId="0">
      <sharedItems containsBlank="1"/>
    </cacheField>
    <cacheField name="PRESUPUESTO 2016 _x000d_(APROBADO)" numFmtId="0">
      <sharedItems containsBlank="1" containsMixedTypes="1" containsNumber="1" minValue="2E-3" maxValue="261.37650500000001"/>
    </cacheField>
    <cacheField name="FONDOS PROPIOS / _x000d_FONDO GENERAL" numFmtId="0">
      <sharedItems containsString="0" containsBlank="1" containsNumber="1" minValue="2E-3" maxValue="261.37650500000001"/>
    </cacheField>
    <cacheField name="PRÉSTAMOS EXTERNOS_x000d_(MONTO)" numFmtId="0">
      <sharedItems containsString="0" containsBlank="1" containsNumber="1" minValue="5.6000000000000001E-2" maxValue="89.4"/>
    </cacheField>
    <cacheField name="PRÉSTAMOS EXTERNOS_x000d_(ORGANISMO / INSTITUC.)" numFmtId="0">
      <sharedItems containsBlank="1"/>
    </cacheField>
    <cacheField name="DONACIONES_x000d_(MONTO)" numFmtId="0">
      <sharedItems containsString="0" containsBlank="1" containsNumber="1" minValue="2.0089899999999998" maxValue="3.3089599999999999"/>
    </cacheField>
    <cacheField name="DONACIONES_x000d_(ORGANISMO / INSTITUC.)" numFmtId="0">
      <sharedItems containsBlank="1"/>
    </cacheField>
    <cacheField name="PRESUPUESTO 2016_x000d_MONTO TOTAL_x000d_(Millones US$)_x000d_A + B + C + D" numFmtId="0">
      <sharedItems containsString="0" containsBlank="1" containsNumber="1" minValue="0" maxValue="261.37650500000001"/>
    </cacheField>
    <cacheField name="FONDOS GOES + FONDOS PROPIOS" numFmtId="0">
      <sharedItems containsString="0" containsBlank="1" containsNumber="1" minValue="0" maxValue="261.37650500000001"/>
    </cacheField>
    <cacheField name="FONDOS GOES_x000d_(Millones US$)_x000d_(A)" numFmtId="0">
      <sharedItems containsString="0" containsBlank="1" containsNumber="1" minValue="1.155E-2" maxValue="261.37650500000001"/>
    </cacheField>
    <cacheField name="FONDOS PROPIOS _x000d_(Millones US$)_x000d_(B)" numFmtId="0">
      <sharedItems containsString="0" containsBlank="1" containsNumber="1" minValue="0.52822999999999998" maxValue="70"/>
    </cacheField>
    <cacheField name="MONTO PRÉSTAMO_x000d_(Millones US$)_x000d_(C) " numFmtId="0">
      <sharedItems containsString="0" containsBlank="1" containsNumber="1" minValue="0" maxValue="63.987265000000001"/>
    </cacheField>
    <cacheField name="ORGANISMO / INSTITUCIÓN PRÉSTAMO" numFmtId="0">
      <sharedItems containsBlank="1"/>
    </cacheField>
    <cacheField name="MONTO COOPERACIÓN NO REEMBOLSABLE  _x000d_(Millones US$)_x000d_(D)" numFmtId="0">
      <sharedItems containsString="0" containsBlank="1" containsNumber="1" minValue="0.17499999999999999" maxValue="9.270624999999999"/>
    </cacheField>
    <cacheField name="ORGANISMO / INSTITUCIÓN COOPERACIÓN" numFmtId="0">
      <sharedItems containsBlank="1"/>
    </cacheField>
    <cacheField name="TOTAL PROYECTO" numFmtId="0">
      <sharedItems containsString="0" containsBlank="1" containsNumber="1" minValue="0.46592503000000002" maxValue="0.46592503000000002"/>
    </cacheField>
    <cacheField name="INVERSIÓN TOTAL          (Millones US$)" numFmtId="0">
      <sharedItems containsString="0" containsBlank="1" containsNumber="1" minValue="40" maxValue="150"/>
    </cacheField>
    <cacheField name="RECURSOS NACIONALES        (Millones US$)" numFmtId="0">
      <sharedItems containsString="0" containsBlank="1" containsNumber="1" minValue="20" maxValue="100"/>
    </cacheField>
    <cacheField name="APOYO SOCIOS PAPTN       (Millones US$)" numFmtId="0">
      <sharedItems containsString="0" containsBlank="1" containsNumber="1" containsInteger="1" minValue="20" maxValue="70"/>
    </cacheField>
    <cacheField name="COMENTARIO / OBSERVACIÓN" numFmtId="0">
      <sharedItems containsBlank="1" longText="1"/>
    </cacheField>
    <cacheField name="INSTITUCIÓN QUE ENVÍA" numFmtId="0">
      <sharedItems containsBlank="1" count="17">
        <m/>
        <s v="FISDL"/>
        <s v="MINEC"/>
        <s v="MAG"/>
        <s v="FOMILENIO II"/>
        <s v="CEL"/>
        <s v="FOVIAL"/>
        <s v="MOPTVDU"/>
        <s v="CEPA"/>
        <s v="MH - FODES"/>
        <s v="MINED"/>
        <s v="MINSAL"/>
        <s v="ANDA"/>
        <s v="MJSP"/>
        <s v="FGR"/>
        <s v="CSJ"/>
        <s v="MH"/>
      </sharedItems>
    </cacheField>
    <cacheField name="INSTITUCIÓN LÍDER" numFmtId="0">
      <sharedItems containsNonDate="0" containsString="0" containsBlank="1"/>
    </cacheField>
    <cacheField name="CORRELAT." numFmtId="3">
      <sharedItems containsSemiMixedTypes="0" containsString="0" containsNumber="1" containsInteger="1" minValue="1" maxValue="109"/>
    </cacheField>
    <cacheField name="comprobación" numFmtId="165">
      <sharedItems containsString="0" containsBlank="1" containsNumber="1" minValue="-1.1102230246251565E-16" maxValue="2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3">
  <r>
    <x v="0"/>
    <x v="0"/>
    <s v="1.1"/>
    <x v="0"/>
    <m/>
    <m/>
    <m/>
    <m/>
    <m/>
    <m/>
    <m/>
    <m/>
    <m/>
    <m/>
    <m/>
    <m/>
    <m/>
    <m/>
    <m/>
    <m/>
    <m/>
    <m/>
    <m/>
    <m/>
    <m/>
    <m/>
    <m/>
    <m/>
    <m/>
    <m/>
    <m/>
    <x v="0"/>
    <m/>
    <n v="1"/>
    <m/>
  </r>
  <r>
    <x v="0"/>
    <x v="0"/>
    <s v="1.1"/>
    <x v="0"/>
    <s v="MINEC"/>
    <m/>
    <m/>
    <m/>
    <s v="FOMENTO, DIVERSIFICACIÓN Y TRANSFORMACIÓN PRODUCTIVA PARA SECTORES ESTRATÉGICOS"/>
    <s v="Desarrollo de Infraestructura productiva para la competitivdad, que comprende la construcción y equipamiento de: Centro de Desarrollo y Embalaje de Productos, Centro de Innovación para las ramas de Textil y Confección, Plástico y Química Farmaceútica, Laboratorio Nacional de Calidad para la Exportacion de la Industria de Alimentos y Bebidas y Centro de Innovacion y Desarrollo Tecnológico en Diseño. "/>
    <s v="Los centros y laboratorios se ubicarán en la zona central del país, sin embargo, los servicios se prestarán a las empresas que lo demanden a nivel nacional."/>
    <s v="Empresas o Unidades económicas"/>
    <s v="Empresas atendidas"/>
    <m/>
    <n v="1000"/>
    <n v="1000"/>
    <n v="5000"/>
    <s v="a"/>
    <s v="a"/>
    <n v="6.65"/>
    <n v="0.9"/>
    <m/>
    <m/>
    <m/>
    <m/>
    <n v="5.75"/>
    <m/>
    <n v="30.3"/>
    <n v="0.9"/>
    <n v="29.4"/>
    <s v="(la Inversión total  incluye el 10% de costos administrativos para la ejecución del proyecto) Se extrajeron los fondos requeridos del plan que están en matriz inicial"/>
    <x v="1"/>
    <s v="MINEC"/>
    <n v="2"/>
    <m/>
  </r>
  <r>
    <x v="0"/>
    <x v="0"/>
    <s v="1.1"/>
    <x v="0"/>
    <s v="MINEC / CONAMYPE"/>
    <m/>
    <m/>
    <m/>
    <s v="UN PUEBLO UN PRODUCTO"/>
    <s v="Desarrollo de productos y servicios identitarios basados en los recursos locales, mediante el cual se promueve el desarrollo de industrias y encadenamientos locales. mediante este programa se proporciona capacitación, asistencia técnica, fondos para inversión productiva y servicios de comercialización a grupos asociativos, cooperativas, micro y pequeñas empresas de manufactura, agroindustria y turismo con potencial de crecimiento para la puesta en valor de los recursos locales mediante la creación de productos y servicios con identidad local y con potencial de comercialización en mercados nacionales y de exportación."/>
    <s v="44 municipios seleccionados"/>
    <s v="Micro y pequeña empresas, grupos asociativos productivos, cooperativas de producción y agroindustria"/>
    <s v="Cadenas productivas constituidas"/>
    <n v="28"/>
    <m/>
    <n v="15"/>
    <n v="44"/>
    <s v="a"/>
    <m/>
    <m/>
    <m/>
    <m/>
    <m/>
    <m/>
    <m/>
    <m/>
    <m/>
    <n v="6.2"/>
    <n v="0"/>
    <n v="6.2"/>
    <s v="Actualmente 28 municipios forman parte del movimento Un pueblo un producto promovido por CONAMYPE."/>
    <x v="1"/>
    <s v="MINEC"/>
    <n v="3"/>
    <m/>
  </r>
  <r>
    <x v="0"/>
    <x v="0"/>
    <s v="1.1"/>
    <x v="0"/>
    <s v="MINEC"/>
    <m/>
    <m/>
    <m/>
    <s v="FONDO NACIONAL PARA EL EMPRENDIMIENTO INNOVADOR Y TECNOLOGICO (FONDOEMPRIT)"/>
    <s v="Apoyo al desarrollo de empresas de servicio de alto valor agregado, específicamente en la industria creativa de animación digital, video juegos y audiovisuales,  mediante la implementación de un programa de fomento al emprendimiento innovador y tecnológico: &quot;Proyecto PIXELS&quot;"/>
    <s v="Cobertura nacional con énfasis en los 44 municipios seleccionados"/>
    <s v="Jovenes entre los 17 y 30 años de edad con habilidades natas para desembolverese en las industrias creativas"/>
    <s v="Número de emprendedores apoyados"/>
    <m/>
    <m/>
    <n v="1100"/>
    <n v="3298"/>
    <s v="a"/>
    <s v="a"/>
    <n v="19.32"/>
    <n v="8.57"/>
    <m/>
    <m/>
    <m/>
    <m/>
    <n v="10.75"/>
    <n v="74.48"/>
    <n v="74.47999999999999"/>
    <n v="8.57"/>
    <n v="65.91"/>
    <s v="Costo efectivo del proyecto US$ 1900 x emprededor apoyado. (La Inversión total  incluye el 10% de costos administrativos para la ejecución del proyecto). Incluye INNOVAEMPRENDE, INNOVATICS, Premio PIXELS, Mi primer negocio y Novus, según detalle remitido por viceministra Merlin Barrera"/>
    <x v="1"/>
    <s v="MINEC"/>
    <n v="4"/>
    <m/>
  </r>
  <r>
    <x v="0"/>
    <x v="0"/>
    <s v="1.1"/>
    <x v="0"/>
    <s v="FISDL"/>
    <m/>
    <m/>
    <m/>
    <s v="Generación de emprendimientos productivos a población en situación de pobreza y vulnerabilidad social"/>
    <s v="Objetivo: Fortalecer las capacidades humanas y técnicas de los/las emprendedores/as, con el acompañamiento y asistencia técnica, a través de una metodología de intervención que inicia con la formación de la persona, formación empresarial básica y la dotación de equipo productivo con el fin último de mejorar sus ingresos."/>
    <s v="44 municipios"/>
    <s v="Jóvenes y mujeres jefas de hogar en situación de pobreza y vulnerabilidad social"/>
    <s v="Número de personas atendidas con emprendimientos"/>
    <n v="512"/>
    <n v="1000"/>
    <n v="2100"/>
    <n v="6300"/>
    <m/>
    <m/>
    <m/>
    <m/>
    <m/>
    <m/>
    <m/>
    <m/>
    <m/>
    <m/>
    <n v="8.5"/>
    <n v="0"/>
    <n v="8.5"/>
    <s v="El dato de linea base al 2019 es acumulado a partir del 2016."/>
    <x v="2"/>
    <s v="FISDL"/>
    <n v="5"/>
    <m/>
  </r>
  <r>
    <x v="0"/>
    <x v="0"/>
    <s v="1.1"/>
    <x v="0"/>
    <s v="CONAMYPE"/>
    <m/>
    <m/>
    <m/>
    <s v="Generación de emprendimientos y microempresas juveniles para el desarrollo económico y local."/>
    <s v=" Contribuir a la creación de un contingente de nuevas empresas formales capaces de competir y transformar económicamente los territorios."/>
    <s v="Santa Ana, Sonsonate, La Libertad, Chalatenango, San Salvador, La Paz, Cuscatlán, Usulután, San Miguel,  Morazán y la Unión, "/>
    <s v="Personas Emprendedoras, especialmente jóvenes y mujeres. Procesos de emprendimiento por necesidad y por oportunidad se priorizará la atención  considerando los siguientes criterios:  Emprendimiento que se relacionen con los sectores estratégicos definidos , Emprendimientos conectados con procesos claves en los territorios,  Que tengan potencial de crecimiento (que generén ingresos y empleo)_x000d_"/>
    <s v="Número de emprendimientos"/>
    <s v="3000, personas atendidas"/>
    <s v="3000  personas emprendedoras atendidas"/>
    <s v="8000 personas emprendedoras"/>
    <s v="40,000 personas emprendedoras atendidas"/>
    <s v="a"/>
    <m/>
    <m/>
    <m/>
    <m/>
    <m/>
    <m/>
    <m/>
    <m/>
    <m/>
    <n v="1.1000000000000001"/>
    <n v="0.1"/>
    <n v="1"/>
    <s v="El dato financiero corresponde a un año, actualmente de fondos GOES unicamente se tienen asignados $100 mil dólares, y la meta planteada se lograría si se tienen los recursos requeridos."/>
    <x v="3"/>
    <s v="CONAMYPE"/>
    <n v="6"/>
    <m/>
  </r>
  <r>
    <x v="0"/>
    <x v="0"/>
    <s v="1.1"/>
    <x v="0"/>
    <s v="MINEC / CONAMYPE / CNR"/>
    <m/>
    <m/>
    <m/>
    <s v="Implementación de la Política Nacional de Propiedad Intelectual enfocada en el desarrollo de indicaciones geográficas."/>
    <s v="Fomento de Denominaciones de origen e indicaciones geográficas regionales (marcas regionales) como valor agregado a los productos orientándolos a la internacionalización."/>
    <s v="Alcance nacional"/>
    <s v="Sectores identificados para ser sujetos del proceso de identificación, desarrollo, registro y posicionamiento de signos distintivos"/>
    <m/>
    <m/>
    <m/>
    <m/>
    <m/>
    <m/>
    <m/>
    <m/>
    <m/>
    <m/>
    <m/>
    <m/>
    <m/>
    <m/>
    <m/>
    <n v="3"/>
    <n v="0"/>
    <n v="3"/>
    <m/>
    <x v="1"/>
    <s v="MINEC"/>
    <n v="7"/>
    <m/>
  </r>
  <r>
    <x v="0"/>
    <x v="0"/>
    <s v="1.1"/>
    <x v="0"/>
    <s v="MINEC"/>
    <m/>
    <m/>
    <m/>
    <s v="Sistema Nacional de Defensa Comercial y Programa de Identificación y atención del impacto derivado de las medidas de facilitación de comercio."/>
    <s v="Implementación del sistema de defensa comercial como foro de consulta entre el sector público y privado, en el cual se analizarán y promoverán acciones encaminadas a garantizar la defensa comercial de los sectores productivos nacionales y garantizar medidas para la eliminación de barreras al comercio."/>
    <s v="Alcance nacional"/>
    <s v="Todos los operados de comercio exterior"/>
    <m/>
    <m/>
    <m/>
    <m/>
    <m/>
    <m/>
    <m/>
    <m/>
    <m/>
    <m/>
    <m/>
    <m/>
    <m/>
    <m/>
    <m/>
    <n v="1.2"/>
    <n v="0"/>
    <n v="1.2"/>
    <m/>
    <x v="1"/>
    <s v="MINEC"/>
    <n v="8"/>
    <m/>
  </r>
  <r>
    <x v="0"/>
    <x v="0"/>
    <s v="1.1"/>
    <x v="0"/>
    <s v="MARN"/>
    <m/>
    <m/>
    <m/>
    <s v="Elaborar e implementar Directrices de zonificación ambiental (ZAUS) y lineamientos de actuación a diferentes escalas."/>
    <s v="Contar con ZAUS para la zona metropolitana de SS, Franja Costero-Marina, Nor oriente de Chalatenango, Volcán de San Miguel y Municipio de Metapán."/>
    <s v="Contar con ZAUS para la zona metropolitana de SS, Franja Costero-Marina, Nor oriente de Chalatenango, Volcán de San Miguel y Municipio de Metapán para ser aplicadas en el cambio de uso de suelo, garantizando la sustentabilidad de las inversiones."/>
    <s v="Contar con ZAUS para la zona metropolitana de SS, Franja Costero-Marina, Nor oriente de Chalatenango, Volcán de San Miguel y Municipio de Metapán para ser aplicadas en el cambio de uso de suelo, garantizando la sustentabilidad de las inversiones."/>
    <s v="ZAUS implementadas."/>
    <n v="0"/>
    <n v="1"/>
    <n v="3"/>
    <n v="3"/>
    <s v="a"/>
    <m/>
    <m/>
    <m/>
    <m/>
    <m/>
    <m/>
    <m/>
    <m/>
    <m/>
    <n v="3"/>
    <n v="2"/>
    <n v="1"/>
    <s v="La proyección de desarrollo deberá estar regida por directrices de zonificación para un uso adecuado del suelo. Financiamiento GOES y BID."/>
    <x v="4"/>
    <s v="MARN"/>
    <n v="9"/>
    <m/>
  </r>
  <r>
    <x v="0"/>
    <x v="0"/>
    <s v="1.1"/>
    <x v="0"/>
    <s v="MARN"/>
    <m/>
    <m/>
    <m/>
    <s v="Implementar el Plan Nacional de Gestion Integrada del Recurso Hidrico (PNGIRH)."/>
    <s v="El PNGIRH contiene diagnostico, planes de acción, plan de participanción, evaluación ambiental estratégia del PNGIRH y plan de monitoreo y seguimiento. _x000d_Elaboración del Sistema de Información Hídrica (SIHI) que comprende una plataforma accesible a distinatarios de diversos tipos de usuarios con información permanente, actualizada y de interés._x000d_Diseño y gestión de los planes de descontaminacion de ríos urbanos y atención del corredor seco._x000d_"/>
    <s v="A nivel nacional en cuencas prioritarias de la franja costero-marina."/>
    <s v="Población de los municipios de la franja costero-marina"/>
    <s v="PNGIRH gestionado e implementado"/>
    <m/>
    <n v="0.15"/>
    <n v="0.25"/>
    <n v="0.6"/>
    <s v="a"/>
    <m/>
    <m/>
    <m/>
    <m/>
    <m/>
    <m/>
    <m/>
    <m/>
    <m/>
    <n v="20"/>
    <n v="15"/>
    <n v="5"/>
    <s v="El recurso agua, en cantidad y calidad, se requiere para cualquier inversion en el aprovechamiento de los proceso productivos._x000d_Se cuenta con financiamiento de AECID y GOES"/>
    <x v="4"/>
    <s v="MARN"/>
    <n v="10"/>
    <m/>
  </r>
  <r>
    <x v="0"/>
    <x v="0"/>
    <s v="1.1"/>
    <x v="0"/>
    <s v="MARN"/>
    <m/>
    <m/>
    <m/>
    <s v="Implementación de los componentes sobre restauración de ecosistemas contemplados en el Plan Nacional de Cambio Climático."/>
    <s v="Restauración de manglares y paisajes, mediante cambio de practicas de cultivo, para la restauración del suelo."/>
    <s v="Municipios de la zona costero-marina"/>
    <s v="Población que habita los municipios de la zona costero-marina"/>
    <s v="Cantidad de áreas restauradas"/>
    <m/>
    <n v="0.2"/>
    <n v="0.2"/>
    <n v="0.6"/>
    <s v="a"/>
    <m/>
    <m/>
    <m/>
    <m/>
    <m/>
    <m/>
    <m/>
    <m/>
    <m/>
    <n v="11"/>
    <n v="7.6"/>
    <n v="3.4"/>
    <s v="La implementaion del proyecto genera empleo. Financiamiento del BM, GIZ, GOES"/>
    <x v="4"/>
    <s v="MARN"/>
    <n v="11"/>
    <m/>
  </r>
  <r>
    <x v="0"/>
    <x v="0"/>
    <s v="1.1"/>
    <x v="0"/>
    <s v="FISDL"/>
    <m/>
    <m/>
    <m/>
    <s v="Generacion de emprendimientos productivos a población en situación de pobreza y vulnerabilidad social"/>
    <s v="Fortalecer las capacidades humanas y técnicas de los emprendedores/as, con el acompañamiento y asistencia técnica, a traves de una metodología de intervención que inicia con la formación de la persona, formación empresarial básica y la dotación de equipo productivo con el fin último de mejorar sus ingresos."/>
    <m/>
    <m/>
    <m/>
    <m/>
    <m/>
    <m/>
    <m/>
    <m/>
    <s v="a"/>
    <n v="1"/>
    <n v="1"/>
    <m/>
    <m/>
    <m/>
    <m/>
    <m/>
    <m/>
    <m/>
    <m/>
    <m/>
    <m/>
    <x v="2"/>
    <s v="FISDL"/>
    <n v="12"/>
    <m/>
  </r>
  <r>
    <x v="0"/>
    <x v="0"/>
    <s v="1.1"/>
    <x v="0"/>
    <s v="SIS"/>
    <m/>
    <m/>
    <m/>
    <s v="Programa de Apoyo a la Autonomía Económica de las Mujeres a través de Ciudad Mujer "/>
    <s v="El objetivo es mejorar los niveles de inserción de las mujeres habitantes de los municipios de influencia de Ciudad Mujer, en las dinámicas económicas, como sujetas de derecho para el ejercicio de su autonomía económica._x000d_Se implementarán programas de diversificación productiva, innovación y calidad dirigidos a mujeres para la generación de competitividad de sus iniciativas productivas; así como el fortalecimiento de las capacidades de las mujeres en gestión empresarial sobre la base de su empoderamiento y ciclo de vida, y mejora al acceso de servicios financieros para obtención de créditos_x000d_"/>
    <m/>
    <m/>
    <m/>
    <m/>
    <m/>
    <m/>
    <m/>
    <m/>
    <s v="a"/>
    <n v="1.7395119999999999"/>
    <m/>
    <m/>
    <m/>
    <n v="1.7395119999999999"/>
    <s v="Unión Europea"/>
    <m/>
    <n v="8.6975599999999993"/>
    <m/>
    <m/>
    <m/>
    <s v="Angélica Cuadra:_x000d_Este proyecto inicia en 2016 y finaliza en 2020"/>
    <x v="5"/>
    <s v="SIS"/>
    <n v="13"/>
    <m/>
  </r>
  <r>
    <x v="0"/>
    <x v="0"/>
    <s v="1.1"/>
    <x v="0"/>
    <s v="INJUVE"/>
    <m/>
    <m/>
    <m/>
    <s v="PROMOCIÓN  E IMPLEMENTACIÓN DE PLATAFORMA DE FONDOS CONCURSABLES Y/O CAPITAL SEMILLA_x000d_"/>
    <s v="Se promueve la participación de jóvenes emprendendores para que presenten sus proyectos a concursos para aplicar a fondos o capital semilla que les permita potenciar sus iniciativas económicas  y/o productivas; además de ofrecer acompañamiento  técnico en su ejecución._x000d_Se apoyarán al inicio a 500 jóvenes emprendedores hasta llegar a 1,500 jóvenes emprendedores._x000d_Se atenderán a 5 nuevos municipios de la zona norte 3 y franja costera marina en el inicio; y gradualmente se irá cubriendo otros municipios._x000d_"/>
    <m/>
    <m/>
    <m/>
    <m/>
    <m/>
    <m/>
    <m/>
    <m/>
    <s v="a"/>
    <n v="0.01"/>
    <n v="0.01"/>
    <m/>
    <m/>
    <m/>
    <m/>
    <m/>
    <m/>
    <m/>
    <m/>
    <m/>
    <s v="Correo electrónico 10,000"/>
    <x v="6"/>
    <s v="INJUVE"/>
    <n v="14"/>
    <m/>
  </r>
  <r>
    <x v="0"/>
    <x v="0"/>
    <s v="1.1"/>
    <x v="0"/>
    <s v="INJUVE"/>
    <m/>
    <m/>
    <m/>
    <s v="VENTANILLAS DE ATENCIÓN INTEGRAL A JÓVENES"/>
    <s v="Ofrecer espacios para jóvenes con iniciativa y emprendedores se les brinden diferentes servicios de orientación y asesoramiento._x000d_Se adecuarán los espacios que posee el INJUVE, denominados centros Juveniles donde se instalarán las ventanillas que ofertaran servicios a emprendedores juveniles y a jóvenes en situación de vulnerabilidad social.  _x000d_Se instalaran en 5 departamentos de la franja costera marina y Zona Norte 3._x000d_"/>
    <m/>
    <m/>
    <m/>
    <m/>
    <m/>
    <m/>
    <m/>
    <m/>
    <s v="a"/>
    <n v="3.2715849999999995"/>
    <n v="0.01"/>
    <m/>
    <m/>
    <n v="3.2615849999999997"/>
    <s v="Unión Europea"/>
    <m/>
    <n v="3.2615850000000002"/>
    <m/>
    <m/>
    <m/>
    <s v="Es el programa de Empleo y empleabilidad que se está gestionado con la UE. (Donación). Actualmente se ha elaborado la ficha para remitir a la Delgación de la UE. "/>
    <x v="6"/>
    <s v="INJUVE"/>
    <n v="15"/>
    <m/>
  </r>
  <r>
    <x v="0"/>
    <x v="0"/>
    <s v="1.1"/>
    <x v="0"/>
    <s v="MINEC / MAG / CONAMYPE / MITUR"/>
    <m/>
    <m/>
    <m/>
    <s v="Apoyo a actividades productivas e intercambio comercial y desarrollo territorial transfronterizo"/>
    <m/>
    <m/>
    <s v="Población transfronteriza"/>
    <m/>
    <m/>
    <m/>
    <m/>
    <m/>
    <m/>
    <m/>
    <m/>
    <m/>
    <m/>
    <m/>
    <m/>
    <m/>
    <m/>
    <m/>
    <n v="140"/>
    <n v="0"/>
    <n v="140"/>
    <s v="Pendiente de completar MINEC, MAG y MITUR"/>
    <x v="7"/>
    <s v="STPP"/>
    <n v="16"/>
    <m/>
  </r>
  <r>
    <x v="0"/>
    <x v="0"/>
    <s v="1.2"/>
    <x v="1"/>
    <m/>
    <m/>
    <m/>
    <m/>
    <m/>
    <m/>
    <m/>
    <m/>
    <m/>
    <m/>
    <m/>
    <m/>
    <m/>
    <m/>
    <m/>
    <m/>
    <m/>
    <m/>
    <m/>
    <m/>
    <m/>
    <m/>
    <m/>
    <m/>
    <m/>
    <m/>
    <m/>
    <x v="0"/>
    <m/>
    <n v="17"/>
    <m/>
  </r>
  <r>
    <x v="0"/>
    <x v="0"/>
    <s v="1.2"/>
    <x v="1"/>
    <s v="CONAMYPE"/>
    <m/>
    <m/>
    <m/>
    <s v="Ampliación de la Red de Centros de Desarrollo de la Micro y Pequeña Empresa y de Centros Regionales de CONAMYPE"/>
    <s v="Contribuir a la transformación económica territorial del país para la generación de empleo y de ingresos en igualdad de condiciones para mujeres y hombres en alianza con instituciones público-privado-academia. Fortaleciendo las capacidades de los Centros de desarrollo de las Micro y Pequeñas Empresas (CDMYPE)"/>
    <s v="Sonsonate, Santa Ana, La Libertad, Chalatenango, San Salvador, Cabañas, Usulutan, San Miguel, La Unión"/>
    <s v="Personas Empresarias de la Micro y Pequeña Empresas"/>
    <s v="Número de CDMYPE operando a nivel nacional"/>
    <s v="12 CDMYPE"/>
    <s v="11 CDMYPE"/>
    <s v="13 CDMYPE"/>
    <s v="14 CDMYPE"/>
    <s v="a"/>
    <m/>
    <m/>
    <m/>
    <m/>
    <m/>
    <m/>
    <m/>
    <m/>
    <m/>
    <n v="3.5"/>
    <n v="2.4645999999999999"/>
    <n v="1.0354000000000001"/>
    <s v="Con esto se ampliaria la cobertura a Departamentos como Ahuchapán, San Vicente y Morazán donde no existe un Centro funcionando. La proyección financiera corresponde a un año, si se proyecta al 2019, sería de multiplicar."/>
    <x v="3"/>
    <s v="CONAMYPE"/>
    <n v="18"/>
    <m/>
  </r>
  <r>
    <x v="0"/>
    <x v="0"/>
    <s v="1.2"/>
    <x v="1"/>
    <s v="CONAMYPE"/>
    <m/>
    <m/>
    <m/>
    <s v="Ampliación  de los Centros Regionales de CONAMYPE para la organización y desarrollo de las personas emprendedoras y de las MYPE en nuevos territorios, y para impulsar la Estrategia de Un Pueblo Un Producto."/>
    <s v="Contribuir a la transformación económica territorial del país para la generación de empleo y de ingresos en igualdad de condiciones para mujeres y hombres en alianza con instituciones público-privado-academia. Ampliando el numero de puntos de atención de las oficinas de CONAMYPE"/>
    <s v="Santa Ana, Sonsonate, La Libertad, Chalatenango, San Salvador, La Paz, Cuscatlán, Usulután, San Miguel,  Morazán y la Unión, "/>
    <s v="Personas Empresarias de la Micro y Pequeña Empresas, que participen en los Comités de Un Pueblo Un Producto."/>
    <s v="Número de oficinas regionales de CONAMYPE"/>
    <s v="8 Centros Regionales de CONAMYPE"/>
    <s v="9 Centros Regionales de CONAMYPE"/>
    <s v="11 Centros de Desarrollo de CONAMYPE"/>
    <s v="11 Centros de Desarrollo de CONAMYPE"/>
    <s v="a"/>
    <m/>
    <m/>
    <m/>
    <m/>
    <m/>
    <m/>
    <m/>
    <m/>
    <m/>
    <n v="1.4"/>
    <n v="0.8"/>
    <n v="0.6"/>
    <s v="Ampliando el número de puntos de referencia de CONAMYPE, permitiría impulsar con mayor eficacia la Estrategia de un Pueblo Un producto la meta es llegar a 100 territorios donde se impulse la Estrategia al 2019.  El financiamiento planteado corresponde a un año, habrá necesidad de multiplicar para los 5 años. "/>
    <x v="3"/>
    <s v="CONAMYPE"/>
    <n v="19"/>
    <m/>
  </r>
  <r>
    <x v="0"/>
    <x v="0"/>
    <n v="1.2"/>
    <x v="1"/>
    <s v="FISDL"/>
    <m/>
    <m/>
    <m/>
    <s v="Mujeres Ahorradoras"/>
    <s v="El proyecto tiene como objetivo reducir la vulnerabilidad y exclusión de las mujeres a través de la educación y la inclusión financiera. Se busca implementar mecanismos para que las mujeres participantes  suavicen su consumo, construyan activos y reduzcan su vulnerabilidad. El proyecto comprende capacitación, monitoreo y seguimiento, se considera la intervención de forma progresiva."/>
    <s v="43 municipios priorizados"/>
    <s v="mujeres titulares que reciben la transferencia monetaria "/>
    <s v="N. mujeres capacitadas en educación financiera y N. de mujeres que utilizan servicios y productos financieros"/>
    <s v="224 mujeres capacitadas en municipio de Concepción Batres"/>
    <m/>
    <s v=" 4000 mujeres en 15 municipios"/>
    <s v="12000 mujeres en 43 municipios"/>
    <s v="a"/>
    <m/>
    <m/>
    <m/>
    <m/>
    <m/>
    <m/>
    <m/>
    <m/>
    <m/>
    <n v="0.55000000000000004"/>
    <n v="0.192"/>
    <n v="0.35799999999999998"/>
    <s v="El proyecto tomara como base el proyecto piloto desarrollado en dos municipios durantel el 2014, del cual se tiene evaluación de resultados."/>
    <x v="2"/>
    <s v="FISDL"/>
    <n v="20"/>
    <m/>
  </r>
  <r>
    <x v="0"/>
    <x v="0"/>
    <n v="1.2"/>
    <x v="1"/>
    <s v="MINEC"/>
    <m/>
    <m/>
    <m/>
    <s v="Cofinanciamiento para iniciativas productivas."/>
    <s v="Cofinanciamiento para empresas ya establecidad. El Fondo de inversión territorial busca fortalecer el Fondo de Desarrollo Productivo (FONDEPRO) que actualmente es el principal instrumento. El cofinancimiento por medio de FONDEPRO apoya proyectos estratégicos dela MIPYME donde el riesgo es alto y que por tanto dificilmente pueden acceder a créditos en la banca pública y privada. Co-invertir junto a las empresas permite estimular su crecimiento  con mayor seguridad y menor carga financiera, lo que se traduce en la mejora de  la competitividad del sector empresarial y  en generar impacto económico positivo con más y mejores empleos, más ingresos, oportunidades para jóvenes y mujeres emprendendoras, etc.      Nota: FONDEPRO es un mecanismo con 12 años de existencia. De acuerdo a la medición de impacto, por cada dólar invertido en iniciativas productivas se generan $10 en ventas totales. (ver anexo FONDEPRO)"/>
    <m/>
    <m/>
    <m/>
    <m/>
    <m/>
    <m/>
    <m/>
    <m/>
    <s v="a"/>
    <n v="10.3"/>
    <n v="6"/>
    <m/>
    <m/>
    <m/>
    <m/>
    <n v="4.3"/>
    <m/>
    <m/>
    <m/>
    <m/>
    <s v="FONDEPRO, según remitido por vicieministra Merlin Barrera.  (la Inversión total  incluye el 10% de costos administrativos para la ejecución del proyecto)"/>
    <x v="1"/>
    <s v="MINEC"/>
    <n v="21"/>
    <m/>
  </r>
  <r>
    <x v="0"/>
    <x v="0"/>
    <s v="1.3"/>
    <x v="2"/>
    <m/>
    <m/>
    <m/>
    <m/>
    <m/>
    <m/>
    <m/>
    <m/>
    <m/>
    <m/>
    <m/>
    <m/>
    <m/>
    <m/>
    <m/>
    <m/>
    <m/>
    <m/>
    <m/>
    <m/>
    <m/>
    <m/>
    <m/>
    <m/>
    <m/>
    <m/>
    <m/>
    <x v="0"/>
    <m/>
    <n v="22"/>
    <m/>
  </r>
  <r>
    <x v="0"/>
    <x v="0"/>
    <s v="1.3"/>
    <x v="2"/>
    <s v="MAG"/>
    <m/>
    <m/>
    <m/>
    <s v="1. Entrega de insumos agrícolas a productores de subsistencia"/>
    <s v="El proyecto realiza entrega de insumos agricolas para la siembra de maíz y frijol, cuyo objetivo es el de garantizar la producción de granos básicos para la población y así garantizar la seguridad alimentaria del país."/>
    <s v="A nivel nacional"/>
    <s v="451,018 producctores y productoras de granos basicos"/>
    <s v="Productores y productoras atendidos"/>
    <m/>
    <n v="451018"/>
    <n v="451018"/>
    <n v="451018"/>
    <s v="a"/>
    <m/>
    <m/>
    <m/>
    <m/>
    <m/>
    <m/>
    <m/>
    <m/>
    <m/>
    <n v="150"/>
    <n v="100"/>
    <n v="50"/>
    <s v="CAS: Centro de Acopio y Servicios"/>
    <x v="8"/>
    <s v="MAG"/>
    <n v="23"/>
    <m/>
  </r>
  <r>
    <x v="0"/>
    <x v="0"/>
    <s v="1.3"/>
    <x v="2"/>
    <s v="MAG"/>
    <m/>
    <m/>
    <m/>
    <s v="2. Seguridad alimentaria y nutricional"/>
    <s v="Ampliar la cobertura de la asistencia técnica e incentivos para la producción de alimentos en los diferentes rubros agropecuarios la cual permita mejorar la utilización de nuevas tecnologias, el objetivo primordial es el de proveer de alimentos a la familia rural."/>
    <s v="A nivel nacional con enfasis en los municipios con alto nivel de pobreza. 104 municipios que corresponden a las condiciones de pobreza extrema y mayor riesgo al cambio climático "/>
    <s v="62,000 productores de subsistencia de granos basicos, frutas, horalizas y especies menores"/>
    <s v="Productores y productoras atendidos"/>
    <m/>
    <n v="62000"/>
    <n v="63000"/>
    <n v="64000"/>
    <s v="a"/>
    <m/>
    <m/>
    <m/>
    <m/>
    <m/>
    <m/>
    <m/>
    <m/>
    <m/>
    <n v="40"/>
    <n v="20"/>
    <n v="20"/>
    <m/>
    <x v="8"/>
    <s v="MAG"/>
    <n v="24"/>
    <m/>
  </r>
  <r>
    <x v="0"/>
    <x v="0"/>
    <s v="1.3"/>
    <x v="2"/>
    <s v="MAG"/>
    <m/>
    <m/>
    <m/>
    <s v="3. Divercificación y mejora de la rentabilidad en la producción agropecuaria pesquera, acuicola y agroindustrial."/>
    <s v="Fomento y desarrollo de la producción agropecuaria, pesquera, acuicola y agroindustrial de alto valor agregado y comercial, con el objetivo de elebar los ingresos de las familias rurales. Contempla la asistencia técnica e investigación e insentivos para la producción así como para la transformación y comercialización de los producctos."/>
    <s v="A nivel nacional con enfasis en los municipios con alto nivel de pobreza. 104 municipios que corresponden a las condiciones de pobreza extrema y mayor riesgo al cambio climático "/>
    <s v="80,563 Familias de las Cadenas"/>
    <s v="Productores y productoras atendidos"/>
    <m/>
    <n v="80563"/>
    <n v="80563"/>
    <n v="80563"/>
    <s v="a"/>
    <m/>
    <m/>
    <m/>
    <m/>
    <m/>
    <m/>
    <m/>
    <m/>
    <m/>
    <n v="60"/>
    <n v="20"/>
    <n v="40"/>
    <m/>
    <x v="8"/>
    <s v="MAG"/>
    <n v="25"/>
    <m/>
  </r>
  <r>
    <x v="0"/>
    <x v="0"/>
    <s v="1.3"/>
    <x v="2"/>
    <s v="MAG"/>
    <m/>
    <m/>
    <m/>
    <s v="4. Reactivación del sector cafetalero"/>
    <s v="Contempla la asistencia técnica e investigación en el manejo integrado de el cultivo, la renovación del parque cafetalero y entrega de insentivos para la producción, transformación y comercialización, cuyo obetivo es el desarrollo y recuperación de café para la generación de empleo e ingreso"/>
    <s v="Seis cordilleras productoras de café a nivel nacional"/>
    <s v="17,000 productores de café"/>
    <s v="Productores y productoras atendidos"/>
    <m/>
    <n v="17000"/>
    <n v="17000"/>
    <n v="17000"/>
    <m/>
    <m/>
    <m/>
    <m/>
    <m/>
    <m/>
    <m/>
    <m/>
    <m/>
    <m/>
    <n v="31.6"/>
    <n v="7.5"/>
    <n v="24.1"/>
    <m/>
    <x v="8"/>
    <s v="MAG"/>
    <n v="26"/>
    <m/>
  </r>
  <r>
    <x v="0"/>
    <x v="0"/>
    <s v="1.3"/>
    <x v="2"/>
    <s v="MAG"/>
    <m/>
    <m/>
    <m/>
    <s v="5. Ampliación del área regable"/>
    <s v="Contempla la rehabilitación, ampliación de los Distritos y áreas, y el establecimiento de nuevos sistemas de riego, con el objetivo de estimular  el crecimiento de la producción nacional de alimentos."/>
    <s v="A nivel nacional con enfasis en loa departamentos de La Libertad, San Vicente, Usulután, Santa Ana, Chalatenango, Ahuachapan, Sonsonate, San Miguel, La Paz y La Unión"/>
    <s v="Productores propietarios de los diferentes distritos de riegos, asociaciones cooperativas y privados con áreas potenciales de riego."/>
    <s v="Manzanas habilitadas"/>
    <m/>
    <m/>
    <n v="1500"/>
    <n v="3000"/>
    <s v="a"/>
    <m/>
    <m/>
    <m/>
    <m/>
    <m/>
    <m/>
    <m/>
    <m/>
    <m/>
    <n v="30"/>
    <n v="13"/>
    <n v="17"/>
    <m/>
    <x v="8"/>
    <s v="MAG"/>
    <n v="27"/>
    <m/>
  </r>
  <r>
    <x v="0"/>
    <x v="0"/>
    <s v="1.3"/>
    <x v="2"/>
    <s v="MAG"/>
    <m/>
    <m/>
    <m/>
    <s v="6. Ampliación de la cobertura de la educación agropecuaria"/>
    <s v="Contempla la creación de la Escuela Regional del Tropico Seco (ERCS) por medio de la ampliación de la Escuela Nacional de Agricultura (ENA), con el objetivo de acercar la educación tecnica en temas agropecuarios, acuicola, forestal y agroindustril, y la incorporacion de enfoques para la recilencia al Cambio Climatico. "/>
    <s v="Zona oriente del pais, en el municipio de San Francisco Gotera del departamento de Morazán, con influencia a nivel nacional y regional."/>
    <s v="Estudiantes y productores de la región."/>
    <s v="Escuela regional establecida"/>
    <m/>
    <m/>
    <n v="1"/>
    <m/>
    <m/>
    <m/>
    <m/>
    <m/>
    <m/>
    <m/>
    <m/>
    <m/>
    <m/>
    <m/>
    <n v="3.4"/>
    <n v="0"/>
    <n v="3.4"/>
    <m/>
    <x v="8"/>
    <s v="MAG"/>
    <n v="28"/>
    <m/>
  </r>
  <r>
    <x v="0"/>
    <x v="0"/>
    <s v="1.3"/>
    <x v="2"/>
    <s v="MAG"/>
    <m/>
    <m/>
    <m/>
    <s v="7. Modernización de la Planta Procesadora de Semillas Certificadas y Mejoradas de granos basicos."/>
    <s v="Contempla la ampliación de la capacidad de procesamiento, mediante la rehabilitacion, contrucción y equipamiento, de la planta procesadora, con el fin de contar con la capacidad instalada de proveer de semilla garantizada con altos estandares de calidad y adaptadas a diferentes condiciones climaticas del pais."/>
    <s v="A nivel nacional"/>
    <s v="451,018 productores de subsistencia de granos basicos."/>
    <s v="Planta Operando "/>
    <m/>
    <m/>
    <n v="1"/>
    <m/>
    <m/>
    <m/>
    <m/>
    <m/>
    <m/>
    <m/>
    <m/>
    <m/>
    <m/>
    <m/>
    <n v="8.6999999999999993"/>
    <n v="0"/>
    <n v="8.6999999999999993"/>
    <m/>
    <x v="8"/>
    <s v="MAG"/>
    <n v="29"/>
    <m/>
  </r>
  <r>
    <x v="0"/>
    <x v="0"/>
    <s v="1.3"/>
    <x v="2"/>
    <s v="MARN"/>
    <m/>
    <m/>
    <m/>
    <s v="Implementación de los componentes sobre agricultara contemplados en el Plan Nacional de Cambio Climático."/>
    <s v="Promoción de sistemas agroforestales, desarrollo de una agricultara adaptada a las condiciones climpaticas en la región del corredor seco en El Salvador. Esto en el enfoque de una estrategia de restauración de ecosistemas y paisajes en busqueda de la mitigación a travez de la adaptación al cambio climático."/>
    <s v="Muncipios de la zona costero-marina y de la región del corredor seco en El Salvador, "/>
    <s v="poblacion rural"/>
    <s v="Componentes del plan implementado"/>
    <m/>
    <n v="0.1"/>
    <n v="0.2"/>
    <n v="0.7"/>
    <s v="a"/>
    <m/>
    <m/>
    <m/>
    <m/>
    <m/>
    <m/>
    <m/>
    <m/>
    <m/>
    <m/>
    <m/>
    <m/>
    <s v="Financimento BM, GOES, Gobierno de Francia."/>
    <x v="4"/>
    <s v="MARN"/>
    <n v="30"/>
    <m/>
  </r>
  <r>
    <x v="0"/>
    <x v="0"/>
    <s v="1.4"/>
    <x v="3"/>
    <m/>
    <m/>
    <m/>
    <m/>
    <m/>
    <m/>
    <m/>
    <m/>
    <m/>
    <m/>
    <m/>
    <m/>
    <m/>
    <m/>
    <m/>
    <m/>
    <m/>
    <m/>
    <m/>
    <m/>
    <m/>
    <m/>
    <m/>
    <m/>
    <m/>
    <m/>
    <m/>
    <x v="0"/>
    <m/>
    <n v="31"/>
    <m/>
  </r>
  <r>
    <x v="0"/>
    <x v="0"/>
    <s v="1.4"/>
    <x v="3"/>
    <s v="DGME"/>
    <m/>
    <m/>
    <m/>
    <s v="Proyecto de Implementación de las Visas Consultadas de Negocio, Inversión y Representante comercial."/>
    <s v="Agilizar y simplificar los trámites migratorios de las personas inversionistas, de negocio o representantes comerciales, con “categoría C” en concordancia con el “Convenio de Creación de la Visa Única Centroamericana para la libre movilidad de extranjeros entre las Repúblicas de El Salvador, Guatemala, Honduras y Nicaragua”. Para ello, se propone implementar las figuras siguientes: a) “Visa Consultada de Inversión”; b) “Visa Consultada de Negocio”; y, c) “Visa Consultada de Representante Comercial”."/>
    <s v="A nivel nacional"/>
    <s v="Personas inversionistas, de negocio o representantes comerciales, con “categoría C”"/>
    <s v="100% de Tipología de Visa implementada"/>
    <m/>
    <m/>
    <n v="1"/>
    <n v="1"/>
    <m/>
    <m/>
    <m/>
    <m/>
    <m/>
    <m/>
    <m/>
    <m/>
    <m/>
    <m/>
    <n v="0.5"/>
    <n v="0"/>
    <n v="0.5"/>
    <m/>
    <x v="9"/>
    <s v="MJSP"/>
    <n v="32"/>
    <m/>
  </r>
  <r>
    <x v="0"/>
    <x v="0"/>
    <s v="1.4"/>
    <x v="3"/>
    <s v="MARN"/>
    <m/>
    <m/>
    <m/>
    <s v="Nuevo Sistema de Evaluación Ambiental."/>
    <s v="Revisar y adecuar la normativa que regula los permisos ambientales para proyectos de inversión pública y privada; asi como la creación de nuevos instrumentos técnicos, legales e informáticos. Descentralizar el servicio de los perminos ambientales hasta un nivel definido de autorizacion hacia las oficinas de planificacion regional-local."/>
    <s v="A nviel nacional, con enfasis en zona coster- marina y region metropolitana"/>
    <s v="Inversionistas publico, privado"/>
    <s v="Incremento de inverión con permisos ambientales"/>
    <m/>
    <n v="0.1"/>
    <n v="0.2"/>
    <n v="0.7"/>
    <s v="a"/>
    <m/>
    <m/>
    <m/>
    <m/>
    <m/>
    <m/>
    <m/>
    <m/>
    <m/>
    <n v="1"/>
    <n v="0.4"/>
    <n v="0.6"/>
    <s v="Para facilitar la inversión, se hace necesario agilizar los tramites de permisos ambientales mejorando su nivel de analisis, incorporando la reducción del riesgo; mediante el involucramiento de los territorios en su ejecución (desconcentración). "/>
    <x v="4"/>
    <s v="MARN"/>
    <n v="33"/>
    <m/>
  </r>
  <r>
    <x v="0"/>
    <x v="0"/>
    <s v="1.5"/>
    <x v="4"/>
    <m/>
    <m/>
    <m/>
    <m/>
    <m/>
    <m/>
    <m/>
    <m/>
    <m/>
    <m/>
    <m/>
    <m/>
    <m/>
    <m/>
    <m/>
    <m/>
    <m/>
    <m/>
    <m/>
    <m/>
    <m/>
    <m/>
    <m/>
    <m/>
    <m/>
    <m/>
    <m/>
    <x v="0"/>
    <m/>
    <n v="34"/>
    <m/>
  </r>
  <r>
    <x v="0"/>
    <x v="0"/>
    <s v="1.5"/>
    <x v="4"/>
    <m/>
    <m/>
    <m/>
    <m/>
    <m/>
    <m/>
    <m/>
    <m/>
    <m/>
    <m/>
    <m/>
    <m/>
    <m/>
    <m/>
    <m/>
    <m/>
    <m/>
    <m/>
    <m/>
    <m/>
    <m/>
    <m/>
    <m/>
    <m/>
    <m/>
    <m/>
    <m/>
    <x v="0"/>
    <m/>
    <n v="35"/>
    <m/>
  </r>
  <r>
    <x v="0"/>
    <x v="1"/>
    <s v="1.6"/>
    <x v="5"/>
    <m/>
    <m/>
    <m/>
    <m/>
    <m/>
    <m/>
    <m/>
    <m/>
    <m/>
    <m/>
    <m/>
    <m/>
    <m/>
    <m/>
    <m/>
    <m/>
    <m/>
    <m/>
    <m/>
    <m/>
    <m/>
    <m/>
    <m/>
    <m/>
    <m/>
    <m/>
    <m/>
    <x v="0"/>
    <m/>
    <n v="36"/>
    <m/>
  </r>
  <r>
    <x v="0"/>
    <x v="1"/>
    <s v="1.6"/>
    <x v="5"/>
    <s v="CNE / CEL"/>
    <m/>
    <m/>
    <m/>
    <s v="Implementación de los contratos firmes regionales"/>
    <s v="Para la aplicación de estos contratos se requiere la implementación definitiva del Reglamento del MER. Los contratos firmes regionales permitirán contratar ya sea potencia, energía o ambos en cualquier país del MER y ésta será reconocida en los mercados eléctricos nacionales. Estos serán un incentivo adicional para la construcción de centrales eléctricas de nivel regional. "/>
    <s v="Estas iniciativas incidirán en toda el área centroamericana"/>
    <s v="Usuarios del servicio eléctrico de los países centroamericanos o países del MER."/>
    <s v="Contratos firmes regionales implementados"/>
    <n v="0"/>
    <n v="0.1"/>
    <n v="1"/>
    <s v="-"/>
    <m/>
    <m/>
    <m/>
    <m/>
    <m/>
    <m/>
    <m/>
    <m/>
    <m/>
    <m/>
    <n v="0.25"/>
    <n v="0"/>
    <n v="0.25"/>
    <s v="Inversión total incluye finalización de estudios técnicos."/>
    <x v="10"/>
    <s v="CNE"/>
    <n v="37"/>
    <m/>
  </r>
  <r>
    <x v="0"/>
    <x v="1"/>
    <s v="1.6"/>
    <x v="5"/>
    <s v="CNE / CEL"/>
    <m/>
    <m/>
    <m/>
    <s v="Aprobación y ratificación del Tercer Protocolo al Tratado Marco del Mercado Eléctrico Regional (MER)"/>
    <s v="La importancia de un Tercer Protocolo del MER radica en la necesidad de definir las competencias de los organismos del MER y su estructura jerárquica; así como un mecanismo de resolución de conflíctos entre los mismos."/>
    <s v="Estas iniciativas incidirán en toda el área centroamericana"/>
    <s v="Usuarios del servicio eléctrico de los países centroamericanos o países del MER."/>
    <s v="Tercer Protocolo al Tratado Marco del MER firmado"/>
    <n v="0"/>
    <n v="0.05"/>
    <n v="0.1"/>
    <n v="1"/>
    <m/>
    <m/>
    <m/>
    <m/>
    <m/>
    <m/>
    <m/>
    <m/>
    <m/>
    <m/>
    <n v="2"/>
    <n v="0"/>
    <n v="2"/>
    <m/>
    <x v="10"/>
    <s v="CNE"/>
    <n v="38"/>
    <m/>
  </r>
  <r>
    <x v="0"/>
    <x v="1"/>
    <s v="1.7"/>
    <x v="6"/>
    <m/>
    <m/>
    <m/>
    <m/>
    <m/>
    <m/>
    <m/>
    <m/>
    <m/>
    <m/>
    <m/>
    <m/>
    <m/>
    <m/>
    <m/>
    <m/>
    <m/>
    <m/>
    <m/>
    <m/>
    <m/>
    <m/>
    <m/>
    <m/>
    <m/>
    <m/>
    <m/>
    <x v="0"/>
    <m/>
    <n v="39"/>
    <m/>
  </r>
  <r>
    <x v="0"/>
    <x v="1"/>
    <s v="1.7"/>
    <x v="6"/>
    <s v="CNE / CEL"/>
    <m/>
    <m/>
    <m/>
    <s v="Contrato de venta de energía de México al SIEPAC"/>
    <s v="Realización de estudios especializados del Sector Energético para la realización de negociaciones entre los países del SIEPAC y México. Además, se considera la modificación de los convenios ya suscritos a través de protocolos modificatorios y la adecuación de la normativa que permitan dicha negociación."/>
    <s v="Estas iniciativas incidirán en toda el área centroamericana"/>
    <s v="Usuarios del servicio eléctrico de los países centroamericanos o países del MER."/>
    <s v="Contrato de venta de energía de México a países del SIEPAC firmado"/>
    <n v="0"/>
    <n v="0.1"/>
    <n v="1"/>
    <s v="-"/>
    <m/>
    <m/>
    <m/>
    <m/>
    <m/>
    <m/>
    <m/>
    <m/>
    <m/>
    <m/>
    <n v="0.5"/>
    <n v="0"/>
    <n v="0.5"/>
    <s v="Actualmente México vende energía a Guatemala a precios sumamente competitivos. Sin embargo, en diferentes foros México ha expresado su voluntad para vender energía al resto de la región a través del SIEPAC. Esto requerirá una serie de negociaciones con México y principalmente con Guatemala pues éste sería el país de ingreso de dicha energía al resto de la región centroamericana. Para su implementación se prevé la realización de estudios eléctrico y las adecuaciones a la infraestructura que resulten del mismo. Inversión total incluye estudios técnicos y normativos parox"/>
    <x v="10"/>
    <s v="CNE"/>
    <n v="40"/>
    <m/>
  </r>
  <r>
    <x v="0"/>
    <x v="1"/>
    <s v="1.7"/>
    <x v="6"/>
    <s v="CNE / CEL"/>
    <m/>
    <m/>
    <m/>
    <s v="Fortalecimiento de la capacidad de transporte de energía eléctrica del SIEPAC"/>
    <s v="Para lograr resultados eficientes con la Línea SIEPAC es necesario incrementar su capacidad de trasferencia de energía para lo que se necesita: 1.- que cada país realice refuerzos nacionales a su red de transmisión, y 2.- construir el segundo circuito del SIEPAC. Ambos puntos requieren una serie de de estudios eléctricos y adecuaciones a la infraestructura eléctrica nacional."/>
    <s v="Estas iniciativas incidirán en toda el área centroamericana"/>
    <s v="Usuarios del servicio eléctrico de los países centroamericanos o países del MER."/>
    <s v="Doble circuito en Línea SIEPAC en operación"/>
    <n v="0"/>
    <n v="0.05"/>
    <n v="0.1"/>
    <n v="1"/>
    <s v="a"/>
    <m/>
    <m/>
    <m/>
    <m/>
    <m/>
    <m/>
    <m/>
    <m/>
    <m/>
    <n v="27"/>
    <n v="25"/>
    <n v="2"/>
    <s v="Estudios técnicos y normativos aprox. $2 millones. Infraestuctura aprox $250 millones entre los tres países SIEPAC. Se contempló $25 millones para El Salvador"/>
    <x v="10"/>
    <s v="CNE"/>
    <n v="41"/>
    <m/>
  </r>
  <r>
    <x v="0"/>
    <x v="1"/>
    <s v="1.8"/>
    <x v="7"/>
    <m/>
    <m/>
    <m/>
    <m/>
    <m/>
    <m/>
    <m/>
    <m/>
    <m/>
    <m/>
    <m/>
    <m/>
    <m/>
    <m/>
    <m/>
    <m/>
    <m/>
    <m/>
    <m/>
    <m/>
    <m/>
    <m/>
    <m/>
    <m/>
    <m/>
    <m/>
    <m/>
    <x v="0"/>
    <m/>
    <n v="42"/>
    <m/>
  </r>
  <r>
    <x v="0"/>
    <x v="1"/>
    <s v="1.8"/>
    <x v="7"/>
    <s v="CNE / CEL"/>
    <m/>
    <m/>
    <m/>
    <s v="Conexión gasífera con México"/>
    <s v="México cuenta con producción de gas natural, combustible fósil inexistente en la región centroamericana. Dada la cercanía y aprovechando los esfuerzos centroamericanos de integración energética se está analizando la construcción de un gasoducto que permita la importación de gas natural a El Salvador desde México pasando por Guatemala._x000d_Para ello es importante firmar tratados, acuerdos  y protocolos que permitan a El Salvador y a la región centroamericana acceder a este combustible, así como la creación de un equipo multidisciplinario"/>
    <s v="El Salvador, Guatemala y Honduras"/>
    <s v="En un primer momento será el sector de generación eléctrica de El Salvador pues accederá a una nueva fuente de energía que se prevé tendrá precios más bajos que las fuentes fósiles actuales. Posteriormente serán otros sectores de la economía: transporte, comercio, residencial."/>
    <s v="Tratado o acuerdo de integración energética con gas natural firmado y ratificado por México, El Salvador, Guatemala y posiblemente Honduras"/>
    <n v="0"/>
    <n v="0.5"/>
    <n v="0.5"/>
    <s v="-"/>
    <m/>
    <m/>
    <m/>
    <m/>
    <m/>
    <m/>
    <m/>
    <m/>
    <m/>
    <m/>
    <n v="5"/>
    <n v="0"/>
    <n v="5"/>
    <s v="Etapa de estudios técnicos inversión mínima de $5 millones"/>
    <x v="10"/>
    <s v="CNE"/>
    <n v="43"/>
    <m/>
  </r>
  <r>
    <x v="0"/>
    <x v="1"/>
    <s v="1.9"/>
    <x v="8"/>
    <m/>
    <m/>
    <m/>
    <m/>
    <m/>
    <m/>
    <m/>
    <m/>
    <m/>
    <m/>
    <m/>
    <m/>
    <m/>
    <m/>
    <m/>
    <m/>
    <m/>
    <m/>
    <m/>
    <m/>
    <m/>
    <m/>
    <m/>
    <m/>
    <m/>
    <m/>
    <m/>
    <x v="0"/>
    <m/>
    <n v="44"/>
    <m/>
  </r>
  <r>
    <x v="0"/>
    <x v="1"/>
    <s v="1.9"/>
    <x v="8"/>
    <s v="CNE / CEL"/>
    <m/>
    <m/>
    <m/>
    <s v="Parque Eólico Metapán"/>
    <s v="Proyecto Eólico con una capacidad Instalada de 42 MW de potencia, y energía anual de 126.5 GWh. Objetivo: incrementar la oferta de energía con recursos renovables y contribuir a la diversificación de la matriz energética."/>
    <s v="Metapán, Santa Ana."/>
    <s v="Se producirá energía para aproximadamente 100 mil familias."/>
    <s v="MW Instalados."/>
    <s v="0 MW"/>
    <m/>
    <m/>
    <s v="42 MW. Se proyecta que entre en operación en el año 2019."/>
    <m/>
    <m/>
    <m/>
    <m/>
    <m/>
    <m/>
    <m/>
    <m/>
    <m/>
    <m/>
    <n v="125"/>
    <n v="37.5"/>
    <n v="87.5"/>
    <s v="Estudio de factibilidad finalizado y en proceso de adquisición de inmuebles."/>
    <x v="11"/>
    <s v="CEL"/>
    <n v="45"/>
    <m/>
  </r>
  <r>
    <x v="0"/>
    <x v="1"/>
    <s v="1.9"/>
    <x v="8"/>
    <s v="CNE / CEL"/>
    <m/>
    <m/>
    <m/>
    <s v="Licitaciones para nueva generación con energía renovable no convencional"/>
    <s v="Lanzamiento de nuevas licitaciones para la contratación de potencia y energía eléctrica proveniente de centrales con recursos renovables no convencionales (eólica y solar fotovoltáica), tanto a nivel de mercado mayorista como a nivel de distribución; así como de nuevas licitaciones para generación térmica en el caso de tener garantizado el suministro de gas natural desde México."/>
    <s v="El Salvador"/>
    <s v="Todos los sectores consumidores de energía eléctrica, incluyendo el residencial"/>
    <s v="Licitación para la contratación de por lo menos 100 MW adjudicada"/>
    <n v="0"/>
    <n v="0.5"/>
    <n v="0.5"/>
    <m/>
    <m/>
    <m/>
    <m/>
    <m/>
    <m/>
    <m/>
    <m/>
    <m/>
    <m/>
    <m/>
    <n v="300"/>
    <n v="0"/>
    <n v="300"/>
    <s v="De la licitación de 100 MW la inversión total asicende a aprox 250 - 300 millones de dólares"/>
    <x v="10"/>
    <s v="CNE"/>
    <n v="46"/>
    <s v="El monto total de la inversión a qué corresponde. Cuánto es nacional y cuánto va para PAPTN"/>
  </r>
  <r>
    <x v="0"/>
    <x v="1"/>
    <s v="1.9"/>
    <x v="8"/>
    <s v="CEL"/>
    <m/>
    <m/>
    <m/>
    <s v="Proyecto Fotovoltaico 15 de Septiembre"/>
    <s v="Proyecto de energía solar fotovoltaica, de 14.2 MW pico. Objetivo: generar energía limpia y contribuir a diversificar la matriz energética."/>
    <s v="En el Municipio de Estanzuelas, Departamento de Usulután."/>
    <s v="Se producirán 24 GWh, energía equivalente al consumo de 20 mil familias. "/>
    <s v="MW Instalados."/>
    <s v="0 MW"/>
    <m/>
    <s v="14.2 MWp"/>
    <m/>
    <m/>
    <m/>
    <m/>
    <m/>
    <m/>
    <m/>
    <m/>
    <m/>
    <m/>
    <m/>
    <n v="24.8"/>
    <n v="2.5"/>
    <n v="22.3"/>
    <m/>
    <x v="11"/>
    <s v="CEL"/>
    <n v="47"/>
    <m/>
  </r>
  <r>
    <x v="0"/>
    <x v="1"/>
    <s v="1.9"/>
    <x v="8"/>
    <s v="CEL"/>
    <m/>
    <m/>
    <m/>
    <s v="Proyecto Fotovoltaico Cerrón Grande"/>
    <s v="Proyecto de energía solar fotovoltaica, de 8.5 MW pico. Objetivo: generar energía limpia y contribuir a diversificar la matriz energética."/>
    <s v="En el Municipio de Potonico, Departamento de Chalatenango."/>
    <s v="Se producirán 12.6 GWh, energía equivalente al consumo de 11 mil familias. "/>
    <s v="MW Instalados."/>
    <s v="0 MW"/>
    <m/>
    <m/>
    <s v="8.5 MWp. Se proyecta que entre en operación en el año 2017."/>
    <m/>
    <m/>
    <m/>
    <m/>
    <m/>
    <m/>
    <m/>
    <m/>
    <m/>
    <m/>
    <n v="15"/>
    <n v="3"/>
    <n v="12"/>
    <m/>
    <x v="11"/>
    <s v="CEL"/>
    <n v="48"/>
    <m/>
  </r>
  <r>
    <x v="0"/>
    <x v="1"/>
    <s v="1.9"/>
    <x v="8"/>
    <s v="CNE / CEL"/>
    <m/>
    <m/>
    <m/>
    <s v="Inversión Privada: Quantum"/>
    <m/>
    <m/>
    <m/>
    <m/>
    <m/>
    <m/>
    <m/>
    <m/>
    <m/>
    <m/>
    <m/>
    <m/>
    <m/>
    <m/>
    <m/>
    <m/>
    <m/>
    <m/>
    <n v="900"/>
    <n v="900"/>
    <n v="0"/>
    <s v="PROGRAMAS Y RECURSOS ADICIONADOS EN V.2"/>
    <x v="12"/>
    <s v="SECTOR PRIVADO"/>
    <n v="49"/>
    <m/>
  </r>
  <r>
    <x v="0"/>
    <x v="1"/>
    <s v="1.10"/>
    <x v="9"/>
    <m/>
    <m/>
    <m/>
    <m/>
    <m/>
    <m/>
    <m/>
    <m/>
    <m/>
    <m/>
    <m/>
    <m/>
    <m/>
    <m/>
    <m/>
    <m/>
    <m/>
    <m/>
    <m/>
    <m/>
    <m/>
    <m/>
    <m/>
    <m/>
    <m/>
    <m/>
    <m/>
    <x v="0"/>
    <m/>
    <n v="50"/>
    <m/>
  </r>
  <r>
    <x v="0"/>
    <x v="1"/>
    <s v="1.10"/>
    <x v="9"/>
    <m/>
    <m/>
    <m/>
    <m/>
    <m/>
    <m/>
    <m/>
    <m/>
    <m/>
    <m/>
    <m/>
    <m/>
    <m/>
    <m/>
    <m/>
    <m/>
    <m/>
    <m/>
    <m/>
    <m/>
    <m/>
    <m/>
    <m/>
    <m/>
    <m/>
    <m/>
    <m/>
    <x v="0"/>
    <m/>
    <n v="51"/>
    <m/>
  </r>
  <r>
    <x v="0"/>
    <x v="2"/>
    <s v="1.11"/>
    <x v="10"/>
    <m/>
    <m/>
    <m/>
    <m/>
    <m/>
    <m/>
    <m/>
    <m/>
    <m/>
    <m/>
    <m/>
    <m/>
    <m/>
    <m/>
    <m/>
    <m/>
    <m/>
    <m/>
    <m/>
    <m/>
    <m/>
    <m/>
    <m/>
    <m/>
    <m/>
    <m/>
    <m/>
    <x v="0"/>
    <m/>
    <n v="52"/>
    <m/>
  </r>
  <r>
    <x v="0"/>
    <x v="2"/>
    <s v="1.11"/>
    <x v="10"/>
    <s v="MOP"/>
    <m/>
    <m/>
    <m/>
    <s v="Construcción del By Pass de San Miguel"/>
    <s v="Construccion By Pass "/>
    <s v="San Miguel, San Miguel "/>
    <n v="218410"/>
    <s v="Número de proyectos por año"/>
    <m/>
    <m/>
    <m/>
    <n v="1"/>
    <m/>
    <m/>
    <m/>
    <m/>
    <m/>
    <m/>
    <m/>
    <m/>
    <m/>
    <m/>
    <n v="159.38"/>
    <n v="159.38"/>
    <n v="0"/>
    <s v="Convenio de Préstamo negociado, a la espera de dictámen de la Asamblea Legislativa."/>
    <x v="13"/>
    <s v="MOP"/>
    <n v="53"/>
    <m/>
  </r>
  <r>
    <x v="0"/>
    <x v="2"/>
    <s v="1.11"/>
    <x v="10"/>
    <s v="MOP"/>
    <m/>
    <m/>
    <m/>
    <s v="Ampliación a 4 carriles del Boulevard Costa del Sol "/>
    <s v="Ampliación de carretera"/>
    <s v="San Juan Talpa"/>
    <n v="7707"/>
    <s v="Porcentaje de proyecto finalizado/100"/>
    <n v="0"/>
    <m/>
    <m/>
    <n v="0.25"/>
    <m/>
    <m/>
    <m/>
    <m/>
    <m/>
    <m/>
    <m/>
    <m/>
    <m/>
    <m/>
    <n v="11.399999999999999"/>
    <n v="2.2799999999999998"/>
    <n v="9.1199999999999992"/>
    <s v="Se ha considerado un 25% de aporte nacional correspondiendo 13% al impuesto al valor agregado y 12% a adquisiciòn de derechos de via."/>
    <x v="13"/>
    <s v="MOP"/>
    <n v="54"/>
    <m/>
  </r>
  <r>
    <x v="0"/>
    <x v="2"/>
    <s v="1.11"/>
    <x v="10"/>
    <s v="MOP"/>
    <m/>
    <m/>
    <m/>
    <s v="Mejoramiento de carretera de los chorros (3er carril + bahías de buses)"/>
    <s v="Ampliación de carretera"/>
    <s v="La Libertad, Colón"/>
    <n v="96989"/>
    <s v="Porcentaje de proyecto finalizado/100"/>
    <n v="0"/>
    <m/>
    <m/>
    <n v="0.25"/>
    <m/>
    <m/>
    <m/>
    <m/>
    <m/>
    <m/>
    <m/>
    <m/>
    <m/>
    <m/>
    <n v="14.9625"/>
    <n v="2.9925000000000002"/>
    <n v="11.97"/>
    <s v="Se ha considerado un 25% de aporte nacional correspondiendo 13% al impuesto al valor agregado y 12% a adquisiciòn de derechos de via."/>
    <x v="13"/>
    <s v="MOP"/>
    <n v="55"/>
    <m/>
  </r>
  <r>
    <x v="0"/>
    <x v="2"/>
    <s v="1.11"/>
    <x v="10"/>
    <s v="MOP"/>
    <m/>
    <m/>
    <m/>
    <s v="Ampliación del Boulevard del Ejercito Nacional y adquisición de derechos de vía"/>
    <s v="Ampliación de carretera"/>
    <s v="Soyapango - San Salvador"/>
    <n v="557493"/>
    <s v="Porcentaje de proyecto finalizado/100"/>
    <n v="0"/>
    <m/>
    <m/>
    <n v="0.25"/>
    <m/>
    <m/>
    <m/>
    <m/>
    <m/>
    <m/>
    <m/>
    <m/>
    <m/>
    <m/>
    <n v="8.75"/>
    <n v="1.75"/>
    <n v="7"/>
    <s v="Se ha considerado un 25% de aporte nacional correspondiendo 13% al impuesto al valor agregado y 12% a adquisiciòn de derechos de via."/>
    <x v="13"/>
    <s v="MOP"/>
    <n v="56"/>
    <m/>
  </r>
  <r>
    <x v="0"/>
    <x v="2"/>
    <s v="1.11"/>
    <x v="10"/>
    <s v="MOP"/>
    <m/>
    <m/>
    <m/>
    <s v="Dv Chalchuapa - Dv El Porvenir (CA01 carretera a Frontera San Cristobal)"/>
    <s v="Rehabilitación y/o Reconstrucción"/>
    <s v="Ahuachapan, Chalchuapa"/>
    <n v="74038"/>
    <s v="Porcentaje de proyecto finalizado/100"/>
    <n v="0"/>
    <m/>
    <m/>
    <n v="0.25"/>
    <m/>
    <m/>
    <m/>
    <m/>
    <m/>
    <m/>
    <m/>
    <m/>
    <m/>
    <m/>
    <n v="8.136000000000001"/>
    <n v="0.93600000000000005"/>
    <n v="7.2"/>
    <s v="Se ha considerado un 13% de aporte nacional correspondiente al impuesto al valor agregado."/>
    <x v="13"/>
    <s v="MOP"/>
    <n v="57"/>
    <m/>
  </r>
  <r>
    <x v="0"/>
    <x v="2"/>
    <s v="1.11"/>
    <x v="10"/>
    <s v="MOP"/>
    <m/>
    <m/>
    <m/>
    <s v="Dv El Porvenir - Candelaria de La Frontera  ( CA01 carretera a Frontera San Cristobal)"/>
    <s v="Rehabilitación y/o Reconstrucción"/>
    <s v="El Porvenir"/>
    <n v="8232"/>
    <s v="Porcentaje de proyecto finalizado/100"/>
    <n v="0"/>
    <m/>
    <m/>
    <n v="0.25"/>
    <m/>
    <m/>
    <m/>
    <m/>
    <m/>
    <m/>
    <m/>
    <m/>
    <m/>
    <m/>
    <n v="7.8308999999999997"/>
    <n v="0.90090000000000003"/>
    <n v="6.93"/>
    <s v="Se ha considerado un 13% de aporte nacional correspondiente al impuesto al valor agregado."/>
    <x v="13"/>
    <s v="MOP"/>
    <n v="58"/>
    <m/>
  </r>
  <r>
    <x v="0"/>
    <x v="2"/>
    <s v="1.11"/>
    <x v="10"/>
    <s v="MOP"/>
    <m/>
    <m/>
    <m/>
    <s v="Candelaria de La Frontera (Calle 2 de febrero) - Limite Frontera San Cristóbal  ( CA01 carretera a Frontera San Cristobal)"/>
    <s v="Rehabilitación y/o Reconstrucción"/>
    <s v="Santa Ana, Candelaria de la Fontera "/>
    <n v="22686"/>
    <s v="Porcentaje de proyecto finalizado/100"/>
    <n v="0"/>
    <m/>
    <m/>
    <n v="0.25"/>
    <m/>
    <m/>
    <m/>
    <m/>
    <m/>
    <m/>
    <m/>
    <m/>
    <m/>
    <m/>
    <n v="8.3846000000000007"/>
    <n v="0.96460000000000001"/>
    <n v="7.42"/>
    <s v="Se ha considerado un 13% de aporte nacional correspondiente al impuesto al valor agregado."/>
    <x v="13"/>
    <s v="MOP"/>
    <n v="59"/>
    <m/>
  </r>
  <r>
    <x v="0"/>
    <x v="2"/>
    <s v="1.11"/>
    <x v="10"/>
    <s v="MOP"/>
    <m/>
    <m/>
    <m/>
    <s v="By pass La Palma, Chalatenango"/>
    <s v="Construcción"/>
    <s v="Chalatenango, La Palma"/>
    <n v="12235"/>
    <s v="Porcentaje de proyecto finalizado/100"/>
    <n v="0"/>
    <m/>
    <m/>
    <n v="0.25"/>
    <m/>
    <m/>
    <m/>
    <m/>
    <m/>
    <m/>
    <m/>
    <m/>
    <m/>
    <m/>
    <n v="15.3"/>
    <n v="3.06"/>
    <n v="12.24"/>
    <s v="Se ha considerado un 25% de aporte nacional correspondiendo 13% al impuesto al valor agregado y 12% a adquisiciòn de derechos de via."/>
    <x v="13"/>
    <s v="MOP"/>
    <n v="60"/>
    <m/>
  </r>
  <r>
    <x v="0"/>
    <x v="2"/>
    <s v="1.11"/>
    <x v="10"/>
    <s v="MOP"/>
    <m/>
    <m/>
    <m/>
    <s v="Tramo CA12S (KM 5)  - Frontera Guatemala  (CA02 Carretera Frontera La Hachadura)"/>
    <s v="Mantenimiento periodico"/>
    <s v="San Francisco Menéndez"/>
    <n v="42607"/>
    <s v="Porcentaje de proyecto finalizado/100"/>
    <n v="0"/>
    <m/>
    <m/>
    <n v="0.25"/>
    <m/>
    <m/>
    <m/>
    <m/>
    <m/>
    <m/>
    <m/>
    <m/>
    <m/>
    <m/>
    <n v="20.995399999999997"/>
    <n v="2.4154"/>
    <n v="18.579999999999998"/>
    <s v="Se ha considerado un 13% de aporte nacional correspondiente al impuesto al valor agregado."/>
    <x v="13"/>
    <s v="MOP"/>
    <n v="61"/>
    <m/>
  </r>
  <r>
    <x v="0"/>
    <x v="2"/>
    <s v="1.11"/>
    <x v="10"/>
    <s v="MOP"/>
    <m/>
    <m/>
    <m/>
    <s v="CA07N (Dv. San Francisco Gotera) - Dv Sociedad (Ruta Militar)"/>
    <s v="Rehabilitación y/o Reconstrucción"/>
    <s v="Morazán, Sociedad"/>
    <n v="11406"/>
    <s v="Porcentaje de proyecto finalizado/100"/>
    <n v="0"/>
    <m/>
    <m/>
    <n v="0.25"/>
    <m/>
    <m/>
    <m/>
    <m/>
    <m/>
    <m/>
    <m/>
    <m/>
    <m/>
    <m/>
    <n v="6.005588400000005"/>
    <n v="0.69090840000000064"/>
    <n v="5.3146800000000045"/>
    <s v="Se ha considerado un 13% de aporte nacional correspondiente al impuesto al valor agregado."/>
    <x v="13"/>
    <s v="MOP"/>
    <n v="62"/>
    <m/>
  </r>
  <r>
    <x v="0"/>
    <x v="2"/>
    <s v="1.11"/>
    <x v="10"/>
    <s v="MOP"/>
    <m/>
    <m/>
    <m/>
    <s v="Dv Sociedad - LD La Unión (Ruta Militar)"/>
    <s v="Rehabilitación y/o Reconstrucción"/>
    <s v="Morazán, Sociedad"/>
    <n v="11406"/>
    <s v="Porcentaje de proyecto finalizado/100"/>
    <n v="0"/>
    <m/>
    <m/>
    <n v="0.25"/>
    <m/>
    <m/>
    <m/>
    <m/>
    <m/>
    <m/>
    <m/>
    <m/>
    <m/>
    <m/>
    <n v="2.4587444000000018"/>
    <n v="0.28286440000000024"/>
    <n v="2.1758800000000016"/>
    <s v="Se ha considerado un 13% de aporte nacional correspondiente al impuesto al valor agregado."/>
    <x v="13"/>
    <s v="MOP"/>
    <n v="63"/>
    <m/>
  </r>
  <r>
    <x v="0"/>
    <x v="2"/>
    <s v="1.11"/>
    <x v="10"/>
    <s v="MOP"/>
    <m/>
    <m/>
    <m/>
    <s v="LD Morazán - Dv Bolívar (Ruta Militar)"/>
    <s v="Rehabilitación y/o Reconstrucción"/>
    <s v="Morazán, Bolivar"/>
    <n v="4215"/>
    <s v="Porcentaje de proyecto finalizado/100"/>
    <n v="0"/>
    <m/>
    <m/>
    <n v="0.25"/>
    <m/>
    <m/>
    <m/>
    <m/>
    <m/>
    <m/>
    <m/>
    <m/>
    <m/>
    <m/>
    <n v="1.8455611999999963"/>
    <n v="0.21232119999999957"/>
    <n v="1.6332399999999967"/>
    <s v="Se ha considerado un 13% de aporte nacional correspondiente al impuesto al valor agregado."/>
    <x v="13"/>
    <s v="MOP"/>
    <n v="64"/>
    <m/>
  </r>
  <r>
    <x v="0"/>
    <x v="2"/>
    <s v="1.11"/>
    <x v="10"/>
    <s v="MOP"/>
    <m/>
    <m/>
    <m/>
    <s v="Dv Bolívar - Santa Rosa de Lima (Ruta Militar)"/>
    <s v="Rehabilitación y/o Reconstrucción"/>
    <s v="Morazán, Santa Rosa de Lima"/>
    <n v="27693"/>
    <s v="Porcentaje de proyecto finalizado/100"/>
    <n v="0"/>
    <m/>
    <m/>
    <n v="0.25"/>
    <m/>
    <m/>
    <m/>
    <m/>
    <m/>
    <m/>
    <m/>
    <m/>
    <m/>
    <m/>
    <n v="4.5387580000000067"/>
    <n v="0.52215800000000079"/>
    <n v="4.0166000000000057"/>
    <s v="Se ha considerado un 13% de aporte nacional correspondiente al impuesto al valor agregado."/>
    <x v="13"/>
    <s v="MOP"/>
    <n v="65"/>
    <m/>
  </r>
  <r>
    <x v="0"/>
    <x v="2"/>
    <s v="1.11"/>
    <x v="10"/>
    <s v="MOP"/>
    <m/>
    <m/>
    <m/>
    <s v="Santa Rosa de Lima - Dv Anamorós (Ruta Militar)"/>
    <s v="Rehabilitación y/o Reconstrucción"/>
    <s v="Morazán, Santa Rosa de Lima"/>
    <n v="27693"/>
    <s v="Porcentaje de proyecto finalizado/100"/>
    <n v="0"/>
    <m/>
    <m/>
    <n v="0.25"/>
    <m/>
    <m/>
    <m/>
    <m/>
    <m/>
    <m/>
    <m/>
    <m/>
    <m/>
    <m/>
    <n v="1.8996655999999978"/>
    <n v="0.21854559999999976"/>
    <n v="1.6811199999999982"/>
    <s v="Se ha considerado un 13% de aporte nacional correspondiente al impuesto al valor agregado."/>
    <x v="13"/>
    <s v="MOP"/>
    <n v="66"/>
    <m/>
  </r>
  <r>
    <x v="0"/>
    <x v="2"/>
    <s v="1.11"/>
    <x v="10"/>
    <s v="MOP"/>
    <m/>
    <m/>
    <m/>
    <s v="Dv Anamorós - CA01E (Agua Salada) (Ruta Militar)"/>
    <s v="Rehabilitación y/o Reconstrucción"/>
    <s v="Morazán, Anamoros"/>
    <n v="14551"/>
    <s v="Porcentaje de proyecto finalizado/100"/>
    <n v="0"/>
    <m/>
    <m/>
    <n v="0.25"/>
    <m/>
    <m/>
    <m/>
    <m/>
    <m/>
    <m/>
    <m/>
    <m/>
    <m/>
    <m/>
    <n v="3.6790992000000027"/>
    <n v="0.42325920000000034"/>
    <n v="3.2558400000000023"/>
    <s v="Se ha considerado un 13% de aporte nacional correspondiente al impuesto al valor agregado."/>
    <x v="13"/>
    <s v="MOP"/>
    <n v="67"/>
    <m/>
  </r>
  <r>
    <x v="0"/>
    <x v="2"/>
    <s v="1.11"/>
    <x v="10"/>
    <s v="MOP"/>
    <m/>
    <m/>
    <m/>
    <s v="MEJORAMIENTO CAMINO RURAL SAN19W, TRAMO: ENTRE CA12N - MASAHUAT. SANTA ANA."/>
    <s v="Mejoramiento"/>
    <s v="Santa Ana, Masahuat"/>
    <n v="3393"/>
    <s v="Porcentaje de proyecto finalizado/100"/>
    <n v="0"/>
    <m/>
    <m/>
    <n v="0.25"/>
    <m/>
    <m/>
    <m/>
    <m/>
    <m/>
    <m/>
    <m/>
    <m/>
    <m/>
    <m/>
    <n v="7.6166971999999991"/>
    <n v="0.87625719999999996"/>
    <n v="6.7404399999999995"/>
    <s v="Se ha considerado un 13% de aporte nacional correspondiente al impuesto al valor agregado."/>
    <x v="13"/>
    <s v="MOP"/>
    <n v="68"/>
    <m/>
  </r>
  <r>
    <x v="0"/>
    <x v="2"/>
    <s v="1.11"/>
    <x v="10"/>
    <s v="MOP"/>
    <m/>
    <m/>
    <m/>
    <s v="Mejoramiento camino terciario SAL11N, tramo Venecia - san José cortés - carretera Troncal Norte, municipios de Soyapango y ciudad delgado"/>
    <s v="Mejoramiento"/>
    <s v="San Salvador, Soyapango"/>
    <n v="241403"/>
    <s v="Porcentaje de proyecto finalizado/100"/>
    <n v="0"/>
    <m/>
    <m/>
    <n v="0.25"/>
    <m/>
    <m/>
    <m/>
    <m/>
    <m/>
    <m/>
    <m/>
    <m/>
    <m/>
    <m/>
    <n v="1.1467127000000001"/>
    <n v="0.1319227"/>
    <n v="1.0147900000000001"/>
    <s v="Se ha considerado un 13% de aporte nacional correspondiente al impuesto al valor agregado."/>
    <x v="13"/>
    <s v="MOP"/>
    <n v="69"/>
    <m/>
  </r>
  <r>
    <x v="0"/>
    <x v="2"/>
    <s v="1.11"/>
    <x v="10"/>
    <s v="MOP"/>
    <m/>
    <m/>
    <m/>
    <s v="Segunda Fase: Sistema Integrado de Transporte del Área Metropolitana de San Salvador (SITRAMSS)"/>
    <s v="Sistema de Transporte"/>
    <s v="San Salvador"/>
    <n v="316090"/>
    <s v="Porcentaje de proyecto finalizado/100"/>
    <n v="0"/>
    <m/>
    <m/>
    <n v="0.25"/>
    <m/>
    <m/>
    <m/>
    <m/>
    <m/>
    <m/>
    <m/>
    <m/>
    <m/>
    <m/>
    <n v="84.75"/>
    <n v="9.75"/>
    <n v="75"/>
    <s v="Se ha considerado un 13% de aporte nacional correspondiente al impuesto al valor agregado."/>
    <x v="13"/>
    <s v="MOP"/>
    <n v="70"/>
    <m/>
  </r>
  <r>
    <x v="0"/>
    <x v="2"/>
    <s v="1.11"/>
    <x v="10"/>
    <s v="MOP"/>
    <m/>
    <m/>
    <m/>
    <s v="REHABILITACIÓN SAL 03E - SAL 38E: CONEXION PROLONGACION AUTOPISTA NORTE - UNICENTRO SOYAPANGO "/>
    <s v="Rehabilitacion"/>
    <s v="San Salvador"/>
    <n v="316090"/>
    <s v="Porcentaje de proyecto finalizado/100"/>
    <n v="0"/>
    <m/>
    <m/>
    <n v="0.25"/>
    <m/>
    <m/>
    <m/>
    <m/>
    <m/>
    <m/>
    <m/>
    <m/>
    <m/>
    <m/>
    <n v="4.1923000000000004"/>
    <n v="0.48230000000000001"/>
    <n v="3.71"/>
    <s v="Se ha considerado un 13% de aporte nacional correspondiente al impuesto al valor agregado."/>
    <x v="13"/>
    <s v="MOP"/>
    <n v="71"/>
    <m/>
  </r>
  <r>
    <x v="0"/>
    <x v="2"/>
    <s v="1.11"/>
    <x v="10"/>
    <s v="MOP"/>
    <m/>
    <m/>
    <m/>
    <s v="REHABILITACIÓN SAL 03E :UNICENTRO SOYAPANGO HASTA INTERCAMBIADOR CON  BOULEVARD SAN BARTOLO"/>
    <s v="Rehabilitacion"/>
    <s v="San Salvador"/>
    <n v="316090"/>
    <s v="Porcentaje de proyecto finalizado/100"/>
    <n v="0"/>
    <m/>
    <m/>
    <n v="0.25"/>
    <m/>
    <m/>
    <m/>
    <m/>
    <m/>
    <m/>
    <m/>
    <m/>
    <m/>
    <m/>
    <n v="8.9834999999999994"/>
    <n v="1.0335000000000001"/>
    <n v="7.95"/>
    <s v="Se ha considerado un 13% de aporte nacional correspondiente al impuesto al valor agregado."/>
    <x v="13"/>
    <s v="MOP"/>
    <n v="72"/>
    <m/>
  </r>
  <r>
    <x v="0"/>
    <x v="2"/>
    <s v="1.11"/>
    <x v="10"/>
    <s v="MOP"/>
    <m/>
    <m/>
    <m/>
    <s v="Mejoramiento de Redondel ubicado sobre  Autopista Este - Oeste en Interseccion con la 4 Av. Norte - Sur (Soyapango), a la altura de Centro Comercial de Unicentro"/>
    <s v="Rehabilitacion"/>
    <s v="San Salvador"/>
    <n v="316090"/>
    <s v="Porcentaje de proyecto finalizado/100"/>
    <n v="0"/>
    <m/>
    <m/>
    <n v="0.25"/>
    <m/>
    <m/>
    <m/>
    <m/>
    <m/>
    <m/>
    <m/>
    <m/>
    <m/>
    <m/>
    <n v="3.0058000000000002"/>
    <n v="0.34580000000000005"/>
    <n v="2.66"/>
    <s v="Se ha considerado un 13% de aporte nacional correspondiente al impuesto al valor agregado."/>
    <x v="13"/>
    <s v="MOP"/>
    <n v="73"/>
    <m/>
  </r>
  <r>
    <x v="0"/>
    <x v="2"/>
    <s v="1.11"/>
    <x v="10"/>
    <s v="MARN"/>
    <m/>
    <m/>
    <m/>
    <s v="Directrices de zonificación ambiental (ZAUS) y lineamientos de actuación a diferentes escalas."/>
    <s v="Contar con ZAUS para la zona metropolitana de SS, Franja Costero-Marina, Nor oriente de Chalatenango, Volcán de San Miguel y Municipio de Metapán para ser aplicadas en el cambio de uso de suelo, garantizando la sustentabilidad de las inversiones."/>
    <s v="Municipios de la zona metropolitana de SS, municipios integrantes de la Asociación Municipal CAYAGUANCA en el nororiente de Chalatenagno, municipios comprendidos en la franja costero marina, muncipios en el radio del volcan de San Miguel, municipios de la region Los Nonualcos y municipios de AMUSDELI y municipio de Metapán."/>
    <s v="Muncipios de zona metropolitana de SS, de las Asociaciones de CAYAGUANCA, LOS NONUALCOS y AMUSDELI, de la Franja Costero Marina, del volcan de San Miguel y del muncipio de Metapan."/>
    <s v="ZAUS implementadas"/>
    <m/>
    <m/>
    <m/>
    <m/>
    <m/>
    <m/>
    <m/>
    <m/>
    <m/>
    <m/>
    <m/>
    <m/>
    <m/>
    <m/>
    <m/>
    <m/>
    <m/>
    <s v="Este es el contexto para el desarrollo de las estrategia y acciones para restauracion de ecosistemas y paisajes."/>
    <x v="4"/>
    <s v="MARN"/>
    <n v="74"/>
    <m/>
  </r>
  <r>
    <x v="0"/>
    <x v="2"/>
    <s v="1.11"/>
    <x v="10"/>
    <s v="MOP"/>
    <m/>
    <m/>
    <m/>
    <s v="Ampliación de la carretera CA04S, Tramo II: entre Km. 22.36 (Salida Sur de Zaragoza) - Km. 31.86 (Inicio By Pass de La Libertad), Departamento de La Libertad"/>
    <s v="Ampliación de carretera"/>
    <s v="Zaragoza, La Libertad"/>
    <n v="22525"/>
    <s v="Número de proyectos por año"/>
    <m/>
    <m/>
    <m/>
    <n v="1"/>
    <m/>
    <m/>
    <m/>
    <m/>
    <m/>
    <m/>
    <m/>
    <m/>
    <m/>
    <m/>
    <n v="55.260000000000005"/>
    <n v="55.260000000000005"/>
    <n v="0"/>
    <s v="Convenio de Préstamo negociado, a la espera de dictámen de la Asamblea Legislativa."/>
    <x v="13"/>
    <s v="MOP"/>
    <n v="75"/>
    <m/>
  </r>
  <r>
    <x v="0"/>
    <x v="2"/>
    <s v="1.11"/>
    <x v="10"/>
    <s v="MOP"/>
    <m/>
    <m/>
    <m/>
    <s v="Ampliación de la carretera CA04S, Tramo III: Construcción By Pass de La Libertad, Entre Km. 31.86 (Carretera CA04S) - Km. 35 (Carretera CA02W), Departamento de La Libertad"/>
    <s v="Ampliación de carretera"/>
    <s v="Zaragoza, La Libertad"/>
    <n v="22525"/>
    <s v="Número de proyectos por año"/>
    <m/>
    <m/>
    <m/>
    <n v="1"/>
    <m/>
    <m/>
    <m/>
    <m/>
    <m/>
    <m/>
    <m/>
    <m/>
    <m/>
    <m/>
    <n v="71.430000000000007"/>
    <n v="71.430000000000007"/>
    <n v="0"/>
    <s v="Convenio de Préstamo negociado, a la espera de dictámen de la Asamblea Legislativa."/>
    <x v="13"/>
    <s v="MOP"/>
    <n v="76"/>
    <m/>
  </r>
  <r>
    <x v="0"/>
    <x v="2"/>
    <s v="1.11"/>
    <x v="10"/>
    <s v="MOP"/>
    <m/>
    <m/>
    <m/>
    <s v="Rehabilitación Carretera CA01E, Tramo: Sirama - Desvío a Santa Rosa de Lima, Municipios de La Unión, San Alejo y Pasaquina, Departamento de La Unión."/>
    <s v="Rehabilitación de Carretera"/>
    <s v="La Unión, San Alejo, Pasaquina, La Unión"/>
    <n v="68018"/>
    <s v="Número de proyectos por año"/>
    <m/>
    <m/>
    <m/>
    <n v="1"/>
    <m/>
    <m/>
    <m/>
    <m/>
    <m/>
    <m/>
    <m/>
    <m/>
    <m/>
    <m/>
    <n v="31.73"/>
    <n v="31.73"/>
    <n v="0"/>
    <s v="Convenio de Préstamo negociado, a la espera de dictámen de la Asamblea Legislativa."/>
    <x v="13"/>
    <s v="MOP"/>
    <n v="77"/>
    <m/>
  </r>
  <r>
    <x v="0"/>
    <x v="2"/>
    <s v="1.11"/>
    <x v="10"/>
    <s v="MOP"/>
    <m/>
    <m/>
    <m/>
    <s v="Ampliación de Carretera CA02, Tramo Zacatecoluca - San Marcos Lempa, Departamentos de La Paz y San Vicente"/>
    <s v="Ampliación de carretera"/>
    <s v="Zacatecoluca, San Marcos Lempa, La Paz y San Vicente"/>
    <n v="65826"/>
    <s v="Número de proyectos por año"/>
    <m/>
    <m/>
    <m/>
    <n v="1"/>
    <m/>
    <m/>
    <m/>
    <m/>
    <m/>
    <m/>
    <m/>
    <m/>
    <m/>
    <m/>
    <n v="83.26"/>
    <n v="83.26"/>
    <n v="0"/>
    <s v="Convenio de Préstamo negociado, a la espera de dictámen de la Asamblea Legislativa."/>
    <x v="13"/>
    <s v="MOP"/>
    <n v="78"/>
    <m/>
  </r>
  <r>
    <x v="0"/>
    <x v="2"/>
    <s v="1.11"/>
    <x v="10"/>
    <s v="MOP"/>
    <m/>
    <m/>
    <m/>
    <s v="Mejoramiento de Camino Terciario UNI08S, Tramo CORSAIN-Las Playitas, Municipio de La Unión, Departamento de La Unión"/>
    <s v="Ampliación de carretera"/>
    <s v="La Unión, La Unión "/>
    <n v="34075"/>
    <s v="Número de proyectos por año"/>
    <m/>
    <m/>
    <m/>
    <n v="1"/>
    <m/>
    <m/>
    <m/>
    <m/>
    <m/>
    <m/>
    <m/>
    <m/>
    <m/>
    <m/>
    <n v="4.1500000000000004"/>
    <n v="4.1500000000000004"/>
    <n v="0"/>
    <s v="Convenio de Préstamo negociado, a la espera de dictámen de la Asamblea Legislativa."/>
    <x v="13"/>
    <s v="MOP"/>
    <n v="79"/>
    <m/>
  </r>
  <r>
    <x v="0"/>
    <x v="2"/>
    <s v="1.11"/>
    <x v="10"/>
    <s v="MOP"/>
    <m/>
    <m/>
    <m/>
    <s v="Reconstrucción Camino Rural USU08S, Tramo CA02E (Desvío San Marcos Lempa) - La Canoa, Municipio de Jiquilisco; Departamento de Usulután."/>
    <s v="Ampliación de carretera"/>
    <s v="Jiquilisco, Usulután "/>
    <n v="47784"/>
    <s v="Número de proyectos por año"/>
    <m/>
    <m/>
    <m/>
    <n v="1"/>
    <m/>
    <m/>
    <m/>
    <m/>
    <m/>
    <m/>
    <m/>
    <m/>
    <m/>
    <m/>
    <n v="10"/>
    <n v="10"/>
    <n v="0"/>
    <s v="Convenio de Préstamo negociado, a la espera de dictámen de la Asamblea Legislativa."/>
    <x v="13"/>
    <s v="MOP"/>
    <n v="80"/>
    <m/>
  </r>
  <r>
    <x v="0"/>
    <x v="2"/>
    <s v="1.11"/>
    <x v="10"/>
    <s v="MOP"/>
    <m/>
    <m/>
    <m/>
    <s v="Muelle Zacatillo (Atracadero)"/>
    <s v="Construcción de muelles"/>
    <s v="La Unión"/>
    <n v="34075"/>
    <s v="Número de proyectos por año"/>
    <m/>
    <m/>
    <m/>
    <n v="1"/>
    <m/>
    <m/>
    <m/>
    <m/>
    <m/>
    <m/>
    <m/>
    <m/>
    <m/>
    <m/>
    <n v="0.7"/>
    <n v="0.7"/>
    <n v="0"/>
    <s v="Convenio de Préstamo negociado, a la espera de dictámen de la Asamblea Legislativa."/>
    <x v="13"/>
    <s v="MOP"/>
    <n v="81"/>
    <m/>
  </r>
  <r>
    <x v="0"/>
    <x v="2"/>
    <s v="1.11"/>
    <x v="10"/>
    <s v="MOP"/>
    <m/>
    <m/>
    <m/>
    <s v="Muelle Cochaguita (Atracadero)"/>
    <s v="Construcción de muelles"/>
    <s v="La Unión"/>
    <n v="34075"/>
    <s v="Número de proyectos por año"/>
    <m/>
    <m/>
    <m/>
    <n v="1"/>
    <m/>
    <m/>
    <m/>
    <m/>
    <m/>
    <m/>
    <m/>
    <m/>
    <m/>
    <m/>
    <n v="0.5"/>
    <n v="0.5"/>
    <n v="0"/>
    <s v="Convenio de Préstamo negociado, a la espera de dictámen de la Asamblea Legislativa."/>
    <x v="13"/>
    <s v="MOP"/>
    <n v="82"/>
    <m/>
  </r>
  <r>
    <x v="0"/>
    <x v="2"/>
    <s v="1.11"/>
    <x v="10"/>
    <s v="MOP"/>
    <m/>
    <m/>
    <m/>
    <s v="Muelle Punta Chiquirín (Atracadero)"/>
    <s v="Construcción de muelles"/>
    <s v="La Unión"/>
    <n v="34075"/>
    <s v="Número de proyectos por año"/>
    <m/>
    <m/>
    <m/>
    <n v="1"/>
    <m/>
    <m/>
    <m/>
    <m/>
    <m/>
    <m/>
    <m/>
    <m/>
    <m/>
    <m/>
    <n v="0.7"/>
    <n v="0.7"/>
    <n v="0"/>
    <s v="Convenio de Préstamo negociado, a la espera de dictámen de la Asamblea Legislativa."/>
    <x v="13"/>
    <s v="MOP"/>
    <n v="83"/>
    <m/>
  </r>
  <r>
    <x v="0"/>
    <x v="2"/>
    <s v="1.11"/>
    <x v="10"/>
    <s v="MOP"/>
    <m/>
    <m/>
    <m/>
    <s v="Muelle Acajutla"/>
    <s v="Construcción de muelles"/>
    <s v="Acajutla, La Libertad"/>
    <n v="238217"/>
    <s v="Número de proyectos por año"/>
    <m/>
    <m/>
    <m/>
    <n v="1"/>
    <m/>
    <m/>
    <m/>
    <m/>
    <m/>
    <m/>
    <m/>
    <m/>
    <m/>
    <m/>
    <n v="2.5"/>
    <n v="2.5"/>
    <n v="0"/>
    <s v="Convenio de Préstamo negociado, a la espera de dictámen de la Asamblea Legislativa."/>
    <x v="13"/>
    <s v="MOP"/>
    <n v="84"/>
    <m/>
  </r>
  <r>
    <x v="0"/>
    <x v="2"/>
    <s v="1.11"/>
    <x v="10"/>
    <s v="MOP"/>
    <m/>
    <m/>
    <m/>
    <s v="Malecon La Unión"/>
    <s v="Construcción de muelles"/>
    <s v="La Unión, La Unión "/>
    <n v="34075"/>
    <s v="Número de proyectos por año"/>
    <m/>
    <m/>
    <m/>
    <n v="1"/>
    <m/>
    <m/>
    <m/>
    <m/>
    <m/>
    <m/>
    <m/>
    <m/>
    <m/>
    <m/>
    <n v="1.1000000000000001"/>
    <n v="1.1000000000000001"/>
    <n v="0"/>
    <s v="Convenio de Préstamo negociado, a la espera de dictámen de la Asamblea Legislativa."/>
    <x v="13"/>
    <s v="MOP"/>
    <n v="85"/>
    <m/>
  </r>
  <r>
    <x v="0"/>
    <x v="2"/>
    <s v="1.11"/>
    <x v="10"/>
    <s v="MOP"/>
    <m/>
    <m/>
    <m/>
    <s v="Infraestructura Productiva de uso común"/>
    <m/>
    <m/>
    <m/>
    <s v="Número de proyectos por año"/>
    <m/>
    <m/>
    <m/>
    <m/>
    <m/>
    <m/>
    <m/>
    <m/>
    <m/>
    <m/>
    <m/>
    <m/>
    <m/>
    <m/>
    <n v="1.45"/>
    <n v="1.45"/>
    <n v="0"/>
    <s v="Convenio de Préstamo negociado, a la espera de dictámen de la Asamblea Legislativa."/>
    <x v="13"/>
    <s v="MOP"/>
    <n v="86"/>
    <m/>
  </r>
  <r>
    <x v="0"/>
    <x v="2"/>
    <s v="1.11"/>
    <x v="10"/>
    <s v="MOP"/>
    <m/>
    <m/>
    <m/>
    <s v="Plantas de aguas"/>
    <m/>
    <m/>
    <m/>
    <s v="Número de proyectos por año"/>
    <m/>
    <m/>
    <m/>
    <m/>
    <m/>
    <m/>
    <m/>
    <m/>
    <m/>
    <m/>
    <m/>
    <m/>
    <m/>
    <m/>
    <n v="0.3"/>
    <n v="0.3"/>
    <n v="0"/>
    <s v="Convenio de Préstamo negociado, a la espera de dictámen de la Asamblea Legislativa."/>
    <x v="13"/>
    <s v="MOP"/>
    <n v="87"/>
    <m/>
  </r>
  <r>
    <x v="0"/>
    <x v="2"/>
    <s v="1.11"/>
    <x v="10"/>
    <s v="MOP"/>
    <m/>
    <m/>
    <m/>
    <s v="Mejoramiento de Camino Rural MOR 13W, Tramo: Municipio San Simón - Municipio San Isidro, Departamento de Morazán"/>
    <s v="Mejoramiento"/>
    <s v="San Simón, San Isidro, Morazán"/>
    <n v="12906"/>
    <s v="Número de proyectos por año"/>
    <m/>
    <m/>
    <m/>
    <n v="1"/>
    <m/>
    <m/>
    <m/>
    <m/>
    <m/>
    <m/>
    <m/>
    <m/>
    <m/>
    <m/>
    <n v="4.2646056300000001"/>
    <n v="4.2646056300000001"/>
    <n v="0"/>
    <s v="Convenio de Préstamo negociado, a la espera de dictámen de la Asamblea Legislativa."/>
    <x v="13"/>
    <s v="MOP"/>
    <n v="88"/>
    <m/>
  </r>
  <r>
    <x v="0"/>
    <x v="2"/>
    <s v="1.11"/>
    <x v="10"/>
    <s v="MOP"/>
    <m/>
    <m/>
    <m/>
    <s v="Mejoramiento de Camino Rural SAM33, Tramo: Cantón San Antonio - Cantón El Carrizal, Departamentos de San Miguel y Morazán"/>
    <s v="Mejoramiento"/>
    <s v="San Miguel, Morazán"/>
    <n v="392816"/>
    <s v="Número de proyectos por año"/>
    <m/>
    <m/>
    <m/>
    <n v="1"/>
    <m/>
    <m/>
    <m/>
    <m/>
    <m/>
    <m/>
    <m/>
    <m/>
    <m/>
    <m/>
    <n v="3.4500117000000001"/>
    <n v="3.4500117000000001"/>
    <n v="0"/>
    <s v="Convenio de Préstamo negociado, a la espera de dictámen de la Asamblea Legislativa."/>
    <x v="13"/>
    <s v="MOP"/>
    <n v="89"/>
    <m/>
  </r>
  <r>
    <x v="0"/>
    <x v="2"/>
    <s v="1.11"/>
    <x v="10"/>
    <s v="MOP"/>
    <m/>
    <m/>
    <m/>
    <s v="Pavimentación Tramo: Caserío El Mozote (MOR 15W) - Caserío Altomiro, Departamento de Morazán"/>
    <s v="Mejoramiento"/>
    <s v="Morazán, Morazán"/>
    <n v="174406"/>
    <s v="Número de proyectos por año"/>
    <m/>
    <m/>
    <m/>
    <n v="1"/>
    <m/>
    <m/>
    <m/>
    <m/>
    <m/>
    <m/>
    <m/>
    <m/>
    <m/>
    <m/>
    <n v="1.875"/>
    <n v="1.875"/>
    <n v="0"/>
    <s v="Convenio de Préstamo negociado, a la espera de dictámen de la Asamblea Legislativa."/>
    <x v="13"/>
    <s v="MOP"/>
    <n v="90"/>
    <m/>
  </r>
  <r>
    <x v="0"/>
    <x v="2"/>
    <s v="1.11"/>
    <x v="10"/>
    <s v="MOP"/>
    <m/>
    <m/>
    <m/>
    <s v="Mejoramiento de Calle entre Municipio de Chalatenango - Las Vueltas, Departamento de Chalatenango"/>
    <s v="Mejoramiento"/>
    <s v="Chalatenango, Las Vuelatas, Chalatenango"/>
    <n v="30211"/>
    <s v="Número de proyectos por año"/>
    <m/>
    <m/>
    <m/>
    <n v="1"/>
    <m/>
    <m/>
    <m/>
    <m/>
    <m/>
    <m/>
    <m/>
    <m/>
    <m/>
    <m/>
    <n v="2.1074999999999999"/>
    <n v="2.1074999999999999"/>
    <n v="0"/>
    <s v="Convenio de Préstamo negociado, a la espera de dictámen de la Asamblea Legislativa."/>
    <x v="13"/>
    <s v="MOP"/>
    <n v="91"/>
    <m/>
  </r>
  <r>
    <x v="0"/>
    <x v="2"/>
    <s v="1.11"/>
    <x v="10"/>
    <s v="MOP"/>
    <m/>
    <m/>
    <m/>
    <s v="Mejoramiento Camino Rural CHA08S San Jose Cancasque - Potonico, Departamento de Chalatenango"/>
    <s v="Mejoramiento"/>
    <s v="San José Cancasque, Potonico, Chalatenango"/>
    <n v="3337"/>
    <s v="Número de proyectos por año"/>
    <m/>
    <m/>
    <m/>
    <n v="1"/>
    <m/>
    <m/>
    <m/>
    <m/>
    <m/>
    <m/>
    <m/>
    <m/>
    <m/>
    <m/>
    <n v="1.55"/>
    <n v="1.55"/>
    <n v="0"/>
    <s v="Convenio de Préstamo negociado, a la espera de dictámen de la Asamblea Legislativa."/>
    <x v="13"/>
    <s v="MOP"/>
    <n v="92"/>
    <m/>
  </r>
  <r>
    <x v="0"/>
    <x v="2"/>
    <s v="1.11"/>
    <x v="10"/>
    <s v="MOP"/>
    <m/>
    <m/>
    <m/>
    <s v="Mejoramiento de Camino Rural, Municipio de Victoria, Santa Marta, El Zapote, Departamento de Cabañas"/>
    <s v="Mejoramiento"/>
    <s v="Victoria, Santa Marta, El Zapote, Cabañas"/>
    <n v="12626"/>
    <s v="Número de proyectos por año"/>
    <m/>
    <m/>
    <m/>
    <n v="1"/>
    <m/>
    <m/>
    <m/>
    <m/>
    <m/>
    <m/>
    <m/>
    <m/>
    <m/>
    <m/>
    <n v="2.0750000000000002"/>
    <n v="2.0750000000000002"/>
    <n v="0"/>
    <s v="Convenio de Préstamo negociado, a la espera de dictámen de la Asamblea Legislativa."/>
    <x v="13"/>
    <s v="MOP"/>
    <n v="93"/>
    <m/>
  </r>
  <r>
    <x v="0"/>
    <x v="2"/>
    <s v="1.11"/>
    <x v="10"/>
    <s v="MOP"/>
    <m/>
    <m/>
    <m/>
    <s v="Mejoramiento de Camino Rural Calle Antigua Usulután, Santa Maria, Santa Elena, Departamento de Usulután"/>
    <s v="Mejoramiento"/>
    <s v="Usulután, Santa María, Santa Elena, Usulután."/>
    <n v="101137"/>
    <s v="Número de proyectos por año"/>
    <m/>
    <m/>
    <m/>
    <n v="1"/>
    <m/>
    <m/>
    <m/>
    <m/>
    <m/>
    <m/>
    <m/>
    <m/>
    <m/>
    <m/>
    <n v="0.9375"/>
    <n v="0.9375"/>
    <n v="0"/>
    <s v="Convenio de Préstamo negociado, a la espera de dictámen de la Asamblea Legislativa."/>
    <x v="13"/>
    <s v="MOP"/>
    <n v="94"/>
    <m/>
  </r>
  <r>
    <x v="0"/>
    <x v="2"/>
    <s v="1.11"/>
    <x v="10"/>
    <s v="MOP"/>
    <m/>
    <m/>
    <m/>
    <s v="Camino Rural Tapalhuaca-San Francisco Chinameca, Departamento de La Paz"/>
    <s v="Mejoramiento"/>
    <s v="Chinameca, La Paz"/>
    <n v="22311"/>
    <s v="Número de proyectos por año"/>
    <m/>
    <m/>
    <m/>
    <n v="1"/>
    <m/>
    <m/>
    <m/>
    <m/>
    <m/>
    <m/>
    <m/>
    <m/>
    <m/>
    <m/>
    <n v="2.448"/>
    <n v="2.448"/>
    <n v="0"/>
    <s v="Convenio de Préstamo negociado, a la espera de dictámen de la Asamblea Legislativa."/>
    <x v="13"/>
    <s v="MOP"/>
    <n v="95"/>
    <m/>
  </r>
  <r>
    <x v="0"/>
    <x v="2"/>
    <s v="1.11"/>
    <x v="10"/>
    <s v="MOP"/>
    <m/>
    <m/>
    <m/>
    <s v="Mejoramiento Camino Rural SAN16N, Tramo: ET. RN13W - El Coco - Chalchuapa Departamento de Santa Ana"/>
    <s v="Mejoramiento"/>
    <s v="Chalchuapa, Santa Ana "/>
    <n v="74038"/>
    <s v="Número de proyectos por año"/>
    <m/>
    <m/>
    <m/>
    <n v="1"/>
    <m/>
    <m/>
    <m/>
    <m/>
    <m/>
    <m/>
    <m/>
    <m/>
    <m/>
    <m/>
    <n v="6.8520000000000003"/>
    <n v="6.8520000000000003"/>
    <n v="0"/>
    <s v="Convenio de Préstamo negociado, a la espera de dictámen de la Asamblea Legislativa."/>
    <x v="13"/>
    <s v="MOP"/>
    <n v="96"/>
    <m/>
  </r>
  <r>
    <x v="0"/>
    <x v="2"/>
    <s v="1.11"/>
    <x v="10"/>
    <s v="MOP"/>
    <m/>
    <m/>
    <m/>
    <s v="Mejoramiento de Camino Rural PAZ18W/PAZ21S, Tramo: Entre Verapaz y Mercedes La Ceiba y Ramal Entre SA18W y Jerusalen, Departamento de La Paz."/>
    <s v="Mejoramiento"/>
    <s v="Verapaz, Mercedes La Ceiba, Jerusalen, La Paz"/>
    <n v="9464"/>
    <s v="Número de proyectos por año"/>
    <m/>
    <m/>
    <m/>
    <n v="1"/>
    <m/>
    <m/>
    <m/>
    <m/>
    <m/>
    <m/>
    <m/>
    <m/>
    <m/>
    <m/>
    <n v="1.7350000000000001"/>
    <n v="1.7350000000000001"/>
    <n v="0"/>
    <s v="Convenio de Préstamo negociado, a la espera de dictámen de la Asamblea Legislativa."/>
    <x v="13"/>
    <s v="MOP"/>
    <n v="97"/>
    <m/>
  </r>
  <r>
    <x v="0"/>
    <x v="2"/>
    <s v="1.11"/>
    <x v="10"/>
    <s v="MOP"/>
    <m/>
    <m/>
    <m/>
    <s v="Apertura y Mejoramiento de Calle La Cañada-Arcatao. Chalatenango"/>
    <s v="Apertura y mejoramiento"/>
    <s v="Arcatao, Chalatenango"/>
    <n v="2946"/>
    <s v="Número de proyectos por año"/>
    <m/>
    <m/>
    <m/>
    <n v="1"/>
    <m/>
    <m/>
    <m/>
    <m/>
    <m/>
    <m/>
    <m/>
    <m/>
    <m/>
    <m/>
    <n v="2.706"/>
    <n v="2.706"/>
    <n v="0"/>
    <s v="Convenio de Préstamo negociado, a la espera de dictámen de la Asamblea Legislativa."/>
    <x v="13"/>
    <s v="MOP"/>
    <n v="98"/>
    <m/>
  </r>
  <r>
    <x v="0"/>
    <x v="2"/>
    <s v="1.11"/>
    <x v="10"/>
    <s v="MOP"/>
    <m/>
    <m/>
    <m/>
    <s v="Mejoramiento tramo CA02 - el Icacal , Municipio de Intipuca, La Union"/>
    <s v="Obra Vial"/>
    <s v="Intipuca"/>
    <n v="7567"/>
    <s v="Porcentaje de proyecto finalizado/100"/>
    <n v="0"/>
    <m/>
    <m/>
    <n v="0.25"/>
    <m/>
    <m/>
    <m/>
    <m/>
    <m/>
    <m/>
    <m/>
    <m/>
    <m/>
    <m/>
    <n v="7.3675999999999995"/>
    <n v="0.84760000000000002"/>
    <n v="6.52"/>
    <s v="Se ha considerado un 13% de aporte nacional correspondiente al impuesto al valor agregado."/>
    <x v="13"/>
    <s v="MOP"/>
    <n v="99"/>
    <m/>
  </r>
  <r>
    <x v="0"/>
    <x v="2"/>
    <s v="1.11"/>
    <x v="10"/>
    <s v="MOP"/>
    <m/>
    <m/>
    <m/>
    <s v="Mejoramiento camino rural San José Guayabal - Suchitoto CUS22 "/>
    <s v="Obra Vial"/>
    <s v=" San José Guayabal"/>
    <n v="9300"/>
    <s v="Porcentaje de proyecto finalizado/100"/>
    <n v="0"/>
    <m/>
    <m/>
    <n v="0.25"/>
    <m/>
    <m/>
    <m/>
    <m/>
    <m/>
    <m/>
    <m/>
    <m/>
    <m/>
    <m/>
    <n v="7.8874000000000004"/>
    <n v="0.9074000000000001"/>
    <n v="6.98"/>
    <s v="Se ha considerado un 13% de aporte nacional correspondiente al impuesto al valor agregado."/>
    <x v="13"/>
    <s v="MOP"/>
    <n v="100"/>
    <m/>
  </r>
  <r>
    <x v="0"/>
    <x v="2"/>
    <s v="1.11"/>
    <x v="10"/>
    <s v="MOP"/>
    <m/>
    <m/>
    <m/>
    <s v="Mejoramiento USU25S Tramo: CA02 - San Agustín - Berlín, Departamento de Usulután"/>
    <s v="Obra Vial"/>
    <s v="Berlín"/>
    <n v="17787"/>
    <s v="Porcentaje de proyecto finalizado/100"/>
    <n v="0"/>
    <m/>
    <m/>
    <n v="0.25"/>
    <m/>
    <m/>
    <m/>
    <m/>
    <m/>
    <m/>
    <m/>
    <m/>
    <m/>
    <m/>
    <n v="13.221"/>
    <n v="1.5209999999999999"/>
    <n v="11.7"/>
    <s v="Se ha considerado un 13% de aporte nacional correspondiente al impuesto al valor agregado."/>
    <x v="13"/>
    <s v="MOP"/>
    <n v="101"/>
    <m/>
  </r>
  <r>
    <x v="0"/>
    <x v="2"/>
    <s v="1.11"/>
    <x v="10"/>
    <s v="MOP"/>
    <m/>
    <m/>
    <m/>
    <s v="MEJORAMIENTO CAMINO RURAL SAN23E/CHA30E: METAPAN - CITALA Etapa 1 (4 Km)"/>
    <s v="Obra Vial"/>
    <s v="Metapán - Citala"/>
    <n v="63168"/>
    <s v="Porcentaje de proyecto finalizado/100"/>
    <n v="0"/>
    <m/>
    <m/>
    <n v="0.25"/>
    <m/>
    <m/>
    <m/>
    <m/>
    <m/>
    <m/>
    <m/>
    <m/>
    <m/>
    <m/>
    <n v="3.3787000000000003"/>
    <n v="0.38870000000000005"/>
    <n v="2.99"/>
    <s v="Se ha considerado un 13% de aporte nacional correspondiente al impuesto al valor agregado."/>
    <x v="13"/>
    <s v="MOP"/>
    <n v="102"/>
    <m/>
  </r>
  <r>
    <x v="0"/>
    <x v="2"/>
    <s v="1.11"/>
    <x v="10"/>
    <s v="MOP"/>
    <m/>
    <m/>
    <m/>
    <s v="Mejoramiento Camino Rural Mor 15, Tramo: CA 07N - Arambala - Joateca, Departamento de Morazan. (ETAPA FINAL)"/>
    <s v="Mejoramiento"/>
    <s v="Morazán, Arambala"/>
    <n v="1821"/>
    <s v="Porcentaje de proyecto finalizado/100"/>
    <n v="0"/>
    <m/>
    <m/>
    <n v="0.25"/>
    <m/>
    <m/>
    <m/>
    <m/>
    <m/>
    <m/>
    <m/>
    <m/>
    <m/>
    <m/>
    <n v="18.421045299999999"/>
    <n v="2.1192353000000002"/>
    <n v="16.30181"/>
    <s v="Se ha considerado un 13% de aporte nacional correspondiente al impuesto al valor agregado."/>
    <x v="13"/>
    <s v="MOP"/>
    <n v="103"/>
    <m/>
  </r>
  <r>
    <x v="0"/>
    <x v="2"/>
    <s v="1.11"/>
    <x v="10"/>
    <s v="MOP"/>
    <m/>
    <m/>
    <m/>
    <s v="Pavimentación de camino rural, LIB23W, tramo CA01W Cantón Agua Caliente, Cantón El Zapotitán."/>
    <s v="Mejoramiento"/>
    <s v="Libertad, Ciudad Arce"/>
    <n v="60314"/>
    <s v="Porcentaje de proyecto finalizado/100"/>
    <n v="0"/>
    <m/>
    <m/>
    <n v="0.25"/>
    <m/>
    <m/>
    <m/>
    <m/>
    <m/>
    <m/>
    <m/>
    <m/>
    <m/>
    <m/>
    <n v="4.7446552999999998"/>
    <n v="0.54584529999999998"/>
    <n v="4.1988099999999999"/>
    <s v="Se ha considerado un 13% de aporte nacional correspondiente al impuesto al valor agregado."/>
    <x v="13"/>
    <s v="MOP"/>
    <n v="104"/>
    <m/>
  </r>
  <r>
    <x v="0"/>
    <x v="2"/>
    <s v="1.11"/>
    <x v="10"/>
    <s v="MOP"/>
    <m/>
    <m/>
    <m/>
    <s v="Mejoramiento de camino terciario MOR14W tramo: Jocoatique (CA07N) - El Rosario, departamento de Morazán. "/>
    <s v="Mejoramiento"/>
    <s v="Morazán, Jocoatique"/>
    <n v="2877"/>
    <s v="Porcentaje de proyecto finalizado/100"/>
    <n v="0"/>
    <m/>
    <m/>
    <n v="0.25"/>
    <m/>
    <m/>
    <m/>
    <m/>
    <m/>
    <m/>
    <m/>
    <m/>
    <m/>
    <m/>
    <n v="9.4682700000000004"/>
    <n v="1.08927"/>
    <n v="8.3789999999999996"/>
    <s v="Se ha considerado un 13% de aporte nacional correspondiente al impuesto al valor agregado."/>
    <x v="13"/>
    <s v="MOP"/>
    <n v="105"/>
    <m/>
  </r>
  <r>
    <x v="0"/>
    <x v="2"/>
    <s v="1.11"/>
    <x v="10"/>
    <s v="MOP"/>
    <m/>
    <m/>
    <m/>
    <s v=" Ruta CHA15S Tramo: San Francisco Morazán - San Rafael, departamento de Chalatenango"/>
    <s v="Rehabilitacion y/o reconstruccion"/>
    <s v="Chalatenango, San Francisco Morazán"/>
    <n v="8183"/>
    <s v="Porcentaje de proyecto finalizado/100"/>
    <n v="0"/>
    <m/>
    <m/>
    <n v="0.25"/>
    <m/>
    <m/>
    <m/>
    <m/>
    <m/>
    <m/>
    <m/>
    <m/>
    <m/>
    <m/>
    <n v="7.8586641000000004"/>
    <n v="0.90409410000000012"/>
    <n v="6.9545700000000004"/>
    <s v="Se ha considerado un 13% de aporte nacional correspondiente al impuesto al valor agregado."/>
    <x v="13"/>
    <s v="MOP"/>
    <n v="106"/>
    <m/>
  </r>
  <r>
    <x v="0"/>
    <x v="2"/>
    <s v="1.11"/>
    <x v="10"/>
    <s v="MOP"/>
    <m/>
    <m/>
    <m/>
    <s v="Mejoramiento de camino cantón arenales SAL 09 Ciudad Delgado /  Cuscatancingo."/>
    <s v="Mejoramiento"/>
    <s v="San Salvador, Ciudad Delgado"/>
    <n v="120200"/>
    <s v="Porcentaje de proyecto finalizado/100"/>
    <n v="0"/>
    <m/>
    <m/>
    <n v="0.25"/>
    <m/>
    <m/>
    <m/>
    <m/>
    <m/>
    <m/>
    <m/>
    <m/>
    <m/>
    <m/>
    <n v="3.39"/>
    <n v="0.39"/>
    <n v="3"/>
    <s v="Se ha considerado un 13% de aporte nacional correspondiente al impuesto al valor agregado."/>
    <x v="13"/>
    <s v="MOP"/>
    <n v="107"/>
    <m/>
  </r>
  <r>
    <x v="0"/>
    <x v="2"/>
    <s v="1.11"/>
    <x v="10"/>
    <s v="MOP"/>
    <m/>
    <m/>
    <m/>
    <s v="Ruta MOR01N Tramo: CA07N - Lolotiquillo (Entrada), departamento de Morazan"/>
    <s v="Rehabilitación y/o Reconstrucción"/>
    <s v="Morazán, Lolotiquillo"/>
    <n v="4915"/>
    <s v="Porcentaje de proyecto finalizado/100"/>
    <n v="0"/>
    <m/>
    <m/>
    <n v="0.25"/>
    <m/>
    <m/>
    <m/>
    <m/>
    <m/>
    <m/>
    <m/>
    <m/>
    <m/>
    <m/>
    <n v="1.8418999999999999"/>
    <n v="0.21190000000000001"/>
    <n v="1.63"/>
    <s v="Se ha considerado un 13% de aporte nacional correspondiente al impuesto al valor agregado."/>
    <x v="13"/>
    <s v="MOP"/>
    <n v="108"/>
    <m/>
  </r>
  <r>
    <x v="0"/>
    <x v="2"/>
    <s v="1.11"/>
    <x v="10"/>
    <s v="MOP"/>
    <m/>
    <m/>
    <m/>
    <s v="Mejoramiento de LIB21 Tramo: Teotepeque - Jicalapa, Departamento de La Libertad"/>
    <s v="Mejoramiento"/>
    <s v="La Libertad, Teotepeque"/>
    <n v="12320"/>
    <s v="Porcentaje de proyecto finalizado/100"/>
    <n v="0"/>
    <m/>
    <m/>
    <n v="0.25"/>
    <m/>
    <m/>
    <m/>
    <m/>
    <m/>
    <m/>
    <m/>
    <m/>
    <m/>
    <m/>
    <n v="3.1865999999999999"/>
    <n v="0.36659999999999998"/>
    <n v="2.82"/>
    <s v="Se ha considerado un 13% de aporte nacional correspondiente al impuesto al valor agregado."/>
    <x v="13"/>
    <s v="MOP"/>
    <n v="109"/>
    <m/>
  </r>
  <r>
    <x v="0"/>
    <x v="2"/>
    <s v="1.11"/>
    <x v="10"/>
    <s v="MOP"/>
    <m/>
    <m/>
    <m/>
    <s v="MEJORAMIENTO CAMINO RURAL SAN23E/CHA30E: METAPAN - CITALA Etapa 2"/>
    <s v="Mejoramiento"/>
    <s v="Santa Ana,  Metapan – Chalatenango, Citala"/>
    <n v="63168"/>
    <s v="Porcentaje de proyecto finalizado/100"/>
    <n v="0"/>
    <m/>
    <m/>
    <n v="0.25"/>
    <m/>
    <m/>
    <m/>
    <m/>
    <m/>
    <m/>
    <m/>
    <m/>
    <m/>
    <m/>
    <n v="45.2"/>
    <n v="5.2"/>
    <n v="40"/>
    <s v="Se ha considerado un 13% de aporte nacional correspondiente al impuesto al valor agregado."/>
    <x v="13"/>
    <s v="MOP"/>
    <n v="110"/>
    <m/>
  </r>
  <r>
    <x v="0"/>
    <x v="2"/>
    <s v="1.11"/>
    <x v="10"/>
    <s v="MOP"/>
    <m/>
    <m/>
    <m/>
    <s v="OBRAS DE PROTECCIÓN EN DESLIZAMIENTO KM 18.5, CARRETERA DE ORO, CIUDAD DELGADO, SAN SALVADOR"/>
    <s v="Construcción"/>
    <s v="San Salvador, Ciudad Delgado"/>
    <n v="120200"/>
    <s v="Porcentaje de proyecto finalizado/100"/>
    <n v="0"/>
    <m/>
    <m/>
    <n v="1"/>
    <m/>
    <m/>
    <m/>
    <m/>
    <m/>
    <m/>
    <m/>
    <m/>
    <m/>
    <m/>
    <n v="12.746399999999998"/>
    <n v="1.4663999999999997"/>
    <n v="11.279999999999998"/>
    <s v="Se ha considerado un 13% de aporte nacional correspondiente al impuesto al valor agregado."/>
    <x v="13"/>
    <s v="MOP"/>
    <n v="111"/>
    <m/>
  </r>
  <r>
    <x v="0"/>
    <x v="2"/>
    <s v="1.11"/>
    <x v="10"/>
    <s v="MOP"/>
    <m/>
    <m/>
    <m/>
    <s v="Corredor Mesoamericano (fuente sin identificar)"/>
    <m/>
    <m/>
    <m/>
    <m/>
    <m/>
    <m/>
    <m/>
    <m/>
    <m/>
    <m/>
    <m/>
    <m/>
    <m/>
    <m/>
    <m/>
    <m/>
    <m/>
    <m/>
    <n v="404.80999999999949"/>
    <n v="404.80999999999949"/>
    <n v="0"/>
    <s v="PROGRAMAS Y RECURSOS ADICIONADOS EN V.2"/>
    <x v="13"/>
    <s v="MOP"/>
    <n v="112"/>
    <m/>
  </r>
  <r>
    <x v="0"/>
    <x v="2"/>
    <s v="1.11"/>
    <x v="10"/>
    <s v="MOP"/>
    <m/>
    <m/>
    <m/>
    <s v="Adecuación y ampliación de carretera CA02E, tramo: desvío Comalapa (PAZ31N) – desvío aeropuerto El Salvador (RN05S) - desvío La Herradura (KM. 47+025), departamento de La Paz"/>
    <s v="Ampliación de carretera"/>
    <m/>
    <m/>
    <m/>
    <m/>
    <m/>
    <m/>
    <m/>
    <m/>
    <s v="a"/>
    <n v="5.3680000000000003"/>
    <m/>
    <m/>
    <m/>
    <n v="5.3680000000000003"/>
    <s v="FOMILENIO II"/>
    <m/>
    <n v="53.68"/>
    <m/>
    <m/>
    <m/>
    <s v="Proyecto a licitarse y ejecutarse bajo la administración de FOMILENIO II. El MOPTVDU brindará soporte técnico a lo largo de toda las etapas de preinversión e inversión. Se desconoce por nuestra parte cuánto es el estimado que se devengará en el 2016 (Se asume 10%)"/>
    <x v="13"/>
    <s v="MOP"/>
    <n v="113"/>
    <m/>
  </r>
  <r>
    <x v="0"/>
    <x v="2"/>
    <s v="1.11"/>
    <x v="10"/>
    <s v="MOP"/>
    <m/>
    <m/>
    <m/>
    <s v="Ampliación carretera CA02E, tramo: desvío La Herradura (KM.47+0.25) – Zacatecoluca (Rotonda), municipios de El Rosario y Zacatecoluca, departamento de La Paz"/>
    <s v="Ampliación de carretera"/>
    <m/>
    <m/>
    <m/>
    <m/>
    <m/>
    <m/>
    <m/>
    <m/>
    <s v="a"/>
    <n v="6.2610000000000001"/>
    <m/>
    <m/>
    <m/>
    <n v="6.2610000000000001"/>
    <s v="FOMILENIO II"/>
    <m/>
    <n v="62.61"/>
    <m/>
    <m/>
    <m/>
    <s v="Proyecto a licitarse y ejecutarse bajo la administración de FOMILENIO II. El MOPTVDU brindará soporte técnico a lo largo de toda las etapas de preinversión e inversión. Se desconoce por nuestra parte cuánto es el estimado que se devengará en el 2016 (Se asume 10%)"/>
    <x v="13"/>
    <s v="MOP"/>
    <n v="114"/>
    <m/>
  </r>
  <r>
    <x v="0"/>
    <x v="2"/>
    <s v="1.11"/>
    <x v="10"/>
    <s v="MOP"/>
    <m/>
    <m/>
    <m/>
    <s v="Mejoramiento Camino Rural, MOR18N Tramo: CA07N - Cantón Caserío Tejera - Paso El Mono, Municipio de Arambala, Departamento de Morazán"/>
    <s v="Mejoramiento de Camino Rural"/>
    <m/>
    <m/>
    <m/>
    <m/>
    <m/>
    <m/>
    <m/>
    <m/>
    <s v="a"/>
    <n v="1.18"/>
    <m/>
    <m/>
    <m/>
    <n v="1.18"/>
    <s v="LAIF"/>
    <m/>
    <n v="1.18"/>
    <m/>
    <m/>
    <m/>
    <m/>
    <x v="13"/>
    <s v="MOP"/>
    <n v="115"/>
    <m/>
  </r>
  <r>
    <x v="0"/>
    <x v="2"/>
    <s v="1.11"/>
    <x v="10"/>
    <s v="MOP"/>
    <m/>
    <m/>
    <m/>
    <s v="Mejoramiento del Camino Terciario CAB19N, Tramo: Victoria - Desvío El Zapote - Caserío Santa Marta, Municipio de Victoria, Departamento de Cabañas"/>
    <s v="Mejoramiento de Camino Rural"/>
    <m/>
    <m/>
    <m/>
    <m/>
    <m/>
    <m/>
    <m/>
    <m/>
    <s v="a"/>
    <n v="0.55000000000000004"/>
    <m/>
    <m/>
    <m/>
    <n v="0.55000000000000004"/>
    <s v="LAIF"/>
    <m/>
    <n v="2.0750000000000002"/>
    <m/>
    <m/>
    <m/>
    <m/>
    <x v="13"/>
    <s v="MOP"/>
    <n v="116"/>
    <m/>
  </r>
  <r>
    <x v="0"/>
    <x v="2"/>
    <s v="1.11"/>
    <x v="10"/>
    <s v="MOP"/>
    <m/>
    <m/>
    <m/>
    <s v="Mejoramiento de Camino Rural MOR 13W, Tramo: Municipio San Simón - Municipio San Isidro, Departamento de Morazán"/>
    <s v="Mejoramiento de Camino Rural"/>
    <m/>
    <m/>
    <m/>
    <m/>
    <m/>
    <m/>
    <m/>
    <m/>
    <s v="a"/>
    <n v="4.2646056300000001"/>
    <m/>
    <n v="4.2646056300000001"/>
    <s v="FONPRODE-AECID"/>
    <m/>
    <m/>
    <m/>
    <n v="4.2646056300000001"/>
    <m/>
    <m/>
    <m/>
    <s v="Convenio de Préstamo en  negociación con el MH."/>
    <x v="13"/>
    <s v="MOP"/>
    <n v="117"/>
    <m/>
  </r>
  <r>
    <x v="0"/>
    <x v="2"/>
    <s v="1.11"/>
    <x v="10"/>
    <s v="MOP"/>
    <m/>
    <m/>
    <m/>
    <s v="Mejoramiento de Camino Rural SAM33, Tramo: Cantón San Antonio - Cantón El Carrizal, Departamentos de San Miguel y Morazán"/>
    <s v="Mejoramiento de Camino Rural"/>
    <m/>
    <m/>
    <m/>
    <m/>
    <m/>
    <m/>
    <m/>
    <m/>
    <s v="a"/>
    <n v="3.4500117000000001"/>
    <m/>
    <n v="3.4500117000000001"/>
    <s v="FONPRODE-AECID"/>
    <m/>
    <m/>
    <m/>
    <n v="3.4500117000000001"/>
    <m/>
    <m/>
    <m/>
    <s v="Convenio de Préstamo en  negociación con el MH."/>
    <x v="13"/>
    <s v="MOP"/>
    <n v="118"/>
    <m/>
  </r>
  <r>
    <x v="0"/>
    <x v="2"/>
    <s v="1.11"/>
    <x v="10"/>
    <s v="MOP"/>
    <m/>
    <m/>
    <m/>
    <s v="CONSTRUCCIÓN PUENTE SAN ISIDRO SOBRE RÍO LEMPA (KM. 75.5 LIB31N), LA LIBERTAD - CHALATENANGO"/>
    <s v="Obra de Paso"/>
    <m/>
    <m/>
    <m/>
    <m/>
    <m/>
    <m/>
    <m/>
    <m/>
    <s v="a"/>
    <n v="8.8196098816999999"/>
    <n v="1.1462098816999999"/>
    <n v="7.6734"/>
    <s v="BCIE"/>
    <m/>
    <m/>
    <m/>
    <n v="8.8196098816999999"/>
    <m/>
    <m/>
    <m/>
    <m/>
    <x v="13"/>
    <s v="MOP"/>
    <n v="119"/>
    <m/>
  </r>
  <r>
    <x v="0"/>
    <x v="2"/>
    <s v="1.11"/>
    <x v="10"/>
    <s v="MOP"/>
    <m/>
    <m/>
    <m/>
    <s v="Construcción de Bypass en la Ciudad de San Miguel "/>
    <s v="Obra Vial"/>
    <m/>
    <m/>
    <m/>
    <m/>
    <m/>
    <m/>
    <m/>
    <m/>
    <s v="a"/>
    <n v="5.1000000000000005"/>
    <n v="0.66"/>
    <n v="4.4400000000000004"/>
    <s v="JICA"/>
    <m/>
    <m/>
    <m/>
    <n v="159.38"/>
    <m/>
    <m/>
    <m/>
    <s v="La inversión detallada para el 2016 corresponde a los recursos que se emplearán en la etapa de diseño del proyecto"/>
    <x v="13"/>
    <s v="MOP"/>
    <n v="120"/>
    <m/>
  </r>
  <r>
    <x v="0"/>
    <x v="2"/>
    <s v="1.11"/>
    <x v="10"/>
    <s v="MOP"/>
    <m/>
    <m/>
    <m/>
    <s v="Ampliación de la Carretera CA4S, Tramo II: Entre KM 22.36 (Salida Sur de Zaragoza) - Km 31.86 (Inicio Bypass de La Libertad, Departamento de La Libertad.)"/>
    <s v="Obra Vial"/>
    <m/>
    <m/>
    <m/>
    <m/>
    <m/>
    <m/>
    <m/>
    <m/>
    <s v="a"/>
    <n v="15.98"/>
    <n v="2.08"/>
    <n v="13.9"/>
    <s v="YUCATÁN - BCIE"/>
    <m/>
    <m/>
    <m/>
    <n v="55.260000000000005"/>
    <m/>
    <m/>
    <m/>
    <m/>
    <x v="13"/>
    <s v="MOP"/>
    <n v="121"/>
    <m/>
  </r>
  <r>
    <x v="0"/>
    <x v="2"/>
    <s v="1.11"/>
    <x v="10"/>
    <s v="MOP"/>
    <m/>
    <m/>
    <m/>
    <s v="Ampliación de La Carretera CA4S, TRAMO III: Construcción Bypass de La Libertad, entre KM 31.86 (Carretera CA4S) - Km 35 ( Carretera CA02W), Departamento de La Libertad."/>
    <s v="Obra Vial"/>
    <m/>
    <m/>
    <m/>
    <m/>
    <m/>
    <m/>
    <m/>
    <m/>
    <s v="a"/>
    <n v="21.43"/>
    <n v="2.79"/>
    <n v="18.64"/>
    <s v="YUCATÁN - BCIE"/>
    <m/>
    <m/>
    <m/>
    <n v="71.430000000000007"/>
    <m/>
    <m/>
    <m/>
    <m/>
    <x v="13"/>
    <s v="MOP"/>
    <n v="122"/>
    <m/>
  </r>
  <r>
    <x v="0"/>
    <x v="2"/>
    <s v="1.12"/>
    <x v="11"/>
    <m/>
    <m/>
    <m/>
    <m/>
    <m/>
    <m/>
    <m/>
    <m/>
    <m/>
    <m/>
    <m/>
    <m/>
    <m/>
    <m/>
    <m/>
    <m/>
    <m/>
    <m/>
    <m/>
    <m/>
    <m/>
    <m/>
    <m/>
    <m/>
    <m/>
    <m/>
    <m/>
    <x v="0"/>
    <m/>
    <n v="123"/>
    <m/>
  </r>
  <r>
    <x v="0"/>
    <x v="2"/>
    <s v="1.12"/>
    <x v="11"/>
    <s v="CEPA"/>
    <m/>
    <m/>
    <m/>
    <s v="Obras de mejoramiento del Aeropuerto Internacional de El Salvador MOARG."/>
    <m/>
    <s v="Aeropuerto Internacional de El Salvador &quot;Monseñor Oscar Arnulfo Romero y Galdámez&quot;, ubicado en San Luis Talpa"/>
    <s v="1. Pasajeros nacionales e internacionales_x000d_2. Aerolíneas_x000d_3. Empresas de apoyo terrestre 4. Pasajeros entrando y saliendo_x000d_5. Tripulación_x000d_6. Empleados en general_x000d_7. Público en general"/>
    <m/>
    <n v="0"/>
    <n v="0"/>
    <n v="50"/>
    <n v="50"/>
    <m/>
    <s v="a"/>
    <n v="41.960745000000003"/>
    <n v="38.960745000000003"/>
    <m/>
    <m/>
    <n v="3"/>
    <s v="COCESNA"/>
    <n v="0"/>
    <m/>
    <n v="117.91074500000001"/>
    <n v="41.960745000000003"/>
    <n v="75.95"/>
    <m/>
    <x v="14"/>
    <s v="CEPA"/>
    <n v="124"/>
    <m/>
  </r>
  <r>
    <x v="0"/>
    <x v="2"/>
    <s v="1.12"/>
    <x v="11"/>
    <s v="CEPA"/>
    <m/>
    <m/>
    <m/>
    <s v="Plan Maestro del Aeropuerto Internacional de El Salvador MOARG."/>
    <m/>
    <m/>
    <m/>
    <m/>
    <m/>
    <m/>
    <m/>
    <m/>
    <m/>
    <m/>
    <m/>
    <m/>
    <m/>
    <m/>
    <m/>
    <m/>
    <m/>
    <m/>
    <n v="492.7"/>
    <n v="492.7"/>
    <n v="0"/>
    <s v="Combinación de recursos propios, fondos de pensiones, préstamos, titularización, ahorro de salvadoreños en el exterior, emisión de bonos en el mercado local, préstamos bancarios"/>
    <x v="14"/>
    <s v="CEPA"/>
    <n v="125"/>
    <m/>
  </r>
  <r>
    <x v="0"/>
    <x v="2"/>
    <s v="1.12"/>
    <x v="11"/>
    <s v="CEPA"/>
    <m/>
    <m/>
    <m/>
    <s v="Obras de mejoramiento del Puerto de Acajutla"/>
    <m/>
    <s v="Nacional e Internacional"/>
    <s v="1. Personal operativo_x000d_2. Navieras_x000d_3. Transportistas_x000d_4. Empresas importadoras y exportadoras"/>
    <m/>
    <n v="0"/>
    <n v="0"/>
    <n v="100"/>
    <n v="0"/>
    <s v="a"/>
    <s v="a"/>
    <n v="3.5449999999999999"/>
    <n v="3.5449999999999999"/>
    <m/>
    <m/>
    <m/>
    <m/>
    <n v="0"/>
    <m/>
    <n v="32.394999999999996"/>
    <n v="3.5449999999999999"/>
    <n v="28.849999999999998"/>
    <m/>
    <x v="14"/>
    <s v="CEPA"/>
    <n v="126"/>
    <m/>
  </r>
  <r>
    <x v="0"/>
    <x v="2"/>
    <s v="1.12"/>
    <x v="11"/>
    <s v="MOP / CEPA"/>
    <m/>
    <m/>
    <m/>
    <s v="Construcción de Puente Sobre Río Anguiatú, Frontera Terrestre Anguiatú, Municipio de Metapán, Departamento de Santa Ana"/>
    <s v="Puentes fronterizos"/>
    <s v="Metapan, Santa Ana"/>
    <n v="59004"/>
    <s v="Número de proyectos por año"/>
    <m/>
    <m/>
    <m/>
    <n v="1"/>
    <m/>
    <m/>
    <m/>
    <m/>
    <m/>
    <m/>
    <m/>
    <m/>
    <m/>
    <m/>
    <n v="44.87"/>
    <n v="44.87"/>
    <n v="0"/>
    <s v="Convenio de Préstamo negociado, a la espera de dictámen de la Asamblea Legislativa."/>
    <x v="13"/>
    <s v="MOP"/>
    <n v="127"/>
    <m/>
  </r>
  <r>
    <x v="0"/>
    <x v="2"/>
    <s v="1.12"/>
    <x v="11"/>
    <s v="MOP / CEPA"/>
    <m/>
    <m/>
    <m/>
    <s v="Construcción Puente General Manuel José Arce, Frontera La Hachadura-Pedro de Alvarado, Municipio de San Francisco Menéndez, Departamento de Ahuachapán"/>
    <s v="Puentes fronterizos"/>
    <s v="San Francisco Menéndez, Ahuachapán "/>
    <n v="42607"/>
    <s v="Número de proyectos por año"/>
    <m/>
    <m/>
    <m/>
    <n v="1"/>
    <m/>
    <m/>
    <m/>
    <m/>
    <m/>
    <m/>
    <m/>
    <m/>
    <m/>
    <m/>
    <n v="20.45"/>
    <n v="20.45"/>
    <n v="0"/>
    <s v="Convenio de Préstamo negociado, a la espera de dictámen de la Asamblea Legislativa."/>
    <x v="13"/>
    <s v="MOP"/>
    <n v="128"/>
    <m/>
  </r>
  <r>
    <x v="0"/>
    <x v="2"/>
    <s v="1.12"/>
    <x v="11"/>
    <s v="MOP / CEPA"/>
    <m/>
    <m/>
    <m/>
    <s v="OBRAS DE RECTIFICACION DE CAUSE  RIO PAZ, SECTOR LA HACHADURA, MUNICIPIO DE SAN FRANCISCO MENENDEZ, DEPTO. AHUACHAPAN."/>
    <s v="Obras de Protección"/>
    <s v="San Francisco Menéndez"/>
    <n v="42607"/>
    <s v="Porcentaje de proyecto finalizado/100"/>
    <n v="0"/>
    <m/>
    <m/>
    <n v="1"/>
    <m/>
    <m/>
    <m/>
    <m/>
    <m/>
    <m/>
    <m/>
    <m/>
    <m/>
    <m/>
    <n v="3.9550000000000001"/>
    <n v="0.45500000000000002"/>
    <n v="3.5"/>
    <s v="Se ha considerado un 13% de aporte nacional correspondiente al impuesto al valor agregado."/>
    <x v="13"/>
    <s v="MOP"/>
    <n v="129"/>
    <m/>
  </r>
  <r>
    <x v="0"/>
    <x v="2"/>
    <s v="1.12"/>
    <x v="11"/>
    <s v="MOP / CEPA"/>
    <m/>
    <m/>
    <m/>
    <s v="CONSTRUCCIÓN OBRAS DE PROTECCIÓN Y DRAGADOS EN CAUSE DEL RIO PAZ, SECTOR LA HACHADURA Y ZONA PUENTE ARCE,  MUNICIPIO DE SAN FRANCISCO MENENDEZ, DEPTO. AHUACHAPAN."/>
    <s v="Obras de Protección"/>
    <s v="San Francisco Menéndez"/>
    <n v="42607"/>
    <s v="Porcentaje de proyecto finalizado/100"/>
    <n v="0"/>
    <m/>
    <m/>
    <n v="1"/>
    <m/>
    <m/>
    <m/>
    <m/>
    <m/>
    <m/>
    <m/>
    <m/>
    <m/>
    <m/>
    <n v="3.9550000000000001"/>
    <n v="0.45500000000000002"/>
    <n v="3.5"/>
    <s v="Se ha considerado un 13% de aporte nacional correspondiente al impuesto al valor agregado."/>
    <x v="13"/>
    <s v="MOP"/>
    <n v="130"/>
    <m/>
  </r>
  <r>
    <x v="0"/>
    <x v="2"/>
    <s v="1.12"/>
    <x v="11"/>
    <s v="MOP / CEPA"/>
    <m/>
    <m/>
    <m/>
    <s v="REPARACIÓN DE BORDAS SOBRE RÍO GRANDE DE SAN MIGUEL EN EL MUNICIPIO DE PUERTO PARADA, DEPARTAMENTO DE USULUTÁN."/>
    <s v="Construcción"/>
    <s v="San Migual, Puerto Parada"/>
    <n v="73064"/>
    <s v="Porcentaje de proyecto finalizado/100"/>
    <n v="0"/>
    <m/>
    <m/>
    <n v="1"/>
    <m/>
    <m/>
    <m/>
    <m/>
    <m/>
    <m/>
    <m/>
    <m/>
    <m/>
    <m/>
    <n v="2.8250000000000002"/>
    <n v="0.32500000000000001"/>
    <n v="2.5"/>
    <s v="Se ha considerado un 13% de aporte nacional correspondiente al impuesto al valor agregado."/>
    <x v="13"/>
    <s v="MOP"/>
    <n v="131"/>
    <m/>
  </r>
  <r>
    <x v="0"/>
    <x v="2"/>
    <s v="1.12"/>
    <x v="11"/>
    <s v="DGME"/>
    <m/>
    <m/>
    <m/>
    <s v="Fortalecimiento  de los puestos fronterizos. Paso Ágil en Fronteras de Guatemala y El Salvador"/>
    <s v="Mejorar las condiciones de infraestructura en las fronteras integradas que colindan con Guatemala y Honduras, (La Hachadura, Las Chinamas, San Cristóbalm Anguiatu, El Poy, El Amatillo). Además, ampliar e implementar el paso ágil de entrada y salida de personas nacionales y extranjeras."/>
    <s v="San Francisco Menendez, Ahuachapan, Candelaria de la Frontera, Metapan, Citalá, Pasaquina"/>
    <s v="Beneficiarios a nivel nacional y regional"/>
    <s v="Número de Puestos froterizos integrados"/>
    <m/>
    <n v="1"/>
    <n v="1"/>
    <n v="3"/>
    <m/>
    <m/>
    <m/>
    <m/>
    <m/>
    <m/>
    <m/>
    <m/>
    <m/>
    <m/>
    <n v="0.7"/>
    <n v="0"/>
    <n v="0.7"/>
    <m/>
    <x v="9"/>
    <s v="MJSP"/>
    <n v="132"/>
    <m/>
  </r>
  <r>
    <x v="0"/>
    <x v="2"/>
    <s v="1.12"/>
    <x v="11"/>
    <s v="DGME"/>
    <m/>
    <m/>
    <m/>
    <s v="Plan de modernización para el resto de pasos fronterizos: La amistad, integración, Perkin, Aeropuesto Mons. Romero y Aeropuerto de Ilopango."/>
    <s v="Mejorar en el servicio migratorio en los pasos fronterizos tomando en cuenta el reordenamiento de las fronteras integradas en el triangulo norte."/>
    <s v="A nivel nacional"/>
    <s v="Beneficiarios a nivel nacional y regional"/>
    <s v="Número de Fronteras terrestres reordenadas"/>
    <m/>
    <n v="1"/>
    <n v="1"/>
    <n v="3"/>
    <m/>
    <m/>
    <m/>
    <m/>
    <m/>
    <m/>
    <m/>
    <m/>
    <m/>
    <m/>
    <n v="0.1"/>
    <n v="0"/>
    <n v="0.1"/>
    <m/>
    <x v="9"/>
    <s v="MJSP"/>
    <n v="133"/>
    <m/>
  </r>
  <r>
    <x v="0"/>
    <x v="2"/>
    <s v="1.12"/>
    <x v="11"/>
    <s v="MARN"/>
    <m/>
    <m/>
    <m/>
    <s v="Directrices de zonificación ambiental (ZAUS) y lineamientos de actuación a diferentes escalas."/>
    <s v="Contar con ZAUS para la zona metropolitana de SS, Franja Costero-Marina, Nor oriente de Chalatenango, Volcán de San Miguel y Municipio de Metapán."/>
    <s v="Municipios de la zona metropolitana de SS, municipios integrantes de la Asociación Municipal CAYAGUANCA en el nororiente de Chalatenagno, municipios comprendidos en la franja costero marina, muncipios en el radio del volcan de San Miguel y municipio de Metapán."/>
    <m/>
    <m/>
    <m/>
    <m/>
    <m/>
    <m/>
    <m/>
    <m/>
    <m/>
    <m/>
    <m/>
    <m/>
    <m/>
    <m/>
    <m/>
    <m/>
    <m/>
    <m/>
    <m/>
    <s v="La proyección de desarrollo deberá estar regida por directrices de zonificación para un uso adecuado del suelo."/>
    <x v="4"/>
    <s v="MARN"/>
    <n v="134"/>
    <m/>
  </r>
  <r>
    <x v="0"/>
    <x v="2"/>
    <s v="1.12"/>
    <x v="11"/>
    <s v="MOP"/>
    <m/>
    <m/>
    <m/>
    <s v="CONSTRUCCION DE PUENTE SOBRE QUEBRADA AGUA FRIA, CARRETERA CA07N, TRAMO SAN CARLOS - SAN FRANCISCO GOTERA, MUNICIPIO DE SAN FRANCISCO GOTERA, DEPARTAMENTO DE MORAZAN."/>
    <s v="Obra de Paso"/>
    <m/>
    <m/>
    <m/>
    <m/>
    <m/>
    <m/>
    <m/>
    <m/>
    <s v="a"/>
    <n v="0.46592503000000002"/>
    <n v="6.0570253900000003E-2"/>
    <n v="0.40535477610000004"/>
    <s v="BCIE"/>
    <m/>
    <m/>
    <m/>
    <n v="0.46592503000000002"/>
    <m/>
    <m/>
    <m/>
    <m/>
    <x v="13"/>
    <s v="MOP"/>
    <n v="135"/>
    <m/>
  </r>
  <r>
    <x v="0"/>
    <x v="2"/>
    <s v="1.12"/>
    <x v="11"/>
    <s v="MOP"/>
    <m/>
    <m/>
    <m/>
    <s v="CONSTRUCCION DE PUENTE CHAPELTIQUE SOBRE RUTA SAM07N, TRAMO MONCAGUA - CHAPELTIQUE; DEPARTAMENTO DE SAN MIGUEL."/>
    <s v="Obra de Paso"/>
    <m/>
    <m/>
    <m/>
    <m/>
    <m/>
    <m/>
    <m/>
    <m/>
    <s v="a"/>
    <n v="1.8123446599999999"/>
    <n v="0.23560480580000001"/>
    <n v="1.5767398542"/>
    <s v="BCIE"/>
    <m/>
    <m/>
    <m/>
    <n v="1.8123446599999999"/>
    <m/>
    <m/>
    <m/>
    <m/>
    <x v="13"/>
    <s v="MOP"/>
    <n v="136"/>
    <m/>
  </r>
  <r>
    <x v="0"/>
    <x v="2"/>
    <s v="1.12"/>
    <x v="11"/>
    <s v="MOP"/>
    <m/>
    <m/>
    <m/>
    <s v="CONSTRUCCION DE PUENTE LA PALMA SOBRE RUTA CA04N, TRAMO LA PALMA-CITALA, MUNICIPIO DE LA PALMA, DEPARTAMENTO DE CHALATENANCO. "/>
    <s v="Obra de Paso"/>
    <m/>
    <m/>
    <m/>
    <m/>
    <m/>
    <m/>
    <m/>
    <m/>
    <s v="a"/>
    <n v="2.6632595399999999"/>
    <n v="0.34622374020000002"/>
    <n v="2.3170357997999997"/>
    <s v="BCIE"/>
    <m/>
    <m/>
    <m/>
    <n v="2.6632595399999999"/>
    <m/>
    <m/>
    <m/>
    <m/>
    <x v="13"/>
    <s v="MOP"/>
    <n v="137"/>
    <m/>
  </r>
  <r>
    <x v="0"/>
    <x v="2"/>
    <s v="1.12"/>
    <x v="11"/>
    <s v="MOP"/>
    <m/>
    <m/>
    <m/>
    <s v="MEJORAMIENTO DE CAMINO RURAL CHA13N, TRAMO: ENTRE DULCE NOMBRE DE MARIA - SAN FERNANDO, DEPARTAMENTO DE CHALATENANGO (PARCIAL)."/>
    <s v="Obra de Paso"/>
    <m/>
    <m/>
    <m/>
    <m/>
    <m/>
    <m/>
    <m/>
    <m/>
    <s v="a"/>
    <n v="4.2774700000000001"/>
    <n v="0.55607110000000004"/>
    <n v="3.7213989000000001"/>
    <s v="BCIE"/>
    <m/>
    <m/>
    <m/>
    <n v="4.2774700000000001"/>
    <m/>
    <m/>
    <m/>
    <m/>
    <x v="13"/>
    <s v="MOP"/>
    <n v="138"/>
    <m/>
  </r>
  <r>
    <x v="0"/>
    <x v="2"/>
    <s v="1.12"/>
    <x v="11"/>
    <s v="MOP"/>
    <m/>
    <m/>
    <m/>
    <s v="Construcción de Puente Sobre Río Anguiatú, Frontera Terrestre Anguiatú, Municipio de Metapán, Departamento de Santa Ana"/>
    <s v="Construccion Obra de Paso"/>
    <m/>
    <m/>
    <m/>
    <m/>
    <m/>
    <m/>
    <m/>
    <m/>
    <s v="a"/>
    <n v="4.49"/>
    <n v="0.57999999999999996"/>
    <m/>
    <m/>
    <n v="3.91"/>
    <s v="BCIE - YUCATÁN"/>
    <m/>
    <n v="4.49"/>
    <m/>
    <m/>
    <m/>
    <s v="Componente de Donación del Comtrato de Prestamo BCIE-YUCATAN el cual se encuentra en gestión. Se cuenta con el dato del monto total."/>
    <x v="13"/>
    <s v="MOP"/>
    <n v="139"/>
    <m/>
  </r>
  <r>
    <x v="0"/>
    <x v="2"/>
    <s v="1.12"/>
    <x v="11"/>
    <s v="MOP"/>
    <m/>
    <m/>
    <m/>
    <s v="Construcción Puente General Manuel José Arce, Frontera La Hachadura - Pedro de Alvarado, Municipio de San Francisco Menéndez, Departamento de Ahuachapán."/>
    <s v="Construccion Obra de Paso"/>
    <m/>
    <m/>
    <m/>
    <m/>
    <m/>
    <m/>
    <m/>
    <m/>
    <s v="a"/>
    <n v="6.1349999999999998"/>
    <n v="0.79800000000000004"/>
    <n v="5.3369999999999997"/>
    <s v="YUCATÁN - BCIE"/>
    <m/>
    <m/>
    <m/>
    <n v="20.45"/>
    <m/>
    <m/>
    <m/>
    <s v="Se cuenta con el dato del monto total del proyecto de $20.45 mm de los cuales se prevé ejectuar un 30% en 2016."/>
    <x v="13"/>
    <s v="MOP"/>
    <n v="140"/>
    <m/>
  </r>
  <r>
    <x v="0"/>
    <x v="3"/>
    <s v="1.13"/>
    <x v="12"/>
    <m/>
    <m/>
    <m/>
    <m/>
    <m/>
    <m/>
    <m/>
    <m/>
    <m/>
    <m/>
    <m/>
    <m/>
    <m/>
    <m/>
    <m/>
    <m/>
    <m/>
    <m/>
    <m/>
    <m/>
    <m/>
    <m/>
    <m/>
    <m/>
    <m/>
    <m/>
    <m/>
    <x v="0"/>
    <m/>
    <n v="141"/>
    <m/>
  </r>
  <r>
    <x v="0"/>
    <x v="3"/>
    <s v="1.13"/>
    <x v="12"/>
    <m/>
    <m/>
    <m/>
    <m/>
    <m/>
    <m/>
    <m/>
    <m/>
    <m/>
    <m/>
    <m/>
    <m/>
    <m/>
    <m/>
    <m/>
    <m/>
    <m/>
    <m/>
    <m/>
    <m/>
    <m/>
    <m/>
    <m/>
    <m/>
    <m/>
    <m/>
    <m/>
    <x v="0"/>
    <m/>
    <n v="142"/>
    <m/>
  </r>
  <r>
    <x v="0"/>
    <x v="3"/>
    <s v="1.14"/>
    <x v="13"/>
    <m/>
    <m/>
    <m/>
    <m/>
    <m/>
    <m/>
    <m/>
    <m/>
    <m/>
    <m/>
    <m/>
    <m/>
    <m/>
    <m/>
    <m/>
    <m/>
    <m/>
    <m/>
    <m/>
    <m/>
    <m/>
    <m/>
    <m/>
    <m/>
    <m/>
    <m/>
    <m/>
    <x v="0"/>
    <m/>
    <n v="143"/>
    <m/>
  </r>
  <r>
    <x v="0"/>
    <x v="3"/>
    <s v="1.14"/>
    <x v="13"/>
    <m/>
    <m/>
    <m/>
    <m/>
    <m/>
    <m/>
    <m/>
    <m/>
    <m/>
    <m/>
    <m/>
    <m/>
    <m/>
    <m/>
    <m/>
    <m/>
    <m/>
    <m/>
    <m/>
    <m/>
    <m/>
    <m/>
    <m/>
    <m/>
    <m/>
    <m/>
    <m/>
    <x v="0"/>
    <m/>
    <n v="144"/>
    <m/>
  </r>
  <r>
    <x v="0"/>
    <x v="3"/>
    <s v="1.15"/>
    <x v="14"/>
    <m/>
    <m/>
    <m/>
    <m/>
    <m/>
    <m/>
    <m/>
    <m/>
    <m/>
    <m/>
    <m/>
    <m/>
    <m/>
    <m/>
    <m/>
    <m/>
    <m/>
    <m/>
    <m/>
    <m/>
    <m/>
    <m/>
    <m/>
    <m/>
    <m/>
    <m/>
    <m/>
    <x v="0"/>
    <m/>
    <n v="145"/>
    <m/>
  </r>
  <r>
    <x v="0"/>
    <x v="3"/>
    <s v="1.15"/>
    <x v="14"/>
    <m/>
    <m/>
    <m/>
    <m/>
    <m/>
    <m/>
    <m/>
    <m/>
    <m/>
    <m/>
    <m/>
    <m/>
    <m/>
    <m/>
    <m/>
    <m/>
    <m/>
    <m/>
    <m/>
    <m/>
    <m/>
    <m/>
    <m/>
    <m/>
    <m/>
    <m/>
    <m/>
    <x v="0"/>
    <m/>
    <n v="146"/>
    <m/>
  </r>
  <r>
    <x v="0"/>
    <x v="3"/>
    <s v="1.16"/>
    <x v="15"/>
    <m/>
    <m/>
    <m/>
    <m/>
    <m/>
    <m/>
    <m/>
    <m/>
    <m/>
    <m/>
    <m/>
    <m/>
    <m/>
    <m/>
    <m/>
    <m/>
    <m/>
    <m/>
    <m/>
    <m/>
    <m/>
    <m/>
    <m/>
    <m/>
    <m/>
    <m/>
    <m/>
    <x v="0"/>
    <m/>
    <n v="147"/>
    <m/>
  </r>
  <r>
    <x v="0"/>
    <x v="3"/>
    <s v="1.16"/>
    <x v="15"/>
    <s v="MINEC"/>
    <m/>
    <m/>
    <m/>
    <s v="Programa de Modernización y Sistematización de Procesos Aduaneros y Controles Sanitarios y Fitosanitarios para Facilitación del Comercio en el Triángulo Norte"/>
    <s v="Implementación de un modelo de gestión informática que optimice los procesos y procedimientos de exportación e importación en el Triángulo Norte. Involucra el intercambio electrónico de información para hacer interoperables los sistemas informáticos de las diferentes instituciones que intervienen en comercio exterior. Creación de puestos de pre-chequeo y/o el fomento del uso de tecnología disponible para evitar que los operadores realicen sus trámites en los puestos fronterizos.  Diseño e implementacion de un sistema de gestión de riesgo efectivo e integrado (nacional y entre el Triángulo Norte); Desarrollo de legislación regional del Operador Económico Autorizado y acuerdos de reconocimiento mutuo;  Creación de un sistema de control fito y zoosanitario basado en criterios y recomendaciones internacionales, promoviendo reconocimientos mutuos cuando sea factible y actuaciones e intervenciones coordinadas en base a una gestión de riesgo homogenizada. Proceso de control fronterizo que defina la secuencia y el modo de actuación e intervención, siguiendo una gestión basada en perfiles de riesgo, información electrónica anticipada e intervenciones físicas conjuntas en frontera."/>
    <s v="El alcance es nacional"/>
    <s v="Todos los operadores del comercio exterior."/>
    <m/>
    <m/>
    <m/>
    <m/>
    <m/>
    <m/>
    <m/>
    <m/>
    <m/>
    <m/>
    <m/>
    <m/>
    <m/>
    <m/>
    <m/>
    <n v="12.75"/>
    <n v="0"/>
    <n v="12.75"/>
    <m/>
    <x v="1"/>
    <s v="MINEC"/>
    <n v="148"/>
    <m/>
  </r>
  <r>
    <x v="0"/>
    <x v="3"/>
    <s v="1.16"/>
    <x v="15"/>
    <s v="MINEC / CNC/MAG / MINSAL"/>
    <m/>
    <m/>
    <m/>
    <s v="Programa de Aprovechamiento del CAFTA"/>
    <s v="Desarrollo e implementación de un programa para el proceso de admisibilidad sanitaria y fitosanitaria de productos agropecuarios en el mercado de Estados Unidos. Brinda asistencia técnica y financiamiento para empresas que requieran adecuar sus procesos productivos para el cumplimiento de los estándares regulados en la Ley FSMA implementada por el FDA, por lo que se pretende crear una línea de financiamiento. Considera además, el fortalecimiento y equipamiento de laboratorios para garantizar la inocuidad de los productos alimenticios que se exportan hacia dicho mercado."/>
    <s v="El alcance es nacional, incluso tiene impacto en los tres países facilitando los procesos sanitarios para la importación de productos"/>
    <s v="Todos los operadores económicos de productos agroindustriales"/>
    <m/>
    <m/>
    <m/>
    <m/>
    <m/>
    <m/>
    <m/>
    <m/>
    <m/>
    <m/>
    <m/>
    <m/>
    <m/>
    <m/>
    <m/>
    <n v="9"/>
    <n v="0"/>
    <n v="9"/>
    <m/>
    <x v="1"/>
    <s v="MINEC"/>
    <n v="149"/>
    <m/>
  </r>
  <r>
    <x v="0"/>
    <x v="3"/>
    <s v="1.16"/>
    <x v="15"/>
    <s v="MINEC / SIGET"/>
    <m/>
    <m/>
    <m/>
    <s v="Implementación y Divulgación de la Ley de Firma Electrónica"/>
    <s v="Implementación de la Ley de Firma Electrónica (en proceso de aprobación en la Asamblea Legislativa), que comprende la modernización informática en las diferentes instituciones de gobierno, desarrollo de plataformas informatizadas y el acompañamiento en los procesos de certificación. Adicionalmente, se requiere realizar un proceso de divulgación para la correcta aplicación de la misma tanto por las instituciones de gobierno como los operadores economicos. Esta Ley a nivel regional facilitará el comercio para que se realice la certififcación electrónica de los documentos aduaneros y de origen."/>
    <s v="El alcance nacional"/>
    <s v="Instituciones gubernamentales y operadores económicos de comercio exterior."/>
    <m/>
    <m/>
    <m/>
    <m/>
    <m/>
    <m/>
    <m/>
    <m/>
    <m/>
    <m/>
    <m/>
    <m/>
    <m/>
    <m/>
    <m/>
    <n v="12"/>
    <n v="0"/>
    <n v="12"/>
    <s v="Se cuenta con la experiencia de Costa Rica que al implementar la Ley de Firma Electrónica se invirtió en ese proyecto $20 millones de dólares por lo que se han hecho consultas con la SIGET y se ha determinado que en El Salvador la implementación requiere aproximadamente S12 millones"/>
    <x v="1"/>
    <s v="MINEC"/>
    <n v="150"/>
    <m/>
  </r>
  <r>
    <x v="1"/>
    <x v="4"/>
    <s v="2.1"/>
    <x v="16"/>
    <m/>
    <m/>
    <m/>
    <m/>
    <m/>
    <m/>
    <m/>
    <m/>
    <m/>
    <m/>
    <m/>
    <m/>
    <m/>
    <m/>
    <m/>
    <m/>
    <m/>
    <m/>
    <m/>
    <m/>
    <m/>
    <m/>
    <m/>
    <m/>
    <m/>
    <m/>
    <m/>
    <x v="0"/>
    <m/>
    <n v="151"/>
    <m/>
  </r>
  <r>
    <x v="1"/>
    <x v="4"/>
    <s v="2.1"/>
    <x v="16"/>
    <s v="STPP / FISDL"/>
    <m/>
    <m/>
    <m/>
    <s v="Sistema de Protección Social Universal (SPSU) - Expansión a 44 municipios"/>
    <s v="Programas de Transferencias Monetarias Condicionadas  dirigidas a familias en condición de vulnerabilidad y Exclusión Social con el propósito de mejorar sus condiciones de vida, que incluye el componente de apoyo y seguimiento integral a las familias participantes."/>
    <s v="44 municipios "/>
    <s v="1. FAMILIAS CON JOVENES QUE CURSAN ENTRE 7o GRADO Y BACHILLERATO_x000d__x000d_2. FAMILIAS CON NIÑOS ENTRE 0-5 AÑOS Y/O MUJERES EMBARAZADAS"/>
    <s v="Familias atendidas a través de programas de Transferencias monetarias condicionadas"/>
    <n v="10197"/>
    <n v="9500"/>
    <n v="16853"/>
    <n v="34326"/>
    <m/>
    <s v="a"/>
    <n v="10"/>
    <n v="0.8"/>
    <m/>
    <m/>
    <m/>
    <m/>
    <n v="9.1999999999999993"/>
    <n v="50"/>
    <n v="50"/>
    <n v="14"/>
    <n v="36"/>
    <s v=" 2016: PARA LOS MUNICIPIOS DECOMUNIDADES SOLIDARIAS   _x000d__x000d_1. De los 44 municipios priorizados, 4 coinciden con CSR, los cuales seguirán siendo atendidos en dicho programa. _x000d__x000d_2. De los 44 municipios priorizados ninguno coincide con los municipios de CSU (bono educación) en lo que actualmente hay intervención. _x000d__x000d_3. Datos basados en implementar el Bono Educación Urbano en los 40 municipios restantes, así como un Bono Salud.    "/>
    <x v="2"/>
    <s v="FISDL"/>
    <n v="152"/>
    <m/>
  </r>
  <r>
    <x v="1"/>
    <x v="4"/>
    <s v="2.1"/>
    <x v="16"/>
    <s v="STPP / FISDL"/>
    <m/>
    <m/>
    <m/>
    <s v="Sistema de Protección Social Universal (SPSU)"/>
    <s v="Programas de Transferencias Monetarias Condicionadas  dirigidas a familias en condición de vulnerabilidad y Exclusión Social con el propósito de mejorar sus condiciones de vida, que incluye el componente de apoyo y seguimiento integral a las familias participantes."/>
    <s v="Nivel nacional"/>
    <m/>
    <m/>
    <m/>
    <m/>
    <m/>
    <m/>
    <s v="a"/>
    <s v="a"/>
    <n v="166"/>
    <n v="166"/>
    <m/>
    <m/>
    <m/>
    <m/>
    <m/>
    <n v="800"/>
    <n v="800"/>
    <n v="800"/>
    <n v="0"/>
    <s v="PROGRAMAS Y RECURSOS ADICIONADOS EN V.2"/>
    <x v="2"/>
    <s v="FISDL"/>
    <n v="153"/>
    <m/>
  </r>
  <r>
    <x v="1"/>
    <x v="5"/>
    <s v="2.2"/>
    <x v="17"/>
    <m/>
    <m/>
    <m/>
    <m/>
    <m/>
    <m/>
    <m/>
    <m/>
    <m/>
    <m/>
    <m/>
    <m/>
    <m/>
    <m/>
    <m/>
    <m/>
    <m/>
    <m/>
    <m/>
    <m/>
    <m/>
    <m/>
    <m/>
    <m/>
    <m/>
    <m/>
    <m/>
    <x v="0"/>
    <m/>
    <n v="154"/>
    <m/>
  </r>
  <r>
    <x v="1"/>
    <x v="5"/>
    <s v="2.2"/>
    <x v="17"/>
    <s v="MINED"/>
    <m/>
    <m/>
    <m/>
    <s v="CONSTRUCCION Y  EQUIPAMIENTO DE 1  CUIDADELA, ASITECHI, ARTICULADAS ENTRE EL BACHILLERATO TECNCO Y TECNICO SUPERIOR."/>
    <s v="Construcción y equipamiento de cuidadela para la formación técnica y tecnologica, articulada entre el Tercer Ciclo y Educación Superior."/>
    <m/>
    <m/>
    <m/>
    <m/>
    <m/>
    <m/>
    <m/>
    <m/>
    <s v="a"/>
    <n v="1.3466750000000001"/>
    <m/>
    <m/>
    <m/>
    <n v="1.3466750000000001"/>
    <m/>
    <m/>
    <m/>
    <n v="1.3466750000000001"/>
    <n v="1.3466750000000001"/>
    <n v="0"/>
    <m/>
    <x v="15"/>
    <s v="MINED"/>
    <n v="155"/>
    <m/>
  </r>
  <r>
    <x v="1"/>
    <x v="5"/>
    <s v="2.2"/>
    <x v="17"/>
    <s v="MINED"/>
    <m/>
    <m/>
    <m/>
    <s v="* Proyecto de Mejora de la Calidad de la Educación, convenio de préstamo 8110 - SV                                                                                                                                                                                                                                                                                                                                                                           "/>
    <s v="Este proyecto contribuirá con la rehabilitación de espacios adecuados y seguros y con el amoblamiento para los procesos de aprendizaje de los centros escolares al Sistema Integrado de EITP.    "/>
    <s v="11 municipios ubicados en 7 deparatamentos del pais."/>
    <s v="43,700  alumnos pertenecientes  a 11 municipios de Izalco, Sonsonate, San Pedro Masahuath,  San Juan Nonualco, Suchitoto, Sensuntepeque, El Divisadero, San Francisco Gotera, Jiquilisco, San Alejo, El  Carmen y 7 departamentos                             "/>
    <s v="CENTROS ESCOLARES MEJORADOS EN SU INFRAESTRUCTURA"/>
    <n v="144"/>
    <m/>
    <n v="10"/>
    <n v="134"/>
    <s v="a"/>
    <s v="a"/>
    <n v="7.2178000000000004"/>
    <m/>
    <n v="7.2178000000000004"/>
    <s v="Banco Mundial"/>
    <m/>
    <m/>
    <m/>
    <m/>
    <n v="120.1178"/>
    <n v="20.098321962137902"/>
    <n v="100.0194780378621"/>
    <s v="Reorganización de espacios de CE públicos"/>
    <x v="15"/>
    <s v="MINED"/>
    <n v="156"/>
    <m/>
  </r>
  <r>
    <x v="1"/>
    <x v="5"/>
    <s v="2.2"/>
    <x v="17"/>
    <s v="MINED"/>
    <m/>
    <m/>
    <m/>
    <s v="* FOMILENIO II - El Salvador - II Compacto - Capital Humano "/>
    <s v="El Componente del Proyecto Capital Humano mejorará la calidad de la educación y desarrollo de habilidades de los estudiantes salvadoreños, aumentando así la productividad laboral de los futuros trabajadores salvadoreños, a través de la impleentación del modelo de Sistema Integrado de Escuela Inclusiva de Tiempo Pleno (SI-EITP)"/>
    <s v="Zona costera de El Salvador"/>
    <s v="90,000 alumnos pertenecientes  a  18 municipios deL  Libertad, Tamanique,El Rosario, Olocuilta,  San Juan Nonualco, San Juan Talpa, San Rafael Obrajuelo,, Santiago Nonualco,Zacatecoluca, Conchagua , La Unión, Pasaquina, San antonio del Monte, San julian Jujutla,Concepción Batres, Jiquilisco, Puerto el Triunfo,   y 6 departamentos                             "/>
    <s v="CENTROS ESCOLARES MEJORADOS EN SU INFRAESTRUCTURA"/>
    <n v="196"/>
    <m/>
    <m/>
    <n v="196"/>
    <s v="a"/>
    <m/>
    <m/>
    <m/>
    <m/>
    <m/>
    <m/>
    <m/>
    <m/>
    <m/>
    <n v="69"/>
    <n v="30"/>
    <n v="39"/>
    <s v="Reorganización de espacios de CE públicos"/>
    <x v="15"/>
    <s v="MINED"/>
    <n v="157"/>
    <m/>
  </r>
  <r>
    <x v="1"/>
    <x v="5"/>
    <s v="2.2"/>
    <x v="17"/>
    <s v="MINED"/>
    <m/>
    <m/>
    <m/>
    <s v="*Potenciando la Escuela Inclusiva de Tiempo Pleno en El Salvador"/>
    <s v="En propósito de este proyecto es contribuir a la cualificación del Sistema Educativo salvadoreño en el marco de una escuela Inclusiva de Tiempo Pleno que aseguire la máxima calificación de las competencias aprendidas y su difusión en toda la población."/>
    <s v="10 sitios en 7departamentos "/>
    <s v="Actuales 7573 alumnos pertenecientes  a  9 municipios  ilobasco, Nueva Concepción,San Juan Nonualco, El Carmen, Chirilagua ,Sonsonate, Concepción Batres,  Ozatlán, Usulutan y 7 departamentos                           "/>
    <s v="CENTROS ESCOLARES MEJORADOS EN SU INFRAESTRUCTURA"/>
    <n v="10"/>
    <n v="10"/>
    <m/>
    <m/>
    <s v="a"/>
    <s v="a"/>
    <n v="1.0613696099999999"/>
    <n v="4.308356E-2"/>
    <m/>
    <m/>
    <n v="1.0182860499999999"/>
    <s v="Italia"/>
    <m/>
    <m/>
    <n v="1.54836961"/>
    <n v="1.54836961"/>
    <n v="0"/>
    <m/>
    <x v="15"/>
    <s v="MINED"/>
    <n v="158"/>
    <m/>
  </r>
  <r>
    <x v="1"/>
    <x v="5"/>
    <s v="2.2"/>
    <x v="17"/>
    <s v="MINED"/>
    <m/>
    <m/>
    <m/>
    <s v="Ampliación de Oferta  de Educación Media para Mejorar la Productividad en 12 Departamentos del País - Cooperación italiana"/>
    <s v="El Proyecto busca la ampliación  de la oferta educativa de Educción Media  a nivel nacional, exceptuando los departamentos de La Paz y Sonsonate para mejorar la productividad en la zona de influencia ."/>
    <s v="Ahuachapán, Cabañas, Chalatenango, Cuscatlán, La Libertad, La Unión, Morazán, San Miguel, La Paz, Sonsonate, San Salvador y Usulután"/>
    <s v="1,200 Estudiantes de entre 15 y 19 años"/>
    <s v="24 secciones de educación media ampliadas."/>
    <m/>
    <m/>
    <m/>
    <s v="24 secciones de Educación Media ampliadas."/>
    <m/>
    <m/>
    <m/>
    <m/>
    <m/>
    <m/>
    <m/>
    <m/>
    <m/>
    <m/>
    <n v="7.2"/>
    <n v="0"/>
    <n v="7.2"/>
    <s v="Mapeo de jóvnes y niñez fuera del sistema"/>
    <x v="15"/>
    <s v="MINED"/>
    <n v="159"/>
    <m/>
  </r>
  <r>
    <x v="1"/>
    <x v="5"/>
    <s v="2.2"/>
    <x v="17"/>
    <s v="MINED"/>
    <m/>
    <m/>
    <m/>
    <s v="PROYECTO:  CERRANDO LA BRECHA DEL CONOCIMIENTO, TAIWÁN, FASE III"/>
    <s v="Contribuir al mejoramiento de la calidad de la educación en los centros educativos del sistema público nacional, mediante la dotación de recursos tecnológicos, el mejoramiento de su infraestructura tecnológica y la capacitación de docentes, para que se integren en el proceso de enseñanza y aprendizaje."/>
    <s v="Se implementa en 4 departamentos: Cuscatlán, Cabañas, La Unión y Morazán. "/>
    <s v="8769 estudiantes_x000d_280 docentes"/>
    <s v="67 CE mejorados en infraestructura tecnológica,  y capacitación docente."/>
    <m/>
    <m/>
    <m/>
    <m/>
    <s v="a"/>
    <m/>
    <m/>
    <m/>
    <m/>
    <m/>
    <m/>
    <m/>
    <m/>
    <m/>
    <n v="2"/>
    <n v="1"/>
    <n v="1"/>
    <m/>
    <x v="15"/>
    <s v="MINED"/>
    <n v="160"/>
    <m/>
  </r>
  <r>
    <x v="1"/>
    <x v="5"/>
    <s v="2.2"/>
    <x v="17"/>
    <s v="MINED"/>
    <m/>
    <m/>
    <m/>
    <s v="FOMILENIO II - El Salvador - II Compacto - Capital Humano "/>
    <s v="El Componente del Proyecto Capital Humano mejorará la calidad de la educación y desarrollo de habilidades de los estudiantes salvadoreños, aumentando así la productividad laboral de los futuros trabajadores salvadoreños, a través de la impleentación del modelo de Sistema Integrado de Escuela Inclusiva de Tiempo Pleno (SI-EITP)"/>
    <s v="Zona costera de El Salvador"/>
    <s v="52,702 estudiantes_x000d_1,680 docentes"/>
    <s v="342 CENTROS Educativos UTILIZANDO TIC EN EL AULA Y CON ENLACES A INTERNET"/>
    <m/>
    <m/>
    <m/>
    <m/>
    <s v="a"/>
    <m/>
    <m/>
    <m/>
    <m/>
    <m/>
    <m/>
    <m/>
    <m/>
    <m/>
    <n v="4"/>
    <n v="2.5"/>
    <n v="1.5"/>
    <m/>
    <x v="15"/>
    <s v="MINED"/>
    <n v="161"/>
    <m/>
  </r>
  <r>
    <x v="1"/>
    <x v="5"/>
    <s v="2.2"/>
    <x v="17"/>
    <s v="MINED"/>
    <m/>
    <m/>
    <m/>
    <s v="AMPLIACIÓN DE OFERTA EDUCATIVA DE EDUCACIÓN MEDIA PARA MEJORAR LA PRODUCTIVIDAD EN 12 DEPARTAMENTOS DEL PAÍS"/>
    <s v="El objetivo principal del Proyecto es contribuir en ampliar la oferta educativa del nivel de Educación Media en 50 centros educativos del País."/>
    <s v="Ahuachapán, Santa Ana, La Libertad, Cabañas, Cuscatlán, San Salvador, San Miguel, Chalatenango, Usulután, Morazán, San Vicente y La Unión. "/>
    <s v="3930 estudiantes_x000d_126 docentes"/>
    <s v="50 centros educativos con recursos tecnológicos y capacitación docente."/>
    <m/>
    <m/>
    <m/>
    <n v="2.8330320000000002"/>
    <s v="a"/>
    <m/>
    <m/>
    <m/>
    <m/>
    <m/>
    <m/>
    <m/>
    <m/>
    <m/>
    <n v="1.803032"/>
    <n v="1.803032"/>
    <n v="0"/>
    <m/>
    <x v="15"/>
    <s v="MINED"/>
    <n v="162"/>
    <m/>
  </r>
  <r>
    <x v="1"/>
    <x v="5"/>
    <s v="2.2"/>
    <x v="17"/>
    <s v="MINED"/>
    <m/>
    <m/>
    <m/>
    <s v="SERVICIOS DE CONECTIVIDAD A INTERNET A PARA CENTROS EDUCATIVOS DEL PAÍS"/>
    <s v="Se pretende ampliar los enlaces a internet y la cobertura a nivel nacional en apoyo a los procesos de enseñanza y aprendizaje en los centros educativos."/>
    <s v="Ahuachapán, Santa Ana, La Libertad, Cabañas, Cuscatlán, San Salvador, San Miguel, Chalatenango, Usulután, Morazán, San Vicente, Sonsonate,  La Paz y La Unión. "/>
    <s v="181,851 ESTUDIANTES_x000d_5,976 DOCENTES"/>
    <s v="1,235 CE con enlaces a INTERNET integrados a educación."/>
    <m/>
    <m/>
    <m/>
    <m/>
    <s v="a"/>
    <m/>
    <m/>
    <m/>
    <m/>
    <m/>
    <m/>
    <m/>
    <m/>
    <m/>
    <n v="1.7624"/>
    <n v="0.9"/>
    <n v="0.86240000000000006"/>
    <m/>
    <x v="15"/>
    <s v="MINED"/>
    <n v="163"/>
    <m/>
  </r>
  <r>
    <x v="1"/>
    <x v="5"/>
    <s v="2.2"/>
    <x v="17"/>
    <s v="MINED"/>
    <m/>
    <m/>
    <m/>
    <s v="PROYECTO LEMPITAS"/>
    <s v="Facilitar el acceso a las tecnologías mediante la entrega de computadoras portátiles y la capacitación de docentes en integración de las TIC en el aula."/>
    <s v="Se entregó en San Salvador, La Libertad, San Miguel, Morazán, Santa Ana y Usulután."/>
    <s v="6,043 estudiantes_x000d_207 docentes"/>
    <s v="67 CE mejorados en infraestructura tecnológica,  y capacitación docente."/>
    <m/>
    <m/>
    <m/>
    <m/>
    <s v="a"/>
    <m/>
    <m/>
    <m/>
    <m/>
    <m/>
    <m/>
    <m/>
    <m/>
    <m/>
    <n v="2.6429999999999998"/>
    <n v="0.69299999999999995"/>
    <n v="1.95"/>
    <m/>
    <x v="15"/>
    <s v="MINED"/>
    <n v="164"/>
    <m/>
  </r>
  <r>
    <x v="1"/>
    <x v="5"/>
    <s v="2.2"/>
    <x v="17"/>
    <s v="MINED"/>
    <m/>
    <m/>
    <m/>
    <s v=" PROGRAMA DE APOYO A COMUNIDADES SOLIDARIAS EN EL SALVADOR (PACSES) - COMPONENTE EDUCACIÓN- COMPONENTE: 2  Infraestructura y Amueblamiento "/>
    <s v="Este proyecto consiste en el mejoramiento de las areas de parvularia, implementando el Modelo de Educación y Desarrollo Integral para la Primera Infancia  en centros educativos a nivel nacional. En el area de infraestructura se  esta realizando mejoras a las instalaciones asi como el amueblamiento"/>
    <s v="44 municipios"/>
    <s v="2666 alumnos"/>
    <s v="CENTROS ESCOLARES MEJORADOS EN SU INFRAESTRUCTURA"/>
    <n v="10"/>
    <n v="9"/>
    <n v="1"/>
    <n v="266"/>
    <m/>
    <m/>
    <m/>
    <m/>
    <m/>
    <m/>
    <m/>
    <m/>
    <m/>
    <m/>
    <n v="9.4011291400000001"/>
    <n v="8.6317749999999999E-2"/>
    <n v="9.3148113900000009"/>
    <m/>
    <x v="15"/>
    <s v="MINED"/>
    <n v="165"/>
    <m/>
  </r>
  <r>
    <x v="1"/>
    <x v="5"/>
    <s v="2.2"/>
    <x v="17"/>
    <s v="MINED"/>
    <m/>
    <m/>
    <m/>
    <s v="Mantenimiento de Infraestructura Educativa de Centros Educativos de Media Técnica"/>
    <s v="Efectuar mantenimiento de infraestructura, equipo y mobiliario a los Bachilleratos Técnicos de los Centros Educativos Oficiales"/>
    <s v="Ahuachapán, Cabañas, Chalatenango, Cuscatlán, La Libertad, La Unión, Morazán, San Miguel, La Paz, Sonsonate, San Salvador y Usulután"/>
    <s v="63 CE´s que fueron apoyados por Pro EDUCA y MEGATEC, implementan plan de mantenimiento"/>
    <s v="Mantenimiento de Infraestructura, mobiliario y equipo de centros educativos efectuado"/>
    <n v="0"/>
    <n v="79"/>
    <n v="79"/>
    <n v="237"/>
    <m/>
    <m/>
    <m/>
    <m/>
    <m/>
    <m/>
    <m/>
    <m/>
    <m/>
    <m/>
    <n v="2.2909999999999999"/>
    <n v="0"/>
    <n v="2.2909999999999999"/>
    <m/>
    <x v="15"/>
    <s v="MINED"/>
    <n v="166"/>
    <m/>
  </r>
  <r>
    <x v="1"/>
    <x v="5"/>
    <s v="2.2"/>
    <x v="17"/>
    <s v="MINED"/>
    <m/>
    <m/>
    <m/>
    <s v="Construcción y Equipamiento de 9 Sedes MEGATEC "/>
    <s v="Construcción de 3 nuevas Sedes MEGATEC y Equipamiento y ampliación de la Infraestructuray Equipamiento de 6 Sedes MEGATEC"/>
    <s v="Ahuachapán, Cabañas, Chalatenango, La Libertad, La Unión, La Paz, Sonsonate  y Usulután"/>
    <s v="Fortalecimiento de 9 CE´s del Nivel Tecnológico Superior que incluye: infraestructura, equipamiento, contratación, capacitación docente y apoyo a la implementación"/>
    <s v="Centros Educativos Tecnológicos fortalecidos"/>
    <n v="6"/>
    <n v="2"/>
    <n v="1"/>
    <n v="9"/>
    <m/>
    <m/>
    <m/>
    <m/>
    <m/>
    <m/>
    <m/>
    <m/>
    <m/>
    <m/>
    <n v="18.262371000000002"/>
    <n v="0.2"/>
    <n v="18.062370999999999"/>
    <m/>
    <x v="15"/>
    <s v="MINED"/>
    <n v="167"/>
    <m/>
  </r>
  <r>
    <x v="1"/>
    <x v="5"/>
    <s v="2.2"/>
    <x v="17"/>
    <s v="MINED"/>
    <m/>
    <m/>
    <m/>
    <s v="“Fortalecimiento de la Calidad de la Educación”(BIRF8110-SV)"/>
    <s v="El proyecto “Mejoramiento de la Calidad de la Educación”, comprende varios beneficios, materiales, equipo, mobiliario, transferencias, etc. para una cobertura total de 14 Departamentos, 29 municipios y 898 centros educativos organizados en 103 Sistemas Integrados de Escuela Inclusiva de Tiempo Pleno beneficiando a un total de 25,0853 estudiantes y 8442 docentes_x000d_Objetivo: Mejorar el acceso, la retención y los porcentajes de estudiantes graduados en la Educación Secundaria de tercer ciclo (7° a 9° grado) y en la Educación Secundaria de Bachillerato (10° a 11° grado) de las escuelas públicas del prestatario, que adopten el modelo de Escuela Inclusiva de Tiempo Pleno."/>
    <s v="7 Departamentos_x000d_11 Municipios:_x000d_Sonsonate: Izalco, Sonsonate_x000d_Cuscatlán: Suchitoto_x000d_La Paz: San Juan Nonualco, San Pedro Masahuat_x000d_Cabañas: Sensuntepeque_x000d_Usulután: Jiquilisco_x000d_Morazán: El Divisadero, San Francisco Gotera_x000d_La Unión: El Carmen y San Alejo"/>
    <s v="Estudiantes de tercer ciclo y bachillerato general  en 49 Sistema Integrados con 434 centros educativos"/>
    <s v="Cantidad de Estudiantes de 3° Ciclo y Bachillerato General beneficiados"/>
    <s v="24,598  Est.3°C_x000d_13,709_x000d_Est.Bto."/>
    <s v="24,598  Est.3°C_x000d_13,709_x000d_Est.Bto."/>
    <s v="24,598  Est.3°C_x000d_13,709_x000d_Est.Bto."/>
    <m/>
    <s v="a"/>
    <m/>
    <m/>
    <m/>
    <m/>
    <m/>
    <m/>
    <m/>
    <m/>
    <m/>
    <n v="149.19999999999999"/>
    <n v="70"/>
    <n v="79.2"/>
    <m/>
    <x v="15"/>
    <s v="MINED"/>
    <n v="168"/>
    <m/>
  </r>
  <r>
    <x v="1"/>
    <x v="5"/>
    <s v="2.2"/>
    <x v="17"/>
    <s v="MINED"/>
    <m/>
    <m/>
    <m/>
    <s v="Otorgamiento de Becas para estudiantes de las Sedes MEGATEC y Educación Media Técnica"/>
    <s v="Otorgar becas de estudio a estudiantes de Bachillerato Técnico y Educación Tecnológico Superior"/>
    <s v="Ahuachapán, Cabañas, Chalatenango, Cuscatlán, La Libertad, La Unión, Morazán, San Miguel, La Paz, Sonsonate, San Salvador y Usulután"/>
    <s v="1,158  estudiantes becarios de Educación Técnica Superior y Media Técnica."/>
    <s v="Estudiante becario, formado."/>
    <n v="2756"/>
    <n v="290"/>
    <n v="1737"/>
    <n v="5211"/>
    <s v="a"/>
    <m/>
    <m/>
    <m/>
    <m/>
    <m/>
    <m/>
    <m/>
    <m/>
    <m/>
    <n v="35.925203340000003"/>
    <n v="30.645203339999998"/>
    <n v="5.28"/>
    <m/>
    <x v="15"/>
    <s v="MINED"/>
    <n v="169"/>
    <m/>
  </r>
  <r>
    <x v="1"/>
    <x v="5"/>
    <s v="2.2"/>
    <x v="17"/>
    <s v="MINED"/>
    <m/>
    <m/>
    <m/>
    <s v="Educación Técnica Inicial - Tercer Ciclo"/>
    <s v="Formar en competencias técnicas profesionales a estudiantes de Tercer Ciclo"/>
    <s v="Ahuachapán, Cabañas, Chalatenango, Cuscatlán, La Libertad, La Unión, Morazán, San Miguel, La Paz, Sonsonate, San Salvador y Usulután"/>
    <s v="10,880 estudiantes de Tercer Ciclo con programa de Educación Técnica inicial"/>
    <s v="Estudiante formado."/>
    <n v="0"/>
    <n v="3627"/>
    <n v="3627"/>
    <n v="3627"/>
    <m/>
    <m/>
    <m/>
    <m/>
    <m/>
    <m/>
    <m/>
    <m/>
    <m/>
    <m/>
    <n v="1.13914"/>
    <n v="0"/>
    <n v="1.13914"/>
    <m/>
    <x v="15"/>
    <s v="MINED"/>
    <n v="170"/>
    <m/>
  </r>
  <r>
    <x v="1"/>
    <x v="5"/>
    <s v="2.2"/>
    <x v="17"/>
    <s v="MINED"/>
    <m/>
    <m/>
    <m/>
    <s v="Cultura Emprendedora"/>
    <s v="Desarrollar competencias emprendedoras para implementar ideas de negocios"/>
    <s v="Ahuachapán, Cabañas, Chalatenango, Cuscatlán, La Libertad, La Unión, Morazán, San Miguel, La Paz, Sonsonate, San Salvador y Usulután"/>
    <s v="36 Cooperativas y Asocios constituidos con capital semilla, así como  asesorados para encadenamiento productivo"/>
    <s v="Estudiantes formados en cultura emprendedora."/>
    <n v="0"/>
    <n v="1813"/>
    <n v="1813"/>
    <n v="1813"/>
    <s v="a"/>
    <m/>
    <m/>
    <m/>
    <m/>
    <m/>
    <m/>
    <m/>
    <m/>
    <m/>
    <n v="0.72"/>
    <n v="0.36"/>
    <n v="0.36"/>
    <m/>
    <x v="15"/>
    <s v="MINED"/>
    <n v="171"/>
    <m/>
  </r>
  <r>
    <x v="1"/>
    <x v="5"/>
    <s v="2.2"/>
    <x v="17"/>
    <s v="MINED"/>
    <m/>
    <m/>
    <m/>
    <s v="Capital Semilla"/>
    <s v="Consiste en el otrogamiento de capital semilla a  estudiantes de los bachilleratos  técnicos y tecnológico superior que concursen con inicitivas de negocios de corte cooperativo asociativo, ."/>
    <s v="Ahuachapán, Cabañas, Chalatenango, Cuscatlán, La Libertad, La Unión, Morazán, San Miguel, La Paz, Sonsonate, San Salvador y Usulután"/>
    <s v="540 estudiantes beneficiarios."/>
    <s v="36 coopertivas  o asocios conformados y con capital semilla."/>
    <m/>
    <n v="12"/>
    <n v="12"/>
    <n v="12"/>
    <m/>
    <m/>
    <m/>
    <m/>
    <m/>
    <m/>
    <m/>
    <m/>
    <m/>
    <m/>
    <n v="0.51397000000000004"/>
    <n v="0"/>
    <n v="0.51397000000000004"/>
    <m/>
    <x v="15"/>
    <s v="MINED"/>
    <n v="172"/>
    <m/>
  </r>
  <r>
    <x v="1"/>
    <x v="5"/>
    <s v="2.3"/>
    <x v="18"/>
    <m/>
    <m/>
    <m/>
    <m/>
    <m/>
    <m/>
    <m/>
    <m/>
    <m/>
    <m/>
    <m/>
    <m/>
    <m/>
    <m/>
    <m/>
    <m/>
    <m/>
    <m/>
    <m/>
    <m/>
    <m/>
    <m/>
    <m/>
    <m/>
    <m/>
    <m/>
    <m/>
    <x v="0"/>
    <m/>
    <n v="173"/>
    <m/>
  </r>
  <r>
    <x v="1"/>
    <x v="5"/>
    <s v="2.3"/>
    <x v="18"/>
    <s v="ISNA / INJUVE / FISDL"/>
    <m/>
    <m/>
    <m/>
    <s v="&quot;Ciudad de la Niñez y Adolescencia&quot;"/>
    <s v="Descripción del proyecto: en la &quot;Ciudad de la niñez y Adolescencia&quot; se realizarán intervenciones preventivas para generar un desarrollo y proceso educativo, que se anticipe a advertir factores de riesgo, amenaza y vulneración de derechos a nivel personal, familiar, comunitario y local, como parte de una estrategia de prevención y de reducción  de la violencia. La intervención se fundamenta en el Plan Quinquenal de Desarrollo 2014-2019, tomando dicho instrumento como herramienta programática y estratégica para las acciones del conjunto del sistema público; Eje 5: Inclusión y protección social para el buen vivir: Objetivo 5: Acelerar el tránsito hacia una sociedad equitativa e incluyente._x000d_E.5.3. Avance en la garantía de los derechos de los grupos poblacionales prioritarios. L.5.3.2. Fortalecer los servicios integrales de atención a la niñez, adolescencia y juventud. L.5.3.7. Desarrollar e implementar el sistema nacional de protección a la niñez y adolescencia, personas adultas mayores, personas con discapacidad y personas dependientes. Eje 8: Convivir con armonía:_x000d_Objetivo 8: Impulsar la cultura como derecho, factor de cohesión e identidad y fuerza transformadora de la sociedad. E.8.1. Impulso de procesos de transformación de actitudes y conductas compatibles con el buen vivir. L.8.1.3. Desarrollar programas de prevención de violencia que utilicen métodos artísticos que fomenten autoestima, autodominio, inteligencia emocional y formación de valores en la niñez, adolescencia y juventud. Objetivo general: difundir, promover y garantizar el cumplimiento de los derecho, con las niñas, niños, adolescentes y sus familias, que se encuentran en situación de riesgo y exclusión social, para prevenir su vulneración  y contribuir a la disminución de la violencia, así como a la restitución de los derechos vulnerados, a través de la identificación, promoción y creación de espacios de desarrollo integral que faciliten el ejercicio de derechos. Objetivos específicos: 1. Creación de espacios seguros  que favorezcan el  desarrollo integral de las niñas niños y adolescentes que promuevan su participación activa de con intervenciones educativas, recreativas, culturales y de sano esparcimiento. 2. Contribuir en la prevención de la violencia que afecta a las niñas, niños y adolescentes propiciando desarrollo de habilidades personales-colectivas a través la creación de espacios de desarrollo familiar y personal. 3. Promover iniciativas de  producción que favorezcan la inserción laboral de los  adolescentes que alcanzan su mayoría de edad o sus familias a fin de contribuir a la construcción de tejido social y la sostenibilidad de los procesos."/>
    <s v="Municipio de Santa Ana, Departamento de Santa Ana "/>
    <s v="Los beneficiarios directos del proyecto son niñas, niños y adolescentes y sus familias."/>
    <s v="Número de adolescentes participando en los programas de la &quot;Ciudad de a Niñez y Adolescencia&quot;"/>
    <m/>
    <m/>
    <m/>
    <m/>
    <s v="a"/>
    <m/>
    <m/>
    <m/>
    <m/>
    <m/>
    <m/>
    <m/>
    <m/>
    <m/>
    <n v="2"/>
    <n v="1"/>
    <n v="1"/>
    <m/>
    <x v="16"/>
    <s v="ISNA"/>
    <n v="174"/>
    <m/>
  </r>
  <r>
    <x v="1"/>
    <x v="5"/>
    <s v="2.3"/>
    <x v="18"/>
    <s v="INJUVE"/>
    <m/>
    <m/>
    <m/>
    <s v="Promoción  e implementación de plataforma de fondos concursables y/o capital semilla. [Fortalecer la formación técnica y vocacional para el trabajo e inserción laboral (empleabilidad y autoempleabilidad)]"/>
    <s v="Objetivo General: Favorecer la empleabilidad y autoempleabilidad de las juventudes por medio de la implementación de programas y proyectos acordes a un modelo de crecimiento inclusivo._x000d_En la población joven emprendedora se realizarán concursos para que apliquen a fondos o capital semilla, a quellos que obtengan en apoyo se les brindará asesoriamiento técnico y acompañamiento en el proceso productivo. "/>
    <s v="Se atenderían a 5 nuevos municipios de la zona norte 3 y franja costera marina en el inicio; y gradualmente se irá cubriendo otros municipios."/>
    <s v="1,500 jóvenes"/>
    <s v="Jóvenes emprendedores_x000d_Número de jóvenes emprendedores apoyados con capital semilla y/o fondos."/>
    <m/>
    <m/>
    <s v="500 jóvenes"/>
    <s v="1,500 jóvenes"/>
    <m/>
    <s v="a"/>
    <n v="0.16320000000000001"/>
    <m/>
    <m/>
    <m/>
    <n v="0.16320000000000001"/>
    <m/>
    <m/>
    <m/>
    <n v="7.6631999999999998"/>
    <n v="0.16320000000000001"/>
    <n v="7.5"/>
    <m/>
    <x v="17"/>
    <s v="INJUVE"/>
    <n v="175"/>
    <m/>
  </r>
  <r>
    <x v="1"/>
    <x v="5"/>
    <s v="2.3"/>
    <x v="18"/>
    <s v="INJUVE"/>
    <m/>
    <m/>
    <m/>
    <s v="Implementar ventanillas de atención integral a jóvenes. [Fortalecer la formación técnica y vocacional para el trabajo e inserción laboral (empleabilidad y autoempleabilidad)]"/>
    <s v="Objetivo General: Ofrecer espacios para jóvenes con iniciativa y emprendedores se les brinden diferentes servicios de orientación y asesoramiento._x000d_Se adecuarán los espacios que posee el INJUVE, denominados centros Juveniles donde se instalarán las ventanillas que ofertaran servicios a emprededores juveniles y a jóvenes en situación de vunerabilida social.  _x000d_"/>
    <s v="5 departamentos de la franja constera marina y Zona Norte 3"/>
    <s v=" Jóvenes emprendedores, entre 15 y 29 años."/>
    <s v="Emprendimientos juveniles._x000d_Número de emprendedores juveniles apoyados."/>
    <m/>
    <m/>
    <s v="500 jóvenes"/>
    <s v="1,500 jóvenes"/>
    <m/>
    <m/>
    <m/>
    <m/>
    <m/>
    <m/>
    <m/>
    <m/>
    <m/>
    <m/>
    <n v="0.5"/>
    <n v="0"/>
    <n v="0.5"/>
    <m/>
    <x v="17"/>
    <s v="INJUVE"/>
    <n v="176"/>
    <m/>
  </r>
  <r>
    <x v="1"/>
    <x v="5"/>
    <s v="2.3"/>
    <x v="18"/>
    <s v="FISDL"/>
    <m/>
    <m/>
    <m/>
    <s v="Programa de Apoyo Temporal al Ingreso (PATI)"/>
    <s v="El Programa de Apoyo Temporal al Ingreso (PATI), tiene el propósito de reducir el impacto negativo en contextos de crisis en los ingresos de las familias, a si como a fortalecer  principalmente las capacidades de las mujeres y la juventud participante, que viven en las zonas urbanas de mayor exclusion, para mejorar sus capacidades de empleabilidad  y su integración en la comunidad. Para ello el programa financiará prioritariamente la participación de las mujeres y jóvenes en proyectos comunitarios  y cursos de capaacitación técncia, así como  brindará ingresos  individuales  por valor de $100 mensuales  durante un peridodo de 6 meses; así mismo el PATI apoyará, como estrategia base, el fortalecimiento de las capacidades de las municipalidades participantes mediante asistencia técnica, capacitación y un complemento  monetario para  gastos administrativos relacionados directamente con los proyectos comunitarios que se ejecutarán; haciendo énfasis en actividades que fomenten la convivencia y cohesión social en los asentamientos donde intervenga y en la cooperación interinstitucional a nivel local."/>
    <s v="El programa se desarrollara en los 31 municipios que no han participado en el PATI y que han sido  seleccionados como elegibles de acuerdo a la propuesta de seleccion de territorios del. PAPTN_x000d_"/>
    <s v="La población objetivo esta compuesta  por Mujeres y Hombres, de 16 años en adelante, de preferencia priorizando jefas de hogar,  y jovenes entre los 16 y 24 años.  "/>
    <s v="_x000d__x000d_Número de participantes del PATI que han recibido apoyo al ingreso (4 pagos o más)_x000d__x000d_Porcentaje de participantes PATI que han completado la capacitación y proyectos comunitarios_x000d__x000d_"/>
    <m/>
    <n v="250"/>
    <n v="3875"/>
    <n v="15750"/>
    <m/>
    <m/>
    <m/>
    <m/>
    <m/>
    <m/>
    <m/>
    <m/>
    <m/>
    <m/>
    <n v="15.945"/>
    <n v="0.22500000000000001"/>
    <n v="15.72"/>
    <s v="La Intervencion 2015, esta siendo ejecutada en el municipio de Usulutan _x000d__x000d_De los 44 municipios elegibles se propone intervenir el PATI en 31 municipios; en los los 13 restantes se intervendra con emprendimientos productivos con poblacion en situacion de pobreza y vulnerabilidad social.(linea de accion #1) debido a que ya se ejecuto ."/>
    <x v="2"/>
    <s v="FISDL"/>
    <n v="177"/>
    <m/>
  </r>
  <r>
    <x v="1"/>
    <x v="5"/>
    <s v="2.3"/>
    <x v="18"/>
    <s v="MJSP / PREPAZ"/>
    <m/>
    <m/>
    <m/>
    <s v="Plan Plurianual del Fondo de Fortalecimiento Institucional del Sector Justicia (año 2)."/>
    <s v="Prevenir y reducir los factores y causas que propician la violencia y la delincuencia identificando los recursos y potencialidades de la comunidad de manera coordinada entre el Gobierno Central, local y ciudadanía para incrementar la protección y convivencia armónica, la participación ciudadana y los mecanismos de resolución pacífica de conflictos."/>
    <s v="San Vicente, Zacatecoluca, (La Paz); San Pedro Perulapán y Cojutepeque, (Cuscatlán)."/>
    <s v="Jóvenes y familias en riesgo de los municipios de San Pedro Perulapán, Cojutepeque, San Vicente y Zacatecoluca. "/>
    <s v="90% de jovenes capacitados y el 85% de jovenes se han insertado socioconomicamente._x000d_Fortalecidos los sistemas de información de las oficinas de atención ciudadana de los 4 municipios seleccionados.                _x000d_Elaborado  Plan de Convivencia comunitaria por cada municipio         "/>
    <m/>
    <m/>
    <m/>
    <m/>
    <s v="a"/>
    <m/>
    <m/>
    <m/>
    <m/>
    <m/>
    <m/>
    <m/>
    <m/>
    <m/>
    <n v="1.31"/>
    <n v="0.97"/>
    <n v="0.34"/>
    <s v="Proyecto que se está ejecutando con fondos AECID"/>
    <x v="18"/>
    <s v="MJSP"/>
    <n v="178"/>
    <m/>
  </r>
  <r>
    <x v="1"/>
    <x v="5"/>
    <s v="2.3"/>
    <x v="18"/>
    <s v="MJSP / PREPAZ"/>
    <m/>
    <m/>
    <m/>
    <s v="Apoyo Integral a la Estrategia de Prevención de la Violencia"/>
    <s v="Contribuir a la prevención del delito juvenil, a través de: i) mejorar la articulación de los servicios de prevención a nivel nacional por parte del MJSP; ii) incrementar la inserción social y laboral de jóvenes en riesgo en los municipios beneficiados; y iii) reducir la reincidencia delictiva juvenil. "/>
    <s v="Apopa, Ciudad Delgado, Mejicanos, Soyapango y San Marcos (sujeto a cambios)"/>
    <m/>
    <m/>
    <m/>
    <m/>
    <m/>
    <m/>
    <m/>
    <m/>
    <m/>
    <m/>
    <m/>
    <m/>
    <m/>
    <m/>
    <m/>
    <m/>
    <n v="15.75"/>
    <n v="0"/>
    <n v="15.75"/>
    <s v="Fondos de proyecto: Préstamo en Gestión."/>
    <x v="18"/>
    <s v="MJSP"/>
    <n v="179"/>
    <m/>
  </r>
  <r>
    <x v="1"/>
    <x v="5"/>
    <s v="2.3"/>
    <x v="18"/>
    <s v="MJSP / PREPAZ"/>
    <m/>
    <m/>
    <m/>
    <s v="Programa de Prevención y de Rehabilitación de Jóvenes en Riesgo y en Conflicto."/>
    <s v="Contribuir a la prevención de la violencia juvenil y a la rehabilitación de los jóvenes en conflicto con la ley "/>
    <s v="San Martín, Ilopango y Tonacatepeque (San Salvador)"/>
    <s v="Los beneficiarios directos serán alrededor de 1.500 jóvenes – de una edad comprendida entre los 14 y los 24 años - en riesgo y en conflicto con la ley (aproximadamente 1000 jóvenes para las actividades de formación, 400 para formación de Protección civil y 100 jóvenes para las Orquestas)."/>
    <s v="100% de jóvenes participantes del programa."/>
    <m/>
    <m/>
    <m/>
    <m/>
    <s v="a"/>
    <m/>
    <m/>
    <m/>
    <m/>
    <m/>
    <m/>
    <m/>
    <m/>
    <m/>
    <n v="8.2134149999999995"/>
    <n v="6.023415"/>
    <n v="2.19"/>
    <s v="Fondos de Proyecto: Préstamo _x000d_$ 6,023.415.00 y Donación $235,000.00 _x000d_En gestión. "/>
    <x v="18"/>
    <s v="MJSP"/>
    <n v="180"/>
    <m/>
  </r>
  <r>
    <x v="1"/>
    <x v="5"/>
    <s v="2.3"/>
    <x v="18"/>
    <s v="STPP"/>
    <m/>
    <m/>
    <m/>
    <s v="EMPLEO Y EMPLEABILIDAD JOVEN"/>
    <s v="Este programa tiene como objetivo asegurar de forma gradual la inserción productiva al mercado de trabajo, la permanencia, y la movilidad laboral de jóvenes en edad de trabajar y en situación de vulnerabilidad; además de fomentar la competitividad en función de las prioridades de desarrollo del país. _x000d_Para tal fin, un equipo interinstitucional conformado por el Ministerio de Trabajo y Previsión Social, el Instituto Nacional de la Juventud, el Instituto Salvadoreño de Formación Profesional, el Ministerio de Educación y la Secretaría Técnica y de Planificación de la Presidencia; están diseñando los componentes del programa a través del cual se busca:_x000d_1. Mejorar la pertinencia de  la oferta de formación técnica y profesional en relación a la demanda del mercado laboral._x000d_2. Mejorar las condiciones para el acceso a oportunidades de educación formal  y formación profesional._x000d_3. Mejorar la articulación interinstitucional para atender a las juventudes en intermediación laboral._x000d_4. Ampliar  el dominio de las habilidades para la vida de las juventudes._x000d_5. Disminuir  los obstáculos que excluyen a las juventudes de las oportunidades de su inserción al mercado laboral y empleabilidad._x000d_"/>
    <s v="San Salvador, Ciudad Delgado, Mejicanos, Soyapango, Santa Ana, Zacatecoluca, Colón, Cojutepeque, Sonsonate y Jiquilisco"/>
    <m/>
    <m/>
    <m/>
    <m/>
    <m/>
    <m/>
    <m/>
    <m/>
    <m/>
    <m/>
    <m/>
    <m/>
    <m/>
    <m/>
    <m/>
    <m/>
    <n v="20"/>
    <n v="20"/>
    <n v="0"/>
    <s v="Donación de Unión Europea por $20 millones (aprobado)"/>
    <x v="19"/>
    <s v="STPP"/>
    <n v="181"/>
    <m/>
  </r>
  <r>
    <x v="1"/>
    <x v="5"/>
    <s v="2.4"/>
    <x v="19"/>
    <m/>
    <m/>
    <m/>
    <m/>
    <m/>
    <m/>
    <m/>
    <m/>
    <m/>
    <m/>
    <m/>
    <m/>
    <m/>
    <m/>
    <m/>
    <m/>
    <m/>
    <m/>
    <m/>
    <m/>
    <m/>
    <m/>
    <m/>
    <m/>
    <m/>
    <m/>
    <m/>
    <x v="0"/>
    <m/>
    <n v="182"/>
    <m/>
  </r>
  <r>
    <x v="1"/>
    <x v="5"/>
    <s v="2.4"/>
    <x v="19"/>
    <s v="MINED"/>
    <m/>
    <m/>
    <m/>
    <s v="Capacitación de Docente Técnicos y Tecnológicos"/>
    <s v="Impartir Capacitación Docente a los Centros Educativos de los Bachilleratos Técnicos y de las Sedes MEGATEC."/>
    <s v="Ahuachapán, Cabañas, Chalatenango, Cuscatlán, La Libertad, La Unión, Morazán, San Miguel, La Paz, Sonsonate, San Salvador y Usulután"/>
    <s v="325 docentes de nuevos CE´s que implementan Bachillerato Técnico  capacitados en enfoque de nuevos planes de estudio basados en competencias e investigación tecnológica."/>
    <s v="Docentes capacitados"/>
    <n v="0"/>
    <n v="108"/>
    <n v="108"/>
    <n v="108"/>
    <m/>
    <m/>
    <m/>
    <n v="0.39937499999999998"/>
    <m/>
    <m/>
    <n v="0.39937499999999998"/>
    <m/>
    <m/>
    <m/>
    <n v="0.50310540000000004"/>
    <n v="0.39937499999999998"/>
    <n v="0.10373040000000001"/>
    <m/>
    <x v="15"/>
    <s v="MINED"/>
    <n v="183"/>
    <m/>
  </r>
  <r>
    <x v="1"/>
    <x v="5"/>
    <s v="2.4"/>
    <x v="19"/>
    <s v="MINED"/>
    <m/>
    <m/>
    <m/>
    <s v="Plan Nacional de Formación de Docentes en Servicio en el Sector Público"/>
    <s v="Estructurar un plan de formaciòn continua para todos los docentes en servicio del sector público de los diferentes niveles y moladidades educativas, que fortalecerá la estrategia de construcción de un Sistema Nacional de Desarrollo Profesional Docente, el cual se implementará en diferentes fases, involucrando procesos dinámicos e innovadores de desarrollo profesional, así como estrategias y mecanismos de evaluación, seguimiento para la mejorara continua del sistema."/>
    <s v="44 municipios en los 12 departamentos del país"/>
    <s v="30,000 docentes formados de los niveles de educación parvularia, educaciòn básica y media."/>
    <s v="Docentes en formación"/>
    <n v="1000"/>
    <n v="12200"/>
    <n v="16000"/>
    <n v="30000"/>
    <s v="a"/>
    <m/>
    <m/>
    <m/>
    <m/>
    <m/>
    <m/>
    <m/>
    <m/>
    <m/>
    <n v="28"/>
    <n v="10"/>
    <n v="18"/>
    <m/>
    <x v="15"/>
    <s v="MINED"/>
    <n v="184"/>
    <m/>
  </r>
  <r>
    <x v="1"/>
    <x v="6"/>
    <s v="2.5"/>
    <x v="20"/>
    <m/>
    <m/>
    <m/>
    <m/>
    <m/>
    <m/>
    <m/>
    <m/>
    <m/>
    <m/>
    <m/>
    <m/>
    <m/>
    <m/>
    <m/>
    <m/>
    <m/>
    <m/>
    <m/>
    <m/>
    <m/>
    <m/>
    <m/>
    <m/>
    <m/>
    <m/>
    <m/>
    <x v="0"/>
    <m/>
    <n v="185"/>
    <m/>
  </r>
  <r>
    <x v="1"/>
    <x v="6"/>
    <s v="2.5"/>
    <x v="20"/>
    <s v="MINSAL"/>
    <m/>
    <m/>
    <m/>
    <s v="Ogranizacion de promotores juveniles de salud, circulos educativos con adolescentes embarazadas y tambien se crearan 18  centros de recoleccion de leche humana."/>
    <s v="Se fortalecera la infraestructura, adquisicòn de recurso humano, equipo e insumos de 169 UCSF ubicados en 12 departementos donde se encuentran los 44 muncions focalizados.Y la contrucciòn de 49 UCSF a fin de fortalecer los ECO;S familiares con recursos humanos, estructura fisica, insumos para la adecuada atenciòn de la salud materna, infantil y adolescentes.    Asi como    tambien la creacion de  18  centros de recoleccion de leche humana.                                                                "/>
    <s v="44 municipios"/>
    <s v="1,305,633 habitantes"/>
    <s v="Tasa de mortalidad infantil . Taza de mortalidad  menores de 5 años. Razon de  de mortalidad materna  , porcentaje de embarzo en adolescentes                                       Volumen de leche humana recolectada en ml"/>
    <s v="taza de mortalidad infantil 8.1 para el 2013 taza de mortalidad menor de 5 años 9.3 para el 2013                      Razon de mortalidad materna 38 para el 2013                     para bancos de leche la linea de base es 700 niños"/>
    <s v="taza de mortalidad infantil 8.1 para el 2013 taza de mortalidad menor de 5 años 9.3 para el 2013             Razon de mortalidad materna 38 para el 2013   para BANCO DE LECHE 100 niños mas cada año"/>
    <s v="taza de mortalidad infantil 8.1 para el 2013                taza de mortalidad menor de 5 años 9.3 para el 2013             Razon de mortalidad materna 36 para el 2013  para BANCO DE LECHE 100 niños mas cada año"/>
    <s v="Razon de mortalidad materna 35                  taza de mortalidad infantil 8        para BANCO DE LECHE 100 niños mas cada año"/>
    <m/>
    <m/>
    <m/>
    <m/>
    <m/>
    <m/>
    <m/>
    <m/>
    <m/>
    <m/>
    <n v="60.670659490000006"/>
    <n v="0"/>
    <n v="60.670659490000006"/>
    <m/>
    <x v="20"/>
    <s v="MINSAL"/>
    <n v="186"/>
    <m/>
  </r>
  <r>
    <x v="1"/>
    <x v="6"/>
    <s v="2.5"/>
    <x v="20"/>
    <s v="MINSAL"/>
    <m/>
    <m/>
    <m/>
    <s v="Fortalecimiento de la atención en salud y nutrición de la salud infantil en menores de 2 años y del embarazo adolescente."/>
    <s v="Se brindará un alimento complementario, suplementos de micronutrientes y acciones de promoción, protección y apoyo a la lactancia materna como parte de la atención integral a embarazadas y niños y niñas de 0 a 24 meses de edad."/>
    <s v="44 municipios"/>
    <s v="30,000 niños y niñas y 7,000 embarazadas"/>
    <s v="Prevalencia de desnutriciòn crónica en menores de 2 años.                                    Prevalencia de bajo peso al nacer"/>
    <s v="El 19% de los menores de 2 años con desnutrición crónica, el 9% de bajo peso al nacer           PARA CENTROS RECOLECTORES DE LECHE 60 LITROS CADA AÑO"/>
    <s v="Reducir 2 puntos porcentuales de desnutrición crónica y 1 pp de bajo peso al nacer                             PARA CENTROS RECOLECTORES DE LECHE 60 "/>
    <s v="Reducir 2 pp de desnutrición crónica y 1 pp bajo peso al nacer            PARA CENTROS RECOLECTORES DE LECHE 60 "/>
    <s v="Prevalencia 9% desnutrición crónica en menores de 2 años y 5% bajo peso al nacer           PARA CENTROS RECOLECTORES DE LECHE 60 "/>
    <m/>
    <m/>
    <m/>
    <m/>
    <m/>
    <m/>
    <m/>
    <m/>
    <m/>
    <m/>
    <n v="0"/>
    <n v="0"/>
    <n v="0"/>
    <s v="Presupuestado junto con Línea 19"/>
    <x v="20"/>
    <s v="MINSAL"/>
    <n v="187"/>
    <m/>
  </r>
  <r>
    <x v="1"/>
    <x v="6"/>
    <s v="2.5"/>
    <x v="20"/>
    <s v="MINSAL"/>
    <m/>
    <m/>
    <m/>
    <s v="Gestión integral de procesos, compra y provisión de medicamentos para los 44 municipios priorizados que conforman territorios funcionales. "/>
    <s v="Fortalecimiento de la gestión central de medicamentos, dispositivos e insumos médicos. Implementado un sistema de gestión local  que permitan entregar productos de alta calidad a la población que requiere servicios de salud._x000d_Incluye los siguientes sub-componentes:_x000d_1. Mejorar la infraestructura y equipamiento de almacenes de medicamentos, dispositivos e insumos médicos de 12 Centros departamentales de almacenamiento y distribución (uno por cada departamento incluido en el proyecto), 19 hospitales y 168 establecimientos del primer nivel (44 redes municipales de los municipios priorizados que conforman territorios funcionales)._x000d_2. Compra de un vehículo refrigerado para cada una de las 44 microredes municipales de los municipios priorizados que conforman territorios funcionales._x000d_3. Conectividad y equipamiento informático de las farmacias y almacenes de los establecimientos de las 44 redes municipales de los municipios priorizados que conforman territorios funcionales (que incluye el centro departamental correspondiente, 19 hospitales y 168 establecimientos del primer nivel).Adquisición mediante compra directa de los medicamentos desabastecidos en los establecimientos incluidos en el proyecto y una cantidad adicional para superar la brecha de financiamiento de los medicamentos para cumplir con las necesidades reales para el año 2015 de cada establecimiento incluido en el proyecto de los 44 municipios priorizados que conforman territorios funcionales seleccionados._x000d_Las acciones en atención primaria en salud:_x000d_- Fortalecer el programa de Vacunas e Inmunizaciones_x000d_- Fortalecer la gestión integral de procesos de compra y provisión de medicamentos_x000d_- Consolidar las Redes Integrales e Integradas de Servicios de Salud_x000d_- Fortalecimiento de la capacidad resolutiva de las Unidades de Salud Comunitaria Familiares_x000d_- Fortalecer la educación sanitaria, el asesoramiento para condiciones favorables de vida. "/>
    <s v="44 municipios"/>
    <s v="1,305,633 habitantes"/>
    <s v="Porcentaje de abastecimiento de medicamentos de calidad en el sector público"/>
    <n v="0.85"/>
    <n v="0.88"/>
    <n v="0.9"/>
    <n v="0.95"/>
    <s v="a"/>
    <s v="a"/>
    <n v="21.168643809999999"/>
    <n v="7.6866438099999996"/>
    <n v="0.17199999999999999"/>
    <s v="Banco Mundial"/>
    <n v="0.37"/>
    <s v="BID - SALUD MESOAMÉRICA 2015"/>
    <n v="12.942745943999999"/>
    <n v="72.943729719999993"/>
    <n v="72.943729719999993"/>
    <n v="8.23"/>
    <n v="64.713729719999989"/>
    <m/>
    <x v="20"/>
    <s v="MINSAL"/>
    <n v="188"/>
    <m/>
  </r>
  <r>
    <x v="1"/>
    <x v="6"/>
    <s v="2.6"/>
    <x v="21"/>
    <m/>
    <m/>
    <m/>
    <m/>
    <m/>
    <m/>
    <m/>
    <m/>
    <m/>
    <m/>
    <m/>
    <m/>
    <m/>
    <m/>
    <m/>
    <m/>
    <m/>
    <m/>
    <m/>
    <m/>
    <m/>
    <m/>
    <m/>
    <m/>
    <m/>
    <m/>
    <m/>
    <x v="0"/>
    <m/>
    <n v="189"/>
    <m/>
  </r>
  <r>
    <x v="1"/>
    <x v="6"/>
    <s v="2.6"/>
    <x v="21"/>
    <s v="MINSAL"/>
    <m/>
    <m/>
    <m/>
    <s v=" Inversión en el fortalecimiento de la capacidad instalada de 19 hospitales para la atención materno infantil, población menor de 2 años y embarazo adolescente. Otro proyecto es la creación de 5 bancos de leche humana. "/>
    <s v="Se fortalecera la infraestructura, adquisicòn de recurso humano, equipo e insumos de 19 hospitales ubicados en 12 departementos donde se encuentran los 44 muncions focalizados.   En los hospitales se aumentara la cobertura de banco de leche en 5 hospitales.   Las acciones en fortalecimiento de Capacidad Instalada consideran:_x000d_- Rehabilitación de Obras. Infraestructura de Unidades Comunitarias de Salud Familiar (UCSF)_x000d_- Mantenimiento de Obras Menores. Infraestructura de UCSF._x000d_- Compra de Equipo Medico                                                                 "/>
    <s v="los 44 municipios"/>
    <s v="1,305,633 habitantes"/>
    <s v="% de hospitales con cobertura de atenciòn de 24 horas para la atencion materni infantil.                                          Niños y niñas alimentados con leche humana pasteurizada en el año."/>
    <s v="Al momento hay 20 de 30 (67%) hospitales atenciòn materna ,y 9 pediatrias de 30 hospitales que tienen 24 horas de atenciòn (30%)."/>
    <s v="75% de los hospitales con maternidades fortalecidos y el 50% de las pediatrias"/>
    <s v="80% de los hospitales con maternidades fortalecidos y el 70% de las pediatrias"/>
    <s v="100% de los hospitales con maternidades fortalecidos y el 100% de las pediatrias"/>
    <s v="a"/>
    <s v="a"/>
    <n v="24.35"/>
    <m/>
    <n v="12"/>
    <s v="Banco Mundial"/>
    <n v="0.49"/>
    <s v="BID - SALUD MESOAMÉRICA 2015"/>
    <n v="11.856380980000001"/>
    <n v="71.77"/>
    <n v="71.771904899999996"/>
    <n v="12.49"/>
    <n v="59.281904900000001"/>
    <m/>
    <x v="20"/>
    <s v="MINSAL"/>
    <n v="190"/>
    <m/>
  </r>
  <r>
    <x v="1"/>
    <x v="6"/>
    <s v="2.7"/>
    <x v="22"/>
    <m/>
    <m/>
    <m/>
    <m/>
    <m/>
    <m/>
    <m/>
    <m/>
    <m/>
    <m/>
    <m/>
    <m/>
    <m/>
    <m/>
    <m/>
    <m/>
    <m/>
    <m/>
    <m/>
    <m/>
    <m/>
    <m/>
    <m/>
    <m/>
    <m/>
    <m/>
    <m/>
    <x v="0"/>
    <m/>
    <n v="191"/>
    <m/>
  </r>
  <r>
    <x v="1"/>
    <x v="6"/>
    <s v="2.7"/>
    <x v="22"/>
    <s v="ISNA"/>
    <m/>
    <m/>
    <m/>
    <s v="Programas de promoción de derechos dirigido a las y los adolescentes"/>
    <s v="Descripción del proyecto: el ISNA desde la Subdirección de Promoción de Derechos y a través del departamento de Difusión y Participación, desarrollará jornadas para la atención de adolescentes con acciones de recreación, lúdicas y educativas: las atenciones consiste en facilitar la expresión de las y los adolescentes, a través de, dibujo y la pintura, lo que permite a las niñas, niños y adolescentes, investigar por sí mismos facilitando su empoderamiento la importancia de trabajar en el conocimiento y la difusión de sus  derechos la dinamización de actividades artísticas, lúdicas y educativas coordinadas por los profesionales del ISNA. El Derecho a la Participación un derecho consabido en la Convención para los Derechos del Niño (CDN) de la cual El Salvador es signatario y el referido está citado en la Ley de Protección Integral de la Niñez y Adolescencia (LEPINA) y con el propósito que el cumplimiento de este derecho sea plenamente ejercido por las niñas, niños y adolescentes. Objetivo General: Difundir y promover los derechos de la niñez y la adolescencia para prevenir su vulneración y contribuir a la paternidad responsable."/>
    <s v="A nivel nacional, a través de las Delegaciones Regionales y Departamentales del ISNA"/>
    <s v="Adolescentes de 12 a 18 años"/>
    <s v="Número de adolescentes participando en los Programas de Promoción de Derechos"/>
    <s v="2,269 Adolescentes"/>
    <m/>
    <m/>
    <m/>
    <m/>
    <m/>
    <m/>
    <m/>
    <m/>
    <m/>
    <m/>
    <m/>
    <m/>
    <m/>
    <n v="0.1"/>
    <n v="0"/>
    <n v="0.1"/>
    <m/>
    <x v="16"/>
    <s v="ISNA"/>
    <n v="192"/>
    <m/>
  </r>
  <r>
    <x v="1"/>
    <x v="6"/>
    <s v="2.7"/>
    <x v="22"/>
    <s v="MINSAL"/>
    <m/>
    <m/>
    <m/>
    <s v="Ogranizacion de promotores juveniles de salud, circulos educativos con adolescentes embarazadas. Fortalecimiento en la atención integral en salud sexual y reproductiva. Con énfasis en el embarazo en adolescentes."/>
    <s v="Formacion de adolescentes lideres como promotores juveniles de salud, quienes a traves de la metodologia entre pares discuten temas de autoestima, proyecto de vida, paternidad responsible, derechos, prevencion de violenica sexual y otras formas, anticoncepcion_x000d_A traves de los circulos educativos se favorece la prevencion del segundo o sigiuente embarazo en adolescentes, fortaleciendo el reconociiento de los derechos, referencia al sistema de proteccion.  Las Acciones en el componentes de la salud sexual y reproductiva son:_x000d_- Servicios de información, asesoramiento, educación y comunicación en_x000d_materia de anti-concepción y salud reproductiva._x000d_- Educación y servicios de atención prenatal, partos sin riesgo y pos-parto._x000d_- Acceso a métodos anticonceptivos seguros y modernos._x000d_- Información y tratamiento para las infecciones de transmisión sexual._x000d_- Información, educación y asesoramiento sobre sexualidad, salud reproductiva_x000d_y maternidad y paternidad responsable._x000d_- Garantizar la participación de las mujeres en la toma de decisiones_x000d_en los servicios de salud sexual y reproductiva."/>
    <s v="44 municipios "/>
    <s v="1355708 habitantes "/>
    <s v="% de establecimientos de salud que organizan promotores juveniles de salud y circulos educativos con adolescentes embarazadas "/>
    <s v="20% de establceimientos cuentan con grupos organizados"/>
    <s v="40% de establecimientos cuentan con grupos organizados "/>
    <s v="60% de establecimienos cuentan con grupos organizados "/>
    <s v="80% de establecimientos cuentan con grupos organizados "/>
    <s v="a"/>
    <s v="a"/>
    <n v="99.97797383000001"/>
    <n v="98.362973830000001"/>
    <n v="0.15"/>
    <s v="Banco Mundial"/>
    <n v="0.17499999999999999"/>
    <s v="BID - SALUD MESOAMÉRICA 2015"/>
    <n v="1.2855005319999999"/>
    <n v="105.12"/>
    <n v="105.11547649000001"/>
    <n v="98.687973830000004"/>
    <n v="6.42750266"/>
    <m/>
    <x v="20"/>
    <s v="MINSAL"/>
    <n v="193"/>
    <m/>
  </r>
  <r>
    <x v="1"/>
    <x v="6"/>
    <s v="2.8"/>
    <x v="23"/>
    <m/>
    <m/>
    <m/>
    <m/>
    <m/>
    <m/>
    <m/>
    <m/>
    <m/>
    <m/>
    <m/>
    <m/>
    <m/>
    <m/>
    <m/>
    <m/>
    <m/>
    <m/>
    <m/>
    <m/>
    <m/>
    <m/>
    <m/>
    <m/>
    <m/>
    <m/>
    <m/>
    <x v="0"/>
    <m/>
    <n v="194"/>
    <m/>
  </r>
  <r>
    <x v="1"/>
    <x v="6"/>
    <s v="2.8"/>
    <x v="23"/>
    <s v="MINED / MINSAL / ISNA"/>
    <m/>
    <m/>
    <m/>
    <s v="Fortalecimiento de la mejora de la calidad de atencion y desarrollo temprano de las niñas y niños en cada uno de los centros de atencion inicial del ISNA"/>
    <s v="Descripción del proyecto: esta en el marco del fortalecimiento al Programa de Atencion  Integral a la Primera Infancia el cual  tiene como finalidad promover el desarrollo integral de las niñas y niños de seis meses a siete años de edad, a través de sus modalidades de atención: Centros de Desarrollo Integral (CDI) y Centros de Bienestar Infantil (CBI), por medio de la ejecución de los componentes del programa. (Según el artículo 116 de la Ley LEPINA: la finalidad es la prevención, protección atención, promoción y difusión de los derechos de las niñas y niños.) Objetivo Especifico: Favorecer el desarrollo físico, cognoscitivo, afectivo y social de las niñas y niños de  seis meses a siete años once meses años de edad, promoviendo su desarrollo integral e involucrando la participación activa de la familia, la comunidad y otros actores locales, en el proceso de atención."/>
    <s v="El Proyecto de fortalecimiento al Programa  de Primera Infancia tiene una coberttura a nivel nacional, brindando atencion en 111 municipios distribuidos en los 14 departamentos del pais segun descripcion: Santa Ana 14 CAI, Ahuchapan 7 CAI, San Salvador 31 CAI, La Paz 14 CAI, La Libertad 30 CAI, Usulutan 20 CAI, San Miguel 2, Morazan 15 CAI, La Union 3 CAI, Chalatenango 20 CAI, Sonsonate 12 CAI, San Vicente 15 CAI, Cabañas 12 CAI, Cuscatlan 11 CAI   haciendo un total de 206 Centros de Atencion Inicial (CAI),  los cuales brindan la atencion atraves de la implementacion de los componentes del programa, el proyecto busca fortalecer a los 206 centros."/>
    <s v="En la aplicabilidad del proyecto beneficiara a  503 niños y 434 niñas menores de 3 años,  ademas de 1,275 niñas y 1482 niños menores de 5 años, como tambien a 1792 niñas y a 2,036 niños de 5 años a 7 años de edad, brindando la atencion durante el año 2014 a 7,522 niñas y niños."/>
    <s v="Atención integral a la primera infancia "/>
    <s v="7,522 niñas y niños "/>
    <s v="7,522 niñas y niños "/>
    <s v="7,522 niñas y niños "/>
    <s v="7,522 niñas y niños "/>
    <s v="a"/>
    <m/>
    <m/>
    <m/>
    <m/>
    <m/>
    <m/>
    <m/>
    <m/>
    <m/>
    <n v="3.3802593000000001"/>
    <n v="2.3802593000000001"/>
    <n v="1"/>
    <m/>
    <x v="16"/>
    <s v="ISNA"/>
    <n v="195"/>
    <m/>
  </r>
  <r>
    <x v="1"/>
    <x v="6"/>
    <s v="2.8"/>
    <x v="23"/>
    <s v="MINSAL"/>
    <m/>
    <m/>
    <m/>
    <s v=" Inversión en el fortalecimiento de la capacidad instalada de 169 UCSF y del hospital de niños Bemjamin Bloom a fin de fortalecer los circulos de familia: practicas de crianza, estimulaciòn temprana, educaciòn ensalud entre otros. Fortalecimiento en la atención integral en salud y nutrición de niños y niñas menores de 5 años"/>
    <s v="Se fortaleceran los circulos de familia: actividades educativas con los padres. practicas de crianza, estimulaciòn temprana, educaciòn en salud, abogacia en la comunidad para garantizar los derechos de niños y niñas.    Las Acciones en el componente infantil son:_x000d_- Cuidados de salud para recién nacidos_x000d_- Incrementar en la familia modelos de crianza que promuevan el desarrollo integral del niño y niña._x000d_- Incrementar los conocimientos sobre estimulación temprana, atención y cuido en la primera infancia._x000d_- Aumentar la cobertura de atención en niños y niñas menores de 5 años.             - Consolidar y fortalecer la Red de Bancos de Leche Humana y acciones de promoción, protección y apoyo a la  lactancia materna en la Red Nacional de Hospitales con Bancos de leche Humana "/>
    <s v="los 44 municipios"/>
    <s v="1,305,633 habitantes en la cual hay 30 mil niños y niñas menores de 4 años"/>
    <s v="Número de circulos infantiles creados y funcionando"/>
    <s v="25 circulos iniciados"/>
    <s v="50 circulos iniciados"/>
    <s v="100 circulos iniciados"/>
    <s v="200 circulos iniciados"/>
    <s v="a"/>
    <s v="a"/>
    <n v="98.608445829999994"/>
    <n v="98.321933829999992"/>
    <n v="0.12"/>
    <s v="Banco Mundial"/>
    <n v="0.16651199999999999"/>
    <s v="BID - SALUD MESOAMÉRICA 2015 - Brasil ABC"/>
    <m/>
    <n v="98.608445829999994"/>
    <n v="98.608445829999994"/>
    <n v="98.608445829999994"/>
    <n v="0"/>
    <s v="Presupuestado junto con Línea 19"/>
    <x v="20"/>
    <s v="MINSAL"/>
    <n v="196"/>
    <m/>
  </r>
  <r>
    <x v="1"/>
    <x v="6"/>
    <s v="2.8"/>
    <x v="23"/>
    <s v="MINED / ISNA"/>
    <m/>
    <m/>
    <m/>
    <s v="Desarrollo infantil temprano - Ampliación de la oferta de servicios a menores de 4 años"/>
    <s v="Ampliación de cobertura de primera infancia "/>
    <s v="Rehabilitación y amueblamiento de Centros Escolares de Educación Especial"/>
    <s v="1003 estudiantes de escuelas de educacion especial"/>
    <s v="CENTROS ESCOLARES MEJORADOS EN SU INFRAESTRUCTURA"/>
    <m/>
    <m/>
    <m/>
    <n v="7"/>
    <m/>
    <m/>
    <m/>
    <m/>
    <m/>
    <m/>
    <m/>
    <m/>
    <m/>
    <m/>
    <n v="2.8"/>
    <n v="0"/>
    <n v="2.8"/>
    <m/>
    <x v="15"/>
    <s v="MINED"/>
    <n v="197"/>
    <m/>
  </r>
  <r>
    <x v="1"/>
    <x v="6"/>
    <s v="2.8"/>
    <x v="23"/>
    <s v="ISNA"/>
    <m/>
    <m/>
    <m/>
    <s v="Centros de Desarrollo Infantil (CDI)"/>
    <s v="Proporcionar atención integral de la infancia en áreas rurales y urbano- marginales cinco Centros de Desarrollo Infantil (CDI) de El Salvador. Desarrollar una educación democrática, mediante la participación activa de los padres en la educación de los hij@s, la planificación participativa y coordinación con la comunidad. Promover el pensamiento crítico en l@s nin@s."/>
    <m/>
    <m/>
    <m/>
    <m/>
    <m/>
    <m/>
    <m/>
    <m/>
    <m/>
    <m/>
    <m/>
    <m/>
    <m/>
    <m/>
    <m/>
    <m/>
    <m/>
    <n v="173.60952427000001"/>
    <n v="0"/>
    <n v="173.60952427000001"/>
    <s v="Verificar con BID"/>
    <x v="16"/>
    <s v="ISNA"/>
    <n v="198"/>
    <m/>
  </r>
  <r>
    <x v="1"/>
    <x v="7"/>
    <s v="2.9"/>
    <x v="24"/>
    <m/>
    <m/>
    <m/>
    <m/>
    <m/>
    <m/>
    <m/>
    <m/>
    <m/>
    <m/>
    <m/>
    <m/>
    <m/>
    <m/>
    <m/>
    <m/>
    <m/>
    <m/>
    <m/>
    <m/>
    <m/>
    <m/>
    <m/>
    <m/>
    <m/>
    <m/>
    <m/>
    <x v="0"/>
    <m/>
    <n v="199"/>
    <m/>
  </r>
  <r>
    <x v="1"/>
    <x v="7"/>
    <s v="2.9"/>
    <x v="24"/>
    <s v="MOP / VMVDU"/>
    <m/>
    <m/>
    <m/>
    <s v="Renovación urbana y reconstrucción del tejido social:  Proyecto Estratégico: Revitalización urbanística y construcción de vivienda social en el Centro Histórico de San Salvador"/>
    <s v="OBJETIVO GENERAL: Atender el déficit habitacional cuantitativo pero abordado de una manera diferente a la simple producción de viviendas y al desarrollo de proyectos de vivienda unifamiliar de baja densidad constructiva (de uno o dos niveles), puesto se plantea generar acciones para la reconstrucción del tejido social, diversificar los mecanismos para la adquisición de vivienda, la renovación urbana de zonas degradas de nuestras ciudades y atender a la población más vulnerable. Actualmente el VMVDU cuenta con financiamiento para ejecutar un proyecto estratégico de construcción de vivienda cooperativa en altura, para habitantes del Centro Histórico de San Salvador, sin embargo es fundamental la gestión de recursos financieros para la ampliación del programa para ampliar el marco de actuación de los 6 componentes detallados anteriormente"/>
    <s v="Áreas urbanas degradadas, iniciando con el Centro Histórico de San Salvador, promoviendo diversas formas de atención que atienda diversos componentes como: Cooperativas de Vivienda, Vivienda de alquiler y leasing habitacional, veteranos de guerra, pueblos originarios, vivienda de emergencia y riesgos, y vivienda en altura en centros urbanos."/>
    <s v="500 familias con soluciones habitacionales de interés social bajo un nuevo modelo de Cooperativas de Vivienda por Ayuda Mutua.  El proyecto beneficiará a aproximadamente el 6% de residentes en el Centro Histórico, los cuales ascienden a más de 8 mil habitantes según el censo del año 2007, y beneficia indirectamente a la población flotante que hace uso de dicho territorio para fines comerciales o de paso y vendedores del comercio informal que superan los 10 mil según algunas estimaciones planteadas en el plan parcial del CHSS."/>
    <s v="Familias beneficiadas"/>
    <m/>
    <n v="600"/>
    <n v="1200"/>
    <n v="3600"/>
    <s v="a"/>
    <m/>
    <m/>
    <m/>
    <m/>
    <m/>
    <m/>
    <m/>
    <m/>
    <m/>
    <n v="68.42"/>
    <n v="28.42"/>
    <n v="40"/>
    <s v="Los datos correspondientes a los indicadores meta e inversión, se calculan de manera acumulada. Se ha considerado en aporte nacional el 13% para cubrir el impuesto al valor agregado, y para la adquisición de terrenos."/>
    <x v="13"/>
    <s v="MOP"/>
    <n v="200"/>
    <m/>
  </r>
  <r>
    <x v="1"/>
    <x v="7"/>
    <s v="2.9"/>
    <x v="24"/>
    <s v="MARN"/>
    <m/>
    <m/>
    <m/>
    <s v="Rehabilitar plantas de tratamiento de aguas residuales (PTAR)."/>
    <s v="Elaborar un modelo de gestión y financiamiento local de saneamiento con participación de las municipalidades. Incluye intervenciones en infraestructura e implementar un plan de seguimiento a los sistemas creados y/o mejorados. Implementar planes de mejora par los rastos municipales de Apopa, Nueva Concepción, Puerto La Libertad y Cojutepeque."/>
    <s v="Cuencas del Rio Sucio, Rio Aselhuate, muncipio de Suchitoto, núcleos urbanos y zona costero-marina."/>
    <s v="Población de los asentamientos en las zonas de cuencas."/>
    <s v="Plan implementado de PTAR"/>
    <m/>
    <n v="0.05"/>
    <n v="0.15"/>
    <n v="0.8"/>
    <s v="a"/>
    <m/>
    <m/>
    <m/>
    <m/>
    <m/>
    <m/>
    <m/>
    <m/>
    <m/>
    <n v="10"/>
    <n v="6"/>
    <n v="4"/>
    <s v="Condiciones para asegurar el saneamiento de los complejos habitacionales."/>
    <x v="4"/>
    <s v="MARN"/>
    <n v="201"/>
    <m/>
  </r>
  <r>
    <x v="1"/>
    <x v="7"/>
    <s v="2.9"/>
    <x v="24"/>
    <s v="MARN"/>
    <m/>
    <m/>
    <m/>
    <s v="Nuevo Sistema de Evalaución Ambiental."/>
    <s v="Revisar y adecuar la normativa que regula los permisos ambientales para proyectos de inversión pública y privada; asi como la creación de nuevos instrumentos técnicos, legales e informáticos. Descentralizar el servicio de los perminos ambientales hasta un nivel definido de autorizacion hacia las oficinas de planificacion regional-local."/>
    <s v="A nivel nacional."/>
    <m/>
    <m/>
    <m/>
    <m/>
    <m/>
    <m/>
    <m/>
    <m/>
    <m/>
    <m/>
    <m/>
    <m/>
    <m/>
    <m/>
    <m/>
    <m/>
    <m/>
    <m/>
    <m/>
    <s v="Para facilitar la inversión, se hace necesario agilizar los tramites de permisos ambientales mediante el involucramiento de los territorios en su ejecución. "/>
    <x v="4"/>
    <s v="MARN"/>
    <n v="202"/>
    <m/>
  </r>
  <r>
    <x v="1"/>
    <x v="7"/>
    <s v="2.10"/>
    <x v="25"/>
    <m/>
    <m/>
    <m/>
    <m/>
    <m/>
    <m/>
    <m/>
    <m/>
    <m/>
    <m/>
    <m/>
    <m/>
    <m/>
    <m/>
    <m/>
    <m/>
    <m/>
    <m/>
    <m/>
    <m/>
    <m/>
    <m/>
    <m/>
    <m/>
    <m/>
    <m/>
    <m/>
    <x v="0"/>
    <m/>
    <n v="203"/>
    <m/>
  </r>
  <r>
    <x v="1"/>
    <x v="7"/>
    <s v="2.10"/>
    <x v="25"/>
    <s v="FISDL"/>
    <m/>
    <m/>
    <m/>
    <s v="Acceso a servicio de agua potable y saneamiento básico "/>
    <s v="Incremento en el acceso a servicio de agua potable y saneamiento básico en 40 municipios de Pobreza Extrema Moderada y Baja priorizados. Los 4 municipios restantes (Pobreza Extrema Alta) ya estan siendo intervenidos en el marco de CSR."/>
    <s v="40 municipios "/>
    <s v="Hogares sin acceso de agua potable"/>
    <s v="Incremento de Hogares con acceso a agua potable"/>
    <s v="**"/>
    <s v="**"/>
    <n v="2125"/>
    <n v="8500"/>
    <s v="a"/>
    <s v="a"/>
    <n v="5.3"/>
    <n v="2"/>
    <m/>
    <m/>
    <m/>
    <m/>
    <n v="3.3"/>
    <m/>
    <n v="29.7"/>
    <n v="0"/>
    <n v="29.7"/>
    <s v="2016: PARA MUNICIPIOS DE COMUNIDADES SOLIDARIAS. Se propone el aumento de al menos 3 puntos porcentuales en 40 municipios de pobreza extrema moderada y baja. La contribución a la meta del PQD 2014-2019 para este servicio es del 25%."/>
    <x v="2"/>
    <s v="FISDL"/>
    <n v="204"/>
    <m/>
  </r>
  <r>
    <x v="1"/>
    <x v="7"/>
    <s v="2.10"/>
    <x v="25"/>
    <s v="FISDL"/>
    <m/>
    <m/>
    <m/>
    <s v="Acceso a servicio de energía eléctrica  "/>
    <s v="Incremento en el acceso a servicio de energía electrica  en 40 municipios de Pobreza Extrema Moderada y Baja priorizados. Los 4 municipios restantes (Pobreza Extrema Alta) ya estan siendo intervenidos en el marco de CSR."/>
    <s v="40 municipios "/>
    <s v="Hogares sin acceso de agua potable"/>
    <s v="Incremento de Hogares con acceso a agua potable"/>
    <s v="**"/>
    <s v="**"/>
    <n v="1350"/>
    <n v="5400"/>
    <s v="a"/>
    <s v="a"/>
    <n v="3"/>
    <n v="3"/>
    <m/>
    <m/>
    <m/>
    <m/>
    <m/>
    <m/>
    <n v="10.8"/>
    <n v="3"/>
    <n v="7.8000000000000007"/>
    <s v="2016: PARA MUNICIPIOS DE COMUNIDADES SOLIDARIAS. Se propone el aumento de al menos 2 puntos porcentuales en 40 municipios de pobreza extrema moderada y baja. La contribución a la meta del PQD 2014-2019 para este servicio es del 16%."/>
    <x v="2"/>
    <s v="FISDL"/>
    <n v="205"/>
    <m/>
  </r>
  <r>
    <x v="1"/>
    <x v="7"/>
    <s v="2.10"/>
    <x v="25"/>
    <s v="MOP / VMVDU"/>
    <m/>
    <m/>
    <m/>
    <s v="Asentamientos Humanos Productivos y Sostenibles"/>
    <s v="OBJETIVO GENERAL: Incidir en mejorar la calidad de vida de la población por medio de la ejecución de acciones encaminadas a la generación de hábitats adecuados y sustentables que contribuyan al buen vivir de la población impulsando el modelo de asentamientos humanos productivos y sostenibles."/>
    <s v="Inicialmente el programa buscará atender gradualmente los 2 millones de personas que viven en los 2,508 asentamientos urbanos precarios (AUP), de los cuales 1,275 necesitan atención prioritaria según el Mapa de Pobreza Urbana y Exclusión Social del PNUD (más de 200 mil hogares). Sin embargo el objetivo es que dicho programa trascienda gradualmente a intervenciones en áreas territoriales de mayor impacto en donde se estimulen acciones para el desarrollo económico y social de los habitantes de AUP´s ubicados en los municipios priorizados por el PAPTN"/>
    <s v="Asentamientos Urbanos Precarios  (AUP) que viven en pobreza alta y extrema"/>
    <s v="Hogares en Asentamientos Urbanos Precarios (AUP) que cuentan con servicio de agua potable y saneamiento (nuevo o mejorado)"/>
    <n v="6920"/>
    <n v="11720"/>
    <n v="18520"/>
    <n v="46920"/>
    <s v="a"/>
    <m/>
    <m/>
    <m/>
    <m/>
    <m/>
    <m/>
    <m/>
    <m/>
    <m/>
    <n v="141.19999999999999"/>
    <n v="71.2"/>
    <n v="70"/>
    <s v="Los datos correspondientes a los indicadores meta e inversión, se calculan de manera acumulada. Se ha considerado un 13% de aporte nacional para cubrir el impuesto al valor agregado."/>
    <x v="13"/>
    <s v="MOP"/>
    <n v="206"/>
    <m/>
  </r>
  <r>
    <x v="1"/>
    <x v="7"/>
    <s v="2.10"/>
    <x v="25"/>
    <s v="MARN"/>
    <m/>
    <m/>
    <m/>
    <s v="Rehabilitar plantas de tratamiento de aguas residuales (PTAR) ordinarias._x000d_"/>
    <s v="Elaborar un modelo de gestión y financiamiento local de asneamiento con participación de las municipalidades. Incluye intervenciofnes en infraestructura e implementar un plan de seguimiento a los sistemas creados y/o mejorados. Implementar planes de mejora par los rastos municipales de Apopa, Nueva Concepción, Puerto La Libertad y Cojutepeque._x000d_"/>
    <s v="Cuencas del Rio Sucio, Rio Aselhuate, muncipio de Suchitoto, núcleos urbanos y zona costero-marina._x000d_A nivel nacional."/>
    <m/>
    <m/>
    <m/>
    <m/>
    <m/>
    <m/>
    <m/>
    <m/>
    <m/>
    <m/>
    <m/>
    <m/>
    <m/>
    <m/>
    <m/>
    <m/>
    <m/>
    <m/>
    <m/>
    <s v="Condicones para asegurar el saneamiento de los complejos habitacionales"/>
    <x v="4"/>
    <s v="MARN"/>
    <n v="207"/>
    <m/>
  </r>
  <r>
    <x v="1"/>
    <x v="7"/>
    <s v="2.10"/>
    <x v="25"/>
    <s v="MARN"/>
    <m/>
    <m/>
    <m/>
    <s v="Plan Nacional de Recuperación de Materiales (PNR)"/>
    <s v="Reformas al Reglamento Especial de Desechos, regulación de los Centros de acopio, aprovechamiento y reciclaje de desechos y establecer alianzas estreatégicas con instituciones competentes."/>
    <s v="Cuencas del Rio Sucio, Rio Aselhuate, muncipio de Suchitoto, núcleos urbanos y zona costero-marina._x000d_A nivel nacional."/>
    <s v="Poblacion habitante en los territorios mencionados"/>
    <s v="Municipios con practicas de reciclaje"/>
    <m/>
    <n v="0.3"/>
    <n v="0.3"/>
    <n v="0.4"/>
    <s v="a"/>
    <m/>
    <m/>
    <m/>
    <m/>
    <m/>
    <m/>
    <m/>
    <m/>
    <m/>
    <n v="22"/>
    <n v="18"/>
    <n v="4"/>
    <s v="Financiamiento de GIZ (prestamo) y GOES"/>
    <x v="4"/>
    <s v="MARN"/>
    <n v="208"/>
    <m/>
  </r>
  <r>
    <x v="1"/>
    <x v="7"/>
    <s v="2.10"/>
    <x v="25"/>
    <s v="MARN"/>
    <m/>
    <m/>
    <m/>
    <s v="Nuevo Sistema de Evalaución de Impacto Ambiental (SEIA)"/>
    <s v="Revisar y adecuar la normativa que regula los perimisos ambientales para proyectos de inversion pública y privada; asi como la cracipon de nuevos instruemtnos tecnicos, legales e informáticos. descancentrar el servicio de los perminos ambiantales hasta un nivel establecido a oficinas de planificacion regional-local."/>
    <s v="Cuencas del Rio Sucio, Rio Aselhuate, muncipio de Suchitoto, núcleos urbanos y zona costero-marina._x000d_A nivel nacional."/>
    <m/>
    <m/>
    <m/>
    <m/>
    <m/>
    <m/>
    <m/>
    <m/>
    <m/>
    <m/>
    <m/>
    <m/>
    <m/>
    <m/>
    <m/>
    <m/>
    <m/>
    <m/>
    <m/>
    <m/>
    <x v="4"/>
    <s v="MARN"/>
    <n v="209"/>
    <m/>
  </r>
  <r>
    <x v="1"/>
    <x v="8"/>
    <s v="2.11"/>
    <x v="26"/>
    <m/>
    <m/>
    <m/>
    <m/>
    <m/>
    <m/>
    <m/>
    <m/>
    <m/>
    <m/>
    <m/>
    <m/>
    <m/>
    <m/>
    <m/>
    <m/>
    <m/>
    <m/>
    <m/>
    <m/>
    <m/>
    <m/>
    <m/>
    <m/>
    <m/>
    <m/>
    <m/>
    <x v="0"/>
    <m/>
    <n v="210"/>
    <m/>
  </r>
  <r>
    <x v="1"/>
    <x v="8"/>
    <s v="2.11"/>
    <x v="26"/>
    <s v="MRREE / ISNA"/>
    <m/>
    <m/>
    <m/>
    <s v="Instalación del &quot;Centro de Atención a Niñez, la Adolescencia y Familia (CANAF)&quot;"/>
    <s v="Descripción de proyecto: la iniciativa se vincula a la restitución de derechos de las niñas, niños y adolescentes retornados, se llevará a cabo mediante la instalación de un Centro de Atención a Niñez, la Adolescencia y Familia (CANAF), en cada uno de los departamentos del país (14 centros en el quinquenio). El CANAF pretende convertirse en un espacio -físico- para prestar servicios especializados para la niñez y la adolescencia retornada, además, generar una articulación interinstitucional (del sector público y privado) donde se presten servicios y programas pertinentes en materia de: salud mental, atención psicológica, asistencia jurídica, apoyo psicoterapéutico, ingreso al sistema educativo formal, fortalecimiento de las familias, etc. Por otra parte, el proyecto CANAF se vincula con las siguientes áreas del Plan Quinquenal de Desarrollo: Eje 5: Inclusión y protección social para el buen vivir: Objetivo 5: Acelerar el tránsito hacia una sociedad equitativa e incluyente. L.5.3.2. Fortalecer los servicios integrales de atención a la niñez, adolescencia y juventud. L.5.3.7. Desarrollar e implementar el sistema nacional de protección a la niñez y adolescencia, personas adultas mayores, personas con discapacidad y personas dependientes. Eje 8: Convivir con armonía: Objetivo 8: Impulsar la cultura como derecho, factor de cohesión e identidad y fuerza transformadora de la sociedad. E.8.1. Impulso de procesos de transformación de actitudes y conductas compatibles con el buen vivir. L.8.1.3. Desarrollar programas de prevención de violencia que utilicen métodos artísticos que fomenten autoestima, autodominio, inteligencia emocional y formación de valores en la niñez, adolescencia y juventud. Además de la Ley de Protencción Integral de la Niñez y Adoelscencia (LEPINA) que mandata al ISNA al desarrollo de programas de protección y asistencia a la niñez y la adolescencia. Objetivo general: Establecer un marco de acción para la protección y restitución de derechos a niñas, niños y adolescentes retornados a fin de contribuir a su desarrollo integral por medio de la salud mental, orientación socio-familiar y apoyo desde el entorno familiar y comunitario. Objetivos específicos: 1.1 instalar catorce (14) &quot;Centro de Atención a la Niñez, Adolescencia y Familia (CANAF)&quot; que fomente el desarrollo integral y garantía de los derechos de las personas retornadas en el territorio nacional. 1.2 Fortalecer la recepción y seguimiento de las niñas, niños y adolescentes retornados al país y su reincorporación al medio familiar y comunitario."/>
    <s v="262 municipios de los 14 Departamentos de la República de El Salvador. "/>
    <s v="Niñas, niños, adolescentes y familias retornados de los 14 Departamentos del país."/>
    <s v="Número de niñas, niños y adolescentes retornados atendidos /Número de niñas, niños y adolescentes derivados por las Juntas de Prontección y Jueces Especializados en Niñez y Adolescencia x 100"/>
    <m/>
    <m/>
    <m/>
    <m/>
    <m/>
    <m/>
    <m/>
    <m/>
    <m/>
    <m/>
    <m/>
    <m/>
    <m/>
    <m/>
    <n v="4.9828799999999998"/>
    <n v="0"/>
    <n v="4.9828799999999998"/>
    <s v="a) El proyecto no cuenta con línea base, ya que, es una iniciativa de carácter nueva e innovadora. B) El presupuesto indicado tiene previsto el funcionamiento de los 14 centro con recursos humanos especializado para la atención durante un año en la totalidad de los CANAF."/>
    <x v="16"/>
    <s v="ISNA"/>
    <n v="211"/>
    <m/>
  </r>
  <r>
    <x v="1"/>
    <x v="8"/>
    <s v="2.11"/>
    <x v="26"/>
    <s v="MRREE / DGME"/>
    <m/>
    <m/>
    <m/>
    <s v="Programa de retorno, reunificación familiar, organización de población salvadoreña en el exterior, asistencia y protección humanitaria"/>
    <s v="Mejorará los procesos de recepción y atención inmediata con la finalidad de contribuir al respeto y protección de los derechos humanos de las personas salvadoreñas migrantes en condiciones de vulnerabilidad; ampliar cobertura y rapidez en los servicios que se brindan; garantizar la seguridad de los niños, niñas y adolescentes, a la reinserción a la vida productiva del país a partir de proporcionarles asesoría sobre ofertas de empleo, taller de capacitación de cosmetología, informática, entre otros."/>
    <s v="San Luis Talpa y San Salvador"/>
    <n v="515001"/>
    <s v="Atención del 100% de personas salvadoreñas retornadas"/>
    <m/>
    <n v="1"/>
    <n v="1"/>
    <m/>
    <m/>
    <m/>
    <m/>
    <m/>
    <m/>
    <m/>
    <m/>
    <m/>
    <m/>
    <m/>
    <n v="0.5"/>
    <n v="0"/>
    <n v="0.5"/>
    <m/>
    <x v="21"/>
    <s v="MJSP"/>
    <n v="212"/>
    <m/>
  </r>
  <r>
    <x v="1"/>
    <x v="8"/>
    <s v="2.11"/>
    <x v="26"/>
    <s v="MRREE / FISDL"/>
    <m/>
    <m/>
    <m/>
    <s v="Programa de retorno, reunificación familiar, organización de población salvadoreña en el exterior, asistencia y protección humanitaria. Generacion de emprendimientos productivos con población retornada"/>
    <s v="Generación de oportunidades productivas a población retornada a traves de un proceso de identificación de capacidades y habilidades para su inserción a la actividad productiva"/>
    <s v="15 municipios con mayor población retornada "/>
    <s v="hombres y mujeres migrantes retornados "/>
    <s v="número de personas retornados intervenidos"/>
    <n v="0"/>
    <n v="0"/>
    <n v="350"/>
    <n v="1050"/>
    <m/>
    <m/>
    <m/>
    <m/>
    <m/>
    <m/>
    <m/>
    <m/>
    <m/>
    <m/>
    <n v="1.3"/>
    <n v="0"/>
    <n v="1.3"/>
    <s v="El dato de linea base es acumulada al 2019 desde el 2016"/>
    <x v="2"/>
    <s v="FISDL"/>
    <n v="213"/>
    <m/>
  </r>
  <r>
    <x v="1"/>
    <x v="8"/>
    <s v="2.11"/>
    <x v="26"/>
    <s v="MREE"/>
    <m/>
    <m/>
    <m/>
    <s v="COMPLETAR CLAUDIA"/>
    <m/>
    <m/>
    <m/>
    <m/>
    <m/>
    <m/>
    <m/>
    <m/>
    <m/>
    <m/>
    <m/>
    <m/>
    <m/>
    <m/>
    <m/>
    <m/>
    <m/>
    <m/>
    <n v="33.217120000000001"/>
    <n v="0"/>
    <n v="33.217120000000001"/>
    <s v="COMPLETAR (CLAUDIA)"/>
    <x v="22"/>
    <s v="MRREE"/>
    <n v="214"/>
    <m/>
  </r>
  <r>
    <x v="2"/>
    <x v="9"/>
    <s v="3.1"/>
    <x v="27"/>
    <m/>
    <m/>
    <m/>
    <m/>
    <m/>
    <m/>
    <m/>
    <m/>
    <m/>
    <m/>
    <m/>
    <m/>
    <m/>
    <m/>
    <m/>
    <m/>
    <m/>
    <m/>
    <m/>
    <m/>
    <m/>
    <m/>
    <m/>
    <m/>
    <m/>
    <m/>
    <m/>
    <x v="0"/>
    <m/>
    <n v="215"/>
    <m/>
  </r>
  <r>
    <x v="2"/>
    <x v="9"/>
    <s v="3.1"/>
    <x v="27"/>
    <s v="MJSP / PNC"/>
    <m/>
    <m/>
    <m/>
    <s v="Construcción y Equipamiento Básico de la Delegación de la Policía Nacional Civil en Sonsonate en apoyo al Modelo de Policía Comunitaria"/>
    <s v="El proyecto consistirá en la elaboración de un estudio de diseño y la Construcción y Equipamiento Básico de la Delegación Sonsonate de la PNC sobre una extensión superficial aproximada de 4,490.36 m2,  equivalentes a  6,424.81 varas cuadradas."/>
    <s v="Sonsonate, Sonsonate"/>
    <s v="376 personas"/>
    <s v="Infraestructura policial construida"/>
    <m/>
    <m/>
    <n v="1"/>
    <m/>
    <s v="a"/>
    <s v="a"/>
    <n v="10.577863310000001"/>
    <n v="2.3956439999999999"/>
    <m/>
    <m/>
    <m/>
    <m/>
    <n v="8.1822193100000007"/>
    <m/>
    <n v="10.577864030000001"/>
    <n v="2.3956447199999999"/>
    <n v="8.1822193100000007"/>
    <s v="El proyecto se localiza en la 10 Av. Sur y Av. Oidor Pedro Ramirez Carretera a San Salvador, Municipio de Sonsonate, Departamento de Sonsonate"/>
    <x v="18"/>
    <s v="MJSP"/>
    <n v="216"/>
    <s v="Los beneficiarios indicados corresponden a personal de la Policía. Hace falta estimar los habitantes de la comunidad que serán beneficiados."/>
  </r>
  <r>
    <x v="2"/>
    <x v="9"/>
    <s v="3.1"/>
    <x v="27"/>
    <s v="MJSP / PNC"/>
    <m/>
    <m/>
    <m/>
    <s v="Construcción y Equipamiento Básico de la Delegación de la Policía Nacional Civil en Cabañas en apoyo al Modelo de Policía Comunitaria"/>
    <s v="El proyecto consistirá en la elaboración de un estudio de diseño y la Construcción y Equipamiento Básico de la Delegación de la PNC en Cabañas sobre  una extensión superficial aproximada de 72,321.07 m2, equivalentes a  103,476.98 v2, es decir 10 manzanas con 3,476.98 varas cuadradas."/>
    <s v="Cabañas, Guacotecti"/>
    <s v="188 personas"/>
    <s v="Infraestructura policial construida"/>
    <m/>
    <m/>
    <n v="1"/>
    <m/>
    <s v="a"/>
    <s v="a"/>
    <n v="13.845276143"/>
    <n v="1.987783493"/>
    <m/>
    <m/>
    <m/>
    <m/>
    <n v="11.857492649999999"/>
    <m/>
    <n v="13.91532758"/>
    <n v="2.0578349299999998"/>
    <n v="11.857492649999999"/>
    <s v="El proyecto se localiza a la entrada sobre la carretera a la altura de la Universidad Luterana, en el KM 811 ½, carril de San Salvador a Sensuntepeque Municipio de Guacotecti del Departamento de Cabañas."/>
    <x v="18"/>
    <s v="MJSP"/>
    <n v="217"/>
    <s v="Los beneficiarios indicados corresponden a personal de la Policía. Hace falta estimar los habitantes de la comunidad que serán beneficiados."/>
  </r>
  <r>
    <x v="2"/>
    <x v="9"/>
    <s v="3.1"/>
    <x v="27"/>
    <s v="MJSP / PNC"/>
    <m/>
    <m/>
    <m/>
    <s v="Construcción y Equipamiento Básico de la División de Seguridad Vial de la Policía Nacional Civil en apoyo al Modelo de Policía Comunitaria"/>
    <s v="Consistirá en la elaboración de un estudio de actualización de especificaciones técnicas y presupuestarias, así como la Construcción y Equipamiento Básico de las Instalaciones de la División de Seguridad Vial de la PNC sobre una extensión superfecial aproximada de 1,174.72 mts2 equivalente a 1,680.82 v2"/>
    <s v="San Salvador, San Salvador"/>
    <s v="230 personas"/>
    <s v="Infraestructura policial construida"/>
    <m/>
    <m/>
    <m/>
    <n v="1"/>
    <s v="a"/>
    <s v="a"/>
    <n v="7.79654661"/>
    <n v="2.0988496100000003"/>
    <m/>
    <m/>
    <m/>
    <m/>
    <n v="5.6976969999999998"/>
    <m/>
    <n v="7.7968179099999997"/>
    <n v="2.09884754"/>
    <n v="5.6979703700000002"/>
    <s v="El proyecto, se localiza entre 11ª. Calle Oriente y 18ª. Avenida Norte, Barrio Concepción, Departamento y Municipio de San Salvador."/>
    <x v="18"/>
    <s v="MJSP"/>
    <n v="218"/>
    <s v="Los beneficiarios indicados corresponden a personal de la Policía. Hace falta estimar los habitantes de la comunidad que serán beneficiados."/>
  </r>
  <r>
    <x v="2"/>
    <x v="9"/>
    <s v="3.1"/>
    <x v="27"/>
    <s v="MJSP / PNC"/>
    <m/>
    <m/>
    <m/>
    <s v="Construcción y Equipamiento Básico de la Subdelegación de Olocuilta en apoyo al Modelo de Policía Comunitaria"/>
    <s v="El proyecto consistirá en la elaboración de un estudio de diseño y la Construcción y Equipamiento Básico de la Subdelegación de Olocuilta sobre una extensión superficial aproximada de 340.96 m2,  equivalentes a  487.84 v2."/>
    <s v="La Paz, Olocuilta"/>
    <s v="27 personas"/>
    <s v="Infraestructura policial construida"/>
    <m/>
    <m/>
    <m/>
    <n v="1"/>
    <s v="a"/>
    <s v="a"/>
    <n v="2.0113447"/>
    <n v="0.35617869999999996"/>
    <m/>
    <m/>
    <m/>
    <m/>
    <n v="1.6551659999999999"/>
    <m/>
    <n v="2.0669539399999999"/>
    <n v="0.41178747999999998"/>
    <n v="1.6551664599999998"/>
    <s v="El proyecto se localiza en Barrio El Centro, Avenida Morazán, contiguo a la Alcaldía Municipal, Municipio de Olocuilta, Departamento de La Paz"/>
    <x v="18"/>
    <s v="MJSP"/>
    <n v="219"/>
    <s v="Los beneficiarios indicados corresponden a personal de la Policía. Hace falta estimar los habitantes de la comunidad que serán beneficiados."/>
  </r>
  <r>
    <x v="2"/>
    <x v="9"/>
    <s v="3.1"/>
    <x v="27"/>
    <s v="MJSP / PNC"/>
    <m/>
    <m/>
    <m/>
    <s v="Construcción y Equipamiento Básico de Dormitorios para la Unidad de Emergencias 911 de la Policía Nacional Civil en apoyo al Modelo de Policía Comunitaria"/>
    <s v="El proyecto consistirá en la elaboración de un estudio de diseño y la Construcción y Equipamiento Básico para Dormitorios de la Unidad de Emergencias del 911 de la PNC sobre una extensión superficial aproximada de  1079.79 m2, equivalentes a  1544.99 v2."/>
    <s v="San Salvador, San Salvador"/>
    <s v="304 personas"/>
    <s v="Infraestructura policial construida"/>
    <m/>
    <m/>
    <m/>
    <n v="1"/>
    <s v="a"/>
    <s v="a"/>
    <n v="4.4672160000000005"/>
    <n v="2.556"/>
    <m/>
    <m/>
    <m/>
    <m/>
    <n v="1.911216"/>
    <m/>
    <n v="4.4672167299999996"/>
    <n v="2.556"/>
    <n v="1.9112167299999996"/>
    <s v="El proyecto se localiza al final de la autopista norte, Subdirección de Tránsito Terrestre de la Policía Nacional Civil, Municipio y Departamento de San Salvador."/>
    <x v="18"/>
    <s v="MJSP"/>
    <n v="220"/>
    <s v="Los beneficiarios indicados corresponden a personal de la Policía. Hace falta estimar los habitantes de la comunidad que serán beneficiados."/>
  </r>
  <r>
    <x v="2"/>
    <x v="9"/>
    <s v="3.1"/>
    <x v="27"/>
    <s v="MJSP / PNC"/>
    <m/>
    <m/>
    <m/>
    <s v="Construcción de la Bodega de Armas y Municiones de la Subdirección de Administración y Finanzas de la Policía Nacional Civil en apoyo al Modelo de Policía Comunitaria"/>
    <s v="Consistirá en la elaboración de un estudio de actualización de especificaciones técnicas y presupuestarias, así como la Construcción y Equipamiento Básico de la Bodega de Armas y Municiones de la   Subdirección de Adminsitración y Finazas sobre una extensión superfecial aproximada de 292.63 m2 equivalente a 418.70 v2."/>
    <s v="San Salvador, San Salvador"/>
    <s v="42 personas"/>
    <s v="Infraestructura policial construida"/>
    <m/>
    <m/>
    <m/>
    <n v="1"/>
    <s v="a"/>
    <s v="a"/>
    <n v="0.49704300000000001"/>
    <n v="6.8000000000000005E-2"/>
    <m/>
    <m/>
    <m/>
    <m/>
    <n v="0.42904300000000001"/>
    <m/>
    <n v="0.49704364000000001"/>
    <n v="6.8000000000000005E-2"/>
    <n v="0.42904364"/>
    <s v="El proyecto se localiza al final del Boulevard Venezuela, en el Plantel de la Subdirección de Administración (Ex MOP), ubicado frente a las instalaciones de ANDA el  Coro, Municipio de San Salvador, Departamento de San Salvador."/>
    <x v="18"/>
    <s v="MJSP"/>
    <n v="221"/>
    <s v="Los beneficiarios indicados corresponden a personal de la Policía. Hace falta estimar los habitantes de la comunidad que serán beneficiados."/>
  </r>
  <r>
    <x v="2"/>
    <x v="9"/>
    <s v="3.1"/>
    <x v="27"/>
    <s v="MJSP / PNC"/>
    <m/>
    <m/>
    <m/>
    <s v="Construcción y Equipamiento Básico de obras complementarias para el Centro Recreativo de la Policía Nacional Civil en apoyo al Modelo de Policía Comunitaria"/>
    <s v="El proyecto consistirá en la elaboración de un estudio de diseño y la Construcción y Equipamiento Básico de obras complementarias para el Centro Recreativo de la Policía Nacional Civil sobre una extensión superfecial aproximada de 50140.39 m2 equivalente a 71740.87 v2."/>
    <s v="San Salvador, Ayutuxtepeque"/>
    <s v="291 personas"/>
    <s v="Infraestructura policial construida"/>
    <m/>
    <m/>
    <n v="1"/>
    <m/>
    <s v="a"/>
    <s v="a"/>
    <n v="6.8396822100000003"/>
    <n v="1.8746080000000001"/>
    <m/>
    <m/>
    <m/>
    <m/>
    <n v="4.96507421"/>
    <m/>
    <n v="6.8396830599999996"/>
    <n v="1.87460885"/>
    <n v="4.9650742099999992"/>
    <s v="El proyecto se localizará en Calle al Plan del Pito, Municipio de Ayutuxtepeque, Departamento de San Salvador."/>
    <x v="18"/>
    <s v="MJSP"/>
    <n v="222"/>
    <s v="Los beneficiarios indicados corresponden a personal de la Policía. Hace falta estimar los habitantes de la comunidad que serán beneficiados."/>
  </r>
  <r>
    <x v="2"/>
    <x v="9"/>
    <s v="3.1"/>
    <x v="27"/>
    <s v="MJSP / PNC"/>
    <m/>
    <m/>
    <m/>
    <s v="Préstamo en gestión para telecomunicaciones e infraestructura de la PNC"/>
    <m/>
    <m/>
    <m/>
    <m/>
    <m/>
    <m/>
    <m/>
    <m/>
    <m/>
    <m/>
    <m/>
    <m/>
    <m/>
    <m/>
    <m/>
    <m/>
    <m/>
    <m/>
    <n v="50"/>
    <n v="50"/>
    <n v="0"/>
    <s v="Préstamo BCIE por $50 millones (en gestión)"/>
    <x v="18"/>
    <s v="MJSP"/>
    <n v="223"/>
    <m/>
  </r>
  <r>
    <x v="2"/>
    <x v="9"/>
    <s v="3.1"/>
    <x v="27"/>
    <s v="MJSP / PNC"/>
    <m/>
    <m/>
    <m/>
    <s v="Reemplazo de la Flota Vehicular de la Policía Nacional Civil en apoyo al Modelo de Policía Comunitaria"/>
    <s v="Se proyecta la adquisición de 3,463 de transporte entre vehículos patrulla y civiles tipo sedán, pick up doble cabina, camiones, microbuses, autobuses, gruas, montacargas y motocicletas, con la finalidad de potenciar la capacidad operativa de las diferentes Dependencias Policiales ubicadas en el territorio salvadoreño."/>
    <s v="El Salvador"/>
    <s v="29,081 personas"/>
    <s v="Medios de transporte adquiridos y operando"/>
    <m/>
    <n v="1"/>
    <n v="1"/>
    <n v="1"/>
    <s v="a"/>
    <s v="a"/>
    <n v="63.892583999999999"/>
    <n v="4.4925839999999999"/>
    <m/>
    <m/>
    <m/>
    <m/>
    <n v="59.4"/>
    <m/>
    <n v="81.862920000000003"/>
    <n v="22.46292"/>
    <n v="59.4"/>
    <s v="La cobertura del proyecto comprende los 14 departamentos de El Salvador. Los recursos nacionales incluyen la contrapartida que se asume es anual."/>
    <x v="18"/>
    <s v="MJSP"/>
    <n v="224"/>
    <s v="Los beneficiarios indicados corresponden a personal de la Policía. Hace falta estimar los habitantes de la comunidad que serán beneficiados."/>
  </r>
  <r>
    <x v="2"/>
    <x v="9"/>
    <s v="3.1"/>
    <x v="27"/>
    <s v="MJSP / PNC"/>
    <m/>
    <m/>
    <m/>
    <s v="Mejoramiento en las Instalaciones del Departamento de Solvencias de la Policía Nacional Civil en apoyo al Modelo de Policía Comunitaria"/>
    <s v="Consistirá en la elaboración de un estudio de actualización de especificaciones técnicas y presupuestarias, así como el Mejoramiento de las Instalaciones del Departamento de Solvencias de  la Policía Nacional Civil sobre una extensión superfecial aproximada de 1,038.45 m2 equivalente a 1,485.81 v2."/>
    <s v="San Salvador, San Salvador"/>
    <s v="27 personas"/>
    <s v="Infraestructura policial mejorada"/>
    <m/>
    <m/>
    <m/>
    <n v="1"/>
    <s v="a"/>
    <s v="a"/>
    <n v="2.12"/>
    <n v="1.29"/>
    <m/>
    <m/>
    <m/>
    <m/>
    <n v="0.83"/>
    <m/>
    <n v="2.1202810699999999"/>
    <n v="1.2900288499999999"/>
    <n v="0.83025221999999999"/>
    <s v="El proyecto, se localiza en la 6ª. Calle Oriente, entre 12ª y 14 a. Avenida Sur, No. 710, Barrio San Esteban, Municipio de San Salvador, Departamento de San Salvador."/>
    <x v="18"/>
    <s v="MJSP"/>
    <n v="225"/>
    <s v="Los beneficiarios indicados corresponden a personal de la Policía. Hace falta estimar los habitantes de la comunidad que serán beneficiados."/>
  </r>
  <r>
    <x v="2"/>
    <x v="9"/>
    <s v="3.1"/>
    <x v="27"/>
    <s v="MJSP / PNC"/>
    <m/>
    <m/>
    <m/>
    <s v="Ampliación del Sistema de Radiocomunicación de la Policía Nacional Civil en apoyo al Modelo de Policía Comunitaria"/>
    <s v="El proyecto consiste en migrar la infraestructura de los sistemas de radiocomunicación analógicos a una plataforma completamente digital, la cual permitirá implementar la red de radiocomunicación digital de área amplia de seguridad pública. Su ejecución comprende 5 fases que iniciaron ejecución en el año 2012 y continuan en los años 2013, 2014, 2015 y  2016. "/>
    <s v="Occidental, Central, Metropolitana, Paracentral y Oriental"/>
    <s v="29,084 personas"/>
    <s v="Sistema de radiocomunicación modernizado"/>
    <n v="1"/>
    <n v="1"/>
    <n v="1"/>
    <m/>
    <s v="a"/>
    <s v="a"/>
    <n v="9.685160999999999"/>
    <n v="0.463588"/>
    <m/>
    <m/>
    <m/>
    <m/>
    <n v="9.2215729999999994"/>
    <m/>
    <n v="9.685160999999999"/>
    <n v="0.463588"/>
    <n v="9.2215729999999994"/>
    <m/>
    <x v="18"/>
    <s v="MJSP"/>
    <n v="226"/>
    <m/>
  </r>
  <r>
    <x v="2"/>
    <x v="9"/>
    <s v="3.1"/>
    <x v="27"/>
    <s v="MJSP / PNC"/>
    <m/>
    <m/>
    <m/>
    <s v="Equipamiento de las Subdelegaciones y Puestos Policiales en apoyo al Modelo de Policía Comunitaria"/>
    <s v="Comprende la dotación de equipo informático, radiocomunicación y mobiliario y equipo a las Subdelegaciones y Puestos Policiales para brindar un servicio adecuado y oportuno a la ciudadanía como parte del Nuevo Modelo de Policía Comunitaria."/>
    <s v="Occidental, Central, Metropolitana, Paracentral y Oriental"/>
    <s v="29,084 personas"/>
    <s v="Equipamiento adquirido y asignado"/>
    <m/>
    <n v="1"/>
    <n v="1"/>
    <n v="1"/>
    <s v="a"/>
    <s v="a"/>
    <n v="2.2480799999999999"/>
    <m/>
    <m/>
    <m/>
    <m/>
    <m/>
    <n v="2.2480799999999999"/>
    <m/>
    <n v="2.2480799999999999"/>
    <n v="0"/>
    <n v="2.2480799999999999"/>
    <m/>
    <x v="18"/>
    <s v="MJSP"/>
    <n v="227"/>
    <m/>
  </r>
  <r>
    <x v="2"/>
    <x v="9"/>
    <s v="3.1"/>
    <x v="27"/>
    <s v="MJSP / PNC"/>
    <m/>
    <m/>
    <m/>
    <s v="Mejoramiento de la infraestructura de los puestos policiales en apoyo al Modelo de Policía Comunitaria"/>
    <s v="El proyecto consiste en  la readecuación y mejora de los puestos policiales actuales para que sean transformados en puestos policiales comunitarios. "/>
    <s v="Occidental, Central, Metropolitana, Paracentral y Oriental"/>
    <s v="29,084 personas"/>
    <s v="Infraestructura policial mejorada"/>
    <m/>
    <n v="1"/>
    <n v="1"/>
    <n v="1"/>
    <s v="a"/>
    <s v="a"/>
    <n v="2.0994999999999999"/>
    <m/>
    <m/>
    <m/>
    <m/>
    <m/>
    <n v="2.0994999999999999"/>
    <m/>
    <n v="2.0994999999999999"/>
    <n v="0"/>
    <n v="2.0994999999999999"/>
    <m/>
    <x v="18"/>
    <s v="MJSP"/>
    <n v="228"/>
    <m/>
  </r>
  <r>
    <x v="2"/>
    <x v="9"/>
    <s v="3.1"/>
    <x v="27"/>
    <s v="MJSP / PNC"/>
    <m/>
    <m/>
    <m/>
    <s v="Fortalecimiento de la imprenta de la Policía Nacional Civil en apoyo al Modelo de Policía Comunitaria"/>
    <s v="Tiene como finalidad fortelecer la capaciadad de reproducción de materiales para el trabajo comunitario que realizan las Dependencias Policiales."/>
    <s v="Occidental, Central, Metropolitana, Paracentral y Oriental"/>
    <s v="29,084 personas"/>
    <s v="Imprenta institucional de la PNC fortalecida"/>
    <m/>
    <m/>
    <n v="1"/>
    <m/>
    <s v="a"/>
    <s v="a"/>
    <n v="1"/>
    <m/>
    <m/>
    <m/>
    <m/>
    <m/>
    <n v="1"/>
    <m/>
    <n v="1"/>
    <n v="0"/>
    <n v="1"/>
    <m/>
    <x v="18"/>
    <s v="MJSP"/>
    <n v="229"/>
    <m/>
  </r>
  <r>
    <x v="2"/>
    <x v="9"/>
    <s v="3.1"/>
    <x v="27"/>
    <s v="MJSP / PNC"/>
    <m/>
    <m/>
    <m/>
    <s v="Fortalecimiento Tecnológico de la Subdirección de Administración y Dependencias adscritas en apoyo al Modelo de Policía Comunitaria"/>
    <s v="Se pretende alcanzar una modernización tecnológica enmarcada en el equipamiento y la sistematización de procesos administrativos estratégicos relacionados con el recurso humano y logístico, como parte de la implementación de un Sistema Integral de Administración de Recursos Institucionales (ERP), en apoyo al trabajo que realizan las Dependencias Policiales en el territorio."/>
    <s v="Occidental, Central, Metropolitana, Paracentral y Oriental"/>
    <s v="29,084 personas"/>
    <s v="Equipamiento y sistematización administrativa ejecutados"/>
    <m/>
    <m/>
    <n v="1"/>
    <n v="1"/>
    <s v="a"/>
    <s v="a"/>
    <n v="2.6900000000000004"/>
    <n v="1.1200000000000001"/>
    <m/>
    <m/>
    <m/>
    <m/>
    <n v="1.57"/>
    <m/>
    <n v="2.6894108599999997"/>
    <n v="1.1163433599999999"/>
    <n v="1.5730674999999998"/>
    <m/>
    <x v="18"/>
    <s v="MJSP"/>
    <n v="230"/>
    <m/>
  </r>
  <r>
    <x v="2"/>
    <x v="9"/>
    <s v="3.1"/>
    <x v="27"/>
    <s v="MJSP / PREPAZ"/>
    <m/>
    <m/>
    <m/>
    <s v="Espacios Seguros de Convivencia para Jóvenes en El Salvador"/>
    <s v="Promover la participación protagónica de los y las jóvenes en la rehabilitación y utilización en forma sostenible de los espacios seguros de comunidades seleccionadas en diferentes municipios priorizados de El Salvador, de forma sostenible."/>
    <s v="Selección de municipios en proceso."/>
    <s v="1, 319,098 Jóvenes entre 14 y 25 años a nivel nacional"/>
    <s v="Jóvenes y adultos trabajan de manera conjunta en la revitalización de espacios públicos en las comunidades seleccionadas"/>
    <m/>
    <m/>
    <m/>
    <m/>
    <s v="a"/>
    <m/>
    <m/>
    <m/>
    <m/>
    <m/>
    <m/>
    <m/>
    <m/>
    <m/>
    <n v="17.3"/>
    <n v="10.85"/>
    <n v="6.45"/>
    <s v="Fondos de Proyecto: Préstamo _x000d_$7,597,100.00 -  Donación $10,853,000.00 _x000d_En gestión."/>
    <x v="18"/>
    <s v="MJSP"/>
    <n v="231"/>
    <m/>
  </r>
  <r>
    <x v="2"/>
    <x v="9"/>
    <s v="3.1"/>
    <x v="27"/>
    <s v="MJSP / PREPAZ"/>
    <m/>
    <m/>
    <m/>
    <s v="Proyecto Región al Para la Seguridad Ciudadana Municipal en el Triángulo Norte de Centroamérica_x000d_Componente 2: Fortalecimiento de la capacidad nacional y local para la seguridad ciudadana con enfoque integral en El Salvador."/>
    <s v="Mejorar la seguridad ciudadana mediante el fortalecimiento de las capacidades locales y nacionales para la implementación de intervenciones basadas en evidencias que atiendan los factores de riesgo en materia de criminalidad y violencia. "/>
    <s v="Apopa, Ciudad Delgado, Santa Tecla, San Vicente, Sonsonate y Zacatecoluca.  "/>
    <m/>
    <m/>
    <m/>
    <m/>
    <m/>
    <m/>
    <s v="a"/>
    <m/>
    <m/>
    <m/>
    <m/>
    <m/>
    <m/>
    <m/>
    <m/>
    <m/>
    <n v="1.35"/>
    <n v="1"/>
    <n v="0.35"/>
    <m/>
    <x v="18"/>
    <s v="MJSP"/>
    <n v="232"/>
    <m/>
  </r>
  <r>
    <x v="2"/>
    <x v="9"/>
    <s v="3.1"/>
    <x v="27"/>
    <s v="MJSP / PREPAZ"/>
    <m/>
    <m/>
    <m/>
    <s v="Prevención Social de la Violencia desde los Gobiernos locales en Centroamérica."/>
    <s v="Contribuir a la reducción de los factores de riesgo generadores de la violencia a nivel local."/>
    <s v="Región Trifinio (municipios aun no definidos)"/>
    <m/>
    <s v="Mejora de la percepción ciudadana respecto a la seguridad en las tres zonas de intervención del proyecto._x000d_"/>
    <m/>
    <m/>
    <m/>
    <m/>
    <s v="a"/>
    <m/>
    <m/>
    <m/>
    <m/>
    <m/>
    <m/>
    <m/>
    <m/>
    <m/>
    <n v="5.67"/>
    <n v="4.2"/>
    <n v="1.47"/>
    <s v="Fondos de Proyecto: Unión Europea a través del SICA"/>
    <x v="18"/>
    <s v="MJSP"/>
    <n v="233"/>
    <m/>
  </r>
  <r>
    <x v="2"/>
    <x v="9"/>
    <s v="3.1"/>
    <x v="27"/>
    <s v="MJSP / ANSP"/>
    <m/>
    <m/>
    <m/>
    <s v="Academia Nacional de Seguridad Pública (ANSP), Proyecto 1: la investigación científica relacionada con los procesos educativos y el desarrollo del modelo de policía comunitaria, ANSP. Proyecto 2: proyectos de proyección social orientados a la atención de los problemas de seguridad pública, a nivel nacional, regional y local, conforme a la filosofía de policía comunitaria"/>
    <s v="ANSP, Proyecto 1: Fomentar la Cultura de Investigación a fin de llenar el vació existente en materia de estudios estratégicos de seguridad y demás investigaciones relacionadas con los procesos educativos a efecto de potenciar la función formativa de la ANSP. ANSP, Proyecto 2: consiste en realizar y divulgar estudios de la proyección social para una mejora continua en la calidad de los procesos educativos policiales con enfoque de filosofía de policia comunitaria."/>
    <s v="Cobertura dependiente del avance al despliegue de la policia comunitaria, según planes de implementación de la PNC."/>
    <s v="Personal Policial, alumnos en formación y población."/>
    <s v="Porcentaje de incremento de investigaciones  científicas con incidencia en proyección social y convivencia ciudadana, respecto al quinquenio anterior."/>
    <m/>
    <m/>
    <m/>
    <m/>
    <m/>
    <m/>
    <m/>
    <m/>
    <m/>
    <m/>
    <m/>
    <m/>
    <m/>
    <m/>
    <n v="0.1"/>
    <n v="0"/>
    <n v="0.1"/>
    <m/>
    <x v="18"/>
    <s v="MJSP"/>
    <n v="234"/>
    <m/>
  </r>
  <r>
    <x v="2"/>
    <x v="9"/>
    <s v="3.1"/>
    <x v="27"/>
    <s v="INJUVE"/>
    <m/>
    <m/>
    <m/>
    <s v="Projóvenes III. Ampliación de la implementación de programas de Prevención social de la violencia con participación juvenil. [Fortalecer  programas de prevención de la violencia]"/>
    <s v="El programa busca promover la cohesión social y mitigar los factores de riesgo de la violencia a través de la participación juvenil._x000d_Atiende dos ambitos: institucional y comunitario. Con un enfoque integral; un trabajo conjunto con las gobiernos locales, Consejos municipales de prevención de violencia, promociòn del voluntariado, presencia territorial, focalización y énfasis en la juventud. Los componentes del modelo son arte- cultura, deporte-recreación, familia, espacios socio-educativos, saneamiento ambiental, inserción laboral, gestión y recuperación de espacios públicos. _x000d_"/>
    <s v="Se atenderían a 7 nuevos municipios de la zona norte 3 y franja costera marina en el inicio y gradualmente se irá cubriendo otros municipios."/>
    <s v="Población jóvene en riesgo social entre 15 y 29 años, sus familias, niños/as."/>
    <s v="Consejos Municipales de prevención social de la violencia (CPMV). Número de CMPV que ejecutan planes de acción articulados._x000d_"/>
    <m/>
    <m/>
    <s v="7 municipios"/>
    <s v="44 municipios"/>
    <m/>
    <s v="a"/>
    <n v="17.526339999999998"/>
    <n v="7.0000000000000007E-2"/>
    <m/>
    <m/>
    <n v="13.046339999999999"/>
    <s v="Unión Europea"/>
    <n v="4.4139999999999997"/>
    <n v="22"/>
    <n v="44"/>
    <n v="22.07"/>
    <n v="21.93"/>
    <s v="Donación de Unión Europea por $22.0 millones (aprobado). El INJUVE ha ejecutado dos proyectos, denominados Projóvenes I y II,  construyendo un modelo de prevención social de la violencia, se ejecutó en  78 comunidades de 14 municipios del AMSS. Al institucionalizarlo como programa, se amplió la cobertura a 25 municipios más en el programa de comunidades solidarias urbanas._x000d_Los principales logros fueron: Fortalecimiento a las 14 municipalidades del AMSS y  14 CMPV,*Fortalecimiento a 78 Juntas Directivas,*Fortalecimiento de 12 Bolsas de Empleo _x000d_*Creación y fortalecimiento de 5 redes  juveniles,*Realización de 12 encuentros juveniles en los cuales han participado más de 1500 jóvenes._x000d_*Otorgamiento de dos subvenciones: al ISNA para la creación y puesta en marcha del Centro de Integración Nacional para la Niñez y Adolescencia para la desintoxicación  y deshabituación de drogas, alcohol y tabaco. Y a la Dirección General de Centros Penales para la Creación y puesta en marcha del Centro de Desarrollo Infantil, en Izalco._x000d_*Fortalecimiento del Programa Integral de Remoción de Tatuajes. *Otorgamiento de becas a 1,349  jóvenes, *239 jefas de hogar capacitadas y equipadas con insumos para emprender iniciativas de negocio, *49 jóvenes formados para trabajar en ANDA._x000d_*Realización de 156 encuentros inter-generacionales y 156 convivios familiares, *Creación de 77 comités de convivencia familiar y comunitaria integrados por un total de 339 personas.*Realización de foro &quot;impacto de la violencia intrafamiliar en las relaciones de convivencia comunitaria y social&quot;._x000d_*Formación de 135 jóvenes en la técnica de estatismo humano, 120 jóvenes formados facilitadores de arte comunitarios, 180 jóvenes capacitados en el técnica de murales participativos,*Fortalecimiento de 222 iniciativas artísticas.*2,600 niños/as y adolescentes han sido beneficiados a través de los talleres de escritura creativa, manos creativas, pinceles libres, canto y teatro.pinceles libres, canto y teatro._x000d_*Fortalecimiento de 99 escuelas deportivas,  200 jóvenes formados con técnicas de arbitraje de fútbol._x000d_*Se crearon 66 comités de seneamiento ambiental comunitarios,* Realización de 56 huertos comunitarios y 78 festivales ambientales,*Se crearon y readecuaron 17 espacios socioeducativos,*Realización de 28 obras en diferentes municipios (construcción o remodelación de canchas, piscinas, pistas de atletismo, área dejuegos infantiles, salones de usos múltiples, remodelación y equipamiento, áreas verdes, iluminación,  remodelación de centros juveniles, etc. )*Se realizaron 400 campañas de limpieza,*Se recuperaron y rehabilitarons 100 espacios._x000d_En total se ejecutaron 15,996,491 millones de dólares (entre 2009 y 2014).                             &quot;El préstamo del BID que ha sido aprobado por la Asamblea Legislativa denominado Apoyo Inteegral a la estrategia de prevenciòn de la violencia por un monto de 45,000 millones de dólares._x000d_El componente de prevención ejecutará el INJUVE y los otros componentes el MJSP.&quot;  UE: Es el programa Projóvenes III que se está gestionado con la UE. (Donación). Actualmente se ha elaborado la ficha para remitir a la Delgación de la UE."/>
    <x v="17"/>
    <s v="INJUVE"/>
    <n v="235"/>
    <m/>
  </r>
  <r>
    <x v="2"/>
    <x v="9"/>
    <s v="3.1"/>
    <x v="27"/>
    <s v="MH / MJSP"/>
    <m/>
    <m/>
    <m/>
    <s v="Plan El Salvador Seguro (PBL-BID)"/>
    <s v="Intervención articulada, inter institucional e inter sectorial para recuperar el control del territorio, focalizando acciones en los grupos poblacionales que viven en condiciones de mayor exclusión y vulnerabilidad a la violencia y la criminalidad (prevención secundaria). - Incremento de la presencia del Estado en municipios prioritarios. "/>
    <s v="Municipios priorizados en Plan El Salvador Seguro"/>
    <m/>
    <m/>
    <m/>
    <m/>
    <m/>
    <m/>
    <s v="a"/>
    <m/>
    <m/>
    <m/>
    <m/>
    <m/>
    <m/>
    <m/>
    <m/>
    <m/>
    <n v="200"/>
    <n v="200"/>
    <n v="0"/>
    <s v="PROGRAMAS Y RECURSOS ADICIONADOS EN V.2"/>
    <x v="23"/>
    <s v="MH"/>
    <n v="236"/>
    <m/>
  </r>
  <r>
    <x v="2"/>
    <x v="9"/>
    <s v="3.1"/>
    <x v="27"/>
    <s v="MJSP / PNC"/>
    <m/>
    <m/>
    <m/>
    <s v="Equipamiento de los Talleres de Mantenimiento de la Flota Vehicular de la Policía Nacional Civil de El Salvador"/>
    <s v="Los talleres de mantenimiento presentan problemas de saturación, influyendo directamente en la mala calidad de servicio al usuario y mantenimientos no oportunos a la flota vehicular, conformada por 4,614 medios terrestres. Es necesaria la adquisición de equipos y herramientas especializadas de mano, eléctricas y neumáticas."/>
    <s v="El Salvador"/>
    <s v="Población a nivel nacional"/>
    <s v="Equipo de taller adquirido"/>
    <m/>
    <m/>
    <m/>
    <m/>
    <s v="a"/>
    <s v="a"/>
    <n v="1.82392478"/>
    <n v="0.81200000000000006"/>
    <m/>
    <m/>
    <m/>
    <m/>
    <n v="1.01192478"/>
    <m/>
    <n v="1.82392478"/>
    <n v="0.81200000000000006"/>
    <n v="1.01192478"/>
    <s v="Talleres central Blvd. Venezuela y regionales: Santa Ana, La Libertad, San Salvador, San Vicente y San Miguel."/>
    <x v="18"/>
    <s v="MJSP"/>
    <n v="237"/>
    <m/>
  </r>
  <r>
    <x v="2"/>
    <x v="9"/>
    <s v="3.1"/>
    <x v="27"/>
    <s v="MINSAL /"/>
    <m/>
    <m/>
    <m/>
    <s v="Prevención de la violencia (espacios públicos y atención psicosocial integral)"/>
    <m/>
    <m/>
    <m/>
    <m/>
    <m/>
    <m/>
    <m/>
    <m/>
    <m/>
    <m/>
    <m/>
    <m/>
    <m/>
    <m/>
    <m/>
    <m/>
    <m/>
    <m/>
    <n v="110"/>
    <n v="110"/>
    <n v="0"/>
    <s v="Préstamo BM (en gestión)"/>
    <x v="24"/>
    <s v="MINSAL"/>
    <n v="238"/>
    <m/>
  </r>
  <r>
    <x v="2"/>
    <x v="9"/>
    <s v="3.1"/>
    <x v="27"/>
    <s v="FISDL"/>
    <m/>
    <m/>
    <m/>
    <s v="Programa de Apoyo Integral a la Estrategia de Prevención de Violencia. Prevención de la violencia juvenil a nivel local"/>
    <m/>
    <m/>
    <m/>
    <m/>
    <m/>
    <m/>
    <m/>
    <m/>
    <m/>
    <m/>
    <m/>
    <m/>
    <m/>
    <m/>
    <m/>
    <m/>
    <m/>
    <m/>
    <n v="20.2"/>
    <n v="20.2"/>
    <n v="0"/>
    <s v="Préstamo BID (aprobado). ES-L1025; 2881/OC-ES. COMPONENTE II."/>
    <x v="25"/>
    <s v="FISDL"/>
    <n v="239"/>
    <m/>
  </r>
  <r>
    <x v="2"/>
    <x v="9"/>
    <s v="3.1"/>
    <x v="27"/>
    <s v="CNSCC"/>
    <m/>
    <m/>
    <m/>
    <s v="Fortalecimiento del funcionamiento del Consejo de Seguridad"/>
    <s v="Apoyo al Consejo de Seguridad"/>
    <m/>
    <m/>
    <m/>
    <m/>
    <m/>
    <m/>
    <m/>
    <m/>
    <m/>
    <m/>
    <m/>
    <m/>
    <m/>
    <m/>
    <m/>
    <m/>
    <m/>
    <n v="10"/>
    <n v="10"/>
    <n v="0"/>
    <s v="Donación de Unión Europea por $10 millones"/>
    <x v="26"/>
    <s v="CNSCC"/>
    <n v="240"/>
    <m/>
  </r>
  <r>
    <x v="2"/>
    <x v="10"/>
    <s v="3.2"/>
    <x v="28"/>
    <m/>
    <m/>
    <m/>
    <m/>
    <m/>
    <m/>
    <m/>
    <m/>
    <m/>
    <m/>
    <m/>
    <m/>
    <m/>
    <m/>
    <m/>
    <m/>
    <m/>
    <m/>
    <m/>
    <m/>
    <m/>
    <m/>
    <m/>
    <m/>
    <m/>
    <m/>
    <m/>
    <x v="0"/>
    <m/>
    <n v="241"/>
    <m/>
  </r>
  <r>
    <x v="2"/>
    <x v="10"/>
    <s v="3.2"/>
    <x v="28"/>
    <s v="MJSP / PNC / ANSP"/>
    <m/>
    <m/>
    <m/>
    <s v="ANSP, Proyecto 1: creación y funcionamiento del Instituto Especializado de Nivel Superior Academia Nacional de Seguridad Pública, ANSP Proyecto 2: ampliación de la cobertura de la formación mediante el uso de distintas modalidades educativas."/>
    <s v="ANSP, Proyecto 1: formar integralmente a profesionales en ciencias policiales y seguridad pública, comprometidos con los principios, valores democrativos y respeto a la diginidad humana. También desarrollar un modelo educativo policial que responda a las exigencias y desafios demandadas por la sociedad actuao y futuras. ANSP, Proyecto 2: aplicar procesos formativos continuos y dinamicos orientados a fortalecer los conocimientos, habilidades de pensamiento, destrezas y actitudes de los y las egresadas de la ANSP, ademas de contribuir con la formación actualización y especialización de profesionales comprometidos en garantizar seguridad pública, mejorando con ello el desempeño del trabajo policial por medio de la ampliación de las modalidades educativas."/>
    <s v="Ambos proyectos son de cobertura nacional debido a que la profesionalización será desplegada a nivel de todos los policias, sin embargo para el proyecto de ampliación se tienen identificados puntos de cobertura a la zona oriente, occidente, paracentral y central. "/>
    <s v="Personal policial e indirectamente la población."/>
    <s v="ANSP, Proyecto 1: Implementar el  100% de los componentes del Modelo Eductivo. ANSP, Proyecto 2: desarrollar al menos el 75% de los procesos formativos que garatnicen la ampliación de las modalidades educativas."/>
    <m/>
    <m/>
    <m/>
    <m/>
    <m/>
    <m/>
    <m/>
    <m/>
    <m/>
    <m/>
    <m/>
    <m/>
    <m/>
    <m/>
    <n v="0.3"/>
    <n v="0"/>
    <n v="0.3"/>
    <m/>
    <x v="18"/>
    <s v="MJSP"/>
    <n v="242"/>
    <m/>
  </r>
  <r>
    <x v="2"/>
    <x v="10"/>
    <s v="3.3"/>
    <x v="29"/>
    <m/>
    <m/>
    <m/>
    <m/>
    <m/>
    <m/>
    <m/>
    <m/>
    <m/>
    <m/>
    <m/>
    <m/>
    <m/>
    <m/>
    <m/>
    <m/>
    <m/>
    <m/>
    <m/>
    <m/>
    <m/>
    <m/>
    <m/>
    <m/>
    <m/>
    <m/>
    <m/>
    <x v="0"/>
    <m/>
    <n v="243"/>
    <m/>
  </r>
  <r>
    <x v="2"/>
    <x v="10"/>
    <s v="3.3"/>
    <x v="29"/>
    <s v="MJSP / PNC"/>
    <m/>
    <m/>
    <m/>
    <s v="Fortalecimiento Tecnológico del Departamento de Análisis Ciéntifico de la División Policía Técnica y Científica de la Policía Nacional Civil"/>
    <s v="Consiste en la adquisición de equipo especializado forense para el proceso completo de la investigación científica de hechos delictivos, con la finalidad de cubrir la demanda de pericias y estar a la vanguardia en la metodologia del desarrollo de los análisis y dar una respuesta más eficiente, oportuna y veráz. Así también, los equipos tecnológicos para el proceso completo del ADN y para el respaldo de energia en casos de emergencia. "/>
    <s v="Occidental, Central, Metropolitana, Paracentral y Oriental"/>
    <s v="29,084 personas"/>
    <s v="Laboratorio de Genética Forense Implementado"/>
    <m/>
    <n v="1"/>
    <m/>
    <m/>
    <s v="a"/>
    <s v="a"/>
    <n v="3.2725200000000001"/>
    <n v="0.48"/>
    <m/>
    <m/>
    <m/>
    <m/>
    <n v="2.7925200000000001"/>
    <m/>
    <n v="5.0175208199999997"/>
    <n v="2.2250000000000001"/>
    <n v="2.7925208199999996"/>
    <m/>
    <x v="18"/>
    <s v="MJSP"/>
    <n v="244"/>
    <m/>
  </r>
  <r>
    <x v="2"/>
    <x v="10"/>
    <s v="3.3"/>
    <x v="29"/>
    <s v="MJSP / PNC"/>
    <m/>
    <m/>
    <m/>
    <s v="Fortalecimiento Tecnológio del Sistema Integrado de Identificación Balístico (IBIS), de la División Policía Técnica y Científica en las Sedes Regionales de Occidente, Centro y Oriente de la Policía Nacional Civil"/>
    <s v="Se proyecta adquirir los componentes del Sistema Integrado de Información Balítico (IBIS) y sus accesorios, así como adecuar las instalaciones en las Regionales de Occidental, Centro y Oriente, a fin de fortalecer los procesos de investigación científica de los deltios cometidos con armas de fuego convencionales, artesanales o caseras."/>
    <s v="Occidental, Central y Oriental"/>
    <s v="29,084 personas"/>
    <s v="Laboratorios Balísticos Forenses fortalecidos "/>
    <m/>
    <n v="1"/>
    <m/>
    <m/>
    <s v="a"/>
    <s v="a"/>
    <n v="2.4743179999999998"/>
    <n v="0.36"/>
    <m/>
    <m/>
    <m/>
    <m/>
    <n v="2.1143179999999999"/>
    <m/>
    <n v="4.3393183000000004"/>
    <n v="2.2250000000000001"/>
    <n v="2.1143183000000003"/>
    <m/>
    <x v="18"/>
    <s v="MJSP"/>
    <n v="245"/>
    <m/>
  </r>
  <r>
    <x v="2"/>
    <x v="10"/>
    <s v="3.3"/>
    <x v="29"/>
    <s v="MJSP / PNC"/>
    <m/>
    <m/>
    <m/>
    <s v="Equipamiento de la Sección de Delitos Tecnológicos de la División Policía Técnica y Científica de la Policía Nacional Civil"/>
    <s v="Consiste en adquirir equipos, software y licencias forenses, con la finalidad de cubrir la demanda de peritajes informáticos que permitan  contribuir al esclarecimiento del hechos delictivos en los cuales se han utilizado herramientas tecnológicas. "/>
    <s v="Occidental, Central, Metropolitana, Paracentral y Oriental"/>
    <s v="29,084 personas"/>
    <s v="Secciones de Delitos Tecnológicos fortalecidas"/>
    <m/>
    <n v="1"/>
    <m/>
    <m/>
    <s v="a"/>
    <s v="a"/>
    <n v="0.11"/>
    <n v="0.02"/>
    <m/>
    <m/>
    <m/>
    <m/>
    <n v="0.09"/>
    <m/>
    <n v="2.3149999999999999"/>
    <n v="2.2250000000000001"/>
    <n v="8.9999999999999858E-2"/>
    <m/>
    <x v="18"/>
    <s v="MJSP"/>
    <n v="246"/>
    <m/>
  </r>
  <r>
    <x v="2"/>
    <x v="10"/>
    <s v="3.3"/>
    <x v="29"/>
    <s v="MJSP / PNC"/>
    <m/>
    <m/>
    <m/>
    <s v="Fortalecimiento Tecnológico y Equipamiento del Área de Poligrafía de la División Policía Técnica y Científica de la Policía Nacional Civil"/>
    <s v="El proyecto consiste en adquirir equipos poligráficos, computadoras portátiles con software para poligrafía y mobiliario, para la realización de pruebas poligráficas que coadyuven al fortalecimiento de la investigación científica del delito."/>
    <s v="Occidental, Central, Metropolitana, Paracentral y Oriental"/>
    <s v="29,084 personas"/>
    <s v="Áreas de Poligrafía fortalecidas"/>
    <m/>
    <n v="1"/>
    <m/>
    <m/>
    <s v="a"/>
    <s v="a"/>
    <n v="7.1525000000000005E-2"/>
    <n v="0.01"/>
    <m/>
    <m/>
    <m/>
    <m/>
    <n v="6.1525000000000003E-2"/>
    <m/>
    <n v="2.2865250000000001"/>
    <n v="2.2250000000000001"/>
    <n v="6.1525000000000052E-2"/>
    <m/>
    <x v="18"/>
    <s v="MJSP"/>
    <n v="247"/>
    <m/>
  </r>
  <r>
    <x v="2"/>
    <x v="10"/>
    <s v="3.3"/>
    <x v="29"/>
    <s v="MJSP / PNC"/>
    <m/>
    <m/>
    <m/>
    <s v="Equipamiento Forense de las Secciones de Inspecciones Oculares de la División Policía Técnica Científica de la Policía Nacional Civil"/>
    <s v="El proyecto consiste en adquirir materiales y equipos forenses con tecnología avanzada y equipo de transporte médico forense, destinado a 15 grupos de inspecciones oculares para el procesamiento de la escena de los diferentes delitos que a diario se registran en El Salvador."/>
    <s v="Occidental, Central, Metropolitana, Paracentral y Oriental"/>
    <s v="29,084 personas"/>
    <s v="Grupos de Inspecciones Oculares fortalecidos"/>
    <m/>
    <n v="1"/>
    <m/>
    <m/>
    <s v="a"/>
    <s v="a"/>
    <n v="0.88297199999999998"/>
    <n v="0.13"/>
    <m/>
    <m/>
    <m/>
    <m/>
    <n v="0.75297199999999997"/>
    <m/>
    <n v="2.97797256"/>
    <n v="2.2250000000000001"/>
    <n v="0.7529725599999999"/>
    <m/>
    <x v="18"/>
    <s v="MJSP"/>
    <n v="248"/>
    <m/>
  </r>
  <r>
    <x v="2"/>
    <x v="10"/>
    <s v="3.3"/>
    <x v="29"/>
    <s v="MJSP / PNC"/>
    <m/>
    <m/>
    <m/>
    <s v="Fortalecimiento de las Dependencias de la Subdierección de Investigaciones de la Policía Nacional Civil"/>
    <s v="Consiste en adquirir equipos tecnológicos, software especial para análisis de información delincuencial y mobiliario necesario para el desarrollo de las funciones propias de las Dependencias de Investigación. "/>
    <s v="Occidental, Central, Metropolitana, Paracentral y Oriental"/>
    <s v="29,084 personas"/>
    <s v="Dependencias de Investigación fortalecidas"/>
    <m/>
    <n v="1"/>
    <n v="1"/>
    <n v="1"/>
    <s v="a"/>
    <s v="a"/>
    <n v="19.18"/>
    <n v="16.68"/>
    <m/>
    <m/>
    <m/>
    <m/>
    <n v="2.5"/>
    <m/>
    <n v="19.176400999999998"/>
    <n v="16.676400999999998"/>
    <n v="2.5"/>
    <m/>
    <x v="18"/>
    <s v="MJSP"/>
    <n v="249"/>
    <m/>
  </r>
  <r>
    <x v="2"/>
    <x v="10"/>
    <s v="3.3"/>
    <x v="29"/>
    <s v="MJSP / PNC"/>
    <m/>
    <m/>
    <m/>
    <s v="Construcción y Equipamiento Básico del Laboratorio de Investigación Científica de la Policía Nacional Civil"/>
    <s v="El proyecto consistirá en la compra de un terreno aproiximado de 2,000 mt2, en la elaboración de un estudio de diseño y la Construcción y Equipamiento Básico de las Instalaciones del Laboratorio Cientifico del Delito."/>
    <s v="Occidental, Central, Metropolitana, Paracentral y Oriental"/>
    <s v="29,084 personas"/>
    <s v="Infraestructura policial construida"/>
    <m/>
    <m/>
    <m/>
    <n v="1"/>
    <s v="a"/>
    <s v="a"/>
    <n v="13.725"/>
    <n v="2.2250000000000001"/>
    <m/>
    <m/>
    <m/>
    <m/>
    <n v="11.5"/>
    <m/>
    <n v="13.725"/>
    <n v="2.2250000000000001"/>
    <n v="11.5"/>
    <m/>
    <x v="18"/>
    <s v="MJSP"/>
    <n v="250"/>
    <m/>
  </r>
  <r>
    <x v="2"/>
    <x v="10"/>
    <s v="3.3"/>
    <x v="29"/>
    <s v="FGR"/>
    <m/>
    <m/>
    <m/>
    <s v="Construcción, Equipamiento y Modernización de las Oficinas Centrales de la FGR de El Salvador."/>
    <s v="Fortalecer las capacidades institucionales de la Fiscalía General de la República (FGR) mediante la centralización de las actividades y operaciones, fomentando la estandarización, profesionalización y tecnificación de todas las instancias vinculadas a la seguridad y administración de justicia en materia penal, garantizando al mismo tiempo que las víctimas y usuarios en general puedan tener acceso a la seguridad de una manera ordenada, eficiente, eficaz y más ágil."/>
    <m/>
    <m/>
    <m/>
    <m/>
    <m/>
    <m/>
    <m/>
    <m/>
    <m/>
    <m/>
    <m/>
    <m/>
    <m/>
    <m/>
    <m/>
    <m/>
    <m/>
    <n v="59.522205"/>
    <n v="59.522205"/>
    <n v="0"/>
    <s v="Préstamo BCIE #2146 por $44.9 millones + Inversión en infraestructura del presupuesto del Órgano Judicial por $14.62 millones (en base a presupuesto 2015)"/>
    <x v="27"/>
    <s v="FGR"/>
    <n v="251"/>
    <m/>
  </r>
  <r>
    <x v="2"/>
    <x v="10"/>
    <s v="3.4"/>
    <x v="30"/>
    <m/>
    <m/>
    <m/>
    <m/>
    <m/>
    <m/>
    <m/>
    <m/>
    <m/>
    <m/>
    <m/>
    <m/>
    <m/>
    <m/>
    <m/>
    <m/>
    <m/>
    <m/>
    <m/>
    <m/>
    <m/>
    <m/>
    <m/>
    <m/>
    <m/>
    <m/>
    <m/>
    <x v="0"/>
    <m/>
    <n v="252"/>
    <m/>
  </r>
  <r>
    <x v="2"/>
    <x v="10"/>
    <n v="3.3"/>
    <x v="29"/>
    <s v="MJSP / PNC"/>
    <m/>
    <m/>
    <m/>
    <s v="Ampliación del Sistema de Vigilancia Electrónica en San Salvador"/>
    <s v="Actualmente el Sistema de Video Vigilancia tiene una cobertura de 9.48 km2 a través de 410 cámaras instalads y operando en el Centro Histórico de San Salvador. Se espera ampliar a 4 mil cámaras ubicadas en puntos estratégicos, con cámaras PTZ: 2,000, Fijas: 1.000; LPR: 800 y FR:200 logrando una cobertura de 72.25 km2, equivalentes al total del municipio de San Salvador"/>
    <s v="San Salvador"/>
    <s v="317,235 personas"/>
    <s v="Cámaras instaladas"/>
    <n v="410"/>
    <m/>
    <n v="1410"/>
    <n v="4410"/>
    <s v="a"/>
    <s v="a"/>
    <n v="22.85"/>
    <n v="2.85"/>
    <m/>
    <m/>
    <m/>
    <m/>
    <n v="20"/>
    <m/>
    <n v="114.25"/>
    <n v="14.25"/>
    <n v="100"/>
    <s v="Incorporado a partir de información proporcionada en Mayo 2015"/>
    <x v="18"/>
    <s v="MJSP"/>
    <n v="253"/>
    <m/>
  </r>
  <r>
    <x v="2"/>
    <x v="10"/>
    <s v="3.4"/>
    <x v="30"/>
    <s v="MJSP / IGSP"/>
    <m/>
    <m/>
    <m/>
    <s v="Adecuación de la Infraestructura, Equipamiento  y mobiliario de las Oficinas de Quejas y Denuncias en cada cabecera Departamental"/>
    <s v="Objetivo General:_x000d_Dar cumplimiento a las atribuciones que la Ley Orgánica de IGSP otorga al Departamento de Quejdas y Denuncias._x000d__x000d_Objetivos Específicos:_x000d_Facilitar a la ciudadanía la interposición de denuncias en contra miembros de la Institución Policial y Academía Nacional de Seguridad Pública._x000d__x000d_Garantizar al usuario la privacidad, seguridad y un ambiente adecuado para interponer la denuncia._x000d__x000d_Descripción:_x000d_El proyecto consiste en crear espacios en las Oficinas Departamentales de IGSP, ubicadas en las catorce cabeceras del país  los cuales deben contar con la Infraestructura necesaria, equipo informático y mobiliario, además ambientadas para dar seguridad, privacidad, comodidad para exponer los hechos a denunciar."/>
    <s v="Los catorce Departamentos del país."/>
    <s v="Tomando en consideración que Inspectoría General de Seguridad Pública, recibe denuncias internas y externas, se tomaran como beneficiarios a la ciudadanía en general y los miembros de la PNC y ANSP, que se consideren vulnerados en sus derechos a raíz de un mal procedimientos policial o un servicio irregular por parte de las instituciones sujetas a la contraloría."/>
    <s v="14 oficinas de quejas y denuncias  Instaladas a nivel Nacional."/>
    <m/>
    <n v="0.5"/>
    <n v="0.5"/>
    <m/>
    <m/>
    <m/>
    <m/>
    <m/>
    <m/>
    <m/>
    <m/>
    <m/>
    <m/>
    <m/>
    <n v="0.2"/>
    <n v="0"/>
    <n v="0.2"/>
    <m/>
    <x v="18"/>
    <s v="MJSP"/>
    <n v="254"/>
    <m/>
  </r>
  <r>
    <x v="2"/>
    <x v="10"/>
    <s v="3.4"/>
    <x v="30"/>
    <s v="MJSP / IGSP"/>
    <m/>
    <m/>
    <m/>
    <s v="Cambio de la flota vehícular"/>
    <s v="Objetivo General:_x000d_Adquirir nuevo equipo de transporte que reuna las especificaciones requeridas y necesarias para realizar el trabajo de campo._x000d__x000d_Objetivos Específicos:_x000d_Proveer al pesonal técnico profesional de IGSP del recurso idóneo y necesario para realizar el trabajo de supervisión, fiscalización y contraloría en las instituciones de Seguridad Publica._x000d__x000d_Descripción:_x000d_El trabajo de supervisión, ficalización y contraloría requiere de medios de transporte idóneo para realizarlo en todas las Unidades Policiales a nivel nacional e instalaciones de la ANSP, lo cual se dificulta con la flota vehícular existente adquirida en el año 1996 entre vehículos NSSAN SENTRA y PICK-UP, en razón de lo cual se requiere actualizar la flota vehícular con 24 PICK-UP, doble cabina que facilite el trabajo de campo."/>
    <s v="Los catorce Departamentos del país."/>
    <s v="A la población en general, tomando en cuenta que el objetivo de la supervisón de IGSP, es de garantizar los servicios operativos y de gestión de la PNC y ANSP, con especial observacia al respeto de los Derechos Humanos."/>
    <s v="Nueva flota vehícular   a cuantas delegaciones"/>
    <m/>
    <m/>
    <n v="1"/>
    <m/>
    <m/>
    <m/>
    <m/>
    <m/>
    <m/>
    <m/>
    <m/>
    <m/>
    <m/>
    <m/>
    <n v="0.8"/>
    <n v="0"/>
    <n v="0.8"/>
    <m/>
    <x v="18"/>
    <s v="MJSP"/>
    <n v="255"/>
    <m/>
  </r>
  <r>
    <x v="2"/>
    <x v="10"/>
    <s v="3.4"/>
    <x v="30"/>
    <s v="MJSP / IGSP"/>
    <m/>
    <m/>
    <m/>
    <s v="Capacitación de las Delegadas y Delegados de Inspectoría General de Seguridad Pública (IGSP)"/>
    <s v="Objetivo General:_x000d_Fortalecer la IGSP, a traves de la formación, capacitación y profesionalización del personal en áreas especializadas para facilitar la supervisión y contraloría, una buena administración de recursos y un servicio eficaz y eficiente a los usuarios._x000d__x000d_Objetivos Específicos:_x000d_Capacitar al personal técnico profesional en áreas especializadas de gestión, auditoría, investigación y contraloría de los procesos, servicio prestados y opeataividad de las Instituciones de Seguridad Públicad _x000d__x000d_Descripción:_x000d_La nueva ley orgánica de la IGSP, otorga nuevas atribuciones al ente contralor que obliga a capacitar al personal en áreas especializadas que faciliten y garanticen el trabajo de auditoría de la Gestión de las entidadaes supervisadas: asimismo, capacitar en los conocimientos básicos para supervisión de la Curricula de la ANSP y  técnicas de investigación que facilite los Direccionamientos Funcionales."/>
    <s v="Los catorce Departamentos del país."/>
    <s v="Los usuarios"/>
    <s v="Personal Capacitado"/>
    <m/>
    <m/>
    <s v="X"/>
    <m/>
    <m/>
    <m/>
    <m/>
    <m/>
    <m/>
    <m/>
    <m/>
    <m/>
    <m/>
    <m/>
    <n v="0.1235"/>
    <n v="0"/>
    <n v="0.1235"/>
    <m/>
    <x v="18"/>
    <s v="MJSP"/>
    <n v="256"/>
    <m/>
  </r>
  <r>
    <x v="2"/>
    <x v="10"/>
    <s v="3.5"/>
    <x v="31"/>
    <m/>
    <m/>
    <m/>
    <m/>
    <m/>
    <m/>
    <m/>
    <m/>
    <m/>
    <m/>
    <m/>
    <m/>
    <m/>
    <m/>
    <m/>
    <m/>
    <m/>
    <m/>
    <m/>
    <m/>
    <m/>
    <m/>
    <m/>
    <m/>
    <m/>
    <m/>
    <m/>
    <x v="0"/>
    <m/>
    <n v="257"/>
    <m/>
  </r>
  <r>
    <x v="2"/>
    <x v="10"/>
    <s v="3.5"/>
    <x v="31"/>
    <m/>
    <m/>
    <m/>
    <m/>
    <m/>
    <m/>
    <m/>
    <m/>
    <m/>
    <m/>
    <m/>
    <m/>
    <m/>
    <m/>
    <m/>
    <m/>
    <m/>
    <m/>
    <m/>
    <m/>
    <m/>
    <m/>
    <m/>
    <m/>
    <m/>
    <m/>
    <m/>
    <x v="0"/>
    <m/>
    <n v="258"/>
    <m/>
  </r>
  <r>
    <x v="2"/>
    <x v="11"/>
    <s v="3.6"/>
    <x v="32"/>
    <m/>
    <m/>
    <m/>
    <m/>
    <m/>
    <m/>
    <m/>
    <m/>
    <m/>
    <m/>
    <m/>
    <m/>
    <m/>
    <m/>
    <m/>
    <m/>
    <m/>
    <m/>
    <m/>
    <m/>
    <m/>
    <m/>
    <m/>
    <m/>
    <m/>
    <m/>
    <m/>
    <x v="0"/>
    <m/>
    <n v="259"/>
    <m/>
  </r>
  <r>
    <x v="2"/>
    <x v="11"/>
    <s v="3.6"/>
    <x v="32"/>
    <s v="MJSP / DGCP"/>
    <m/>
    <m/>
    <m/>
    <s v="2. Fortalecimiento de la seguridad tecnologica de los Centros Penitenciarios"/>
    <s v="Equipamiento en istalación de sistema de video vigilancia en el perimetro de los Centros Penitenciarios y en puntos criticos al interior de los mismos."/>
    <s v="En todo el País"/>
    <s v="6251495  (población general)"/>
    <s v="Disminuido el ingreso de ilicitos a los Centros Penitenciarios"/>
    <n v="25"/>
    <n v="50"/>
    <n v="75"/>
    <n v="100"/>
    <m/>
    <s v="a"/>
    <n v="3"/>
    <m/>
    <m/>
    <m/>
    <m/>
    <m/>
    <n v="3"/>
    <m/>
    <n v="3"/>
    <n v="0"/>
    <n v="3"/>
    <m/>
    <x v="18"/>
    <s v="MJSP"/>
    <n v="260"/>
    <m/>
  </r>
  <r>
    <x v="2"/>
    <x v="11"/>
    <s v="3.6"/>
    <x v="32"/>
    <s v="MJSP / DGCP"/>
    <m/>
    <m/>
    <m/>
    <s v="3. Readecuación de infraestructura penitenciaria."/>
    <s v="Readecuar 10 Centros de Privacion de libertad, generando espacios de rehabilitacion y reinserción social de privados y privadas de libertad(aulas, talleres vocacionales, comunidad terapeutica, etc) "/>
    <s v="En todo el pais"/>
    <s v="16,000 Privados(as) de Libertad y población en general"/>
    <s v="Readecuados 10 Centros Penitenciarios"/>
    <n v="35"/>
    <n v="60"/>
    <n v="85"/>
    <n v="100"/>
    <m/>
    <s v="a"/>
    <n v="0.4"/>
    <m/>
    <m/>
    <m/>
    <m/>
    <m/>
    <n v="0.4"/>
    <n v="0.8"/>
    <n v="0.8"/>
    <n v="0"/>
    <n v="0.8"/>
    <m/>
    <x v="18"/>
    <s v="MJSP"/>
    <n v="261"/>
    <m/>
  </r>
  <r>
    <x v="2"/>
    <x v="11"/>
    <s v="3.6"/>
    <x v="32"/>
    <s v="MJSP / DGCP"/>
    <m/>
    <m/>
    <m/>
    <s v="4. Ampliación de infraestructura Penitenciaria"/>
    <s v="Construcción de 3 Centros Penitenciarios nuevos, contrucción de una Granja Penitenciaria, Readecuación de 2 Granajas Penitenciarias e i mplementación de un sistema de monitoreo electronico de privados de Libertad (Brazaletes)"/>
    <s v="Izalco, La Paz, Santa Ana, Morazan"/>
    <s v="18,000 privados(as) de Libertad y población en general"/>
    <s v="Reducción del índice de hacinamiento"/>
    <m/>
    <n v="35"/>
    <n v="70"/>
    <n v="100"/>
    <s v="a"/>
    <s v="a"/>
    <n v="27.8"/>
    <m/>
    <n v="27.8"/>
    <s v="BCIE"/>
    <m/>
    <m/>
    <m/>
    <m/>
    <n v="71"/>
    <n v="71"/>
    <n v="0"/>
    <s v="PRÉSTAMO BCIE-2102 POR $71 millones "/>
    <x v="18"/>
    <s v="MJSP"/>
    <n v="262"/>
    <m/>
  </r>
  <r>
    <x v="2"/>
    <x v="11"/>
    <s v="3.6"/>
    <x v="32"/>
    <s v="MJSP / DGCP"/>
    <m/>
    <m/>
    <m/>
    <s v="5. Fortalecimiento de la Escuela Penitenciaria."/>
    <s v="Construcción de infraestructura propia, modernización de la curricula y acreditación "/>
    <s v="San Salvador"/>
    <s v="1500 empleados del Sistema Penitencairio y Personal del Sector Justicia "/>
    <s v="Cantidad de empleados especializados en areas penales."/>
    <m/>
    <n v="30"/>
    <n v="70"/>
    <n v="100"/>
    <s v="a"/>
    <m/>
    <m/>
    <m/>
    <m/>
    <m/>
    <m/>
    <m/>
    <m/>
    <m/>
    <n v="3.5"/>
    <n v="0"/>
    <n v="3.5"/>
    <m/>
    <x v="18"/>
    <s v="MJSP"/>
    <n v="263"/>
    <m/>
  </r>
  <r>
    <x v="2"/>
    <x v="11"/>
    <s v="3.6"/>
    <x v="32"/>
    <s v="MJSP / DGCP"/>
    <m/>
    <m/>
    <m/>
    <s v="7. Modelo de rehabilitación y reinserción penitenciario basado en trabajo, orden y cero ocio carcelario."/>
    <s v="Implementación y equipamiento de talleres vocacionales, producción agricola, producción industrial (fabrica de catres, confección de prendas de vestir, mecanica automotriz, electricidad, etc), programas generales (psicosociales, culturales, educativos, etc) y programas especializados (Drogodependencia y agresores sexuales)"/>
    <s v="En todo el pais "/>
    <s v="28,000 Privados de Libertad y sus familiares"/>
    <s v="Implementados programas de rehabilitación y reinserción y equiados talleres productivos"/>
    <n v="15"/>
    <n v="50"/>
    <n v="75"/>
    <n v="100"/>
    <m/>
    <s v="a"/>
    <n v="2"/>
    <m/>
    <m/>
    <m/>
    <m/>
    <m/>
    <n v="2"/>
    <m/>
    <n v="4"/>
    <n v="0"/>
    <n v="4"/>
    <m/>
    <x v="18"/>
    <s v="MJSP"/>
    <n v="264"/>
    <m/>
  </r>
  <r>
    <x v="2"/>
    <x v="11"/>
    <s v="3.6"/>
    <x v="32"/>
    <s v="MJSP / DGCP"/>
    <m/>
    <m/>
    <m/>
    <s v="8. Formación y acreditación de Instructores, Tutores y  Privados de Libertad en especialización de trabajo productivo para su insercion social "/>
    <s v="Integrar en programas  de formación y capcitación al 40% de la población privada de libertad, para su incorporación en talleres con estandares productivos."/>
    <s v="En todo el pais"/>
    <s v="11,200  Privados(as) de libertad  integrada en formación productiva."/>
    <s v="Cantidad de PDL acreditados en especialización técnico vocacional"/>
    <n v="10"/>
    <n v="60"/>
    <n v="85"/>
    <n v="100"/>
    <m/>
    <s v="a"/>
    <n v="0.8"/>
    <m/>
    <m/>
    <m/>
    <m/>
    <m/>
    <n v="0.8"/>
    <m/>
    <n v="0.8"/>
    <n v="0"/>
    <n v="0.8"/>
    <m/>
    <x v="18"/>
    <s v="MJSP"/>
    <n v="265"/>
    <m/>
  </r>
  <r>
    <x v="2"/>
    <x v="11"/>
    <s v="3.6"/>
    <x v="32"/>
    <s v="MJSP"/>
    <m/>
    <m/>
    <m/>
    <s v="Fortalecimiento Institucional del MJSP"/>
    <m/>
    <m/>
    <m/>
    <m/>
    <m/>
    <m/>
    <m/>
    <m/>
    <m/>
    <m/>
    <m/>
    <m/>
    <m/>
    <m/>
    <m/>
    <m/>
    <m/>
    <m/>
    <n v="8.6999999999999993"/>
    <n v="8.6999999999999993"/>
    <n v="0"/>
    <s v="Préstamo BID (aprobado). ES-L1025; 2881/OC-ES. COMPONENTE I."/>
    <x v="28"/>
    <s v="MJSP"/>
    <n v="266"/>
    <m/>
  </r>
  <r>
    <x v="2"/>
    <x v="11"/>
    <s v="3.6"/>
    <x v="32"/>
    <s v="MJSP"/>
    <m/>
    <m/>
    <m/>
    <s v="Fortalecimiento del proceso de rehabilitación y reinserción social"/>
    <m/>
    <m/>
    <m/>
    <m/>
    <m/>
    <m/>
    <m/>
    <m/>
    <m/>
    <m/>
    <m/>
    <m/>
    <m/>
    <m/>
    <m/>
    <m/>
    <m/>
    <m/>
    <n v="16.100000000000001"/>
    <n v="16.100000000000001"/>
    <n v="0"/>
    <s v="Préstamo BID (aprobado). ES-L1025; 2881/OC-ES. COMPONENTE III."/>
    <x v="28"/>
    <s v="MJSP"/>
    <n v="267"/>
    <m/>
  </r>
  <r>
    <x v="2"/>
    <x v="11"/>
    <s v="3.7"/>
    <x v="33"/>
    <m/>
    <m/>
    <m/>
    <m/>
    <m/>
    <m/>
    <m/>
    <m/>
    <m/>
    <m/>
    <m/>
    <m/>
    <m/>
    <m/>
    <m/>
    <m/>
    <m/>
    <m/>
    <m/>
    <m/>
    <m/>
    <m/>
    <m/>
    <m/>
    <m/>
    <m/>
    <m/>
    <x v="0"/>
    <m/>
    <n v="268"/>
    <m/>
  </r>
  <r>
    <x v="2"/>
    <x v="11"/>
    <s v="3.7"/>
    <x v="33"/>
    <s v="ISNA / MJSP"/>
    <m/>
    <m/>
    <m/>
    <s v="Construcción de tres resguardos para las y los adolescentes de zona metropolitana de San Salvador, San Miguel y Santa Ana"/>
    <s v=" 1. Prevención de violencia según la clasificación de las iniciativas de prevención planteadas por el MJSP, centradas en  “Orientación y Sensibilización”  de las y los adolescentes  bajo medida administrativa, asi como la generación de  condiciones básicas para el control de la detención adminstrativa de adolescentes en San Miguel, Santa Ana y la zona metropolitana de San Salvador. "/>
    <s v="Territorio Nacional"/>
    <s v="Existe un aproximado de adolescentes beneficiados que oscila entre 5,000 a 7,000 personas por año. Equivalentes al total de adolescentes privados de libertad en cada año."/>
    <s v="Adolescentes privados de libertad con medida administrativa por la policía."/>
    <s v="6444 adolescentes privados de libertad por la policía"/>
    <s v="N/D"/>
    <s v="N/D"/>
    <s v="N/D"/>
    <m/>
    <m/>
    <m/>
    <m/>
    <m/>
    <m/>
    <m/>
    <m/>
    <m/>
    <m/>
    <n v="5"/>
    <n v="0"/>
    <n v="5"/>
    <s v="Los reguardos son un espacio físico que la Ley Penal Juvenil (artículo 158) mandata para la recepción y gestión adminsitrativa de las y los adoelscentes privados de libertad, en el caso de realizar detenciones en flagancia sobre un adolescente alq ue se le atribuye el cometido de una infracción penal, "/>
    <x v="29"/>
    <s v="ISNA"/>
    <n v="269"/>
    <m/>
  </r>
  <r>
    <x v="2"/>
    <x v="11"/>
    <s v="3.7"/>
    <x v="33"/>
    <s v="ISNA"/>
    <m/>
    <m/>
    <m/>
    <s v="Reconstruccion de cuatro Centros de Insercion Social (CIS)"/>
    <s v="Descripción del proyecto: 1. Propiciar la inserción social de adolescentes en conflicto con la ley a la vida económica, productiva y cultural del país,  a través de la adecuación de la infraestructura y mejora sustancial de los componentes de atención  necesarios para la adecuada integración a la conviviencia social y seguridad ciudadana,  bajo el conceptode de educación en responsabilidad definido en el Programa Marco para la Atención Integral de Adolescentes Sujetos a Responsabilidad Penal Juvenil del ISNA a traves de acciones específicas:  1.1  Mejoras el Sistema Electrico en los Centros de Insercion Social 1.2. Reconstruccion de dormitorios donde habitan las y los adolescentes en los cuatro Centros de Insercion Social (CIS). Además, de mejorar los mecanismos de control interno y externo de la población en el centro."/>
    <s v="1. Centro de Insercion Social Tonacatepeque, Departamento de San Salvador; Centro de Insercion Social Femenino,en Ilopango Departamento de San salvador ;  Centro de Insercion Social Sendero de Libertad, en Ilobasco,Departamento de Cabañas y Centro de Insercion Social El Espino, en Departamento Ahuachapán."/>
    <s v="1552 Adolescentes anualmente atendidos entre doce a menores de dieciocho años de edad. "/>
    <s v="Adolescentes privados de libertad en los  Centros de Inserción Social (CIS)"/>
    <s v="1552 adolescentes atendidos. "/>
    <s v="N/D"/>
    <s v="N/D"/>
    <s v="N/D"/>
    <m/>
    <m/>
    <m/>
    <m/>
    <m/>
    <m/>
    <m/>
    <m/>
    <m/>
    <m/>
    <n v="10"/>
    <n v="0"/>
    <n v="10"/>
    <m/>
    <x v="29"/>
    <s v="ISNA"/>
    <n v="270"/>
    <m/>
  </r>
  <r>
    <x v="2"/>
    <x v="11"/>
    <s v="3.8"/>
    <x v="34"/>
    <m/>
    <m/>
    <m/>
    <m/>
    <m/>
    <m/>
    <m/>
    <m/>
    <m/>
    <m/>
    <m/>
    <m/>
    <m/>
    <m/>
    <m/>
    <m/>
    <m/>
    <m/>
    <m/>
    <m/>
    <m/>
    <m/>
    <m/>
    <m/>
    <m/>
    <m/>
    <m/>
    <x v="0"/>
    <m/>
    <n v="271"/>
    <m/>
  </r>
  <r>
    <x v="2"/>
    <x v="11"/>
    <s v="3.8"/>
    <x v="34"/>
    <s v="MJSP / DGCP"/>
    <m/>
    <m/>
    <m/>
    <s v="1. Fortalecimiento del sistema de bloqueadores para la reducción de la intensidad de la señal de telefonia celular."/>
    <s v="Equipamiento e instalación de sistemas de bolqueadores de telefonia celular y scanners instalados en en los Centros Penales"/>
    <s v="En todo el pais"/>
    <s v="28,000 Privados de Libertad y sus familiares"/>
    <s v="Reducido el indice de extorsiones desde los Centros Penitenciarios"/>
    <n v="25"/>
    <n v="50"/>
    <n v="75"/>
    <n v="100"/>
    <m/>
    <s v="a"/>
    <n v="20"/>
    <m/>
    <m/>
    <m/>
    <m/>
    <m/>
    <n v="20"/>
    <m/>
    <n v="20"/>
    <n v="0"/>
    <n v="20"/>
    <m/>
    <x v="18"/>
    <s v="MJSP"/>
    <n v="272"/>
    <m/>
  </r>
  <r>
    <x v="2"/>
    <x v="11"/>
    <s v="3.9"/>
    <x v="35"/>
    <m/>
    <m/>
    <m/>
    <m/>
    <m/>
    <m/>
    <m/>
    <m/>
    <m/>
    <m/>
    <m/>
    <m/>
    <m/>
    <m/>
    <m/>
    <m/>
    <m/>
    <m/>
    <m/>
    <m/>
    <m/>
    <m/>
    <m/>
    <m/>
    <m/>
    <m/>
    <m/>
    <x v="0"/>
    <m/>
    <n v="273"/>
    <m/>
  </r>
  <r>
    <x v="2"/>
    <x v="11"/>
    <s v="3.9"/>
    <x v="35"/>
    <m/>
    <m/>
    <m/>
    <m/>
    <m/>
    <m/>
    <m/>
    <m/>
    <m/>
    <m/>
    <m/>
    <m/>
    <m/>
    <m/>
    <m/>
    <m/>
    <m/>
    <m/>
    <m/>
    <m/>
    <m/>
    <m/>
    <m/>
    <m/>
    <m/>
    <m/>
    <m/>
    <x v="0"/>
    <m/>
    <n v="274"/>
    <m/>
  </r>
  <r>
    <x v="2"/>
    <x v="12"/>
    <s v="3.10"/>
    <x v="36"/>
    <m/>
    <m/>
    <m/>
    <m/>
    <m/>
    <m/>
    <m/>
    <m/>
    <m/>
    <m/>
    <m/>
    <m/>
    <m/>
    <m/>
    <m/>
    <m/>
    <m/>
    <m/>
    <m/>
    <m/>
    <m/>
    <m/>
    <m/>
    <m/>
    <m/>
    <m/>
    <m/>
    <x v="0"/>
    <m/>
    <n v="275"/>
    <m/>
  </r>
  <r>
    <x v="2"/>
    <x v="12"/>
    <s v="3.10"/>
    <x v="36"/>
    <s v="ISDEMU"/>
    <m/>
    <m/>
    <m/>
    <s v="Asesoría técnica y territorialización para fortalecimiento de capacidades institucionales para el ejercicio de rectoría del Marco Normativo de Igualdad Sustantiva a nivel territorial. "/>
    <s v="Tiene como propósito y objetivo el fortalecimiento de las capacidades técnicas del ISDEMU en dos departamentos pilotos en la región oriental del pais, para coordinar e impulsar las acciones necesarias para dar cumplimiento a la Normativa Nacional para la Igualdad Sustantiva. _x000d__x000d_Los objetivos específicos son: a) Construcción y seguimiento a la implementación de la metodología para la formulación de planes para la igualdad sustantiva; b) Difusión de experiencias y herramientas desarrolladas en los departamentos pilotos para ser replicables en otras regiones; c) Aplicación de planes construidos."/>
    <s v="Los departamentos de San Miguel, La Unión y Morazán. _x000d__x000d_Se está en proceso de definición los dos departamentos pilotos para la realización de acciones puntuales. "/>
    <s v="Mujeres integrantes de los Consejos Consultivos y de Controlaría Social  de los departamentos de San Miguel, La Unión y Morazán. _x000d__x000d_Gabinetes asesores de los departamentos de San Miguel, La Unión y Morazán."/>
    <s v="Número de mujeres en CCCS._x000d__x000d__x000d_Número de Gabinetes asesores."/>
    <s v="2,813_x000d__x000d__x000d__x000d_3"/>
    <s v="2,813_x000d__x000d__x000d__x000d_3"/>
    <s v="3,000_x000d__x000d__x000d__x000d_3"/>
    <s v="4,000_x000d__x000d__x000d__x000d_3"/>
    <s v="a"/>
    <m/>
    <m/>
    <m/>
    <m/>
    <m/>
    <m/>
    <m/>
    <m/>
    <m/>
    <n v="0.88400000000000001"/>
    <n v="0.38400000000000001"/>
    <n v="0.5"/>
    <s v="La experta será financiada por la Agencia de Cooperación Internacional de Japón y constará su ejecucicón de dos años, iniciando en el 2015. No se cuenta con e ldato exacto de monto que invertirá el JICA dado que es un proceso interno de la Agencia de Cooperación. "/>
    <x v="30"/>
    <s v="ISDEMU"/>
    <n v="276"/>
    <m/>
  </r>
  <r>
    <x v="2"/>
    <x v="12"/>
    <s v="3.10"/>
    <x v="36"/>
    <s v="ISDEMU"/>
    <m/>
    <m/>
    <m/>
    <s v="Proyecto Regional B.A.1 de la Estrategia de Seguridad de Centroamérica: Prevención de la violencia contra las mujeres en Centroamérica"/>
    <s v="Fortalecimiento de la capacidad de respuesta institucional en la prevención y atención de la violencia contra las mujeres, trata y feminicidio, en los ámbitos regional, nacional y local. Cuya implementación es en Belice, Costa Rica, El Salvador, Guatemala, Hondoras, Nicaragua y Panamá. El proyecto tiene una duración de 24 meses y esta estructura a través de tres resultados operativos: 1) Mejorar la articulación nacional y regional para la implementación de acciones de prevención y atención de la violencia contra las mujeres, trata y feminicidio; 2) Capacidad de las instituciones a nivel regional, nacional y local fortalecidas para la prevención y atención de la violencia contra las mujeres, trata y feminicio y 3) Planes locales y mecanismos de atención integral de la violencia contra las mujeres, trata y feminicidio. _x000d__x000d_Este proyecto tiene un periodo de implementación 2014-2015. El Salvador ejecutará a través de la Comisión Nacional de Gerencia conformada por el MJSP, RREE, UNFPA, OIM e ISDEMU; la coordinación esta a cargo del ISDEMU. "/>
    <s v="Diez municipios de intervención en El Salvador: San Salvador, San Martín, Mejicanos, Santa Tecla, Ciudad Delgado, Cojutepeque, San Miguel, La Unión, Acajutla y Santa Ana. "/>
    <s v="Mujeres de los municipios de intervención en El Salvador de este proyecto._x000d__x000d_ISDEMU_x000d__x000d_Comisión Técnica Especializada. _x000d__x000d_Consejo Nacional contra la Trata de Personas._x000d__x000d_Gabinete de Gestión para la Prevención de la Violencia. _x000d__x000d_Unidades Municipales de la Mujer._x000d__x000d_Comités Municipales de Prevención de Violencia._x000d__x000d_Operadores de atención de la UIAE del Sector Justicia y MINSAL. _x000d__x000d_"/>
    <s v="Mujeres de los municipios aledaños seleccionados de intervención en El Salvador "/>
    <s v="N/A"/>
    <n v="100000"/>
    <n v="175000"/>
    <n v="250000"/>
    <m/>
    <m/>
    <m/>
    <m/>
    <m/>
    <m/>
    <m/>
    <m/>
    <m/>
    <m/>
    <n v="2.6714129999999998"/>
    <n v="1.171413"/>
    <n v="1.5"/>
    <s v="No se cuenta con una linea base del proyecto. Se esta en proceso de construcción de esta. _x000d__x000d_Se solicita apoyo para la implementación en diez municipios aledaños en un periodo de cinco años. "/>
    <x v="30"/>
    <s v="ISDEMU"/>
    <n v="277"/>
    <m/>
  </r>
  <r>
    <x v="2"/>
    <x v="12"/>
    <s v="3.10"/>
    <x v="36"/>
    <s v="ISDEMU"/>
    <m/>
    <m/>
    <m/>
    <s v="Atención integral y especializada a mujeres que enfrentan violencia basada en género"/>
    <s v="Brindar atención integral y especializada a mujeres que enfrentan violencia. _x000d__x000d_Tiene por objetyivo el fortalecimiento de los mecanismos de recepción y atención de mujeres que enfrentan violencia basada en género: Centro de llamadas 126; Unidades permanentes y especializadas; Centero de Atención Integral del PIVLVM; Unidades de atención del ISDEMU en las sedes de Ciudad Mujer; Unidades de atención permanentes en departamentales; Unidades móviles de detección y referencia._x000d_"/>
    <s v="A nivel nacional"/>
    <s v="Mujeres que enfrentan violencia en los catorce departamentos del país. "/>
    <s v="Número de atenciones a nivel nacional"/>
    <n v="62197"/>
    <n v="63000"/>
    <n v="65000"/>
    <n v="70000"/>
    <s v="a"/>
    <m/>
    <m/>
    <m/>
    <m/>
    <m/>
    <m/>
    <m/>
    <m/>
    <m/>
    <n v="1.6"/>
    <n v="0.6"/>
    <n v="1"/>
    <m/>
    <x v="30"/>
    <s v="ISDEMU"/>
    <n v="278"/>
    <m/>
  </r>
  <r>
    <x v="2"/>
    <x v="12"/>
    <s v="3.10"/>
    <x v="36"/>
    <s v="ISDEMU"/>
    <m/>
    <m/>
    <m/>
    <s v="Promoción y fortalecimiento del ejercicio de la ciudadanía de las mujeres."/>
    <s v="Tiene por objetivo:_x000d_* Promover y fortalecer consejos consultivos y mecanismos  de rendición de cuentas para un ejercicio de contraloría social en la gestión pública. _x000d_* Promover y fortalecer redes de defensoras de derechos de las mujeres para impulsar la participación ciudadana de las mujeres en el ciclo de las políticas públicas. _x000d__x000d__x000d_"/>
    <s v="A nivel nacional"/>
    <s v="Gebinetes Departamentales._x000d__x000d_Gobiernos municpales._x000d__x000d_Organizaciones de mujeres._x000d__x000d_Consejo Consultivos y de rendición de cuentas a nivel nacional departamental y municipal._x000d__x000d_Mujeres defensoras de los derechos de las mujeres. "/>
    <s v="Número de mujeres que integran consejos consultivos departamentales a nivel nacional._x000d__x000d_Número de mujeres que integran consejos consultivos municipales a nivel nacional._x000d__x000d_Número de mujeres lideresas a nivel nacional a nivel nacional._x000d_"/>
    <s v="940_x000d__x000d__x000d__x000d__x000d__x000d__x000d_8,613_x000d__x000d__x000d__x000d__x000d__x000d__x000d_19,930_x000d_"/>
    <s v="940_x000d__x000d__x000d__x000d__x000d__x000d__x000d_8,613_x000d__x000d__x000d__x000d__x000d__x000d__x000d_19,930_x000d_"/>
    <s v="1,100_x000d__x000d__x000d__x000d__x000d__x000d__x000d_9,500_x000d__x000d__x000d__x000d__x000d__x000d__x000d_21,000_x000d_"/>
    <s v="1,300_x000d__x000d__x000d__x000d__x000d__x000d__x000d_11,400_x000d__x000d__x000d__x000d__x000d__x000d__x000d_23,000_x000d_"/>
    <s v="a"/>
    <m/>
    <m/>
    <m/>
    <m/>
    <m/>
    <m/>
    <m/>
    <m/>
    <m/>
    <n v="0.88400000000000001"/>
    <n v="0.38400000000000001"/>
    <n v="0.5"/>
    <m/>
    <x v="30"/>
    <s v="ISDEMU"/>
    <n v="279"/>
    <m/>
  </r>
  <r>
    <x v="2"/>
    <x v="12"/>
    <s v="3.10"/>
    <x v="36"/>
    <s v="ISDEMU"/>
    <m/>
    <m/>
    <m/>
    <s v="Implementación de la estrategia de prevención de la violencia contra las mujeres y el fortalecimiento de los procesos de sensibilización para una vida libre de violencia para las mujeres a nivel nacional"/>
    <s v="Realización de actividades estrategicas de sensibilizacion e información, fortalecimiento de capacidades municipales para la formulación e implementación de planes de prevención para las Unidades Municipales de la Mujer y Comites Municipales de Prevención de la Violencia. Asi como, el fortalecimiento de la implementación de la campaña a través de la divulgación de mensajes claros y significativos orientados a la prevención y denuncia de la violencia contra las mujeres en las redes sociales y la página web institucional del ISDEMU."/>
    <s v="A nivel nacional"/>
    <s v="Gabinetes Asesores_x000d__x000d_La población de adolescentes y jóvenes, quienes identificarán y visibilizarán que la violencia hacia las mujeres está vedada, iniciando una cultura de respeto e igualdad._x000d_"/>
    <s v="Gabinetes Asesores_x000d__x000d_Porcentaje de la población de adolescentes y jóvenes."/>
    <s v="14_x000d__x000d__x000d_N/A_x000d__x000d_"/>
    <s v="14_x000d__x000d__x000d_20%_x000d__x000d_"/>
    <s v="14_x000d__x000d__x000d_25%_x000d__x000d_"/>
    <s v="14_x000d__x000d__x000d_50%_x000d__x000d_"/>
    <s v="a"/>
    <m/>
    <m/>
    <m/>
    <m/>
    <m/>
    <m/>
    <m/>
    <m/>
    <m/>
    <n v="1.1679999999999999"/>
    <n v="0.16800000000000001"/>
    <n v="1"/>
    <m/>
    <x v="30"/>
    <s v="ISDEMU"/>
    <n v="280"/>
    <m/>
  </r>
  <r>
    <x v="2"/>
    <x v="12"/>
    <s v="3.10"/>
    <x v="36"/>
    <s v="SIS"/>
    <m/>
    <m/>
    <m/>
    <s v="Fortalecimiento del Subprograma Ciudad Mujer Joven"/>
    <s v="El proyecto consiste en ampliar el SubPrograma Ciudad Mujer Joven, que es un conjunto de servicios de los diferentes módulos de atención del programa Ciudad Mujer, adecuados para las adolescentes y jóvenes, tomando en cuenta la condición diferenciada con  el resto de usuarias, orientado a la prevención de la violencia y a un ejercicio de empoderamiento y conocimiento de sus derechos.   Objetivo General_x000d_Ampliar las oportunidades de desarrollo de las adolescentes y jóvenes, por medio de un proceso de prevención de la violencia_x000d_Objetivos específicos_x000d_Facilitar el acceso a servicios especializados para las adolescentes y jóvenes  en los municipios seleccionados por el PAPTN y que sean del alcance de las Sedes de Ciudad Mujer_x000d_Fortalecer las capacidades de las adolescentes y jóvenes para su reconocimiento como sujetas de derechos_x000d_"/>
    <s v="El proyecto se implementará en los municipios de alcance de las sedes de Ciudad Mujer San Miguel, Usulután, Morazán, y Colón, vinculados con los municipios seleccionados en el PAPTN. Actualmente ya se trabaja en un plan piloto en la Sede de Ciudad Mujer San Martín, que es necesario ampliarlo a los municipios identificados por el PAPTN."/>
    <s v="Beneficiarias directas: Mujeres adolescentes y jóvenes de centros escolares. Beneficiarios indirectos: docentes de centros escolares"/>
    <s v="Número de jóvenes que acceden a los servicios de Ciudad Mujer"/>
    <n v="500"/>
    <n v="1000"/>
    <n v="2000"/>
    <n v="5000"/>
    <s v="a"/>
    <m/>
    <m/>
    <m/>
    <m/>
    <m/>
    <m/>
    <m/>
    <m/>
    <m/>
    <n v="2.87"/>
    <n v="0.37"/>
    <n v="2.5"/>
    <s v="Este proyecto se enmarca dentro de Ciudad Mujer y ya inició con un pilotaje."/>
    <x v="31"/>
    <s v="SIS"/>
    <n v="281"/>
    <m/>
  </r>
  <r>
    <x v="2"/>
    <x v="12"/>
    <s v="3.10"/>
    <x v="36"/>
    <s v="SIS"/>
    <m/>
    <m/>
    <m/>
    <s v="Construcción y puesta en funcionamiento de nuevos Centros de Ciudad Mujer"/>
    <s v="Ciudad Mujer es modelo integral e integrado de servicios especializados para las mujeres, con el propósito de brindar servicios de calidad para las mujeres, reduciendo los costos financieros y el tiempo de las mujeres para hacer uso de los mismos. Los Ojetivos específicos son:_x000d__x000d_• Fortalecer las acciones de prevención de la violencia contra la mujer y la atención a mujeres que sufren violencia, a fin de prevenir casos de violencia y reducir la revictimización de mujeres afectadas._x000d_• Promover la autonomía económica de las mujeres a través de oportunidades de formación y participación laboral que contribuyan a mejorar sus ingresos. _x000d_• Facilitar la atención integral de la salud de las mujeres con la provisión de servicios de salud sexual y reproductiva de calidad, así como otros servicios de salud preventivos que conducen a la detección temprana del cáncer de mama, del cáncer cérvico-uterino, así como la reducción de la mortalidad materna y el embarazo precoz. _x000d_• Facilitar información y educación a las comunidades aledañas a las sedes donde opera el Programa Ciudad Mujer, con el fin de promover los derechos humanos de las mujeres e incrementar conocimientos y cambiar actitudes y conductas que ayuden a prevenir los casos de violencia de género._x000d__x000d_Estos propósitos son logrados mediante el esquema modular de servicios. Todos los servicios que se prestan en Ciudad Mujer se estructuran en cinco módulos: Módulo de atención a la violencia de género, módulo de autonomía económica, módulo de salud sexual y reproductiva, módulo de educación colectiva y módulo de atención infantil._x000d_Este esfuerzo responde al reconocimiento de las inequidades de género como parte de la realidad; a la existencia de normativa nacional e internacional que genere la obligación de dar pasos progresivos hacia la promoción y realización de los derechos de las mujeres, incluyendo la eliminación de toda forma de violencia y de discriminación por razón de género; y, finalmente a la visión estratégica de país y de sociedad orientado al buen vivir de las mujeres._x000d_El propósito del proyecto esampliar los servicios, aumentando a cuatro centros de Ciudad Mujer más a nivel nacional"/>
    <s v="Los territorios identificados para los nuevos centros son: Chalatenango, La Unión, Sonsonate, La Paz"/>
    <s v="Beneficiadas directas: mujeres de los municipios de alcance de los territorios definidos (Chalatenango, La Unión, Sonsonate, La Paz)."/>
    <s v="A 2019 se han construido cuatro nuevos centros de Ciudad Mujer"/>
    <s v="6 sedes"/>
    <s v="6 sedes"/>
    <s v="8 sedes (construcción de 2 sedes adicionales a las 6 de la línea base)"/>
    <s v="10 sedes (finalizar el quinquenio con 4 sedes adicionales)"/>
    <s v="a"/>
    <s v="a"/>
    <n v="18"/>
    <n v="6.5"/>
    <n v="5"/>
    <s v="BID"/>
    <m/>
    <m/>
    <n v="6.5"/>
    <m/>
    <n v="46.25"/>
    <n v="39.75"/>
    <n v="6.5"/>
    <s v="Fondos nacionales: incluye $2.25 millones anuales corresponde a funcionamiento para c/u de las sedes nuevas (2 en 2016, 1 para 2017 y 1 para 2018), más la construcción de 3 de estas sedes (6.5 c/u, con prestamo en negoción con BID).                                                                                                 El Programa Ciudad Mujer ya cuenta con seis centros a nivel nacional (San Martín, Colón, Santa Ana, San Miguel, Usulután y Morazán). Se proyectan cuatro nuevas sedes, de las cuales se están gestionando recursos para tres sedes en las áreas identificadas con mayor demanda y mayor condición de exclusión. Préstamo en trámite, inicia en 2016 y finaliza en 2021 (Angélica Cuadra). 9 millones para el funcionamiento de las sedes sale de recursos propios (Los montos prorrateados entre 6 años)"/>
    <x v="31"/>
    <s v="SIS"/>
    <n v="282"/>
    <m/>
  </r>
  <r>
    <x v="2"/>
    <x v="12"/>
    <s v="3.10"/>
    <x v="36"/>
    <s v="SIS"/>
    <m/>
    <m/>
    <m/>
    <s v="Escuelas de las Familias"/>
    <s v="Consiste en un esfuerzo de promoción de los derechos de las mujeres y la prevención de la violencia de género, a través de procesos formativos y de divulgación en los Centros Escolares, involucrando a las familias de las jóvenes. En esta  iniciativa, participarán ISDEMU y el Ministerio de Educación, a través de las escuelas. La curricula de los procesos formativos será trabajada con el apoyo de ISDEMU y bajo la supervisión del MINED.   Objetivo General_x000d_Crear un espacio de formación y sensibilización para las familias, en materia de derechos humanos y género, con el fin de contribuir en la generación de ambientes armónicos, de igualdad y libres de violencia._x000d_Objetivos específicos_x000d_1.- Contribuir al logro de las metas del Plan de la Alianza para la Prosperidad del Triángulo Norte, de atender integralmente las problemáticas de inseguridad que afectan a las comunidades, trabajando espacios de socialización con las familias y los centros escolares, a fin de fortalecer el tejido social, reduciendo la violencia basada en género._x000d_2.- Sensibilizar y capacitar a padres, madres y familiares a cargo de jóvenes de las escuelas del área de influencia de Ciudad Mujer Colón y San Martín, en género y otros temas relacionados con los derechos humanos y la igualdad_x000d_3.- Fomentar la construcción de una nueva masculinidad, basada en la superación de las barreras, los estereotipos y normas culturales que perjudican la relación entre hombres y mujeres, promoviendo la erradicación de la discriminación y fomentando el respeto y la igualdad_x000d_4.- Sensibilizar a los acompañantes de las usuarias de Ciudad Mujer_x000d_"/>
    <s v="El proyecto se implementará en los municipios de alcance de las sedes de Ciudad Mujer San Miguel, Usulután, Morazán, San Martín y Colón, vinculados con los municipios seleccionados en el PAPTN "/>
    <s v="Beneficiariaos directos: padres, madres y familiares adolescentes y jóvenes. Beneficiarios indirectos: adolescentes y jóvenes"/>
    <s v="Número de Escuelas beneficiadas"/>
    <n v="0"/>
    <s v="10 (Colón y San Martín, proyectado)"/>
    <n v="15"/>
    <n v="30"/>
    <m/>
    <m/>
    <m/>
    <m/>
    <m/>
    <m/>
    <m/>
    <m/>
    <m/>
    <m/>
    <n v="1.5"/>
    <n v="0"/>
    <n v="1.5"/>
    <s v="Este proyecto se enmarca dentro de Ciudad Mujer"/>
    <x v="31"/>
    <s v="SIS"/>
    <n v="283"/>
    <m/>
  </r>
  <r>
    <x v="2"/>
    <x v="12"/>
    <s v="3.10"/>
    <x v="36"/>
    <s v="MJSP / PREPAZ"/>
    <m/>
    <m/>
    <m/>
    <s v="&quot;Prevención de Violencia contra las Mujeres&quot;. "/>
    <s v="Contribuir a la reducción de la violencia contra las mujeres, incluyendo las manifestaciones extremas de dichas violencias: trata de mujeres y feminicidio, a través de intervenciones sobre los factores que la propician"/>
    <s v="San Salvador, San Martín, Santa Tecla, Ciudad Delgado, Acajutla, Cojutepeque, San Miguel, La Unión, Santa Ana, Soyapango y Mejicanos."/>
    <s v="Mujeres de los Municipios priorizados"/>
    <m/>
    <m/>
    <m/>
    <m/>
    <m/>
    <s v="a"/>
    <m/>
    <m/>
    <m/>
    <m/>
    <m/>
    <m/>
    <m/>
    <m/>
    <m/>
    <n v="0.29000000000000004"/>
    <n v="0.22"/>
    <n v="7.0000000000000007E-2"/>
    <s v="Fondos de Proyecto: Finlandia y Holanda  a través del SICA"/>
    <x v="18"/>
    <s v="MJSP"/>
    <n v="284"/>
    <m/>
  </r>
  <r>
    <x v="2"/>
    <x v="12"/>
    <s v="3.10"/>
    <x v="36"/>
    <s v="SIS"/>
    <m/>
    <m/>
    <m/>
    <s v="Fortalecimiento Institucional para el Mejoramiento de los Servicios y Promoción de los Derechos de Grupos Poblacionales Prioritarios a Nivel Nacional"/>
    <s v="El proyecto tiene como finalidad contribuir a mejorar la calidad de vida de poblaciones prioritarias como mujeres, población adulta mayor y población LGBTI. Para ello se propone mejorar los servicios directos a estas poblaciones y fortalecer las instituciones claves para que en sus políticas y atenciones las tomen en cuenta._x000d_Se trabajará con las tres poblaciones mencionadas y con tres ejes fundamentales como son salud, autonomía económica y sensibilización, a partir de dos grandes componentes: mejora de servicios y fortalecimiento institucional._x000d_"/>
    <m/>
    <m/>
    <m/>
    <m/>
    <m/>
    <m/>
    <m/>
    <m/>
    <s v="a"/>
    <n v="0.78"/>
    <m/>
    <m/>
    <m/>
    <n v="0.78"/>
    <s v="Taiwán"/>
    <m/>
    <m/>
    <n v="1.88"/>
    <n v="0"/>
    <n v="1.88"/>
    <s v="El total del proyecto es US$1,000,000.00 e inicia en 2015. El monto restante es el  que se ejecutará en este año (Angélica Cuadra)"/>
    <x v="31"/>
    <s v="SIS"/>
    <n v="285"/>
    <m/>
  </r>
  <r>
    <x v="3"/>
    <x v="13"/>
    <s v="4.1"/>
    <x v="37"/>
    <m/>
    <m/>
    <m/>
    <m/>
    <m/>
    <m/>
    <m/>
    <m/>
    <m/>
    <m/>
    <m/>
    <m/>
    <m/>
    <m/>
    <m/>
    <m/>
    <m/>
    <m/>
    <m/>
    <m/>
    <m/>
    <m/>
    <m/>
    <m/>
    <m/>
    <m/>
    <m/>
    <x v="0"/>
    <m/>
    <n v="286"/>
    <m/>
  </r>
  <r>
    <x v="3"/>
    <x v="13"/>
    <s v="4.1"/>
    <x v="37"/>
    <s v="MH"/>
    <m/>
    <m/>
    <m/>
    <s v="Fortalecimiento de las finanzas públicas"/>
    <s v="OE1, 3 y 4 - PEI"/>
    <m/>
    <m/>
    <m/>
    <m/>
    <m/>
    <m/>
    <m/>
    <m/>
    <m/>
    <m/>
    <m/>
    <m/>
    <m/>
    <m/>
    <m/>
    <m/>
    <m/>
    <n v="30.46"/>
    <n v="15.23"/>
    <n v="15.23"/>
    <s v="Cifra en base a Presupuesto Plurianual Indicativo del PEI. Brecha estimada al 50%"/>
    <x v="32"/>
    <s v="MH"/>
    <n v="287"/>
    <m/>
  </r>
  <r>
    <x v="3"/>
    <x v="13"/>
    <s v="4.2"/>
    <x v="38"/>
    <m/>
    <m/>
    <m/>
    <m/>
    <m/>
    <m/>
    <m/>
    <m/>
    <m/>
    <m/>
    <m/>
    <m/>
    <m/>
    <m/>
    <m/>
    <m/>
    <m/>
    <m/>
    <m/>
    <m/>
    <m/>
    <m/>
    <m/>
    <m/>
    <m/>
    <m/>
    <m/>
    <x v="0"/>
    <m/>
    <n v="288"/>
    <m/>
  </r>
  <r>
    <x v="3"/>
    <x v="13"/>
    <s v="4.2"/>
    <x v="38"/>
    <m/>
    <m/>
    <m/>
    <m/>
    <m/>
    <m/>
    <m/>
    <m/>
    <m/>
    <m/>
    <m/>
    <m/>
    <m/>
    <m/>
    <m/>
    <m/>
    <m/>
    <m/>
    <m/>
    <m/>
    <m/>
    <m/>
    <m/>
    <m/>
    <m/>
    <m/>
    <m/>
    <x v="0"/>
    <m/>
    <n v="289"/>
    <m/>
  </r>
  <r>
    <x v="3"/>
    <x v="13"/>
    <s v="4.3"/>
    <x v="39"/>
    <m/>
    <m/>
    <m/>
    <m/>
    <m/>
    <m/>
    <m/>
    <m/>
    <m/>
    <m/>
    <m/>
    <m/>
    <m/>
    <m/>
    <m/>
    <m/>
    <m/>
    <m/>
    <m/>
    <m/>
    <m/>
    <m/>
    <m/>
    <m/>
    <m/>
    <m/>
    <m/>
    <x v="0"/>
    <m/>
    <n v="290"/>
    <m/>
  </r>
  <r>
    <x v="3"/>
    <x v="13"/>
    <s v="4.3"/>
    <x v="39"/>
    <m/>
    <m/>
    <m/>
    <m/>
    <m/>
    <m/>
    <m/>
    <m/>
    <m/>
    <m/>
    <m/>
    <m/>
    <m/>
    <m/>
    <m/>
    <m/>
    <m/>
    <m/>
    <m/>
    <m/>
    <m/>
    <m/>
    <m/>
    <m/>
    <m/>
    <m/>
    <m/>
    <x v="0"/>
    <m/>
    <n v="291"/>
    <m/>
  </r>
  <r>
    <x v="3"/>
    <x v="13"/>
    <s v="4.4"/>
    <x v="40"/>
    <m/>
    <m/>
    <m/>
    <m/>
    <m/>
    <m/>
    <m/>
    <m/>
    <m/>
    <m/>
    <m/>
    <m/>
    <m/>
    <m/>
    <m/>
    <m/>
    <m/>
    <m/>
    <m/>
    <m/>
    <m/>
    <m/>
    <m/>
    <m/>
    <m/>
    <m/>
    <m/>
    <x v="0"/>
    <m/>
    <n v="292"/>
    <m/>
  </r>
  <r>
    <x v="3"/>
    <x v="13"/>
    <s v="4.4"/>
    <x v="40"/>
    <m/>
    <m/>
    <m/>
    <m/>
    <m/>
    <m/>
    <m/>
    <m/>
    <m/>
    <m/>
    <m/>
    <m/>
    <m/>
    <m/>
    <m/>
    <m/>
    <m/>
    <m/>
    <m/>
    <m/>
    <m/>
    <m/>
    <m/>
    <m/>
    <m/>
    <m/>
    <m/>
    <x v="0"/>
    <m/>
    <n v="293"/>
    <m/>
  </r>
  <r>
    <x v="3"/>
    <x v="13"/>
    <s v="4.5"/>
    <x v="41"/>
    <m/>
    <m/>
    <m/>
    <m/>
    <m/>
    <m/>
    <m/>
    <m/>
    <m/>
    <m/>
    <m/>
    <m/>
    <m/>
    <m/>
    <m/>
    <m/>
    <m/>
    <m/>
    <m/>
    <m/>
    <m/>
    <m/>
    <m/>
    <m/>
    <m/>
    <m/>
    <m/>
    <x v="0"/>
    <m/>
    <n v="294"/>
    <m/>
  </r>
  <r>
    <x v="3"/>
    <x v="13"/>
    <s v="4.5"/>
    <x v="41"/>
    <s v="MH"/>
    <m/>
    <m/>
    <m/>
    <s v="Registro Público de la Propiedad Bienes Muebles e Inmuebles"/>
    <s v="Fortalecimiento de los registros públicos de propiedades bienes muebles e inmuebles para una mejor protección de la propiedad, una mayor recaudación de ingresos y un mejor control fiscal."/>
    <m/>
    <m/>
    <m/>
    <m/>
    <m/>
    <m/>
    <m/>
    <m/>
    <s v="a"/>
    <n v="4"/>
    <m/>
    <m/>
    <m/>
    <m/>
    <m/>
    <n v="4"/>
    <n v="20"/>
    <n v="20"/>
    <n v="0"/>
    <n v="20"/>
    <s v="ADICIONADO ACORDE A VERSIÓN MARZO 2015"/>
    <x v="32"/>
    <s v="MH"/>
    <n v="295"/>
    <m/>
  </r>
  <r>
    <x v="3"/>
    <x v="14"/>
    <s v="4.6"/>
    <x v="42"/>
    <m/>
    <m/>
    <m/>
    <m/>
    <m/>
    <m/>
    <m/>
    <m/>
    <m/>
    <m/>
    <m/>
    <m/>
    <m/>
    <m/>
    <m/>
    <m/>
    <m/>
    <m/>
    <m/>
    <m/>
    <m/>
    <m/>
    <m/>
    <m/>
    <m/>
    <m/>
    <m/>
    <x v="0"/>
    <m/>
    <n v="296"/>
    <m/>
  </r>
  <r>
    <x v="3"/>
    <x v="14"/>
    <s v="4.6"/>
    <x v="42"/>
    <m/>
    <m/>
    <m/>
    <m/>
    <m/>
    <m/>
    <m/>
    <m/>
    <m/>
    <m/>
    <m/>
    <m/>
    <m/>
    <m/>
    <m/>
    <m/>
    <m/>
    <m/>
    <m/>
    <m/>
    <m/>
    <m/>
    <m/>
    <m/>
    <m/>
    <m/>
    <m/>
    <x v="0"/>
    <m/>
    <n v="297"/>
    <m/>
  </r>
  <r>
    <x v="3"/>
    <x v="15"/>
    <s v="4.7"/>
    <x v="43"/>
    <m/>
    <m/>
    <m/>
    <m/>
    <m/>
    <m/>
    <m/>
    <m/>
    <m/>
    <m/>
    <m/>
    <m/>
    <m/>
    <m/>
    <m/>
    <m/>
    <m/>
    <m/>
    <m/>
    <m/>
    <m/>
    <m/>
    <m/>
    <m/>
    <m/>
    <m/>
    <m/>
    <x v="0"/>
    <m/>
    <n v="298"/>
    <m/>
  </r>
  <r>
    <x v="3"/>
    <x v="15"/>
    <s v="4.7"/>
    <x v="43"/>
    <s v="STPP"/>
    <m/>
    <m/>
    <m/>
    <s v="Sistema Nacional de Planificación"/>
    <s v="Este sistema tendrá las siguientes funciones: a) Facilitar y dar soporte a una visión de país concertada entre los diversos actores estatales, privados y sociales de la que se deriven la definición de las prioridades de nación y las políticas necesarias para lograrlas; b) establecer los indicadores adecuados para medir los resultados de las políticas; c) procesar las demandas sociales y las necesidades de la población; y d) armonizar el rol público y privado en la gestión del desarrollo. _x000d_El Gobierno articulará su trabajo en torno a las siguientes estrategias: 1) La construcción de un Sistema Nacional de Planificación descentralizado, participativo e incluyente, 2) La construcción del Sistema Nacional de Información y Estadísticas (SNIE) y 3) La formulación, consulta e implementación de la Estrategia Nacional de Desarrollo (END) a Largo Plazo (al 2034); 4) Impulsar la creación de una instancia especializada cuya facultad sea la gestión de obras de infraestructura pública de gran envergadura en sus diferentes procesos: licitación, adjudicación, contratación y supervisión._x000d_"/>
    <s v="Nivel nacional"/>
    <s v="Población a nivel nacional"/>
    <s v="SNP implementado"/>
    <m/>
    <n v="0.05"/>
    <n v="0.2"/>
    <n v="1"/>
    <m/>
    <s v="a"/>
    <n v="2.5"/>
    <m/>
    <m/>
    <m/>
    <m/>
    <m/>
    <n v="2.5"/>
    <n v="10"/>
    <n v="10"/>
    <n v="0"/>
    <n v="10"/>
    <m/>
    <x v="7"/>
    <s v="STPP"/>
    <n v="299"/>
    <m/>
  </r>
  <r>
    <x v="3"/>
    <x v="15"/>
    <s v="4.7"/>
    <x v="43"/>
    <s v="SPCTA"/>
    <m/>
    <m/>
    <m/>
    <s v="Fortalecimiento de la transparencia"/>
    <m/>
    <m/>
    <m/>
    <m/>
    <m/>
    <m/>
    <m/>
    <m/>
    <m/>
    <m/>
    <m/>
    <m/>
    <m/>
    <m/>
    <m/>
    <m/>
    <m/>
    <n v="10"/>
    <n v="10"/>
    <n v="0"/>
    <n v="10"/>
    <s v="COMPLETAR (SPCTA)"/>
    <x v="33"/>
    <s v="SPCTA"/>
    <n v="300"/>
    <m/>
  </r>
  <r>
    <x v="3"/>
    <x v="15"/>
    <s v="4.7"/>
    <x v="43"/>
    <s v="MH"/>
    <m/>
    <m/>
    <m/>
    <s v="Mejorar la asignación de recursos y la calidad del gasto público, protegiendo la inversión y el gasto social (OE2-PEI)"/>
    <m/>
    <m/>
    <m/>
    <m/>
    <m/>
    <m/>
    <m/>
    <m/>
    <m/>
    <s v="a"/>
    <n v="5.66"/>
    <n v="2.83"/>
    <m/>
    <m/>
    <m/>
    <m/>
    <n v="2.83"/>
    <m/>
    <n v="28.3"/>
    <n v="14.15"/>
    <n v="14.15"/>
    <s v="Cifra en base a Presupuesto Plurianual Indicativo del PEI. Brecha estimada al 50%"/>
    <x v="32"/>
    <s v="MH"/>
    <n v="301"/>
    <m/>
  </r>
  <r>
    <x v="3"/>
    <x v="15"/>
    <s v="4.8"/>
    <x v="44"/>
    <m/>
    <m/>
    <m/>
    <m/>
    <m/>
    <m/>
    <m/>
    <m/>
    <m/>
    <m/>
    <m/>
    <m/>
    <m/>
    <m/>
    <m/>
    <m/>
    <m/>
    <m/>
    <m/>
    <m/>
    <m/>
    <m/>
    <m/>
    <m/>
    <m/>
    <m/>
    <m/>
    <x v="0"/>
    <m/>
    <n v="302"/>
    <m/>
  </r>
  <r>
    <x v="3"/>
    <x v="15"/>
    <s v="4.8"/>
    <x v="44"/>
    <s v="STPP"/>
    <m/>
    <m/>
    <m/>
    <s v="Profesionalización del Servicio Civil"/>
    <s v="Institucionalización del modelo de profesionalización de la función pública, para el Órgano Ejecutivo, y funcionamiento del Instituto Nacional de Formación Pública."/>
    <m/>
    <s v="Funcionarios del Órgano Ejecutivo"/>
    <m/>
    <m/>
    <m/>
    <m/>
    <m/>
    <m/>
    <s v="a"/>
    <n v="2.5"/>
    <m/>
    <m/>
    <m/>
    <m/>
    <m/>
    <n v="2.5"/>
    <n v="10"/>
    <n v="10"/>
    <n v="0"/>
    <n v="10"/>
    <s v="COMPLETAR (PEI STPP)"/>
    <x v="7"/>
    <s v="STPP"/>
    <n v="303"/>
    <m/>
  </r>
</pivotCacheRecords>
</file>

<file path=xl/pivotCache/pivotCacheRecords2.xml><?xml version="1.0" encoding="utf-8"?>
<pivotCacheRecords xmlns="http://schemas.openxmlformats.org/spreadsheetml/2006/main" xmlns:r="http://schemas.openxmlformats.org/officeDocument/2006/relationships" count="109">
  <r>
    <x v="0"/>
    <x v="0"/>
    <s v="1.1"/>
    <s v="1.1 Desarrollo de las micro, pequeñas y medianas empresas (MIPyMES) e integración a las cadenas productivas regionales."/>
    <x v="0"/>
    <m/>
    <m/>
    <m/>
    <m/>
    <m/>
    <m/>
    <m/>
    <m/>
    <m/>
    <m/>
    <m/>
    <m/>
    <m/>
    <m/>
    <m/>
    <m/>
    <n v="0"/>
    <m/>
    <m/>
    <m/>
    <m/>
    <m/>
    <m/>
    <m/>
    <m/>
    <m/>
    <m/>
    <m/>
    <x v="0"/>
    <m/>
    <n v="1"/>
    <n v="0"/>
  </r>
  <r>
    <x v="0"/>
    <x v="0"/>
    <s v="1.1"/>
    <s v="1.1 Desarrollo de las micro, pequeñas y medianas empresas (MIPyMES) e integración a las cadenas productivas regionales."/>
    <x v="1"/>
    <s v="05 EMPLEO Y EMPLEABILIDAD JOVEN"/>
    <s v="02 INCLUSION PRODUCTIVA PARA PERSONAS EN CONDICION DE POBREZA Y VULNERABILIDAD"/>
    <s v="62"/>
    <s v="6454"/>
    <s v="Generación de emprendimientos productivos a población en situación de pobreza y vulnerabilidad social"/>
    <s v="Objetivo: Fortalecer las capacidades humanas y técnicas de los/las emprendedores/as, con el acompañamiento y asistencia técnica, a través de una metodología de intervención que inicia con la formación de la persona, formación empresarial básica y la dotación de equipo productivo con el fin último de mejorar sus ingresos."/>
    <s v="44 municipios"/>
    <s v="Jóvenes y mujeres jefas de hogar en situación de pobreza y vulnerabilidad social"/>
    <s v="Número de personas atendidas con emprendimientos"/>
    <n v="1000"/>
    <n v="1000"/>
    <n v="2100"/>
    <n v="6300"/>
    <m/>
    <m/>
    <n v="1"/>
    <n v="1"/>
    <n v="1"/>
    <m/>
    <m/>
    <m/>
    <m/>
    <m/>
    <n v="0.46592503000000002"/>
    <m/>
    <m/>
    <m/>
    <s v="El dato de linea base al 2019 es acumulado a partir del 2016. Actualmente en ejecución y continuará en 2016"/>
    <x v="1"/>
    <m/>
    <n v="2"/>
    <n v="0"/>
  </r>
  <r>
    <x v="0"/>
    <x v="0"/>
    <s v="1.1"/>
    <s v="1.1 Desarrollo de las micro, pequeñas y medianas empresas (MIPyMES) e integración a las cadenas productivas regionales."/>
    <x v="2"/>
    <s v="03 Comercio, Inversión y Productivdad _x000d_10 Programa de Apoyo al Desarrollo Productivo para la Inserción Internacional (Préstamo BID 2583)"/>
    <s v="0302 Fomento Productivo, 0303 Fondo de Desarrollo Productivo,                         0304 Sistema Nacional de Desarrollo Productivo_x000d_0305 Innovación y Calidad_x000d_1001 Fortalecimiento de la Capacidad Técnica y Cofinanciamiento de Servicios de Desarrollo Empresarial_x000d_1003 Innovación, Tecnología para la Exportación"/>
    <s v="51 Remuneraciones_x000d_54 Adquisiones de bienes y servicios_x000d_62 Transferencias de capital_x000d_"/>
    <s v="6025(Préstamo BID)"/>
    <s v="FOMENTO Y DIVERSIFICACIÓN DE LA PRODUCCIÓN SALVADOREÑA"/>
    <s v="Desarrollo de Infraestructura productiva para la competitivdad, que comprende la construcción y equipamiento de: Centro de Desarrollo y Embalaje de Productos, Centro de Innovación para las ramas de Textil y Confección, Plástico y Química Farmaceútica, Laboratorio Nacional de Calidad para la Exportacion de la Industria de Alimentos y Bebidas y Centro de Innovacion y Desarrollo Tecnológico en Diseño. "/>
    <s v="Los centros y laboratorios se ubicarán en la zona central del país, sin embargo, los servicios se prestarán a las empresas que lo demanden a nivel nacional."/>
    <s v="Empresas o Unidades económicas"/>
    <s v="Empresas atendidas"/>
    <n v="0"/>
    <n v="1000"/>
    <n v="300"/>
    <m/>
    <m/>
    <m/>
    <n v="4.0187875000000002"/>
    <n v="3.2726625"/>
    <n v="3.2726625"/>
    <m/>
    <n v="0.48112500000000002"/>
    <s v="BID 2583"/>
    <n v="0.26500000000000001"/>
    <s v="FOSEP"/>
    <m/>
    <m/>
    <m/>
    <m/>
    <s v="Actualmente El Salvador está invirtiendo en los estudios de prefactibilidad y el diseño de los modelos de intervención, sin embargo es necesario desarrollar  la infraestructura inicial para facilitar la inversión local e internacional  que operativicen los proyectos bajo un modelo de asocio público-privado._x000d__x000d_(la Inversión total  incluye el 10% de costos administrativos para la ejecución del proyecto) Se extrajeron los fondos requeridos del plan que están en matriz inicial._x000d__x000d_"/>
    <x v="2"/>
    <m/>
    <n v="3"/>
    <n v="0"/>
  </r>
  <r>
    <x v="0"/>
    <x v="0"/>
    <s v="1.1"/>
    <s v="1.1 Desarrollo de las micro, pequeñas y medianas empresas (MIPyMES) e integración a las cadenas productivas regionales."/>
    <x v="2"/>
    <s v="10 Programa de Apoyo al Desarrollo Productivo para la Inserción Internacional (Préstamo BID 2583)"/>
    <s v="1001 Fortalecimiento de la Capacidad Técnica y Cofinanciamiento de Servicios de Desarrollo Empresarial"/>
    <s v="62 Transferencias de capital"/>
    <s v="6025(Préstamo BID)"/>
    <s v="UN PUEBLO UN PRODUCTO"/>
    <s v="Desarrollo de productos y servicios identitarios basados en los recursos locales, mediante el cual se promueve el desarrollo de industrias y encadenamientos locales. mediante este programa se proporciona capacitación, asistencia técnica, fondos para inversión productiva y servicios de comercialización a grupos asociativos, cooperativas, micro y pequeñas empresas de manufactura, agroindustria y turismo con potencial de crecimiento para la puesta en valor de los recursos locales mediante la creación de productos y servicios con identidad local y con potencial de comercialización en mercados nacionales y de exportación."/>
    <s v="44 municipios seleccionados"/>
    <s v="Micro y pequeña empresas, grupos asociativos productivos, cooperativas de producción y agroindustria"/>
    <s v="Cadenas productivas constituidas"/>
    <n v="28"/>
    <m/>
    <n v="15"/>
    <m/>
    <m/>
    <m/>
    <n v="0.62542500000000001"/>
    <n v="0"/>
    <m/>
    <m/>
    <n v="0.62542500000000001"/>
    <s v="BID 2583"/>
    <m/>
    <m/>
    <m/>
    <m/>
    <m/>
    <m/>
    <s v="Actualmente 28 municipios forman parte del movimento Un pueblo un producto, donde se han puesto a disposición fondos de cofinanciamiento para impulsar iniciativas productivas con valor agregado e identidad territorial."/>
    <x v="2"/>
    <m/>
    <n v="4"/>
    <n v="0"/>
  </r>
  <r>
    <x v="0"/>
    <x v="0"/>
    <s v="1.1"/>
    <s v="1.1 Desarrollo de las micro, pequeñas y medianas empresas (MIPyMES) e integración a las cadenas productivas regionales."/>
    <x v="2"/>
    <s v="03 Comercio, Inversión y Productivdad _x000d_10 Programa de Apoyo al Desarrollo Productivo para la Inserción Internacional (Préstamo BID 2583)"/>
    <s v="0305 Innovación y Calidad_x000d_1001 Fortalecimiento de la Capacidad Técnica y Cofinanciamiento de Servicios de Desarrollo Empresarial_x000d_"/>
    <s v="51 Remuneraciones_x000d_54 Adquisiones de bienes y servicios_x000d_62 Transferencias de capital_x000d_"/>
    <s v="6025(Préstamo BID)"/>
    <s v="FONDO NACIONAL PARA EL EMPRENDIMIENTO INNOVADOR Y TECNOLOGICO (FONDOEMPRIT)"/>
    <s v="Apoyo al desarrollo de empresas de servicio de alto valor agregado, específicamente en la industria creativa de animación digital, video juegos y audiovisuales,  mediante la implementación de un programa de fomento al emprendimiento innovador y tecnológico: &quot;Proyecto PIXELS&quot;"/>
    <s v="Cobertura nacional con énfasis en los 44 municipios seleccionados"/>
    <s v="Jovenes entre los 17 y 30 años de edad con habilidades natas para desembolverese en las industrias creativas"/>
    <s v="Número de emprendedores apoyados"/>
    <n v="300"/>
    <m/>
    <n v="300"/>
    <m/>
    <m/>
    <m/>
    <n v="2.8057275000000002"/>
    <n v="0.29572749999999998"/>
    <n v="0.29572749999999998"/>
    <m/>
    <n v="2.2000000000000002"/>
    <s v="BID 2583"/>
    <n v="0.31"/>
    <s v="GIZ_x000d_OEA"/>
    <m/>
    <m/>
    <m/>
    <m/>
    <s v="Para la reactivación del tejido económico formal con miras al crecimiento económico y la generación de valor agregado, es necesario concentrar esfuerzos en segmentos poblacionales prioritarios, como la juventud y la población femenina, en la creación y estímulo de oportunidades de alto valor agregado y de la mano con las tendencias tecnológicas mundiales. Actualmente, el alcance de los proyectos contemplados en el FONDEMPRIT beneficia únicamente a un total de 300 emprendedores, siendo insuficiente para alcanzar una masa crítica que tenga efecto directo en la migración ilegal, la prevención de la violencia y el crecimiento económico sostenido. Por tanto es necesario disponer  de mayores recursos que permitan al menos llegar a un número considerable de beneficiarios en los 44 municipios priorizados."/>
    <x v="2"/>
    <m/>
    <n v="5"/>
    <n v="0"/>
  </r>
  <r>
    <x v="0"/>
    <x v="0"/>
    <s v="1.3"/>
    <s v="1.3 Apoyo a la agricultura familiar y seguridad alimentaria."/>
    <x v="0"/>
    <m/>
    <m/>
    <m/>
    <m/>
    <m/>
    <m/>
    <m/>
    <m/>
    <m/>
    <m/>
    <m/>
    <m/>
    <m/>
    <m/>
    <m/>
    <m/>
    <n v="0"/>
    <m/>
    <m/>
    <m/>
    <m/>
    <m/>
    <m/>
    <m/>
    <m/>
    <m/>
    <m/>
    <m/>
    <x v="0"/>
    <m/>
    <n v="6"/>
    <n v="0"/>
  </r>
  <r>
    <x v="0"/>
    <x v="0"/>
    <s v="1.3"/>
    <s v="1.3 Apoyo a la agricultura familiar y seguridad alimentaria."/>
    <x v="3"/>
    <s v="02"/>
    <s v="02"/>
    <s v="54"/>
    <m/>
    <s v="1. Entrega de insumos agrícolas a productores de subsistencia"/>
    <s v="El proyecto realiza entrega de insumos agricolas para la siembra de maíz y frijol, cuyo objetivo es el de garantizar la producción de granos básicos para la población y así garantizar la seguridad alimentaria del país."/>
    <s v="Zona Norte 1 (Cabañas), Zona Norte 2 (Morazán), Zona Norte 3 (Chalatenango, Cuscatlán y San Salvador), Zona Franja costera Marina (La Libertad, La Paz, La Unión, Sonsonate, Ahuachapán, Usulután) "/>
    <s v="500,000 producctores y productoras de granos basicos"/>
    <s v="Productores y productoras atendidos"/>
    <n v="451018"/>
    <n v="451018"/>
    <n v="500000"/>
    <n v="451018"/>
    <s v="a"/>
    <m/>
    <n v="19.05"/>
    <n v="19.05"/>
    <n v="19.05"/>
    <m/>
    <m/>
    <m/>
    <m/>
    <m/>
    <m/>
    <n v="150"/>
    <n v="100"/>
    <n v="50"/>
    <s v="Se está negociando un monto adicional de  $ 12.87 millones ante Secretaría Técnica y de Planificación de la Presidencia y el Ministerio de Hacienda "/>
    <x v="3"/>
    <m/>
    <n v="7"/>
    <n v="0"/>
  </r>
  <r>
    <x v="0"/>
    <x v="0"/>
    <s v="1.3"/>
    <s v="1.3 Apoyo a la agricultura familiar y seguridad alimentaria."/>
    <x v="3"/>
    <s v="05, 06 y 08"/>
    <s v="05-01, 06-02 y 08-01"/>
    <s v="51, 54 y 61"/>
    <m/>
    <s v="2. Seguridad alimentaria y nutricional"/>
    <s v="Ampliar la cobertura de la asistencia técnica e incentivos para la producción de alimentos en los diferentes rubros agropecuarios la cual permita mejorar la utilización de nuevas tecnologias, el objetivo primordial es el de proveer de alimentos a la familia rural."/>
    <s v="Zona Norte 1 (Cabañas), Zona Norte 2 (Morazán), Zona Norte 3 (Chalatenango, Cuscatlán y San Salvador), Zona Franja costera Marina (La Libertad, La Paz, La Unión, Sonsonate, Ahuachapán, Usulután) "/>
    <s v="62,000 productores de subsistencia de granos basicos, frutas, horalizas y especies menores"/>
    <s v="Productores y productoras atendidos"/>
    <n v="62000"/>
    <n v="63325"/>
    <n v="63325"/>
    <n v="64000"/>
    <s v="a"/>
    <m/>
    <n v="4.7"/>
    <n v="4.7"/>
    <n v="4.7"/>
    <m/>
    <m/>
    <m/>
    <m/>
    <m/>
    <m/>
    <n v="40"/>
    <n v="20"/>
    <n v="20"/>
    <s v="Se está negociando un monto adicional de  $ 6.65 millones ante Secretaría Técnica y de Planificación de la Presidencia y el Ministerio de Hacienda "/>
    <x v="3"/>
    <m/>
    <n v="8"/>
    <n v="0"/>
  </r>
  <r>
    <x v="0"/>
    <x v="0"/>
    <s v="1.3"/>
    <s v="1.3 Apoyo a la agricultura familiar y seguridad alimentaria."/>
    <x v="3"/>
    <s v="05, 06 y 09"/>
    <s v="6 01, 06 02 y 08 01"/>
    <s v="51, 54 y 61"/>
    <m/>
    <s v="3. Divercificación y mejora de la rentabilidad en la producción agropecuaria pesquera, acuicola y agroindustrial (Desarrollo de cadenas Productivas)."/>
    <s v="Fomento y desarrollo de la producción agropecuaria, pesquera, acuicola y agroindustrial de alto valor agregado y comercial, con el objetivo de elebar los ingresos de las familias rurales. Contempla la asistencia técnica e investigación e insentivos para la producción así como para la transformación y comercialización de los producctos."/>
    <s v="Zona Norte 1 (Cabañas), Zona Norte 2 (Morazán), Zona Norte 3 (Chalatenango, Cuscatlán y San Salvador), Zona Franja costera Marina (La Libertad, La Paz, La Unión, Sonsonate, Ahuachapán, Usulután) "/>
    <s v="20,000 Familias de las Cadenas"/>
    <s v="Productores y productoras atendidos"/>
    <n v="18392"/>
    <n v="18392"/>
    <n v="18392"/>
    <n v="80563"/>
    <s v="a"/>
    <m/>
    <n v="15.466783"/>
    <n v="15.466783"/>
    <n v="15.466783"/>
    <m/>
    <m/>
    <m/>
    <m/>
    <m/>
    <m/>
    <n v="60"/>
    <n v="20"/>
    <n v="40"/>
    <s v="Se está negociando un monto adicional de  $ 8.02 millones ante Secretaría Técnica y de Planificación de la Presidencia y el Ministerio de Hacienda "/>
    <x v="3"/>
    <m/>
    <n v="9"/>
    <n v="0"/>
  </r>
  <r>
    <x v="0"/>
    <x v="0"/>
    <s v="1.3"/>
    <s v="1.3 Apoyo a la agricultura familiar y seguridad alimentaria."/>
    <x v="3"/>
    <s v="07"/>
    <s v="04"/>
    <s v="54"/>
    <s v="5385"/>
    <s v="5. Programa de Competitividad Territorial Rural - Amanecer Rural"/>
    <s v="El Proyecto  de Competitividad Territorial Rural (Amanecer Rural), ha sido  implementado a nivel nacional, definiendo las zonas específicas con base en los siguientes criterios generales: (a) la tipología y caracterización del grupo-meta, esto es, concentración de usuarios-beneficiarios vulnerables pobres, como aquellos con potencial/activos productivos para insertarse en cadenas de valor; (b) la vocación productiva de las zonas y microregiones y la localización natural de las cadenas de valor (café, hortalizas, lechería de pequeño productor, marañon, granos básicos, etc.); (c) territorios con potencial desencadenante de desarrollo."/>
    <s v="Zona Norte 2 (Morazán), Zona Franja costera Marina (La Unión, Sonsonate, Ahuachapán, Usulután)"/>
    <s v="13500 productores y productoras de alimentos"/>
    <s v="Productores y productoras atendidos"/>
    <n v="1467"/>
    <m/>
    <n v="1920"/>
    <m/>
    <m/>
    <m/>
    <n v="8.6"/>
    <n v="0"/>
    <m/>
    <m/>
    <n v="8.6"/>
    <s v="FIDA"/>
    <m/>
    <m/>
    <m/>
    <m/>
    <m/>
    <m/>
    <m/>
    <x v="3"/>
    <m/>
    <n v="10"/>
    <n v="0"/>
  </r>
  <r>
    <x v="0"/>
    <x v="0"/>
    <s v="1.3"/>
    <s v="1.3 Apoyo a la agricultura familiar y seguridad alimentaria."/>
    <x v="3"/>
    <s v="07"/>
    <s v="05"/>
    <s v="54"/>
    <s v="4377"/>
    <s v="6. Proyecto de Desarrollo y Modernización Rural de la Región Central y Para central (PRODEMOR CENTRAL)"/>
    <s v="Contempla el desarrollo y fortalecimiento a las Organizaciones de base, la asesoría técnica y capacitación para la producción, la transformación de actividades de subsistencia en negocios rentables y sostenibles, la integración a cadena de valor y el desarrollo organizacional de empresas y organizaciones"/>
    <s v="Zona Norte 3 (Chalatenango y Cuscatlán), Zona Franja costera Marina (La Libertad y La Paz)"/>
    <s v="5600 productores y productoras de alimentos"/>
    <s v="Productores y productoras atendidos"/>
    <n v="3960"/>
    <m/>
    <n v="5600"/>
    <m/>
    <m/>
    <m/>
    <n v="4.95"/>
    <n v="0"/>
    <m/>
    <m/>
    <n v="4.95"/>
    <s v="FIDA"/>
    <m/>
    <m/>
    <m/>
    <m/>
    <m/>
    <m/>
    <m/>
    <x v="3"/>
    <m/>
    <n v="11"/>
    <n v="0"/>
  </r>
  <r>
    <x v="0"/>
    <x v="0"/>
    <s v="1.3"/>
    <s v="1.3 Apoyo a la agricultura familiar y seguridad alimentaria."/>
    <x v="3"/>
    <s v="11"/>
    <s v="01"/>
    <s v="61"/>
    <s v="5562"/>
    <s v="7. Proyecto de Apoyo a la Agricultura Familiar (PAAF)"/>
    <s v="Construir y equipar plantas procesadoras de lácteos, para apoyar a los Centros de acopio de leche cruda de las asociaciones beneficiadas para que accesen a mercados formales (Programa Vaso de leche y empresas comerciales) e incrementen la rentabilidad de la producción con la entrega de tanques de refrigeración y almacenamiento de leche._x000d_Rehabilitar o incoporar superficie productiva de bajo riego de Distritos, para incrementar la producción de alimentos"/>
    <s v="Zona Norte 1 (Cabañas), Zona Norte 2 (Morazán), Zona Norte 3 (Chalatenango), Zona Franja costera Marina (La Paz, La Unión y Usulután)"/>
    <s v="2400 productores y productoras"/>
    <s v="Productores y productoras atendidos"/>
    <n v="3500"/>
    <m/>
    <n v="3700"/>
    <m/>
    <m/>
    <m/>
    <n v="5.5563349999999998"/>
    <n v="0"/>
    <m/>
    <m/>
    <n v="5.5563349999999998"/>
    <s v="BCIE"/>
    <m/>
    <m/>
    <m/>
    <m/>
    <m/>
    <m/>
    <m/>
    <x v="3"/>
    <m/>
    <n v="12"/>
    <n v="0"/>
  </r>
  <r>
    <x v="0"/>
    <x v="0"/>
    <s v="1.3"/>
    <s v="1.3 Apoyo a la agricultura familiar y seguridad alimentaria."/>
    <x v="3"/>
    <s v="05"/>
    <s v="02"/>
    <s v="61"/>
    <s v="6474"/>
    <s v="10. Fomento al Desarrollo de la Acuicultura Familiar en los Municipios de Pobreza en El Salvador"/>
    <s v="El Proyecto de Acuicultura Familiar tiene como propósito la reducción significativa de la pobreza, reactivar la actividad agrícola en la zona rural, así como la reactivación económica y la diversificación de las fuentes de alimento. En ese sentido, el Ministerio de Agricultura y Ganadería solicita el apoyo al gobierno de la República de China (Taiwán) para la ejecución del proyecto, aprovechando éste para que los pequeños productores que desarrollen sus capacidades en el cultivo de tilapia y aumentar el consumo de proteína animal para mejorar la nutrición de las familias beneficiarias y garantizar la seguridad alimentaria y además, que mejore sus ingresos económicos por la venta de los excedentes en la producción acuícola."/>
    <s v="Zona Norte 2 (Morazán), Zona Franja costera Marina (La Libertad, La Paz, La Unión, Sonsonate, Ahuachapán, Usulután)"/>
    <s v="1200 productores y productoras"/>
    <s v="Productores y productoras atendidos"/>
    <n v="0"/>
    <m/>
    <n v="400"/>
    <m/>
    <m/>
    <m/>
    <n v="0.31745499999999999"/>
    <n v="0"/>
    <m/>
    <m/>
    <m/>
    <m/>
    <n v="0.31745499999999999"/>
    <s v="Gobierno de Taiwán"/>
    <m/>
    <m/>
    <m/>
    <m/>
    <s v="Este proyecto tiene programada una ejecución que dura hasta el año 2019"/>
    <x v="3"/>
    <m/>
    <n v="13"/>
    <n v="0"/>
  </r>
  <r>
    <x v="0"/>
    <x v="0"/>
    <s v="1.4"/>
    <s v="1.4 Promoción de la inversión privada coordinada a nivel regional. "/>
    <x v="0"/>
    <m/>
    <m/>
    <m/>
    <m/>
    <m/>
    <m/>
    <m/>
    <m/>
    <m/>
    <m/>
    <m/>
    <m/>
    <m/>
    <m/>
    <m/>
    <m/>
    <n v="0"/>
    <m/>
    <m/>
    <m/>
    <m/>
    <m/>
    <m/>
    <m/>
    <m/>
    <m/>
    <m/>
    <m/>
    <x v="0"/>
    <m/>
    <n v="14"/>
    <n v="0"/>
  </r>
  <r>
    <x v="0"/>
    <x v="0"/>
    <s v="1.4"/>
    <s v="1.4 Promoción de la inversión privada coordinada a nivel regional. "/>
    <x v="4"/>
    <m/>
    <m/>
    <m/>
    <m/>
    <s v="PROYECTO CLIMA DE INVERSIÓN"/>
    <s v="Mejoras regulatorias, Asocios Público-Privados y Apuestas por Inversiones"/>
    <m/>
    <m/>
    <m/>
    <m/>
    <m/>
    <m/>
    <m/>
    <m/>
    <m/>
    <n v="14.616683641884098"/>
    <n v="0"/>
    <m/>
    <m/>
    <n v="5.3460586418840981"/>
    <s v="BCIE"/>
    <n v="9.270624999999999"/>
    <s v="MCC"/>
    <m/>
    <m/>
    <m/>
    <m/>
    <s v="La contrapartida ha sido prorrateada en base a los montos de cooperación respecitvos a cada proyecto. Pendiente de confirmar."/>
    <x v="4"/>
    <m/>
    <n v="15"/>
    <n v="0"/>
  </r>
  <r>
    <x v="0"/>
    <x v="1"/>
    <s v="1.9"/>
    <s v="1.9 Diversificación de la matriz energética. "/>
    <x v="0"/>
    <m/>
    <m/>
    <m/>
    <m/>
    <m/>
    <m/>
    <m/>
    <m/>
    <m/>
    <m/>
    <m/>
    <m/>
    <m/>
    <m/>
    <m/>
    <m/>
    <n v="0"/>
    <m/>
    <m/>
    <m/>
    <m/>
    <m/>
    <m/>
    <m/>
    <m/>
    <m/>
    <m/>
    <m/>
    <x v="0"/>
    <m/>
    <n v="16"/>
    <n v="0"/>
  </r>
  <r>
    <x v="0"/>
    <x v="1"/>
    <s v="1.9"/>
    <s v="1.9 Diversificación de la matriz energética. "/>
    <x v="5"/>
    <m/>
    <m/>
    <m/>
    <n v="373"/>
    <s v="Proyecto Fotovoltaico Cerrón Grande"/>
    <s v="Proyecto de energía solar fotovoltaica, de 8.5 MW pico. Objetivo: generar energía limpia y contribuir a diversificar la matriz energética."/>
    <s v="En el Municipio de Jutiapa, Departamento de "/>
    <s v="Se producirán 12.6 GWh, energía equivalente al consumo de 11 mil familias. "/>
    <s v="MW Instalados."/>
    <s v="0 MW"/>
    <m/>
    <m/>
    <s v="8.5 MWp. Se proyecta que entre en operación en el año 2017."/>
    <m/>
    <m/>
    <n v="2E-3"/>
    <n v="0"/>
    <m/>
    <m/>
    <m/>
    <m/>
    <m/>
    <m/>
    <m/>
    <m/>
    <m/>
    <m/>
    <m/>
    <x v="5"/>
    <m/>
    <n v="17"/>
    <n v="2E-3"/>
  </r>
  <r>
    <x v="0"/>
    <x v="1"/>
    <s v="1.9"/>
    <s v="1.9 Diversificación de la matriz energética. "/>
    <x v="5"/>
    <m/>
    <m/>
    <m/>
    <s v="5570"/>
    <s v="Parque Eólico Metapán"/>
    <s v="Proyecto Eólico con una capacidad Instalada de 42 MW de potencia, y energía anual de 126.5 GWh. Objetivo: incrementar la oferta de energía con recursos renovables y contribuir a la diversificación de la matriz energética."/>
    <s v="Metapán, Santa Ana."/>
    <s v="Se producirá energía para aproximadamente 100 mil familias."/>
    <s v="MW Instalados."/>
    <s v="0 MW"/>
    <m/>
    <m/>
    <s v="42 MW. Se proyecta que entre en operación en el año 2019."/>
    <m/>
    <m/>
    <n v="1.3795200000000001"/>
    <n v="1.3795200000000001"/>
    <m/>
    <n v="1.3795200000000001"/>
    <m/>
    <m/>
    <m/>
    <m/>
    <m/>
    <m/>
    <m/>
    <m/>
    <m/>
    <x v="5"/>
    <m/>
    <n v="18"/>
    <n v="0"/>
  </r>
  <r>
    <x v="0"/>
    <x v="1"/>
    <s v="1.9"/>
    <s v="1.9 Diversificación de la matriz energética. "/>
    <x v="5"/>
    <m/>
    <m/>
    <m/>
    <s v="5821"/>
    <s v="Proyecto Fotovoltaico 15 de Septiembre"/>
    <s v="Proyecto de energía solar fotovoltaica, de 14.2 MW pico. Objetivo: generar energía limpia y contribuir a diversificar la matriz energética."/>
    <s v="En el Municipio de Estanzuelas, Departamento de Usulután."/>
    <s v="Se producirán 24 GWh, energía equivalente al consumo de 20 mil familias. "/>
    <s v="MW Instalados."/>
    <s v="0 MW"/>
    <m/>
    <s v="14.2 MWp"/>
    <m/>
    <m/>
    <m/>
    <n v="21.381955000000001"/>
    <n v="4.3752050000000002"/>
    <m/>
    <n v="4.3752050000000002"/>
    <n v="17.00675"/>
    <s v="KFW"/>
    <m/>
    <m/>
    <m/>
    <m/>
    <m/>
    <m/>
    <m/>
    <x v="5"/>
    <m/>
    <n v="19"/>
    <n v="0"/>
  </r>
  <r>
    <x v="0"/>
    <x v="1"/>
    <s v="1.10"/>
    <s v="1.10 Promoción de la eficiencia."/>
    <x v="0"/>
    <m/>
    <m/>
    <m/>
    <m/>
    <m/>
    <m/>
    <m/>
    <m/>
    <m/>
    <m/>
    <m/>
    <m/>
    <m/>
    <m/>
    <m/>
    <m/>
    <n v="0"/>
    <m/>
    <m/>
    <m/>
    <m/>
    <m/>
    <m/>
    <m/>
    <m/>
    <m/>
    <m/>
    <m/>
    <x v="0"/>
    <m/>
    <n v="20"/>
    <n v="0"/>
  </r>
  <r>
    <x v="0"/>
    <x v="1"/>
    <s v="1.10"/>
    <s v="1.10 Promoción de la eficiencia."/>
    <x v="5"/>
    <m/>
    <m/>
    <m/>
    <s v="3119"/>
    <s v="Proyecto Hidroeléctrico El Chaparral"/>
    <m/>
    <m/>
    <m/>
    <m/>
    <m/>
    <m/>
    <m/>
    <m/>
    <m/>
    <m/>
    <n v="97.926794999999998"/>
    <n v="33.939529999999998"/>
    <m/>
    <n v="33.939529999999998"/>
    <n v="63.987265000000001"/>
    <s v="BCIE"/>
    <m/>
    <m/>
    <m/>
    <m/>
    <m/>
    <m/>
    <m/>
    <x v="5"/>
    <m/>
    <n v="21"/>
    <n v="0"/>
  </r>
  <r>
    <x v="0"/>
    <x v="1"/>
    <s v="1.10"/>
    <s v="1.10 Promoción de la eficiencia."/>
    <x v="5"/>
    <m/>
    <m/>
    <m/>
    <s v="4400"/>
    <s v="Expansión de la Central Hidroeléctrica 5 de Noviembre"/>
    <m/>
    <m/>
    <m/>
    <m/>
    <m/>
    <m/>
    <m/>
    <m/>
    <m/>
    <m/>
    <n v="64.795195000000007"/>
    <n v="33.270964999999997"/>
    <m/>
    <n v="33.270964999999997"/>
    <n v="29.515239999999999"/>
    <s v="BCIE"/>
    <n v="2.0089899999999998"/>
    <s v="KFW"/>
    <m/>
    <m/>
    <m/>
    <m/>
    <m/>
    <x v="5"/>
    <m/>
    <n v="22"/>
    <n v="1.1546319456101628E-14"/>
  </r>
  <r>
    <x v="0"/>
    <x v="1"/>
    <s v="1.10"/>
    <s v="1.10 Promoción de la eficiencia."/>
    <x v="5"/>
    <m/>
    <m/>
    <m/>
    <s v="5801"/>
    <s v="Programa de Eficiencia Energética en Instalaciones de CEL"/>
    <m/>
    <m/>
    <m/>
    <m/>
    <m/>
    <m/>
    <m/>
    <m/>
    <m/>
    <m/>
    <n v="0.52822999999999998"/>
    <n v="0.52822999999999998"/>
    <m/>
    <n v="0.52822999999999998"/>
    <m/>
    <m/>
    <m/>
    <m/>
    <m/>
    <m/>
    <m/>
    <m/>
    <m/>
    <x v="5"/>
    <m/>
    <n v="23"/>
    <n v="0"/>
  </r>
  <r>
    <x v="0"/>
    <x v="1"/>
    <s v="1.10"/>
    <s v="1.10 Promoción de la eficiencia."/>
    <x v="5"/>
    <m/>
    <m/>
    <m/>
    <s v="6178"/>
    <s v="Reparación y mantenimiento de Bordas en El Bajo Lempa. Etapa I"/>
    <m/>
    <m/>
    <m/>
    <m/>
    <m/>
    <m/>
    <m/>
    <m/>
    <m/>
    <m/>
    <n v="3"/>
    <n v="3"/>
    <m/>
    <n v="3"/>
    <m/>
    <m/>
    <m/>
    <m/>
    <m/>
    <m/>
    <m/>
    <m/>
    <m/>
    <x v="5"/>
    <m/>
    <n v="24"/>
    <n v="0"/>
  </r>
  <r>
    <x v="0"/>
    <x v="1"/>
    <s v="1.10"/>
    <s v="1.10 Promoción de la eficiencia."/>
    <x v="5"/>
    <m/>
    <m/>
    <m/>
    <s v="622"/>
    <s v="Proyecto Hidroeléctrico El Cimarrón"/>
    <m/>
    <m/>
    <m/>
    <m/>
    <m/>
    <m/>
    <m/>
    <m/>
    <m/>
    <m/>
    <n v="2E-3"/>
    <n v="0"/>
    <m/>
    <m/>
    <m/>
    <m/>
    <m/>
    <m/>
    <m/>
    <m/>
    <m/>
    <m/>
    <m/>
    <x v="5"/>
    <m/>
    <n v="25"/>
    <n v="2E-3"/>
  </r>
  <r>
    <x v="0"/>
    <x v="2"/>
    <s v="1.11"/>
    <s v="1.11 Expansión de corredores logísticos y fortalecimiento de red de transporte terrestre."/>
    <x v="0"/>
    <m/>
    <m/>
    <m/>
    <m/>
    <m/>
    <m/>
    <m/>
    <m/>
    <m/>
    <m/>
    <m/>
    <m/>
    <m/>
    <m/>
    <m/>
    <m/>
    <n v="0"/>
    <m/>
    <m/>
    <m/>
    <m/>
    <m/>
    <m/>
    <m/>
    <m/>
    <m/>
    <m/>
    <m/>
    <x v="0"/>
    <m/>
    <n v="26"/>
    <n v="0"/>
  </r>
  <r>
    <x v="0"/>
    <x v="2"/>
    <s v="1.11"/>
    <s v="1.11 Expansión de corredores logísticos y fortalecimiento de red de transporte terrestre."/>
    <x v="6"/>
    <m/>
    <m/>
    <m/>
    <m/>
    <s v="MANTENIMIENTO PERIODICO DE LA RUTA CA12S: DV. LA LIBERTAD - PUERTO ACAJUTLA"/>
    <m/>
    <m/>
    <m/>
    <m/>
    <m/>
    <m/>
    <m/>
    <m/>
    <m/>
    <s v="a"/>
    <n v="2.5384652299999999"/>
    <n v="2.5384652299999999"/>
    <m/>
    <n v="2.5384652299999999"/>
    <m/>
    <m/>
    <m/>
    <m/>
    <m/>
    <m/>
    <m/>
    <m/>
    <m/>
    <x v="6"/>
    <m/>
    <n v="27"/>
    <n v="0"/>
  </r>
  <r>
    <x v="0"/>
    <x v="2"/>
    <s v="1.11"/>
    <s v="1.11 Expansión de corredores logísticos y fortalecimiento de red de transporte terrestre."/>
    <x v="6"/>
    <m/>
    <m/>
    <m/>
    <m/>
    <s v="MANTENIMIENTO PERIODICO DE LA RUTA CA8AW: BY PASS SONSONATE (CA08W - Et CA12S)"/>
    <m/>
    <m/>
    <m/>
    <m/>
    <m/>
    <m/>
    <m/>
    <m/>
    <m/>
    <m/>
    <n v="2.1896136200000003"/>
    <n v="2.1896136200000003"/>
    <m/>
    <n v="2.1896136200000003"/>
    <m/>
    <m/>
    <m/>
    <m/>
    <m/>
    <m/>
    <m/>
    <m/>
    <m/>
    <x v="6"/>
    <m/>
    <n v="28"/>
    <n v="0"/>
  </r>
  <r>
    <x v="0"/>
    <x v="2"/>
    <s v="1.11"/>
    <s v="1.11 Expansión de corredores logísticos y fortalecimiento de red de transporte terrestre."/>
    <x v="7"/>
    <m/>
    <m/>
    <m/>
    <s v="5043"/>
    <s v="PROGRAMA DE CAMINOS RURALES PARA EL DESARROLLO"/>
    <m/>
    <m/>
    <m/>
    <m/>
    <m/>
    <m/>
    <m/>
    <m/>
    <m/>
    <m/>
    <n v="4.2509600000000001"/>
    <n v="2.1165E-2"/>
    <n v="2.1165E-2"/>
    <m/>
    <n v="4.2297950000000002"/>
    <s v="BID"/>
    <m/>
    <m/>
    <m/>
    <m/>
    <m/>
    <m/>
    <m/>
    <x v="7"/>
    <m/>
    <n v="29"/>
    <n v="0"/>
  </r>
  <r>
    <x v="0"/>
    <x v="2"/>
    <s v="1.11"/>
    <s v="1.11 Expansión de corredores logísticos y fortalecimiento de red de transporte terrestre."/>
    <x v="7"/>
    <m/>
    <m/>
    <m/>
    <s v="5468"/>
    <s v="PROGRAMA DE CONCECTIVIDAD RURAL EN ZONA NORTE Y ORIENTE"/>
    <m/>
    <m/>
    <m/>
    <m/>
    <m/>
    <m/>
    <m/>
    <m/>
    <m/>
    <m/>
    <n v="0.81154999999999999"/>
    <n v="1.155E-2"/>
    <n v="1.155E-2"/>
    <m/>
    <n v="0.8"/>
    <s v="BID"/>
    <m/>
    <m/>
    <m/>
    <m/>
    <m/>
    <m/>
    <m/>
    <x v="7"/>
    <m/>
    <n v="30"/>
    <n v="0"/>
  </r>
  <r>
    <x v="0"/>
    <x v="2"/>
    <s v="1.11"/>
    <s v="1.11 Expansión de corredores logísticos y fortalecimiento de red de transporte terrestre."/>
    <x v="7"/>
    <m/>
    <m/>
    <m/>
    <s v="5492"/>
    <s v="PROGRAMA DE CONECTIVIDAD DE LA INFRAESTRUCTURA VIAL PARA EL DESARROLLO"/>
    <m/>
    <m/>
    <m/>
    <m/>
    <m/>
    <m/>
    <m/>
    <m/>
    <m/>
    <m/>
    <n v="5.4665549999999996"/>
    <n v="0.80589"/>
    <n v="0.80589"/>
    <m/>
    <n v="4.6606649999999998"/>
    <s v="BCIE"/>
    <m/>
    <m/>
    <m/>
    <m/>
    <m/>
    <m/>
    <m/>
    <x v="7"/>
    <m/>
    <n v="31"/>
    <n v="0"/>
  </r>
  <r>
    <x v="0"/>
    <x v="2"/>
    <s v="1.11"/>
    <s v="1.11 Expansión de corredores logísticos y fortalecimiento de red de transporte terrestre."/>
    <x v="7"/>
    <m/>
    <m/>
    <m/>
    <s v="6061"/>
    <s v="PROGRAMA DE CAMINOR RURALES PROGRESIVOS EN EL SALVADOR - LAIF"/>
    <m/>
    <m/>
    <m/>
    <m/>
    <m/>
    <m/>
    <m/>
    <m/>
    <m/>
    <m/>
    <n v="3.739125"/>
    <n v="0.43016500000000002"/>
    <n v="0.43016500000000002"/>
    <m/>
    <m/>
    <m/>
    <n v="3.3089599999999999"/>
    <s v="UE/AECID"/>
    <m/>
    <m/>
    <m/>
    <m/>
    <m/>
    <x v="7"/>
    <m/>
    <n v="32"/>
    <n v="0"/>
  </r>
  <r>
    <x v="0"/>
    <x v="2"/>
    <s v="1.11"/>
    <s v="1.11 Expansión de corredores logísticos y fortalecimiento de red de transporte terrestre."/>
    <x v="7"/>
    <m/>
    <m/>
    <m/>
    <s v="5980"/>
    <s v="CONTRUCCIÓN DE BY PASS EN LA CIUDAD DE SAN MIGUEL"/>
    <m/>
    <m/>
    <m/>
    <m/>
    <m/>
    <m/>
    <m/>
    <m/>
    <m/>
    <m/>
    <n v="1.1299999999999999"/>
    <n v="0.13"/>
    <n v="0.13"/>
    <m/>
    <n v="1"/>
    <s v="JICA"/>
    <m/>
    <m/>
    <m/>
    <m/>
    <m/>
    <m/>
    <m/>
    <x v="7"/>
    <m/>
    <n v="33"/>
    <n v="-1.1102230246251565E-16"/>
  </r>
  <r>
    <x v="0"/>
    <x v="2"/>
    <s v="1.11"/>
    <s v="1.11 Expansión de corredores logísticos y fortalecimiento de red de transporte terrestre."/>
    <x v="4"/>
    <m/>
    <m/>
    <m/>
    <m/>
    <s v="MITIGACIÓN SOCIAL AMBIENTAL DE LA CARRETERA EL LITORAL"/>
    <m/>
    <m/>
    <m/>
    <m/>
    <m/>
    <m/>
    <m/>
    <m/>
    <m/>
    <m/>
    <n v="1.1801585067031484"/>
    <n v="0"/>
    <m/>
    <m/>
    <n v="0.43164350670314844"/>
    <s v="BCIE"/>
    <n v="0.74851499999999993"/>
    <s v="MCC"/>
    <m/>
    <m/>
    <m/>
    <m/>
    <s v="La contrapartida ha sido prorrateada en base a los montos de cooperación respecitvos a cada proyecto. Pendiente de confirmar."/>
    <x v="4"/>
    <m/>
    <n v="34"/>
    <n v="0"/>
  </r>
  <r>
    <x v="0"/>
    <x v="2"/>
    <s v="1.12"/>
    <s v="1.12 Mejoramiento de puertos, aeropuertos y pasos de frontera."/>
    <x v="0"/>
    <m/>
    <m/>
    <m/>
    <m/>
    <m/>
    <m/>
    <m/>
    <m/>
    <m/>
    <m/>
    <m/>
    <m/>
    <m/>
    <m/>
    <m/>
    <m/>
    <n v="0"/>
    <m/>
    <m/>
    <m/>
    <m/>
    <m/>
    <m/>
    <m/>
    <m/>
    <m/>
    <m/>
    <m/>
    <x v="0"/>
    <m/>
    <n v="35"/>
    <n v="0"/>
  </r>
  <r>
    <x v="0"/>
    <x v="2"/>
    <s v="1.12"/>
    <s v="1.12 Mejoramiento de puertos, aeropuertos y pasos de frontera."/>
    <x v="7"/>
    <s v="02"/>
    <s v="03"/>
    <s v="61"/>
    <n v="5098"/>
    <s v="PROGRAMA OBRAS DE MITIGACIÓN DE RIESGOS"/>
    <m/>
    <m/>
    <n v="25643"/>
    <s v="Porcentaje de proyecto finalizado/100"/>
    <m/>
    <m/>
    <n v="0.89113242102490176"/>
    <m/>
    <m/>
    <s v="a"/>
    <n v="6.0840500000000004"/>
    <n v="0.69993499999999997"/>
    <n v="0.69993499999999997"/>
    <m/>
    <n v="5.3841150000000004"/>
    <s v="BCIE"/>
    <m/>
    <m/>
    <n v="0.46592503000000002"/>
    <m/>
    <m/>
    <m/>
    <m/>
    <x v="7"/>
    <m/>
    <n v="36"/>
    <n v="0"/>
  </r>
  <r>
    <x v="0"/>
    <x v="2"/>
    <s v="1.12"/>
    <s v="1.12 Mejoramiento de puertos, aeropuertos y pasos de frontera."/>
    <x v="8"/>
    <m/>
    <m/>
    <m/>
    <m/>
    <s v="Obras de mejoramiento del Aeropuerto Internacional de El Salvador MOARG."/>
    <m/>
    <s v="Aeropuerto Internacional de El Salvador &quot;Monseñor Oscar Arnulfo Romero y Galdámez&quot;, ubicado en San Luis Talpa"/>
    <s v="1. Pasajeros nacionales e internacionales_x000d_2. Aerolíneas_x000d_3. Empresas de apoyo terrestre 4. Pasajeros entrando y saliendo_x000d_5. Tripulación_x000d_6. Empleados en general_x000d_7. Público en general"/>
    <m/>
    <n v="0"/>
    <n v="0"/>
    <n v="50"/>
    <n v="50"/>
    <m/>
    <m/>
    <n v="47.684520000000006"/>
    <n v="47.684520000000006"/>
    <m/>
    <n v="47.684520000000006"/>
    <m/>
    <m/>
    <m/>
    <m/>
    <m/>
    <m/>
    <m/>
    <m/>
    <m/>
    <x v="8"/>
    <m/>
    <n v="37"/>
    <n v="0"/>
  </r>
  <r>
    <x v="0"/>
    <x v="2"/>
    <s v="1.12"/>
    <s v="1.12 Mejoramiento de puertos, aeropuertos y pasos de frontera."/>
    <x v="8"/>
    <m/>
    <m/>
    <m/>
    <m/>
    <s v="Obras de mejoramiento del Puerto de Acajutla"/>
    <m/>
    <s v="Nacional e Internacional"/>
    <s v="1. Personal operativo_x000d_2. Navieras_x000d_3. Transportistas_x000d_4. Empresas importadoras y exportadoras"/>
    <m/>
    <n v="0"/>
    <n v="0"/>
    <n v="100"/>
    <n v="0"/>
    <m/>
    <m/>
    <n v="2.7500000000000004"/>
    <n v="2.7500000000000004"/>
    <m/>
    <n v="2.7500000000000004"/>
    <m/>
    <m/>
    <m/>
    <m/>
    <m/>
    <m/>
    <m/>
    <m/>
    <m/>
    <x v="8"/>
    <m/>
    <n v="38"/>
    <n v="0"/>
  </r>
  <r>
    <x v="0"/>
    <x v="2"/>
    <s v="1.12"/>
    <s v="1.12 Mejoramiento de puertos, aeropuertos y pasos de frontera."/>
    <x v="4"/>
    <m/>
    <m/>
    <m/>
    <m/>
    <s v="MITIGACIÓN SOCIAL AMBIENTAL EN CRUCES FRONTERIZOS"/>
    <m/>
    <m/>
    <m/>
    <m/>
    <m/>
    <m/>
    <m/>
    <m/>
    <m/>
    <m/>
    <n v="2.3649997128377156"/>
    <n v="0"/>
    <m/>
    <m/>
    <n v="0.8649997128377156"/>
    <s v="BCIE"/>
    <n v="1.5"/>
    <s v="MCC"/>
    <m/>
    <m/>
    <m/>
    <m/>
    <s v="La contrapartida ha sido prorrateada en base a los montos de cooperación respecitvos a cada proyecto. Pendiente de confirmar."/>
    <x v="4"/>
    <m/>
    <n v="39"/>
    <n v="0"/>
  </r>
  <r>
    <x v="1"/>
    <x v="3"/>
    <s v="2.1"/>
    <s v="2.1 Fortalecimiento de los Sistemas de Protección Social en territorios priorizados."/>
    <x v="0"/>
    <m/>
    <m/>
    <m/>
    <m/>
    <m/>
    <m/>
    <m/>
    <m/>
    <m/>
    <m/>
    <m/>
    <m/>
    <m/>
    <m/>
    <m/>
    <m/>
    <n v="0"/>
    <m/>
    <m/>
    <m/>
    <m/>
    <m/>
    <m/>
    <m/>
    <m/>
    <m/>
    <m/>
    <m/>
    <x v="0"/>
    <m/>
    <n v="40"/>
    <n v="0"/>
  </r>
  <r>
    <x v="1"/>
    <x v="3"/>
    <s v="2.1"/>
    <s v="2.1 Fortalecimiento de los Sistemas de Protección Social en territorios priorizados."/>
    <x v="1"/>
    <s v="03 APOYO AL PROGRAMA ERRADICACIÓN DE LA POBREZA EN EL SALVADOR"/>
    <s v="01 APOYO EN EDUCACION Y SALUD"/>
    <s v="51, 54, 55, 61 y 62"/>
    <s v="4997_x000d_5630"/>
    <s v="Sistema de Protección Social Universal (SPSU) - Expansión a 44 municipios"/>
    <s v="Programas de Transferencias Monetarias Condicionadas  dirigidas a familias en condición de vulnerabilidad y Exclusión Social con el propósito de mejorar sus condiciones de vida, que incluye el componente de apoyo y seguimiento integral a las familias participantes."/>
    <s v="44 municipios "/>
    <s v="1. FAMILIAS CON JOVENES QUE CURSAN ENTRE 7o GRADO Y BACHILLERATO_x000d__x000d_2. FAMILIAS CON NIÑOS ENTRE 0-5 AÑOS Y/O MUJERES EMBARAZADAS"/>
    <s v="Familias atendidas a través de programas de Transferencias monetarias condicionadas"/>
    <n v="10197"/>
    <n v="9500"/>
    <n v="16853"/>
    <n v="34326"/>
    <m/>
    <s v="a"/>
    <n v="0.8"/>
    <n v="0.8"/>
    <n v="0.8"/>
    <m/>
    <m/>
    <m/>
    <m/>
    <m/>
    <m/>
    <n v="68.42"/>
    <n v="28.42"/>
    <n v="40"/>
    <s v=" 2016: PARA LOS MUNICIPIOS DECOMUNIDADES SOLIDARIAS   _x000d__x000d_1. De los 44 municipios priorizados, 4 coinciden con CSR, los cuales seguirán siendo atendidos en dicho programa. _x000d__x000d_2. De los 44 municipios priorizados ninguno coincide con los municipios de CSU (bono educación) en lo que actualmente hay intervención. _x000d__x000d_3. Datos basados en implementar el Bono Educación Urbano en los 40 municipios restantes, así como un Bono Salud.    "/>
    <x v="1"/>
    <m/>
    <n v="41"/>
    <n v="0"/>
  </r>
  <r>
    <x v="1"/>
    <x v="3"/>
    <s v="2.1"/>
    <s v="2.1 Fortalecimiento de los Sistemas de Protección Social en territorios priorizados."/>
    <x v="1"/>
    <s v="03 APOYO AL PROGRAMA ERRADICACIÓN DE LA POBREZA EN EL SALVADOR"/>
    <s v="01 APOYO EN EDUCACION Y SALUD"/>
    <s v="51, 54, 55, 61 y 62"/>
    <s v="4997_x000d_5630"/>
    <s v="Sistema de Protección Social Universal (SPSU)"/>
    <s v="Programas de Transferencias Monetarias Condicionadas  dirigidas a familias en condición de vulnerabilidad y Exclusión Social con el propósito de mejorar sus condiciones de vida, que incluye el componente de apoyo y seguimiento integral a las familias participantes."/>
    <s v="Nivel nacional"/>
    <m/>
    <m/>
    <m/>
    <m/>
    <m/>
    <m/>
    <s v="a"/>
    <s v="a"/>
    <n v="17.100000000000001"/>
    <n v="17.100000000000001"/>
    <n v="17.100000000000001"/>
    <m/>
    <m/>
    <m/>
    <m/>
    <m/>
    <m/>
    <m/>
    <m/>
    <m/>
    <s v="PROGRAMAS Y RECURSOS ADICIONADOS EN V.2_x000d_Con el presupuesto 2016 se atenderán 115 municipios"/>
    <x v="1"/>
    <m/>
    <n v="42"/>
    <n v="0"/>
  </r>
  <r>
    <x v="1"/>
    <x v="4"/>
    <s v="2.2"/>
    <s v="2.2 Ampliación de la cobertura de educación secundaria."/>
    <x v="0"/>
    <m/>
    <m/>
    <m/>
    <m/>
    <m/>
    <m/>
    <m/>
    <m/>
    <m/>
    <m/>
    <m/>
    <m/>
    <m/>
    <m/>
    <m/>
    <m/>
    <n v="0"/>
    <m/>
    <m/>
    <m/>
    <m/>
    <m/>
    <m/>
    <m/>
    <m/>
    <m/>
    <m/>
    <m/>
    <x v="0"/>
    <m/>
    <n v="43"/>
    <m/>
  </r>
  <r>
    <x v="1"/>
    <x v="4"/>
    <s v="2.2"/>
    <s v="2.2 Ampliación de la cobertura de educación secundaria."/>
    <x v="9"/>
    <s v="07"/>
    <s v="05"/>
    <m/>
    <m/>
    <s v="Cultura Emprendedora"/>
    <s v="Se desarrollaran  competencias emprendedoras para formular e implementar ideas de negocios, de corte cooperativo asociativo."/>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Bachilleratos Técnicos Vocacionales públicos,  formados en cultura emprendedora."/>
    <s v="11,550 estudiantes formados"/>
    <m/>
    <m/>
    <m/>
    <m/>
    <m/>
    <m/>
    <n v="5.5E-2"/>
    <n v="5.5E-2"/>
    <n v="5.5E-2"/>
    <m/>
    <m/>
    <m/>
    <m/>
    <m/>
    <m/>
    <m/>
    <m/>
    <m/>
    <s v="Este Programa se está desarrollando desde el año 2010, del cual se cuenta  con  resultados importatnes: más de 30,000 estudiantes foramados en cultura emprendedora con énfais en  cooperativismo y asociatividad, y más de 1600 bachilleres y técnicos de educación superior, beneficiados con capital semilla."/>
    <x v="9"/>
    <m/>
    <n v="44"/>
    <n v="0"/>
  </r>
  <r>
    <x v="1"/>
    <x v="4"/>
    <s v="2.2"/>
    <s v="2.2 Ampliación de la cobertura de educación secundaria."/>
    <x v="9"/>
    <s v="07"/>
    <s v="05"/>
    <m/>
    <m/>
    <s v="ORIENTACIÓN VOCACIONAL PARA ESTUDIANTES DE NOVENO GRADO DE EDUCACIÓN BÁSICA Y EDUCACION MEDIA TECNICA."/>
    <s v="Consiste en apoyar a las y los jóvenes a definir su plan de vida, y selección de un bachuillerato de acuerdo a su vocación,  con el apoyo de los docentes de aula."/>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noveno grado de Educación Básica y Bachillerato Técnico."/>
    <s v="1900 estudiantes Orientados en su proyecto de vida"/>
    <m/>
    <m/>
    <m/>
    <m/>
    <m/>
    <m/>
    <n v="0.05"/>
    <n v="0.05"/>
    <n v="0.05"/>
    <m/>
    <m/>
    <m/>
    <m/>
    <m/>
    <m/>
    <m/>
    <m/>
    <m/>
    <m/>
    <x v="9"/>
    <m/>
    <n v="45"/>
    <n v="0"/>
  </r>
  <r>
    <x v="1"/>
    <x v="4"/>
    <s v="2.2"/>
    <s v="2.2 Ampliación de la cobertura de educación secundaria."/>
    <x v="9"/>
    <s v="07"/>
    <s v="05"/>
    <m/>
    <m/>
    <s v="Becas a Estudiantes de educación Superior de sedes MEGATEC"/>
    <s v="Otorgar becas de estudio a estudiantes de  Educación Tecnológico Superior"/>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Educación Superior."/>
    <s v="908 Estudiantes becados"/>
    <m/>
    <m/>
    <m/>
    <m/>
    <m/>
    <m/>
    <n v="1.64"/>
    <n v="1.64"/>
    <n v="1.64"/>
    <m/>
    <m/>
    <m/>
    <m/>
    <m/>
    <m/>
    <m/>
    <m/>
    <m/>
    <m/>
    <x v="9"/>
    <m/>
    <n v="46"/>
    <n v="0"/>
  </r>
  <r>
    <x v="1"/>
    <x v="4"/>
    <s v="2.2"/>
    <s v="2.2 Ampliación de la cobertura de educación secundaria."/>
    <x v="9"/>
    <s v="06"/>
    <s v="01"/>
    <m/>
    <m/>
    <s v="Becas Estudiantes de Media"/>
    <s v="Otorgar becas de estudio a estudiantes de Bachillerato Técnico"/>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Educación Media"/>
    <s v="136 Estudiantes becados"/>
    <m/>
    <m/>
    <m/>
    <m/>
    <m/>
    <m/>
    <n v="0.54"/>
    <n v="0.54"/>
    <n v="0.54"/>
    <m/>
    <m/>
    <m/>
    <m/>
    <m/>
    <m/>
    <m/>
    <m/>
    <m/>
    <m/>
    <x v="9"/>
    <m/>
    <n v="47"/>
    <n v="0"/>
  </r>
  <r>
    <x v="1"/>
    <x v="4"/>
    <s v="2.2"/>
    <s v="2.2 Ampliación de la cobertura de educación secundaria."/>
    <x v="9"/>
    <s v="04, 05 y 06"/>
    <s v="04-02, 05-01 y 06-01"/>
    <s v="54, 56"/>
    <m/>
    <s v="PROGRAMA DE ALIMENTACION Y SALUD ESCOLAR (PASE) Y VASO DE LECHE"/>
    <s v="Contribuir a mejorar la capacidad de aprendizaje de los estudiantes por medio de la dotación de una ración diaria de alimentos, satisfaciendo sus necesidades alimentarias inmediatas y fortaleciendo las acciones educativas, introduciendo conocimientos y prácticas adecuadas en salud, alimentación y nutrición."/>
    <s v="Cobertura Nacional en 5,109 centros escolares públicos, en los 262 municipios del pais. (No se cubre la totalidad de centros escolares)"/>
    <s v="1300000 nacional (294,094 estudiantes en triángulo norte)"/>
    <s v="1.3 millones de estudiantes reciben alimentacion escolar a lo largo del periodo escolar"/>
    <s v="1.3 millones de estudiantes reciben alimentacion escolar a lo largo del periodo escolar"/>
    <m/>
    <s v="1.3 millones de estudiantes reciben alimentacion escolar a lo largo del periodo escolar"/>
    <m/>
    <m/>
    <m/>
    <n v="6.99"/>
    <n v="5.75"/>
    <n v="5.75"/>
    <m/>
    <m/>
    <m/>
    <n v="1.24"/>
    <s v="FANTEL"/>
    <m/>
    <m/>
    <m/>
    <m/>
    <s v="El presupuesto se ha calculado como una proporcion de la inversion que se hara en los municipios focalizados, con base a las matriculas de los centros escolares"/>
    <x v="9"/>
    <m/>
    <n v="48"/>
    <n v="0"/>
  </r>
  <r>
    <x v="1"/>
    <x v="4"/>
    <s v="2.2"/>
    <s v="2.2 Ampliación de la cobertura de educación secundaria."/>
    <x v="9"/>
    <s v="04, 05 y 06"/>
    <s v="04-02, 05-01 y 06-01"/>
    <s v="54, 56"/>
    <m/>
    <s v="PROGRAMA PAQUETE ESCOLAR"/>
    <s v="Contribuir a incrementar la matricula y permanencia de los niños, niñas y adolescentes en la escuela, promoviendo la equidad. Ademas se fortalece y promueve el desarrollo local con la participación de proveedores micros y pequeños empresarios."/>
    <s v="Cobertura Nacional al 100% de los estudiantes de centros educativos públicos."/>
    <s v="1300000 nacional (297,388 estudiantes en triangulo norte)"/>
    <s v="1.3 millones de estudiantes reciben paquete de útiles, zapatos y dos uniformes escolares."/>
    <s v="1.3 millones de estudiantes reciben paquete de útiles, zapatos y dos uniformes escolares."/>
    <m/>
    <s v="1.3 millones de estudiantes reciben paquete de útiles, zapatos y dos uniformes escolares."/>
    <m/>
    <m/>
    <m/>
    <n v="16.98"/>
    <n v="16.98"/>
    <n v="16.98"/>
    <m/>
    <m/>
    <m/>
    <m/>
    <m/>
    <m/>
    <m/>
    <m/>
    <m/>
    <m/>
    <x v="9"/>
    <m/>
    <n v="49"/>
    <n v="0"/>
  </r>
  <r>
    <x v="1"/>
    <x v="4"/>
    <s v="2.2"/>
    <s v="2.2 Ampliación de la cobertura de educación secundaria."/>
    <x v="9"/>
    <s v="09"/>
    <s v="01"/>
    <m/>
    <m/>
    <s v="* Proyecto de Mejora de la Calidad de la Educación, convenio de préstamo 8110 - SV"/>
    <s v="Este proyecto contribuirá con la construccion  de infraestructura completa,para contribuir a los procesos de aprendizaje de los centros escolares del Sistema Integrado de EITP."/>
    <s v="En 2016 en  4 municipios: Izalco, Sonsonate, Jiquilisco y San Alejo con infraestructura completa  ubicados en 3 departamentos."/>
    <s v="7881 estudiantes , Izalco,  Sonsonate, Jiquilisco y San Alejo en 2016 en 3 departamentos"/>
    <s v="9  centros escolares mejorados en infraestructura  incluida supervisión de la obra"/>
    <m/>
    <m/>
    <m/>
    <m/>
    <m/>
    <m/>
    <n v="7"/>
    <n v="0"/>
    <m/>
    <m/>
    <n v="7"/>
    <s v="Banco Mundial"/>
    <m/>
    <m/>
    <m/>
    <m/>
    <m/>
    <m/>
    <m/>
    <x v="9"/>
    <m/>
    <n v="50"/>
    <n v="0"/>
  </r>
  <r>
    <x v="1"/>
    <x v="4"/>
    <s v="2.2"/>
    <s v="2.2 Ampliación de la cobertura de educación secundaria."/>
    <x v="9"/>
    <s v="09"/>
    <s v="01"/>
    <m/>
    <m/>
    <s v="*Potenciando la Escuela Inclusiva de Tiempo Pleno en El Salvador"/>
    <s v="Este proyecto contribuirá con la construccion  de infraestructura ,para contribuir a los procesos de aprendizaje de los centros escolares  EITP."/>
    <s v="En 2016  en 2 Centros escolares en 2 departamentos"/>
    <s v="1578 estudiantes  pertenecientes  a  2 municipios  Ilobasco y El Carmen,  y 2 departamentos en 2016."/>
    <s v="2  centros escolares mejorados en infraestructura."/>
    <m/>
    <m/>
    <m/>
    <m/>
    <m/>
    <m/>
    <n v="0.37308356000000004"/>
    <n v="4.308356E-2"/>
    <n v="4.308356E-2"/>
    <m/>
    <m/>
    <m/>
    <n v="0.33"/>
    <s v="Italia"/>
    <m/>
    <m/>
    <m/>
    <m/>
    <m/>
    <x v="9"/>
    <m/>
    <n v="51"/>
    <n v="0"/>
  </r>
  <r>
    <x v="1"/>
    <x v="4"/>
    <s v="2.2"/>
    <s v="2.2 Ampliación de la cobertura de educación secundaria."/>
    <x v="9"/>
    <m/>
    <m/>
    <m/>
    <m/>
    <s v="PROYECTO LEMPITAS"/>
    <s v="Facilitar el acceso a las tecnologías mediante la entrega de computadoras portátiles y la capacitación de docentes en integración de las TIC en el aula."/>
    <s v="Se entregó en San Salvador, La Libertad, San Miguel, Morazán, Santa Ana y Usulután."/>
    <s v="6,043 estudiantes_x000d_207 docentes"/>
    <s v="125 CE mejorados en infraestructura tecnológica,  y 1,075 docentes capacitados."/>
    <n v="1186"/>
    <m/>
    <n v="7890"/>
    <m/>
    <m/>
    <m/>
    <n v="1.956"/>
    <n v="0.75600000000000001"/>
    <n v="0.75600000000000001"/>
    <m/>
    <n v="0"/>
    <m/>
    <n v="1.2"/>
    <s v="Fundación ALBA"/>
    <m/>
    <m/>
    <m/>
    <m/>
    <s v="El $1.2 Millones es una cooperación en especie."/>
    <x v="9"/>
    <m/>
    <n v="52"/>
    <n v="0"/>
  </r>
  <r>
    <x v="1"/>
    <x v="4"/>
    <s v="2.2"/>
    <s v="2.2 Ampliación de la cobertura de educación secundaria."/>
    <x v="4"/>
    <m/>
    <m/>
    <m/>
    <m/>
    <s v="CAPITAL HUMANO FOMILENIO II"/>
    <s v="Fortalecimiento del Sistema Nacional de Educación, Modelo Inclusivo de Tiempo Completo, Gobernanza del Sistema Integrado y Evaluación Continua de la Demanda del Trabajo."/>
    <m/>
    <m/>
    <m/>
    <m/>
    <m/>
    <m/>
    <m/>
    <m/>
    <m/>
    <n v="10.11426813857504"/>
    <n v="0"/>
    <m/>
    <m/>
    <n v="3.6992981385750401"/>
    <s v="BCIE"/>
    <n v="6.4149700000000003"/>
    <s v="MCC"/>
    <m/>
    <m/>
    <m/>
    <m/>
    <s v="La contrapartida ha sido prorrateada en base a los montos de cooperación respecitvos a cada proyecto. Pendiente de confirmar."/>
    <x v="4"/>
    <m/>
    <n v="53"/>
    <n v="0"/>
  </r>
  <r>
    <x v="1"/>
    <x v="4"/>
    <s v="2.3"/>
    <s v="2.3 Mejoramiento de la formación para el trabajo de jóvenes. "/>
    <x v="0"/>
    <m/>
    <m/>
    <m/>
    <m/>
    <m/>
    <m/>
    <m/>
    <m/>
    <m/>
    <m/>
    <m/>
    <m/>
    <m/>
    <m/>
    <m/>
    <m/>
    <n v="0"/>
    <m/>
    <m/>
    <m/>
    <m/>
    <m/>
    <m/>
    <m/>
    <m/>
    <m/>
    <m/>
    <m/>
    <x v="0"/>
    <m/>
    <n v="54"/>
    <n v="0"/>
  </r>
  <r>
    <x v="1"/>
    <x v="4"/>
    <s v="2.3"/>
    <s v="2.3 Mejoramiento de la formación para el trabajo de jóvenes. "/>
    <x v="1"/>
    <s v="05 EMPLEO Y EMPLEABILIDAD JOVEN"/>
    <s v="01 PROGRAMA APOYO TEMPORAL AL INGRESO"/>
    <s v="51, 54 y 62"/>
    <s v="5629"/>
    <s v="Programa de Apoyo Temporal al Ingreso (PATI)"/>
    <s v="El Programa de Apoyo Temporal al Ingreso (PATI), tiene el propósito de reducir el impacto negativo en contextos de crisis en los ingresos de las familias, a si como a fortalecer  principalmente las capacidades de las mujeres y la juventud participante, que viven en las zonas urbanas de mayor exclusion, para mejorar sus capacidades de empleabilidad  y su integración en la comunidad. Para ello el programa financiará prioritariamente la participación de las mujeres y jóvenes en proyectos comunitarios  y cursos de capaacitación técncia, así como  brindará ingresos  individuales  por valor de $100 mensuales  durante un peridodo de 6 meses; así mismo el PATI apoyará, como estrategia base, el fortalecimiento de las capacidades de las municipalidades participantes mediante asistencia técnica, capacitación y un complemento  monetario para  gastos administrativos relacionados directamente con los proyectos comunitarios que se ejecutarán; haciendo énfasis en actividades que fomenten la convivencia y cohesión social en los asentamientos donde intervenga y en la cooperación interinstitucional a nivel local."/>
    <s v="El programa se desarrollara en los 31 municipios que no han participado en el PATI y que han sido  seleccionados como elegibles de acuerdo a la propuesta de seleccion de territorios del. PAPTN_x000d_"/>
    <s v="La población objetivo esta compuesta  por Mujeres y Hombres, de 16 años en adelante, de preferencia priorizando jefas de hogar,  y jovenes entre los 16 y 24 años.  "/>
    <s v="_x000d__x000d_Número de participantes del PATI que han recibido apoyo al ingreso (4 pagos o más)_x000d__x000d_Porcentaje de participantes PATI que han completado la capacitación y proyectos comunitarios_x000d__x000d_"/>
    <m/>
    <n v="250"/>
    <n v="3875"/>
    <n v="15750"/>
    <m/>
    <m/>
    <n v="0.72499999999999998"/>
    <n v="0"/>
    <m/>
    <m/>
    <n v="0.72499999999999998"/>
    <s v="Banco Mundial"/>
    <m/>
    <m/>
    <m/>
    <n v="68.42"/>
    <n v="28.42"/>
    <n v="40"/>
    <s v="La Intervencion 2015, esta siendo ejecutada en el municipio de Usulutan _x000d__x000d_De los 44 municipios elegibles se propone intervenir el PATI en 31 municipios"/>
    <x v="1"/>
    <m/>
    <n v="55"/>
    <n v="0"/>
  </r>
  <r>
    <x v="1"/>
    <x v="4"/>
    <s v="2.3"/>
    <s v="2.3 Mejoramiento de la formación para el trabajo de jóvenes. "/>
    <x v="9"/>
    <s v="03"/>
    <s v="01"/>
    <s v="62"/>
    <m/>
    <s v="Programa: Atención a Estudiantes con Desempeño Sobresaliente (AEDS) en Competencias para la Investigación Científica: Academias Sabatinas Departamentales"/>
    <s v="• Despliegue progresivo de una Red Nacional de Academias Sabatinas Departamentales (ASD) para la formación en competencias para la investigación científica de estudiantes con desempeño sobresaliente de Básica y Media."/>
    <s v="Academias Sanatinas Departamentales presentes en los departamentos: La Unión, Morazán,  Cabañas, Chalatenango, Ahuachapán, Sonsonate, Cuscatlán, San Vicente y Usulután, La Paz."/>
    <s v="374 Estudiantes provenientes de 30 municipios correspondientes a Triángulo Norte"/>
    <s v="La Red Nacional de Academias Sabatinas Departamentales (ASD) brinda atención a 900 estudiantes de 8° y 9° Básica y 1° y 2° Media."/>
    <s v="*900 Estudiantes"/>
    <m/>
    <s v="*1000 Estudiantes"/>
    <m/>
    <m/>
    <m/>
    <n v="0.28499999999999998"/>
    <n v="0.28499999999999998"/>
    <n v="0.28499999999999998"/>
    <m/>
    <m/>
    <m/>
    <m/>
    <m/>
    <m/>
    <m/>
    <m/>
    <m/>
    <m/>
    <x v="9"/>
    <m/>
    <n v="56"/>
    <n v="0"/>
  </r>
  <r>
    <x v="1"/>
    <x v="4"/>
    <s v="2.3"/>
    <s v="2.3 Mejoramiento de la formación para el trabajo de jóvenes. "/>
    <x v="9"/>
    <s v="07"/>
    <s v="06/07"/>
    <s v="56"/>
    <m/>
    <s v="Programa de Atención a Estudiantes con Desempeño Sobresaliente (AEDS) en Competencias para la Investigación Científica: Academias Sabatinas Experimentales"/>
    <s v="• Trasformación progresiva de iniciativas universitarias en Academias Sabatinas Experimentales (ASEx) para la formación en competencias para la investigación científica de estudiantes con desempeño sobresaliente de Básica y Media."/>
    <s v="Academias Sabatinas Experimentales  Ahuachapán, Santa Ana, Cabañas, Chalatenango,Cuscatlán, La Libertad, La Unión, Morazán, San Miguel, La Paz, Sonsonate, San Salvador y Usulután,  San Vicente"/>
    <s v="169 Estudiantes Beneficiarios que pertenecen a los municipios del Trigángulo Norte"/>
    <s v="Estudiantes de 4° Grado de Educación Básica a 2° año de Bachillerato, del sector Público y Privado del sistema de Educación Nacional."/>
    <s v="1,600 AEDS"/>
    <m/>
    <s v="1,800 AEDS"/>
    <m/>
    <m/>
    <m/>
    <n v="0.20200000000000001"/>
    <n v="0.20200000000000001"/>
    <n v="0.20200000000000001"/>
    <m/>
    <m/>
    <m/>
    <m/>
    <m/>
    <m/>
    <m/>
    <m/>
    <m/>
    <m/>
    <x v="9"/>
    <m/>
    <n v="57"/>
    <n v="0"/>
  </r>
  <r>
    <x v="1"/>
    <x v="4"/>
    <s v="2.4"/>
    <s v="2.4 Mejoramiento de la formación y carrera docente."/>
    <x v="0"/>
    <m/>
    <m/>
    <m/>
    <m/>
    <m/>
    <m/>
    <m/>
    <m/>
    <m/>
    <m/>
    <m/>
    <m/>
    <m/>
    <m/>
    <m/>
    <m/>
    <n v="0"/>
    <m/>
    <m/>
    <m/>
    <m/>
    <m/>
    <m/>
    <m/>
    <m/>
    <m/>
    <m/>
    <m/>
    <x v="0"/>
    <m/>
    <n v="58"/>
    <m/>
  </r>
  <r>
    <x v="1"/>
    <x v="4"/>
    <s v="2.4"/>
    <s v="2.4 Mejoramiento de la formación y carrera docente."/>
    <x v="9"/>
    <s v="07. Apoyos a instituciones adscritas y otras entidades"/>
    <s v="05. Implementadoras de Programas educativos"/>
    <m/>
    <m/>
    <s v="Capacitación de Docente Técnicos y Tecnológicos para la formación en cultura emprendedora."/>
    <s v="Se  Capacitará a Docentes de  Centros Educativos de los Bachilleratos Técnicos y de las Sedes MEGATEC."/>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Docentes técnicos ."/>
    <s v="132 docentes capacitados"/>
    <m/>
    <m/>
    <m/>
    <m/>
    <m/>
    <m/>
    <n v="0"/>
    <n v="0"/>
    <m/>
    <m/>
    <m/>
    <m/>
    <m/>
    <m/>
    <m/>
    <m/>
    <m/>
    <m/>
    <s v="NOTA: ESTE PROYECTO SERÁ FINACIADO CON  LO PRESUPUESTADO EN EL  PROYECTO DE CULTURA EMPRENDEDORA."/>
    <x v="9"/>
    <m/>
    <n v="59"/>
    <n v="0"/>
  </r>
  <r>
    <x v="1"/>
    <x v="4"/>
    <s v="2.4"/>
    <s v="2.4 Mejoramiento de la formación y carrera docente."/>
    <x v="9"/>
    <s v="09"/>
    <s v="01"/>
    <m/>
    <m/>
    <s v="Plan Nacional de Formación de Docentes en Servicio en el Sector Público"/>
    <s v="Estructurar un plan de formaciòn continua para todos los docentes en servicio del sector público de los diferentes niveles y moladidades educativas, que fortalecerá la estrategia de construcción de un Sistema Nacional de Desarrollo Profesional Docente, el cual se implementará en diferentes fases, involucrando procesos dinámicos e innovadores de desarrollo profesional, así como estrategias y mecanismos de evaluación, seguimiento para la mejorara continua del sistema."/>
    <s v="44 municipios del plan PATN"/>
    <s v="30,000 docentes formados de los niveles de educación parvularia, educaciòn básica y media a nivel nacional y en 2016 los beneficiarios serán 11488 docentes."/>
    <s v="Docentes en formación"/>
    <m/>
    <m/>
    <s v="once mil  cuatrocientos ochenta y ocho docentes (11488)"/>
    <m/>
    <m/>
    <m/>
    <n v="1.42"/>
    <n v="0"/>
    <m/>
    <m/>
    <n v="1.42"/>
    <s v="BIRF"/>
    <m/>
    <m/>
    <m/>
    <m/>
    <m/>
    <m/>
    <m/>
    <x v="9"/>
    <m/>
    <n v="60"/>
    <n v="0"/>
  </r>
  <r>
    <x v="1"/>
    <x v="5"/>
    <s v="2.5"/>
    <s v="2.5 Ampliación de programas costo-efectivos en atención primaria en salud."/>
    <x v="0"/>
    <m/>
    <m/>
    <m/>
    <m/>
    <m/>
    <m/>
    <m/>
    <m/>
    <m/>
    <m/>
    <m/>
    <m/>
    <m/>
    <m/>
    <m/>
    <m/>
    <n v="0"/>
    <m/>
    <m/>
    <m/>
    <m/>
    <m/>
    <m/>
    <m/>
    <m/>
    <m/>
    <m/>
    <m/>
    <x v="0"/>
    <m/>
    <n v="61"/>
    <n v="0"/>
  </r>
  <r>
    <x v="1"/>
    <x v="5"/>
    <s v="2.5"/>
    <s v="2.5 Ampliación de programas costo-efectivos en atención primaria en salud."/>
    <x v="10"/>
    <s v="02"/>
    <s v="06, 07, 09 y 10 Atención a la Persona."/>
    <s v="Adquisiciones de Bienes y Servicios"/>
    <m/>
    <s v="Gestión integral de procesos, compra y provisión de medicamentos para los 44 municipios priorizados que conforman territorios funcionales. "/>
    <s v="Fortalecimiento de la gestión central de medicamentos, dispositivos e insumos médicos. Implementado un sistema de gestión local  que permitan entregar productos de alta calidad a la población que requiere servicios de salud._x000d_Incluye los siguientes sub-componentes:_x000d_1. Mejorar la infraestructura y equipamiento de almacenes de medicamentos, dispositivos e insumos médicos de 12 Centros departamentales de almacenamiento y distribución _x000d_2. Compra de un vehículo refrigerado para cada una de las 44 micro-redes municipales de los municipios priorizados que conforman territorios funcionales._x000d_3. Conectividad y equipamiento informático de las farmacias y almacenes de los establecimientos de las 44 redes de los municipios priorizados que conforman territorios funcionales. _x000d_4. Adquisición mediante compra directa de los medicamentos desabastecidos en los establecimientos incluidos en el proyecto y una cantidad adicional para superar la brecha de financiamiento de los medicamentos para cumplir con las necesidades reales_x000d_"/>
    <s v="44 municipios"/>
    <s v="1,305,633 habitantes"/>
    <s v="Porcentaje de abastecimiento de medicamentos de calidad en el sector público"/>
    <n v="0.85"/>
    <n v="0.88"/>
    <n v="0.9"/>
    <n v="3600"/>
    <s v="a"/>
    <m/>
    <n v="8.2286438099999994"/>
    <n v="7.6866438099999996"/>
    <n v="7.6866438099999996"/>
    <m/>
    <n v="0.17200000000000001"/>
    <s v="Banco Mundial"/>
    <n v="0.37"/>
    <s v="BID - SALUD MESOAMÉRICA 2015"/>
    <m/>
    <n v="68.42"/>
    <n v="28.42"/>
    <n v="40"/>
    <m/>
    <x v="10"/>
    <m/>
    <n v="62"/>
    <n v="0"/>
  </r>
  <r>
    <x v="1"/>
    <x v="5"/>
    <s v="2.6"/>
    <s v="2.6 Mejoramiento de la infraestructura de salud. "/>
    <x v="0"/>
    <m/>
    <m/>
    <m/>
    <m/>
    <m/>
    <m/>
    <m/>
    <m/>
    <m/>
    <m/>
    <m/>
    <m/>
    <m/>
    <m/>
    <m/>
    <m/>
    <n v="0"/>
    <m/>
    <m/>
    <m/>
    <m/>
    <m/>
    <m/>
    <m/>
    <m/>
    <m/>
    <m/>
    <m/>
    <x v="0"/>
    <m/>
    <n v="63"/>
    <n v="0"/>
  </r>
  <r>
    <x v="1"/>
    <x v="5"/>
    <s v="2.6"/>
    <s v="2.6 Mejoramiento de la infraestructura de salud. "/>
    <x v="10"/>
    <s v="09_x000d_10"/>
    <s v="01 _x000d_Ampliación de los Programas y Servicios de Salud_x000d__x000d_01 Fortalecimiento de Primer Nivel de Atención."/>
    <m/>
    <m/>
    <s v="Proyecto de fortalecimiento de la capacidad instalada de 19 hospitales para la atención materno infantil, "/>
    <s v="Garantizar el acceso a los servicios de salud de la población de niños y niñas menores de 2 año y adolescentes embarazadas, a través del fortalecimiento de la infraestructura, adquisición de recurso humano, equipo e insumos de 19 hospitales ubicados en 12 departamentos donde se encuentran los 44 municipios focalizados.   _x000d__x000d_En los hospitales se aumentara la cobertura de banco de leche en 5 hospitales.   _x000d_"/>
    <s v="44 municipios"/>
    <s v="1,305,633 habitantes"/>
    <s v="Número y Porcentaje de hospitales que proveen atención especializada en Pediatría y Ginecoobstetricia permanentemente (7/24)"/>
    <s v="a)  20 hospitales con Ginecoobstetricia 24 hrs (67%)_x000d__x000d_b)  9 hospitales con Pediatras 24 hrs. (30%)"/>
    <s v="a)  22 hospitales con Ginecoobstetricia 24 hrs (75%)_x000d__x000d_b)  15 hospitales con Pediatras 24 hrs. (50%)"/>
    <s v="a)  24 hospitales con Ginecoobstetricia 24 hrs (80%)_x000d__x000d_b)  21 hospitales con Pediatras 24 hrs. (70%)"/>
    <n v="3600"/>
    <s v="a"/>
    <m/>
    <n v="12.49"/>
    <n v="0"/>
    <m/>
    <m/>
    <n v="12"/>
    <s v="Banco Mundial"/>
    <n v="0.49"/>
    <s v="BID - SALUD MESOAMÉRICA 2015"/>
    <m/>
    <n v="68.42"/>
    <n v="28.42"/>
    <n v="40"/>
    <m/>
    <x v="10"/>
    <m/>
    <n v="64"/>
    <n v="0"/>
  </r>
  <r>
    <x v="1"/>
    <x v="5"/>
    <s v="2.6"/>
    <s v="2.6 Mejoramiento de la infraestructura de salud. "/>
    <x v="10"/>
    <m/>
    <m/>
    <m/>
    <s v="5128"/>
    <s v="Programa Integrado de Salud"/>
    <m/>
    <m/>
    <m/>
    <m/>
    <m/>
    <m/>
    <m/>
    <m/>
    <m/>
    <m/>
    <n v="1"/>
    <m/>
    <m/>
    <m/>
    <n v="1"/>
    <s v="BID"/>
    <m/>
    <m/>
    <m/>
    <m/>
    <m/>
    <m/>
    <m/>
    <x v="10"/>
    <m/>
    <n v="65"/>
    <n v="0"/>
  </r>
  <r>
    <x v="1"/>
    <x v="5"/>
    <s v="2.6"/>
    <s v="2.6 Mejoramiento de la infraestructura de salud. "/>
    <x v="10"/>
    <m/>
    <m/>
    <m/>
    <s v="5131"/>
    <s v="Construcción y Equipamiento del Hospital Nacional de Maternidad, San Salvador"/>
    <m/>
    <m/>
    <m/>
    <m/>
    <m/>
    <m/>
    <m/>
    <m/>
    <m/>
    <m/>
    <n v="2.5299999999999998"/>
    <m/>
    <m/>
    <m/>
    <n v="2.5299999999999998"/>
    <s v="BCIE"/>
    <m/>
    <m/>
    <m/>
    <m/>
    <m/>
    <m/>
    <m/>
    <x v="10"/>
    <m/>
    <n v="66"/>
    <n v="0"/>
  </r>
  <r>
    <x v="1"/>
    <x v="5"/>
    <s v="2.6"/>
    <s v="2.6 Mejoramiento de la infraestructura de salud. "/>
    <x v="10"/>
    <m/>
    <m/>
    <m/>
    <s v="5209"/>
    <s v="Fortalecimiento del Sistema Público de Salud"/>
    <m/>
    <m/>
    <m/>
    <m/>
    <m/>
    <m/>
    <m/>
    <m/>
    <m/>
    <m/>
    <n v="20.270254999999999"/>
    <m/>
    <m/>
    <m/>
    <n v="20.270254999999999"/>
    <s v="BIRF"/>
    <m/>
    <m/>
    <m/>
    <m/>
    <m/>
    <m/>
    <m/>
    <x v="10"/>
    <m/>
    <n v="67"/>
    <n v="0"/>
  </r>
  <r>
    <x v="1"/>
    <x v="5"/>
    <s v="2.6"/>
    <s v="2.6 Mejoramiento de la infraestructura de salud. "/>
    <x v="10"/>
    <m/>
    <m/>
    <m/>
    <s v="6015"/>
    <s v="Programa Salud Mesoamérica 2015 - El Salvador"/>
    <m/>
    <m/>
    <m/>
    <m/>
    <m/>
    <m/>
    <m/>
    <m/>
    <m/>
    <m/>
    <n v="2.0527500000000001"/>
    <m/>
    <m/>
    <m/>
    <m/>
    <m/>
    <n v="2.0527500000000001"/>
    <s v="BID"/>
    <m/>
    <m/>
    <m/>
    <m/>
    <m/>
    <x v="10"/>
    <m/>
    <n v="68"/>
    <n v="0"/>
  </r>
  <r>
    <x v="1"/>
    <x v="5"/>
    <s v="2.6"/>
    <s v="2.6 Mejoramiento de la infraestructura de salud. "/>
    <x v="10"/>
    <m/>
    <m/>
    <m/>
    <s v="6132"/>
    <s v="Ampliación, Remodelación y Equipamiento de la Unidad Comunitaria de Salud Familiar Básica UCSF-B El Mozote."/>
    <m/>
    <m/>
    <m/>
    <m/>
    <m/>
    <m/>
    <m/>
    <m/>
    <m/>
    <m/>
    <n v="0.17499999999999999"/>
    <m/>
    <m/>
    <m/>
    <m/>
    <m/>
    <n v="0.17499999999999999"/>
    <s v="DULUX"/>
    <m/>
    <m/>
    <m/>
    <m/>
    <m/>
    <x v="10"/>
    <m/>
    <n v="69"/>
    <n v="0"/>
  </r>
  <r>
    <x v="1"/>
    <x v="5"/>
    <s v="2.6"/>
    <s v="2.6 Mejoramiento de la infraestructura de salud. "/>
    <x v="10"/>
    <m/>
    <m/>
    <m/>
    <s v="6135"/>
    <s v="Remodelación y Equipamiento de la Unidad Comunitaria de Salud Familiar Básica UCSF-B Basica Boquín."/>
    <m/>
    <m/>
    <m/>
    <m/>
    <m/>
    <m/>
    <m/>
    <m/>
    <m/>
    <m/>
    <n v="0.2"/>
    <m/>
    <m/>
    <m/>
    <m/>
    <m/>
    <n v="0.2"/>
    <s v="DULUX"/>
    <m/>
    <m/>
    <m/>
    <m/>
    <m/>
    <x v="10"/>
    <m/>
    <n v="70"/>
    <n v="0"/>
  </r>
  <r>
    <x v="1"/>
    <x v="5"/>
    <s v="2.7"/>
    <s v="2.7 Promoción de la salud sexual y reproductiva."/>
    <x v="0"/>
    <m/>
    <m/>
    <m/>
    <m/>
    <m/>
    <m/>
    <m/>
    <m/>
    <m/>
    <m/>
    <m/>
    <m/>
    <m/>
    <m/>
    <m/>
    <m/>
    <n v="0"/>
    <m/>
    <m/>
    <m/>
    <m/>
    <m/>
    <m/>
    <m/>
    <m/>
    <m/>
    <m/>
    <m/>
    <x v="0"/>
    <m/>
    <n v="71"/>
    <n v="0"/>
  </r>
  <r>
    <x v="1"/>
    <x v="5"/>
    <s v="2.7"/>
    <s v="2.7 Promoción de la salud sexual y reproductiva."/>
    <x v="10"/>
    <s v="02_x000d_09_x000d_10"/>
    <s v="17 Fortalecimiento de la Salud de la Mujer_x000d__x000d_01 _x000d_Ampliación de los Programas y Servicios de Salud_x000d__x000d__x000d_01_x000d_ Fortalecimiento de Primer Nivel de Atención._x000d__x000d__x000d_ "/>
    <s v="Adquisiciones de Bienes y Servicios"/>
    <m/>
    <s v="Proyecto de fortalecimiento de la Participación Social a través de la formación de grupos organizados"/>
    <s v="Formación de promotores juveniles de salud, Círculos educativos con adolescentes embarazadas. Fortalecimiento en la atención integral en salud sexual y reproductiva. Con énfasis en el embarazo en adolescentes._x000d_A través de la metodología entre pares discuten temas de autoestima, proyecto de vida, paternidad responsable, derechos, prevención de violencia sexual y planificación familiar._x000d_A través de los círculos educativos se favorece la prevención del segundo o siguiente embarazo en adolescentes, fortaleciendo el reconocimiento de los derechos, referencia al sistema de protección.  Las Acciones en el componentes de la salud sexual y reproductiva son:_x000d_- Servicios de información, asesoramiento, educación y comunicación en materia de anti-concepción y salud reproductiva._x000d_- Educación y servicios de atención prenatal, partos sin riesgo y pos-parto._x000d_- Acceso a métodos anticonceptivos seguros y modernos._x000d_- Información y tratamiento para las infecciones de transmisión sexual._x000d_- Información, educación y asesoramiento sobre sexualidad, salud reproductiva y maternidad y paternidad responsable._x000d_- Garantizar la participación de las mujeres en la toma de decisiones en los servicios de salud sexual y reproductiva."/>
    <s v="44 municipios "/>
    <s v="1,355,708 habitantes "/>
    <s v="% de establecimientos de salud con grupos de promotores juveniles de salud y círculos educativos con adolescentes embarazadas "/>
    <s v="20% de establecimientos cuentan con grupos organizados"/>
    <s v="40% de establecimientos cuentan con grupos organizados "/>
    <s v="60% de establecimientos cuentan con grupos organizados "/>
    <n v="3600"/>
    <s v="a"/>
    <m/>
    <n v="98.687973830000004"/>
    <n v="98.362973830000001"/>
    <n v="98.362973830000001"/>
    <m/>
    <n v="0.15"/>
    <s v="Banco Mundial"/>
    <n v="0.17500000000000002"/>
    <s v="BID - SALUD MESOAMÉRICA 2015"/>
    <m/>
    <n v="68.42"/>
    <n v="28.42"/>
    <n v="40"/>
    <m/>
    <x v="10"/>
    <m/>
    <n v="72"/>
    <n v="2.8310687127941492E-15"/>
  </r>
  <r>
    <x v="1"/>
    <x v="5"/>
    <s v="2.8"/>
    <s v="2.8 Ampliación de programas de desarrollo infantil temprano y pre-escolar."/>
    <x v="0"/>
    <m/>
    <m/>
    <m/>
    <m/>
    <m/>
    <m/>
    <m/>
    <m/>
    <m/>
    <m/>
    <m/>
    <m/>
    <m/>
    <m/>
    <m/>
    <m/>
    <n v="0"/>
    <m/>
    <m/>
    <m/>
    <m/>
    <m/>
    <m/>
    <m/>
    <m/>
    <m/>
    <m/>
    <m/>
    <x v="0"/>
    <m/>
    <n v="73"/>
    <n v="0"/>
  </r>
  <r>
    <x v="1"/>
    <x v="5"/>
    <s v="2.8"/>
    <s v="2.8 Ampliación de programas de desarrollo infantil temprano y pre-escolar."/>
    <x v="9"/>
    <s v="07"/>
    <s v="05"/>
    <s v="56"/>
    <m/>
    <s v="Programa Nacional de Alfabetización"/>
    <s v="Este programa busca a tender a la población de 15 años en adelante (joven y adulta) que está fuera del sistema educativo, acercando la  oferta de servicios educativos por medio de circulos de alfabetización y de continuidad educativa."/>
    <s v="39 Municipios atendidos por el PNA que coinciden con los 44 del triangulo norte (en algunus de estos incluye el segundo  y tercer nivel de educación básica)"/>
    <s v="10,389 asociados en 39 municipios de 12 departamentos: Guacotecti,  Ilobasco, Sensuntepeque ,San Carlos, San Francisco Gotera, Nueva Concepción , Suchitoto ,Aguilares ,_x000d_El Paisnal ,La Libertad ,Tamanique  ,El Rosario, Olocuilta, San Juan Nonualco, San Luis Talpa, San Rafael Obrajuelo, Santiago Nonualco , Zacatecoluca, San Pedro Masahuat,San Luis la Herradura, Conchagua  ,El Carmen, La Unión, Pasaquina, Intipucá,_x000d_San Alejo, Chirilagua, Acajutla,Izalco_x000d_San Julián, Sonsonate, Sonzacate, Jujutla, Concepción Batres, Jiquilisco, Puerto El Triunfo, Santa María, Usulután, San Dionisio."/>
    <s v="10,389 personas jóvenes y adultas alfabetizadas cada año."/>
    <n v="10389"/>
    <m/>
    <n v="10389"/>
    <m/>
    <m/>
    <m/>
    <n v="1.1419999999999999"/>
    <n v="1.1419999999999999"/>
    <n v="1.1419999999999999"/>
    <m/>
    <m/>
    <m/>
    <m/>
    <m/>
    <m/>
    <m/>
    <m/>
    <m/>
    <m/>
    <x v="9"/>
    <m/>
    <n v="74"/>
    <n v="0"/>
  </r>
  <r>
    <x v="1"/>
    <x v="5"/>
    <s v="2.8"/>
    <s v="2.8 Ampliación de programas de desarrollo infantil temprano y pre-escolar."/>
    <x v="9"/>
    <s v="07"/>
    <s v="05"/>
    <s v="56"/>
    <m/>
    <s v="Programa de Modalidades Flexibles"/>
    <s v="Este programa busca ampliar la cobertura y acercar oferta de servicios educativos, de educación media general con modalidades flexibles, para insertar jóvenes dentro y fuera del sistema educativo."/>
    <s v="36 Municipios atendidos con Modalidades Flexibles que coinciden con los 44 del triangulo norte, con bachillerato general"/>
    <s v="1,725 estudiantes de 25 municipios de 11 departamentos: Ilobasco, Sensuntepeque, San Francisco Gotera, El Divisadero, Nueva Concepción, Suchitoto, Agiuilares, El Paisnal, La Libertad, El rosario,  Olocuilta, San Juan Nonualco, San Juan Talpa, San Luis Talpa, Santiago Nonualco,  Zacatecoluca, San Pedro Masahuat,  San Luis La Herradura, El Carmen,  La Unión, Pasaquina, Intipucá, Chirilagua, Acajutla, Izalco, San antonio del Monte,  Sonsonate, Sonzacate, Jujutla, Concepción  Batres, Jiquilisco, Ozatlán,  Puesto el Triunfo, Santa María y Usulután."/>
    <s v="9332 personas jóvenes y adultas atendidas con modalidades educativas cada año."/>
    <n v="9332"/>
    <m/>
    <n v="9332"/>
    <m/>
    <m/>
    <m/>
    <n v="1.8380000000000001"/>
    <n v="1.8380000000000001"/>
    <n v="1.8380000000000001"/>
    <m/>
    <m/>
    <m/>
    <m/>
    <m/>
    <m/>
    <m/>
    <m/>
    <m/>
    <m/>
    <x v="9"/>
    <m/>
    <n v="75"/>
    <n v="0"/>
  </r>
  <r>
    <x v="1"/>
    <x v="6"/>
    <s v="2.9"/>
    <s v="2.9 Construcción y mejoramiento de viviendas."/>
    <x v="0"/>
    <m/>
    <m/>
    <m/>
    <m/>
    <m/>
    <m/>
    <m/>
    <m/>
    <m/>
    <m/>
    <m/>
    <m/>
    <m/>
    <m/>
    <m/>
    <m/>
    <n v="0"/>
    <m/>
    <m/>
    <m/>
    <m/>
    <m/>
    <m/>
    <m/>
    <m/>
    <m/>
    <m/>
    <m/>
    <x v="0"/>
    <m/>
    <n v="76"/>
    <n v="0"/>
  </r>
  <r>
    <x v="1"/>
    <x v="6"/>
    <s v="2.9"/>
    <s v="2.9 Construcción y mejoramiento de viviendas."/>
    <x v="11"/>
    <s v="03"/>
    <s v="03"/>
    <s v="54_x000d_61"/>
    <s v="5100"/>
    <s v="DOTACION DE VIVIENDAS PARA FAMILIAS EN ZONAS DE ALTO RIESGO Y AFECTADAS POR LA TORMENTA IDA"/>
    <s v="OBJETIVO GENERAL: Atender el déficit habitacional cuantitativo pero abordado de una manera diferente a la simple producción de viviendas y al desarrollo de proyectos de vivienda unifamiliar de baja densidad constructiva (de uno o dos niveles), puesto se plantea generar acciones para la reconstrucción del tejido social, diversificar los mecanismos para la adquisición de vivienda, la renovación urbana de zonas degradas de nuestras ciudades y atender a la población más vulnerable. Actualmente el VMVDU cuenta con financiamiento para ejecutar un proyecto estratégico de construcción de vivienda cooperativa en altura, para habitantes del Centro Histórico de San Salvador, sin embargo es fundamental la gestión de recursos financieros para la ampliación del programa para ampliar el marco de actuación de los 6 componentes detallados anteriormente"/>
    <s v="San Pedro Masahuat"/>
    <s v="500 familias con soluciones habitacionales de interés social bajo un nuevo modelo de Cooperativas de Vivienda por Ayuda Mutua.  El proyecto beneficiará a aproximadamente el 6% de residentes en el Centro Histórico, los cuales ascienden a más de 8 mil habitantes según el censo del año 2007, y beneficia indirectamente a la población flotante que hace uso de dicho territorio para fines comerciales o de paso y vendedores del comercio informal que superan los 10 mil según algunas estimaciones planteadas en el plan parcial del CHSS."/>
    <s v="Familias beneficiadas"/>
    <m/>
    <n v="600"/>
    <n v="1200"/>
    <n v="3600"/>
    <s v="a"/>
    <m/>
    <n v="1.7062999999999999"/>
    <n v="0.1963"/>
    <n v="0.1963"/>
    <m/>
    <n v="1.51"/>
    <s v="BCIE"/>
    <m/>
    <m/>
    <m/>
    <n v="68.42"/>
    <n v="28.42"/>
    <n v="40"/>
    <s v="Proyecto Habitacional Villas de San Pedro (Construcción de 175 Viviendas Permanentes)"/>
    <x v="7"/>
    <m/>
    <n v="77"/>
    <n v="0"/>
  </r>
  <r>
    <x v="1"/>
    <x v="6"/>
    <s v="2.10"/>
    <s v="2.10 Mejoramiento del entorno habitacional especialmente enfocado en el acceso a agua potable, tratamiento de aguas residuales y electricidad, y el ordenamiento territorial."/>
    <x v="0"/>
    <m/>
    <m/>
    <m/>
    <m/>
    <m/>
    <m/>
    <m/>
    <m/>
    <m/>
    <m/>
    <m/>
    <m/>
    <m/>
    <m/>
    <m/>
    <m/>
    <n v="0"/>
    <m/>
    <m/>
    <m/>
    <m/>
    <m/>
    <m/>
    <m/>
    <m/>
    <m/>
    <m/>
    <m/>
    <x v="0"/>
    <m/>
    <n v="78"/>
    <n v="0"/>
  </r>
  <r>
    <x v="1"/>
    <x v="6"/>
    <s v="2.10"/>
    <s v="2.10 Mejoramiento del entorno habitacional especialmente enfocado en el acceso a agua potable, tratamiento de aguas residuales y electricidad, y el ordenamiento territorial."/>
    <x v="11"/>
    <s v="03"/>
    <s v="03"/>
    <s v="54_x000d_61"/>
    <s v="5132"/>
    <s v="PROGRAMA DE VIVIENDA Y MEJORAMIENTO INTEGRAL DE ASENTAMIENTOS URBANOS PRECARIOS"/>
    <s v="OBJETIVO GENERAL: Incidir en mejorar la calidad de vida de la población por medio de la ejecución de acciones encaminadas a la generación de hábitats adecuados y sustentables que contribuyan al buen vivir de la población impulsando el modelo de asentamientos humanos productivos y sostenibles."/>
    <s v="Suchitoto, Cuscatlan; Santa Maria, Usulutan"/>
    <s v="Asentamientos Urbanos Precarios  (AUP) que viven en pobreza alta y extrema"/>
    <s v="Hogares en Asentamientos Urbanos Precarios (AUP) que cuentan con servicio de agua potable y saneamiento (nuevo o mejorado)"/>
    <n v="6920"/>
    <n v="11720"/>
    <n v="18520"/>
    <n v="46920"/>
    <s v="a"/>
    <m/>
    <n v="4.2"/>
    <n v="0"/>
    <m/>
    <m/>
    <n v="4.2"/>
    <s v="BID"/>
    <m/>
    <m/>
    <m/>
    <n v="141.19999999999999"/>
    <n v="71.2"/>
    <n v="70"/>
    <s v="Viviendas Permanentes In Situ en comunidades San Francisco y Nuevo San Juan. MIAUP &quot;LA CONSTANCIA III&quot;"/>
    <x v="7"/>
    <m/>
    <n v="79"/>
    <n v="0"/>
  </r>
  <r>
    <x v="1"/>
    <x v="6"/>
    <s v="2.10"/>
    <s v="2.10 Mejoramiento del entorno habitacional especialmente enfocado en el acceso a agua potable, tratamiento de aguas residuales y electricidad, y el ordenamiento territorial."/>
    <x v="11"/>
    <s v="03"/>
    <s v="03"/>
    <s v="54_x000d_61"/>
    <s v="_x000d_5398"/>
    <s v="&quot;PROGRAMA MEJORAMIENTO INTEGRAL DE ASENTAMIENTOS PRECARIOS URBANOS-KFW (MIAPU-KFW) Canje de Deuda entre la República de Alemania y la República de El Salvador&quot;"/>
    <s v="OBJETIVO GENERAL: Incidir en mejorar la calidad de vida de la población por medio de la ejecución de acciones encaminadas a la generación de hábitats adecuados y sustentables que contribuyan al buen vivir de la población impulsando el modelo de asentamientos humanos productivos y sostenibles."/>
    <s v="Acajutla, Izalco, Sonsonate; "/>
    <s v="Asentamientos Urbanos Precarios  (AUP) que viven en pobreza alta y extrema"/>
    <s v="Hogares en Asentamientos Urbanos Precarios (AUP) que cuentan con servicio de agua potable y saneamiento (nuevo o mejorado)"/>
    <m/>
    <m/>
    <m/>
    <m/>
    <m/>
    <m/>
    <n v="5.5"/>
    <n v="0"/>
    <m/>
    <m/>
    <n v="5.5"/>
    <s v="Canje de Deuda KFW"/>
    <m/>
    <m/>
    <m/>
    <m/>
    <m/>
    <m/>
    <s v="Mejoramiento Integral Asentamiento Precario Urbano EL MILAGRO, Mpio. Acajutla, Departamento de Sonsonate. Mejoramiento Integral Asentamiento Precario Urbano EL MILAGRO, Mpio. Acajutla, Departamento de Sonsonate."/>
    <x v="7"/>
    <m/>
    <n v="80"/>
    <n v="0"/>
  </r>
  <r>
    <x v="1"/>
    <x v="6"/>
    <s v="2.10"/>
    <s v="2.10 Mejoramiento del entorno habitacional especialmente enfocado en el acceso a agua potable, tratamiento de aguas residuales y electricidad, y el ordenamiento territorial."/>
    <x v="1"/>
    <s v="03 APOYO AL PROGRAMA ERRADICACIÓN DE LA POBREZA EN EL SALVADOR"/>
    <s v="03 INFRAESTRUCTURA SOCIAL BASICA"/>
    <s v="54, 61 Y 62"/>
    <s v="4997 "/>
    <s v="Acceso a servicio de agua potable y saneamiento básico "/>
    <s v="Incremento en el acceso a servicio de agua potable y saneamiento básico en 40 municipios de Pobreza Extrema Moderada y Baja priorizados. Los 4 municipios restantes (Pobreza Extrema Alta) ya estan siendo intervenidos en el marco de CSR."/>
    <s v="40 municipios "/>
    <s v="Hogares sin acceso de agua potable"/>
    <s v="Incremento de Hogares con acceso a agua potable"/>
    <s v="**"/>
    <s v="**"/>
    <n v="2125"/>
    <n v="8500"/>
    <s v="a"/>
    <s v="a"/>
    <n v="4.3"/>
    <n v="2"/>
    <n v="2"/>
    <m/>
    <n v="1.4"/>
    <s v="BID"/>
    <n v="0.9"/>
    <s v="AECID"/>
    <m/>
    <m/>
    <m/>
    <m/>
    <s v="2016: PARA MUNICIPIOS DE COMUNIDADES SOLIDARIAS. Se propone el aumento de al menos 3 puntos porcentuales en 40 municipios de pobreza extrema moderada y baja. La contribución a la meta del PQD 2014-2019 para este servicio es del 25%."/>
    <x v="1"/>
    <m/>
    <n v="81"/>
    <n v="0"/>
  </r>
  <r>
    <x v="1"/>
    <x v="6"/>
    <s v="2.10"/>
    <s v="2.10 Mejoramiento del entorno habitacional especialmente enfocado en el acceso a agua potable, tratamiento de aguas residuales y electricidad, y el ordenamiento territorial."/>
    <x v="1"/>
    <s v="03 APOYO AL PROGRAMA ERRADICACIÓN DE LA POBREZA EN EL SALVADOR"/>
    <s v="03 INFRAESTRUCTURA SOCIAL BASICA"/>
    <s v="54, 61 Y 62"/>
    <s v="4997"/>
    <s v="Acceso a servicio de energía eléctrica  "/>
    <s v="Incremento en el acceso a servicio de energía electrica  en 40 municipios de Pobreza Extrema Moderada y Baja priorizados. Los 4 municipios restantes (Pobreza Extrema Alta) ya estan siendo intervenidos en el marco de CSR."/>
    <s v="40 municipios "/>
    <s v="Hogares sin acceso de agua potable"/>
    <s v="Incremento de Hogares con acceso a agua potable"/>
    <s v="**"/>
    <s v="**"/>
    <n v="1350"/>
    <n v="5400"/>
    <s v="a"/>
    <s v="a"/>
    <n v="3"/>
    <n v="3"/>
    <n v="3"/>
    <m/>
    <m/>
    <m/>
    <m/>
    <m/>
    <m/>
    <m/>
    <m/>
    <m/>
    <s v="2016: PARA MUNICIPIOS DE COMUNIDADES SOLIDARIAS. Se propone el aumento de al menos 2 puntos porcentuales en 40 municipios de pobreza extrema moderada y baja. La contribución a la meta del PQD 2014-2019 para este servicio es del 16%."/>
    <x v="1"/>
    <m/>
    <n v="82"/>
    <n v="0"/>
  </r>
  <r>
    <x v="1"/>
    <x v="6"/>
    <s v="2.10"/>
    <s v="2.10 Mejoramiento del entorno habitacional especialmente enfocado en el acceso a agua potable, tratamiento de aguas residuales y electricidad, y el ordenamiento territorial."/>
    <x v="12"/>
    <m/>
    <m/>
    <m/>
    <m/>
    <s v="Desarrollo de infraestructura hidráulica"/>
    <s v="Ejecución de la Primera Etapa del Proyecto de Agua Potable del Lago de Ilopango (PAPLI)._x000d_Proyecto de Rehabilitación del Sistema de Abastecimiento de Agua, denominado “Zona Norte”._x000d_Primera etapa del Programa de Sustitución  Redes de Acueductos y Alcantarillados del AMSS."/>
    <s v="A nivel nacional"/>
    <s v="AMSS"/>
    <s v="Incremento de abastecimiento de agua potable"/>
    <s v="225,600 m3"/>
    <m/>
    <n v="1.5"/>
    <m/>
    <m/>
    <m/>
    <n v="70"/>
    <n v="70"/>
    <m/>
    <n v="70"/>
    <m/>
    <m/>
    <m/>
    <m/>
    <m/>
    <m/>
    <m/>
    <m/>
    <s v="PREVISTO ADICIONAR DURANTE EJECUCIÓN 2016. _x000d_RECURSOS PROPIOS* (Obtenidos mediante la Titularización de Flujos)_x000d_Fondos provenientes de la aprobación de reforma de tarifas en septiembre 2015 y titularización aprobada a iniciarse en 2016. _x000d_"/>
    <x v="11"/>
    <m/>
    <n v="83"/>
    <n v="0"/>
  </r>
  <r>
    <x v="1"/>
    <x v="7"/>
    <s v="2.11"/>
    <s v="2.11 Fortalecimiento de programas de acogida a migrantes retornados."/>
    <x v="0"/>
    <m/>
    <m/>
    <m/>
    <m/>
    <m/>
    <m/>
    <m/>
    <m/>
    <m/>
    <m/>
    <m/>
    <m/>
    <m/>
    <m/>
    <m/>
    <m/>
    <n v="0"/>
    <m/>
    <m/>
    <m/>
    <m/>
    <m/>
    <m/>
    <m/>
    <m/>
    <m/>
    <m/>
    <m/>
    <x v="0"/>
    <m/>
    <n v="84"/>
    <n v="0"/>
  </r>
  <r>
    <x v="1"/>
    <x v="7"/>
    <s v="2.11"/>
    <s v="2.11 Fortalecimiento de programas de acogida a migrantes retornados."/>
    <x v="1"/>
    <s v="05 EMPLEO Y EMPLEABILIDAD JOVEN"/>
    <s v="02 INCLUSION PRODUCTIVA PARA PERSONAS EN CONDICION DE POBREZA Y VULNERABILIDAD"/>
    <s v="62"/>
    <s v="6454"/>
    <s v="Programa de retorno, reunificación familiar, organización de población salvadoreña en el exterior, asistencia y protección humanitaria. Generacion de emprendimientos productivos con población retornada"/>
    <s v="Generación de oportunidades productivas a población retornada a traves de un proceso de identificación de capacidades y habilidades para su inserción a la actividad productiva, así como bono de apoyo a la producción."/>
    <s v="30 municipios con mayor población retornada "/>
    <s v="hombres y mujeres migrantes retornados "/>
    <s v="número de personas retornados intervenidos"/>
    <n v="0"/>
    <n v="0"/>
    <n v="700"/>
    <n v="2100"/>
    <s v="a"/>
    <m/>
    <n v="1"/>
    <n v="0"/>
    <m/>
    <m/>
    <n v="1"/>
    <s v="BID"/>
    <m/>
    <m/>
    <m/>
    <n v="141.19999999999999"/>
    <n v="71.2"/>
    <n v="70"/>
    <s v="El dato de linea base es acumulada al 2019 desde el 2016"/>
    <x v="1"/>
    <m/>
    <n v="85"/>
    <n v="0"/>
  </r>
  <r>
    <x v="2"/>
    <x v="8"/>
    <s v="3.1"/>
    <s v="3.1 Fortalecimiento de  la seguridad comunitaria y espacios seguros."/>
    <x v="0"/>
    <m/>
    <m/>
    <m/>
    <m/>
    <m/>
    <m/>
    <m/>
    <m/>
    <m/>
    <m/>
    <m/>
    <m/>
    <m/>
    <m/>
    <m/>
    <m/>
    <n v="0"/>
    <m/>
    <m/>
    <m/>
    <m/>
    <m/>
    <m/>
    <m/>
    <m/>
    <m/>
    <m/>
    <m/>
    <x v="0"/>
    <m/>
    <n v="86"/>
    <n v="0"/>
  </r>
  <r>
    <x v="2"/>
    <x v="8"/>
    <s v="3.1"/>
    <s v="3.1 Fortalecimiento de  la seguridad comunitaria y espacios seguros."/>
    <x v="13"/>
    <s v="Desarrollo de la Inversión"/>
    <s v="Inversión para la Justicia y Seguridad Pública"/>
    <s v="Varios"/>
    <s v="5354"/>
    <s v="Apoyo Integral a la Estrategia de Prevención de la Violencia._x000d_Fortalecimiento del área operativa de PREPAZ, cursos de capacitación, observatorio, inserción laboral. "/>
    <s v="Se realizarán capacitaciones a Consejos Municipales de Prevención de la violencia y a los Cuerpos de Agentes Municipales, observatorios y capacitaciones vocacionales"/>
    <s v="• Apopa, Ciudad Delgado,  Cuscatancingo, Mejicanos, Soyapango y San Salvador_x000d_"/>
    <n v="1093579"/>
    <s v="12"/>
    <n v="0"/>
    <m/>
    <n v="12"/>
    <m/>
    <m/>
    <m/>
    <n v="2.2076099999999999"/>
    <n v="0"/>
    <m/>
    <m/>
    <n v="2.2076099999999999"/>
    <s v="BID"/>
    <m/>
    <m/>
    <m/>
    <m/>
    <m/>
    <m/>
    <s v="Préstamo BID Código MH 5354.  Inicia en 2016 su ejecución."/>
    <x v="12"/>
    <m/>
    <n v="87"/>
    <n v="0"/>
  </r>
  <r>
    <x v="2"/>
    <x v="8"/>
    <s v="3.1"/>
    <s v="3.1 Fortalecimiento de  la seguridad comunitaria y espacios seguros."/>
    <x v="1"/>
    <s v="04 APOYO AL DESARROLLO LOCAL"/>
    <s v="05 PROGRAMA DE APOYO INTEGRAL A LA ESTRATEGIA DE PREVENCIÓN DE LA VIOLENCIA"/>
    <s v="54 y 61"/>
    <s v="6452"/>
    <s v="Programa de Apoyo Integral a la Estrategia de Prevención de Violencia. Prevención de la violencia juvenil a nivel local"/>
    <s v="El proyecto comprende el financiamiento de actividades agrupadas en los siguientes componentes: _x000d_Fortalecimiento Institucional del MJSP_x000d_Prevención de la violencia juvenil a nivel local_x000d_Fortalecimiento del proceso de rehabilitación y reinserción social"/>
    <m/>
    <m/>
    <m/>
    <m/>
    <m/>
    <m/>
    <m/>
    <m/>
    <m/>
    <n v="1"/>
    <n v="0"/>
    <m/>
    <m/>
    <n v="1"/>
    <s v="BID"/>
    <m/>
    <m/>
    <m/>
    <m/>
    <m/>
    <m/>
    <s v="Préstamo BID (aprobado). ES-L1025; 2881/OC-ES. COMPONENTE II."/>
    <x v="1"/>
    <m/>
    <n v="88"/>
    <n v="0"/>
  </r>
  <r>
    <x v="2"/>
    <x v="8"/>
    <s v="3.1"/>
    <s v="3.1 Fortalecimiento de  la seguridad comunitaria y espacios seguros."/>
    <x v="14"/>
    <m/>
    <m/>
    <m/>
    <s v="5673"/>
    <s v="Reemplazo de la Flota Vehicular de la Policía Nacional Civil en apoyo al Modelo de Policía Comunitaria"/>
    <s v="Se proyecta la adquisición de 3,463 de transporte entre vehículos patrulla y civiles tipo sedán, pick up doble cabina, camiones, microbuses, autobuses, gruas, montacargas y motocicletas, con la finalidad de potenciar la capacidad operativa de las diferentes Dependencias Policiales ubicadas en el territorio salvadoreño."/>
    <s v="El Salvador"/>
    <s v="29,081 personas"/>
    <s v="Medios de transporte adquiridos y operando"/>
    <m/>
    <m/>
    <n v="1"/>
    <m/>
    <m/>
    <m/>
    <n v="2"/>
    <n v="2"/>
    <n v="2"/>
    <m/>
    <m/>
    <m/>
    <m/>
    <m/>
    <m/>
    <m/>
    <m/>
    <m/>
    <m/>
    <x v="12"/>
    <m/>
    <n v="89"/>
    <n v="0"/>
  </r>
  <r>
    <x v="2"/>
    <x v="8"/>
    <s v="3.1"/>
    <s v="3.1 Fortalecimiento de  la seguridad comunitaria y espacios seguros."/>
    <x v="14"/>
    <m/>
    <m/>
    <m/>
    <s v="4766"/>
    <s v="Ampliación del Sistema de Radiocomunicación de la Policía Nacional Civil en apoyo al Modelo de Policía Comunitaria"/>
    <s v="El proyecto consiste en migrar la infraestructura de los sistemas de radiocomunicación analógicos a una plataforma completamente digital, la cual permitirá implementar la red de radiocomunicación digital de área amplia de seguridad pública. Su ejecución comprende 5 fases que iniciaron ejecución en el año 2012 y continuan en los años 2013, 2014, 2015 y  2016. "/>
    <s v="Occidental, Central, Metropolitana, Paracentral y Oriental"/>
    <s v="29,084 personas"/>
    <s v="Sistema de radiocomunicación modernizado"/>
    <m/>
    <m/>
    <n v="1"/>
    <m/>
    <m/>
    <m/>
    <n v="1.2"/>
    <n v="1.2"/>
    <n v="1.2"/>
    <m/>
    <m/>
    <m/>
    <m/>
    <m/>
    <m/>
    <m/>
    <m/>
    <m/>
    <m/>
    <x v="12"/>
    <m/>
    <n v="90"/>
    <n v="0"/>
  </r>
  <r>
    <x v="2"/>
    <x v="8"/>
    <s v="3.1"/>
    <s v="3.1 Fortalecimiento de  la seguridad comunitaria y espacios seguros."/>
    <x v="14"/>
    <m/>
    <m/>
    <m/>
    <s v="5670"/>
    <s v="Construcción y equipamiento básico de la delegación de la Policía Nacional Civil "/>
    <m/>
    <m/>
    <m/>
    <m/>
    <m/>
    <m/>
    <m/>
    <m/>
    <m/>
    <m/>
    <n v="4.2"/>
    <n v="4.2"/>
    <n v="4.2"/>
    <m/>
    <m/>
    <m/>
    <m/>
    <m/>
    <m/>
    <m/>
    <m/>
    <m/>
    <m/>
    <x v="12"/>
    <m/>
    <n v="91"/>
    <n v="0"/>
  </r>
  <r>
    <x v="2"/>
    <x v="9"/>
    <s v="3.2"/>
    <s v="3.2 Mejoramiento de la gestión policial."/>
    <x v="0"/>
    <m/>
    <m/>
    <m/>
    <m/>
    <m/>
    <m/>
    <m/>
    <m/>
    <m/>
    <m/>
    <m/>
    <m/>
    <m/>
    <m/>
    <m/>
    <m/>
    <n v="0"/>
    <m/>
    <m/>
    <m/>
    <m/>
    <m/>
    <m/>
    <m/>
    <m/>
    <m/>
    <m/>
    <m/>
    <x v="0"/>
    <m/>
    <n v="92"/>
    <n v="0"/>
  </r>
  <r>
    <x v="2"/>
    <x v="9"/>
    <s v="3.2"/>
    <s v="3.2 Mejoramiento de la gestión policial."/>
    <x v="15"/>
    <s v="Desarrollo de la Inversión"/>
    <s v="Inversión para la Justicia y Seguridad Pública"/>
    <s v="Varios"/>
    <s v="5354"/>
    <s v="Apoyo Integral a la Estrategia de Prevención de la Violencia._x000d_Sistema únificado de información, fortalecimiento de la DGCP y PREPAZ"/>
    <s v="Se invertirá en el concepto general de la Dirección de Información y Análisis que coordinará un sistema de información para el MJSP el cual integrará varias bases de datos.  Fortalecimiento de DGCP y PREPAZ"/>
    <s v="• Apopa, Ciudad Delgado,  Cuscatancingo, Mejicanos, Soyapango y San Salvador_x000d_"/>
    <s v="nacional"/>
    <s v="varios"/>
    <n v="0"/>
    <m/>
    <s v="N/A"/>
    <m/>
    <m/>
    <m/>
    <n v="2.0957499999999998"/>
    <n v="0"/>
    <m/>
    <m/>
    <n v="2.0957499999999998"/>
    <s v="BID"/>
    <m/>
    <m/>
    <m/>
    <m/>
    <m/>
    <m/>
    <s v="Préstamo BID Código MH 5354.  Inicia en 2016 su ejecución."/>
    <x v="12"/>
    <m/>
    <n v="93"/>
    <n v="0"/>
  </r>
  <r>
    <x v="2"/>
    <x v="9"/>
    <s v="3.3"/>
    <s v="3.3 Fortalecimiento de las instituciones de investigación del delito."/>
    <x v="0"/>
    <m/>
    <m/>
    <m/>
    <m/>
    <m/>
    <m/>
    <m/>
    <m/>
    <m/>
    <m/>
    <m/>
    <m/>
    <m/>
    <m/>
    <m/>
    <m/>
    <n v="0"/>
    <m/>
    <m/>
    <m/>
    <m/>
    <m/>
    <m/>
    <m/>
    <m/>
    <m/>
    <m/>
    <m/>
    <x v="0"/>
    <m/>
    <n v="94"/>
    <n v="0"/>
  </r>
  <r>
    <x v="2"/>
    <x v="9"/>
    <s v="3.3"/>
    <s v="3.3 Fortalecimiento de las instituciones de investigación del delito."/>
    <x v="16"/>
    <m/>
    <m/>
    <m/>
    <s v="6093"/>
    <s v="Construcción, Equipamiento y Modernización de las Oficinas Centrales de la FGR de El Salvador."/>
    <s v="Fortalecer las capacidades institucionales de la Fiscalía General de la República (FGR) mediante la centralización de las actividades y operaciones, fomentando la estandarización, profesionalización y tecnificación de todas las instancias vinculadas a la seguridad y administración de justicia en materia penal, garantizando al mismo tiempo que las víctimas y usuarios en general puedan tener acceso a la seguridad de una manera ordenada, eficiente, eficaz y más ágil."/>
    <m/>
    <m/>
    <m/>
    <m/>
    <m/>
    <m/>
    <m/>
    <m/>
    <m/>
    <n v="17.7"/>
    <n v="0"/>
    <m/>
    <m/>
    <n v="17.7"/>
    <s v="BCIE"/>
    <m/>
    <m/>
    <m/>
    <m/>
    <m/>
    <m/>
    <m/>
    <x v="13"/>
    <m/>
    <n v="95"/>
    <n v="0"/>
  </r>
  <r>
    <x v="2"/>
    <x v="9"/>
    <s v="3.3"/>
    <s v="3.3 Fortalecimiento de las instituciones de investigación del delito."/>
    <x v="16"/>
    <m/>
    <m/>
    <m/>
    <s v="6092"/>
    <s v="Construcción y Equipamiento del Depósito de Evidencias de la FGR"/>
    <m/>
    <m/>
    <m/>
    <m/>
    <m/>
    <m/>
    <m/>
    <m/>
    <m/>
    <m/>
    <n v="5.6000000000000001E-2"/>
    <n v="0"/>
    <m/>
    <m/>
    <n v="5.6000000000000001E-2"/>
    <s v="BCIE"/>
    <m/>
    <m/>
    <m/>
    <m/>
    <m/>
    <m/>
    <m/>
    <x v="13"/>
    <m/>
    <n v="96"/>
    <n v="0"/>
  </r>
  <r>
    <x v="2"/>
    <x v="9"/>
    <s v="3.5"/>
    <s v="3.5 Reducción de mora judicial."/>
    <x v="0"/>
    <m/>
    <m/>
    <m/>
    <m/>
    <m/>
    <m/>
    <m/>
    <m/>
    <m/>
    <m/>
    <m/>
    <m/>
    <m/>
    <m/>
    <m/>
    <m/>
    <n v="0"/>
    <m/>
    <m/>
    <m/>
    <m/>
    <m/>
    <m/>
    <m/>
    <m/>
    <m/>
    <m/>
    <m/>
    <x v="0"/>
    <m/>
    <n v="97"/>
    <n v="0"/>
  </r>
  <r>
    <x v="2"/>
    <x v="9"/>
    <s v="3.5"/>
    <s v="3.5 Reducción de mora judicial."/>
    <x v="17"/>
    <m/>
    <m/>
    <m/>
    <s v="3243_x000d_4344_x000d_6456"/>
    <s v="Construcción Centro Judicial Integral de Santa Tecla, de segunda instancia de San Salvador y otras remodelaciones y ampliaciones"/>
    <m/>
    <m/>
    <m/>
    <m/>
    <m/>
    <m/>
    <m/>
    <m/>
    <m/>
    <m/>
    <n v="10.5"/>
    <n v="10.5"/>
    <n v="10.5"/>
    <m/>
    <m/>
    <m/>
    <m/>
    <m/>
    <m/>
    <m/>
    <m/>
    <m/>
    <m/>
    <x v="14"/>
    <m/>
    <n v="98"/>
    <n v="0"/>
  </r>
  <r>
    <x v="2"/>
    <x v="10"/>
    <s v="3.6"/>
    <s v="3.6 Mejoramiento de infraestructura y gestión de centros penitenciarios y de detención de menores."/>
    <x v="0"/>
    <m/>
    <m/>
    <m/>
    <m/>
    <m/>
    <m/>
    <m/>
    <m/>
    <m/>
    <m/>
    <m/>
    <m/>
    <m/>
    <m/>
    <m/>
    <m/>
    <n v="0"/>
    <m/>
    <m/>
    <m/>
    <m/>
    <m/>
    <m/>
    <m/>
    <m/>
    <m/>
    <m/>
    <m/>
    <x v="0"/>
    <m/>
    <n v="99"/>
    <n v="0"/>
  </r>
  <r>
    <x v="2"/>
    <x v="10"/>
    <s v="3.6"/>
    <s v="3.6 Mejoramiento de infraestructura y gestión de centros penitenciarios y de detención de menores."/>
    <x v="15"/>
    <s v="Desarrollo de la Inversión"/>
    <s v="Inversión para la Justicia y Seguridad Pública"/>
    <s v="Varios"/>
    <s v="5354"/>
    <s v="Apoyo Integral a la Estrategia de Prevención de la Violencia._x000d_Talleres vocacionales e implementación de talleres productivos para granjas penitenciarias."/>
    <s v="Se realizarán capacitaciones en diversas especialidades y se implementarán talleres productivos como parte del modelo Yo Cambio en granjas penitenciarias."/>
    <s v="Centros Penitenciarios."/>
    <s v="31,000 privados de libertad "/>
    <s v="varios"/>
    <n v="0"/>
    <m/>
    <n v="10"/>
    <m/>
    <m/>
    <m/>
    <n v="11.44603"/>
    <n v="0"/>
    <m/>
    <m/>
    <n v="11.44603"/>
    <s v="BID"/>
    <m/>
    <m/>
    <m/>
    <m/>
    <m/>
    <m/>
    <s v="Préstamo BID Código MH 5354.  Inicia en 2016 su ejecución."/>
    <x v="12"/>
    <m/>
    <n v="100"/>
    <n v="0"/>
  </r>
  <r>
    <x v="2"/>
    <x v="10"/>
    <s v="3.6"/>
    <s v="3.6 Mejoramiento de infraestructura y gestión de centros penitenciarios y de detención de menores."/>
    <x v="18"/>
    <s v="Desarrollo del modelo Penitenciario"/>
    <s v="Construcción, Reparación, Reconstrucción y Equipamiento de Centros Penales"/>
    <s v="Varios"/>
    <s v="5748_x000d_2896_x000d_5897_x000d_5899_x000d_5903_x000d_5904"/>
    <s v="Fortalecimiento del proceso de rehabilitación y reinserción social"/>
    <s v="Construcción de 3 Centros Penitenciarios nuevos, contrucción de una Granja Penitenciaria, Readecuación de 3 Granajas Penitenciarias e i mplementación de un sistema de monitoreo electronico de privados de Libertad (Brazaletes):_x000d_- Obras Complementarias para finalización del Complejo Penitenciario de Seguridad Izalco FASE III._x000d_- Adquisición de un Sistema de Brazaletes Electrónicos._x000d_- Ampliación de Centro Penal de Izalco._x000d_- Readecuación de Granja Penitenciaria de Zacatecoluca, La Paz._x000d_- Readecuación de Granja Penitenciaria de Izalco, Sonsonate._x000d_- Readecuación de Granja Penitenciaria en Santa Ana."/>
    <s v="Izalco, La Paz, Santa Ana, Morazan"/>
    <s v="18,000 privados(as) de Libertad y población en general"/>
    <s v="Varios"/>
    <n v="0"/>
    <m/>
    <n v="6"/>
    <m/>
    <m/>
    <m/>
    <n v="32.108125000000001"/>
    <n v="0"/>
    <m/>
    <m/>
    <n v="32.108125000000001"/>
    <s v="BCIE"/>
    <m/>
    <m/>
    <m/>
    <m/>
    <m/>
    <m/>
    <s v="Restamo BCIE 2102 inicio la ejecucion en 2015._x000d_En la fuente de financiamiento de préstamo se incluye contrapartida."/>
    <x v="12"/>
    <m/>
    <n v="101"/>
    <n v="0"/>
  </r>
  <r>
    <x v="2"/>
    <x v="10"/>
    <s v="3.9"/>
    <s v="3.9 Mejoramiento del manejo de infractores y sentenciados."/>
    <x v="0"/>
    <m/>
    <m/>
    <m/>
    <m/>
    <m/>
    <m/>
    <m/>
    <m/>
    <m/>
    <m/>
    <m/>
    <m/>
    <m/>
    <m/>
    <m/>
    <m/>
    <n v="0"/>
    <m/>
    <m/>
    <m/>
    <m/>
    <m/>
    <m/>
    <m/>
    <m/>
    <m/>
    <m/>
    <m/>
    <x v="0"/>
    <m/>
    <n v="102"/>
    <n v="0"/>
  </r>
  <r>
    <x v="2"/>
    <x v="10"/>
    <s v="3.9"/>
    <s v="3.9 Mejoramiento del manejo de infractores y sentenciados."/>
    <x v="18"/>
    <m/>
    <m/>
    <m/>
    <s v="6451"/>
    <s v="Fortalecimiento de capacidades institucionales para la seguridad ciudadana, desarrollo de competencias y remoción de tatuajes."/>
    <m/>
    <m/>
    <m/>
    <m/>
    <m/>
    <m/>
    <m/>
    <m/>
    <m/>
    <m/>
    <n v="1.5"/>
    <n v="0"/>
    <m/>
    <m/>
    <m/>
    <m/>
    <n v="1.5"/>
    <s v="China-Taiwan"/>
    <m/>
    <m/>
    <m/>
    <m/>
    <m/>
    <x v="12"/>
    <m/>
    <n v="103"/>
    <n v="0"/>
  </r>
  <r>
    <x v="3"/>
    <x v="11"/>
    <s v="4.1"/>
    <s v="4.1 Incremento de la eficiencia y eficacia en la recaudación de impuestos."/>
    <x v="0"/>
    <m/>
    <m/>
    <m/>
    <m/>
    <m/>
    <m/>
    <m/>
    <m/>
    <m/>
    <m/>
    <m/>
    <m/>
    <m/>
    <m/>
    <m/>
    <m/>
    <n v="0"/>
    <m/>
    <m/>
    <m/>
    <m/>
    <m/>
    <m/>
    <m/>
    <m/>
    <m/>
    <m/>
    <m/>
    <x v="0"/>
    <m/>
    <n v="104"/>
    <n v="0"/>
  </r>
  <r>
    <x v="3"/>
    <x v="11"/>
    <s v="4.1"/>
    <s v="4.1 Incremento de la eficiencia y eficacia en la recaudación de impuestos."/>
    <x v="19"/>
    <s v="08"/>
    <s v="01"/>
    <m/>
    <s v="4204"/>
    <s v="Programa de infraestructura tributaria"/>
    <m/>
    <m/>
    <m/>
    <m/>
    <m/>
    <m/>
    <m/>
    <m/>
    <m/>
    <m/>
    <n v="2"/>
    <n v="0"/>
    <m/>
    <m/>
    <n v="2"/>
    <s v="BCIE"/>
    <m/>
    <m/>
    <m/>
    <m/>
    <m/>
    <m/>
    <m/>
    <x v="15"/>
    <m/>
    <n v="105"/>
    <n v="0"/>
  </r>
  <r>
    <x v="3"/>
    <x v="11"/>
    <s v="4.4"/>
    <s v="4.4 Acceso e intercambio de información tributaria, patrimonial  y financiera."/>
    <x v="0"/>
    <m/>
    <m/>
    <m/>
    <m/>
    <m/>
    <m/>
    <m/>
    <m/>
    <m/>
    <m/>
    <m/>
    <m/>
    <m/>
    <m/>
    <m/>
    <m/>
    <n v="0"/>
    <m/>
    <m/>
    <m/>
    <m/>
    <m/>
    <m/>
    <m/>
    <m/>
    <m/>
    <m/>
    <m/>
    <x v="0"/>
    <m/>
    <n v="106"/>
    <n v="0"/>
  </r>
  <r>
    <x v="3"/>
    <x v="11"/>
    <s v="4.4"/>
    <s v="4.4 Acceso e intercambio de información tributaria, patrimonial  y financiera."/>
    <x v="19"/>
    <s v="10"/>
    <s v="01"/>
    <m/>
    <s v="4958"/>
    <s v="Proyecto de asistencia técnica para la administrració nfiscal y el desempeño del sector público"/>
    <m/>
    <m/>
    <m/>
    <m/>
    <m/>
    <m/>
    <m/>
    <m/>
    <m/>
    <m/>
    <n v="9.4"/>
    <n v="0"/>
    <m/>
    <m/>
    <n v="9.4"/>
    <s v="BIRF"/>
    <m/>
    <m/>
    <m/>
    <m/>
    <m/>
    <m/>
    <m/>
    <x v="15"/>
    <m/>
    <n v="107"/>
    <n v="0"/>
  </r>
  <r>
    <x v="3"/>
    <x v="11"/>
    <s v="4.5"/>
    <s v="4.5 Fortalecimiento de los gobiernos locales."/>
    <x v="0"/>
    <m/>
    <m/>
    <m/>
    <m/>
    <m/>
    <m/>
    <m/>
    <m/>
    <m/>
    <m/>
    <m/>
    <m/>
    <m/>
    <m/>
    <m/>
    <m/>
    <n v="0"/>
    <m/>
    <m/>
    <m/>
    <m/>
    <m/>
    <m/>
    <m/>
    <m/>
    <m/>
    <m/>
    <m/>
    <x v="0"/>
    <m/>
    <n v="108"/>
    <n v="0"/>
  </r>
  <r>
    <x v="3"/>
    <x v="11"/>
    <s v="4.5"/>
    <s v="4.5 Fortalecimiento de los gobiernos locales."/>
    <x v="20"/>
    <s v="11"/>
    <s v="02"/>
    <m/>
    <m/>
    <s v="Fondo de Desarrollo Económico y Social (FODES) de los municipios"/>
    <s v="Transferencia a los gobiernos locales._x000d_Incluye inversiones para proyectos de saneamiento, calles, caminos vecinales, reparación de escuelas, recuperación de espacios públicos, entre otros."/>
    <m/>
    <m/>
    <m/>
    <m/>
    <m/>
    <m/>
    <m/>
    <m/>
    <m/>
    <n v="261.38"/>
    <n v="261.38"/>
    <n v="261.38"/>
    <m/>
    <m/>
    <m/>
    <m/>
    <m/>
    <m/>
    <m/>
    <m/>
    <m/>
    <m/>
    <x v="15"/>
    <m/>
    <n v="109"/>
    <n v="0"/>
  </r>
</pivotCacheRecords>
</file>

<file path=xl/pivotCache/pivotCacheRecords3.xml><?xml version="1.0" encoding="utf-8"?>
<pivotCacheRecords xmlns="http://schemas.openxmlformats.org/spreadsheetml/2006/main" xmlns:r="http://schemas.openxmlformats.org/officeDocument/2006/relationships" count="111">
  <r>
    <x v="0"/>
    <s v="1.i. Promoción de sectores estratégicos y atracción de inversión."/>
    <s v="1.1"/>
    <s v="1.1 Desarrollo de las micro, pequeñas y medianas empresas (MIPyMES) e integración a las cadenas productivas regionales."/>
    <m/>
    <m/>
    <m/>
    <m/>
    <x v="0"/>
    <m/>
    <m/>
    <m/>
    <m/>
    <m/>
    <m/>
    <m/>
    <m/>
    <m/>
    <m/>
    <m/>
    <m/>
    <m/>
    <m/>
    <m/>
    <m/>
    <m/>
    <m/>
    <n v="0"/>
    <m/>
    <m/>
    <m/>
    <m/>
    <m/>
    <m/>
    <m/>
    <m/>
    <m/>
    <m/>
    <m/>
    <x v="0"/>
    <m/>
    <n v="1"/>
    <n v="0"/>
  </r>
  <r>
    <x v="0"/>
    <s v="1.i. Promoción de sectores estratégicos y atracción de inversión."/>
    <s v="1.1"/>
    <s v="1.1 Desarrollo de las micro, pequeñas y medianas empresas (MIPyMES) e integración a las cadenas productivas regionales."/>
    <s v="FISDL"/>
    <s v="05 EMPLEO Y EMPLEABILIDAD JOVEN"/>
    <s v="02 INCLUSION PRODUCTIVA PARA PERSONAS EN CONDICION DE POBREZA Y VULNERABILIDAD"/>
    <s v="62"/>
    <x v="1"/>
    <s v="Generación de emprendimientos productivos a población en situación de pobreza y vulnerabilidad social"/>
    <s v="Objetivo: Fortalecer las capacidades humanas y técnicas de los/las emprendedores/as, con el acompañamiento y asistencia técnica, a través de una metodología de intervención que inicia con la formación de la persona, formación empresarial básica y la dotación de equipo productivo con el fin último de mejorar sus ingresos."/>
    <s v="44 municipios"/>
    <s v="Jóvenes y mujeres jefas de hogar en situación de pobreza y vulnerabilidad social"/>
    <s v="Número de personas atendidas con emprendimientos"/>
    <n v="1000"/>
    <n v="1000"/>
    <n v="2100"/>
    <n v="6300"/>
    <m/>
    <m/>
    <n v="1"/>
    <n v="2E-3"/>
    <n v="1"/>
    <m/>
    <m/>
    <m/>
    <n v="1"/>
    <n v="1"/>
    <n v="1"/>
    <m/>
    <m/>
    <m/>
    <m/>
    <m/>
    <n v="0.46592503000000002"/>
    <m/>
    <m/>
    <m/>
    <s v="El dato de linea base al 2019 es acumulado a partir del 2016. Actualmente en ejecución y continuará en 2016"/>
    <x v="1"/>
    <m/>
    <n v="2"/>
    <n v="0"/>
  </r>
  <r>
    <x v="0"/>
    <s v="1.i. Promoción de sectores estratégicos y atracción de inversión."/>
    <s v="1.1"/>
    <s v="1.1 Desarrollo de las micro, pequeñas y medianas empresas (MIPyMES) e integración a las cadenas productivas regionales."/>
    <s v="MINEC"/>
    <s v="03 Comercio, Inversión y Productivdad _x000d_10 Programa de Apoyo al Desarrollo Productivo para la Inserción Internacional (Préstamo BID 2583)"/>
    <s v="0302 Fomento Productivo, 0303 Fondo de Desarrollo Productivo,                         0304 Sistema Nacional de Desarrollo Productivo_x000d_0305 Innovación y Calidad_x000d_1001 Fortalecimiento de la Capacidad Técnica y Cofinanciamiento de Servicios de Desarrollo Empresarial_x000d_1003 Innovación, Tecnología para la Exportación"/>
    <s v="51 Remuneraciones_x000d_54 Adquisiones de bienes y servicios_x000d_62 Transferencias de capital_x000d_"/>
    <x v="2"/>
    <s v="FOMENTO Y DIVERSIFICACIÓN DE LA PRODUCCIÓN SALVADOREÑA"/>
    <s v="Desarrollo de Infraestructura productiva para la competitivdad, que comprende la construcción y equipamiento de: Centro de Desarrollo y Embalaje de Productos, Centro de Innovación para las ramas de Textil y Confección, Plástico y Química Farmaceútica, Laboratorio Nacional de Calidad para la Exportacion de la Industria de Alimentos y Bebidas y Centro de Innovacion y Desarrollo Tecnológico en Diseño. "/>
    <s v="Los centros y laboratorios se ubicarán en la zona central del país, sin embargo, los servicios se prestarán a las empresas que lo demanden a nivel nacional."/>
    <s v="Empresas o Unidades económicas"/>
    <s v="Empresas atendidas"/>
    <n v="0"/>
    <n v="1000"/>
    <n v="300"/>
    <m/>
    <m/>
    <m/>
    <n v="3.56839"/>
    <m/>
    <m/>
    <m/>
    <m/>
    <m/>
    <n v="4.0187875000000002"/>
    <n v="3.2726625"/>
    <n v="3.2726625"/>
    <m/>
    <n v="0.48112500000000002"/>
    <s v="BID 2583"/>
    <n v="0.26500000000000001"/>
    <s v="FOSEP"/>
    <m/>
    <m/>
    <m/>
    <m/>
    <s v="Actualmente El Salvador está invirtiendo en los estudios de prefactibilidad y el diseño de los modelos de intervención, sin embargo es necesario desarrollar  la infraestructura inicial para facilitar la inversión local e internacional  que operativicen los proyectos bajo un modelo de asocio público-privado._x000d__x000d_(la Inversión total  incluye el 10% de costos administrativos para la ejecución del proyecto) Se extrajeron los fondos requeridos del plan que están en matriz inicial._x000d__x000d_"/>
    <x v="2"/>
    <m/>
    <n v="3"/>
    <n v="0"/>
  </r>
  <r>
    <x v="0"/>
    <s v="1.i. Promoción de sectores estratégicos y atracción de inversión."/>
    <s v="1.1"/>
    <s v="1.1 Desarrollo de las micro, pequeñas y medianas empresas (MIPyMES) e integración a las cadenas productivas regionales."/>
    <s v="MINEC / CONAMYPE"/>
    <s v="10 Programa de Apoyo al Desarrollo Productivo para la Inserción Internacional (Préstamo BID 2583)"/>
    <s v="1001 Fortalecimiento de la Capacidad Técnica y Cofinanciamiento de Servicios de Desarrollo Empresarial"/>
    <s v="62 Transferencias de capital"/>
    <x v="2"/>
    <s v="UN PUEBLO UN PRODUCTO"/>
    <s v="Desarrollo de productos y servicios identitarios basados en los recursos locales, mediante el cual se promueve el desarrollo de industrias y encadenamientos locales. mediante este programa se proporciona capacitación, asistencia técnica, fondos para inversión productiva y servicios de comercialización a grupos asociativos, cooperativas, micro y pequeñas empresas de manufactura, agroindustria y turismo con potencial de crecimiento para la puesta en valor de los recursos locales mediante la creación de productos y servicios con identidad local y con potencial de comercialización en mercados nacionales y de exportación."/>
    <s v="44 municipios seleccionados"/>
    <s v="Micro y pequeña empresas, grupos asociativos productivos, cooperativas de producción y agroindustria"/>
    <s v="Cadenas productivas constituidas"/>
    <n v="28"/>
    <m/>
    <n v="15"/>
    <m/>
    <m/>
    <m/>
    <n v="3.3065500000000001"/>
    <m/>
    <m/>
    <m/>
    <m/>
    <m/>
    <n v="0.62542500000000001"/>
    <n v="0"/>
    <m/>
    <m/>
    <n v="0.62542500000000001"/>
    <s v="BID 2583"/>
    <m/>
    <m/>
    <m/>
    <m/>
    <m/>
    <m/>
    <s v="Actualmente 28 municipios forman parte del movimento Un pueblo un producto, donde se han puesto a disposición fondos de cofinanciamiento para impulsar iniciativas productivas con valor agregado e identidad territorial."/>
    <x v="2"/>
    <m/>
    <n v="4"/>
    <n v="0"/>
  </r>
  <r>
    <x v="0"/>
    <s v="1.i. Promoción de sectores estratégicos y atracción de inversión."/>
    <s v="1.1"/>
    <s v="1.1 Desarrollo de las micro, pequeñas y medianas empresas (MIPyMES) e integración a las cadenas productivas regionales."/>
    <s v="MINEC"/>
    <s v="03 Comercio, Inversión y Productivdad _x000d_10 Programa de Apoyo al Desarrollo Productivo para la Inserción Internacional (Préstamo BID 2583)"/>
    <s v="0305 Innovación y Calidad_x000d_1001 Fortalecimiento de la Capacidad Técnica y Cofinanciamiento de Servicios de Desarrollo Empresarial_x000d_"/>
    <s v="51 Remuneraciones_x000d_54 Adquisiones de bienes y servicios_x000d_62 Transferencias de capital_x000d_"/>
    <x v="2"/>
    <s v="FONDO NACIONAL PARA EL EMPRENDIMIENTO INNOVADOR Y TECNOLOGICO (FONDOEMPRIT)"/>
    <s v="Apoyo al desarrollo de empresas de servicio de alto valor agregado, específicamente en la industria creativa de animación digital, video juegos y audiovisuales,  mediante la implementación de un programa de fomento al emprendimiento innovador y tecnológico: &quot;Proyecto PIXELS&quot;"/>
    <s v="Cobertura nacional con énfasis en los 44 municipios seleccionados"/>
    <s v="Jovenes entre los 17 y 30 años de edad con habilidades natas para desembolverese en las industrias creativas"/>
    <s v="Número de emprendedores apoyados"/>
    <n v="300"/>
    <m/>
    <n v="300"/>
    <m/>
    <m/>
    <m/>
    <m/>
    <m/>
    <m/>
    <m/>
    <m/>
    <m/>
    <n v="2.8057275000000002"/>
    <n v="0.29572749999999998"/>
    <n v="0.29572749999999998"/>
    <m/>
    <n v="2.2000000000000002"/>
    <s v="BID 2583"/>
    <n v="0.31"/>
    <s v="GIZ_x000d_OEA"/>
    <m/>
    <m/>
    <m/>
    <m/>
    <s v="Para la reactivación del tejido económico formal con miras al crecimiento económico y la generación de valor agregado, es necesario concentrar esfuerzos en segmentos poblacionales prioritarios, como la juventud y la población femenina, en la creación y estímulo de oportunidades de alto valor agregado y de la mano con las tendencias tecnológicas mundiales. Actualmente, el alcance de los proyectos contemplados en el FONDEMPRIT beneficia únicamente a un total de 300 emprendedores, siendo insuficiente para alcanzar una masa crítica que tenga efecto directo en la migración ilegal, la prevención de la violencia y el crecimiento económico sostenido. Por tanto es necesario disponer  de mayores recursos que permitan al menos llegar a un número considerable de beneficiarios en los 44 municipios priorizados."/>
    <x v="2"/>
    <m/>
    <n v="5"/>
    <n v="0"/>
  </r>
  <r>
    <x v="0"/>
    <s v="1.i. Promoción de sectores estratégicos y atracción de inversión."/>
    <s v="1.3"/>
    <s v="1.3 Apoyo a la agricultura familiar y seguridad alimentaria."/>
    <m/>
    <m/>
    <m/>
    <m/>
    <x v="0"/>
    <m/>
    <m/>
    <m/>
    <m/>
    <m/>
    <m/>
    <m/>
    <m/>
    <m/>
    <m/>
    <m/>
    <m/>
    <m/>
    <m/>
    <m/>
    <m/>
    <m/>
    <m/>
    <n v="0"/>
    <m/>
    <m/>
    <m/>
    <m/>
    <m/>
    <m/>
    <m/>
    <m/>
    <m/>
    <m/>
    <m/>
    <x v="0"/>
    <m/>
    <n v="6"/>
    <n v="0"/>
  </r>
  <r>
    <x v="0"/>
    <s v="1.i. Promoción de sectores estratégicos y atracción de inversión."/>
    <s v="1.3"/>
    <s v="1.3 Apoyo a la agricultura familiar y seguridad alimentaria."/>
    <s v="MAG"/>
    <s v="02"/>
    <s v="02"/>
    <s v="54 y 55"/>
    <x v="0"/>
    <s v="1. Entrega de insumos agrícolas a productores de subsistencia"/>
    <s v="El proyecto realiza entrega de insumos agricolas para la siembra de maíz y frijol, cuyo objetivo es el de garantizar la producción de granos básicos para la población y así garantizar la seguridad alimentaria del país."/>
    <s v="Zona Norte 1 (Cabañas), Zona Norte 2 (Morazán), Zona Norte 3 (Chalatenango, Cuscatlán y San Salvador), Zona Franja costera Marina (La Libertad, La Paz, La Unión, Sonsonate, Ahuachapán, Usulután) "/>
    <s v="500,000 producctores y productoras de granos basicos"/>
    <s v="Productores y productoras atendidos"/>
    <n v="451018"/>
    <n v="451018"/>
    <n v="500000"/>
    <n v="451018"/>
    <s v="a"/>
    <m/>
    <n v="19.049985"/>
    <n v="19.049985"/>
    <m/>
    <m/>
    <m/>
    <m/>
    <n v="19.05"/>
    <n v="19.05"/>
    <n v="19.05"/>
    <m/>
    <m/>
    <m/>
    <m/>
    <m/>
    <m/>
    <n v="150"/>
    <n v="100"/>
    <n v="50"/>
    <s v="Se está negociando un monto adicional de  $ 12.87 millones ante Secretaría Técnica y de Planificación de la Presidencia y el Ministerio de Hacienda "/>
    <x v="3"/>
    <m/>
    <n v="7"/>
    <n v="0"/>
  </r>
  <r>
    <x v="0"/>
    <s v="1.i. Promoción de sectores estratégicos y atracción de inversión."/>
    <s v="1.3"/>
    <s v="1.3 Apoyo a la agricultura familiar y seguridad alimentaria."/>
    <s v="MAG"/>
    <s v="05, 06 y 08"/>
    <s v="05-01, 06-02 y 08-01"/>
    <s v="51, 54 y 61"/>
    <x v="0"/>
    <s v="2. Seguridad alimentaria y nutricional"/>
    <s v="Ampliar la cobertura de la asistencia técnica e incentivos para la producción de alimentos en los diferentes rubros agropecuarios la cual permita mejorar la utilización de nuevas tecnologias, el objetivo primordial es el de proveer de alimentos a la familia rural."/>
    <s v="Zona Norte 1 (Cabañas), Zona Norte 2 (Morazán), Zona Norte 3 (Chalatenango, Cuscatlán y San Salvador), Zona Franja costera Marina (La Libertad, La Paz, La Unión, Sonsonate, Ahuachapán, Usulután) "/>
    <s v="62,000 productores de subsistencia de granos basicos, frutas, horalizas y especies menores"/>
    <s v="Productores y productoras atendidos"/>
    <n v="62000"/>
    <n v="63325"/>
    <n v="63325"/>
    <n v="64000"/>
    <s v="a"/>
    <m/>
    <s v="PTE."/>
    <m/>
    <m/>
    <m/>
    <m/>
    <m/>
    <n v="4.7"/>
    <n v="4.7"/>
    <n v="4.7"/>
    <m/>
    <m/>
    <m/>
    <m/>
    <m/>
    <m/>
    <n v="40"/>
    <n v="20"/>
    <n v="20"/>
    <s v="Se está negociando un monto adicional de  $ 6.65 millones ante Secretaría Técnica y de Planificación de la Presidencia y el Ministerio de Hacienda "/>
    <x v="3"/>
    <m/>
    <n v="8"/>
    <n v="0"/>
  </r>
  <r>
    <x v="0"/>
    <s v="1.i. Promoción de sectores estratégicos y atracción de inversión."/>
    <s v="1.3"/>
    <s v="1.3 Apoyo a la agricultura familiar y seguridad alimentaria."/>
    <s v="MAG"/>
    <s v="05, 06 y 09"/>
    <s v="06-01, 06-02 y 08-01"/>
    <s v="51, 54 y 61"/>
    <x v="0"/>
    <s v="3. Divercificación y mejora de la rentabilidad en la producción agropecuaria pesquera, acuicola y agroindustrial (Desarrollo de cadenas Productivas)."/>
    <s v="Fomento y desarrollo de la producción agropecuaria, pesquera, acuicola y agroindustrial de alto valor agregado y comercial, con el objetivo de elebar los ingresos de las familias rurales. Contempla la asistencia técnica e investigación e insentivos para la producción así como para la transformación y comercialización de los producctos."/>
    <s v="Zona Norte 1 (Cabañas), Zona Norte 2 (Morazán), Zona Norte 3 (Chalatenango, Cuscatlán y San Salvador), Zona Franja costera Marina (La Libertad, La Paz, La Unión, Sonsonate, Ahuachapán, Usulután) "/>
    <s v="20,000 Familias de las Cadenas"/>
    <s v="Productores y productoras atendidos"/>
    <n v="18392"/>
    <n v="18392"/>
    <n v="18392"/>
    <n v="80563"/>
    <s v="a"/>
    <m/>
    <s v="PTE."/>
    <m/>
    <m/>
    <m/>
    <m/>
    <m/>
    <n v="15.466783"/>
    <n v="15.466783"/>
    <n v="15.466783"/>
    <m/>
    <m/>
    <m/>
    <m/>
    <m/>
    <m/>
    <n v="60"/>
    <n v="20"/>
    <n v="40"/>
    <s v="Se está negociando un monto adicional de  $ 8.02 millones ante Secretaría Técnica y de Planificación de la Presidencia y el Ministerio de Hacienda "/>
    <x v="3"/>
    <m/>
    <n v="9"/>
    <n v="0"/>
  </r>
  <r>
    <x v="0"/>
    <s v="1.i. Promoción de sectores estratégicos y atracción de inversión."/>
    <s v="1.3"/>
    <s v="1.3 Apoyo a la agricultura familiar y seguridad alimentaria."/>
    <s v="MAG"/>
    <s v="07"/>
    <s v="04 ---&gt; 02"/>
    <s v="54"/>
    <x v="3"/>
    <s v="5. Programa de Competitividad Territorial Rural - Amanecer Rural"/>
    <s v="El Proyecto  de Competitividad Territorial Rural (Amanecer Rural), ha sido  implementado a nivel nacional, definiendo las zonas específicas con base en los siguientes criterios generales: (a) la tipología y caracterización del grupo-meta, esto es, concentración de usuarios-beneficiarios vulnerables pobres, como aquellos con potencial/activos productivos para insertarse en cadenas de valor; (b) la vocación productiva de las zonas y microregiones y la localización natural de las cadenas de valor (café, hortalizas, lechería de pequeño productor, marañon, granos básicos, etc.); (c) territorios con potencial desencadenante de desarrollo."/>
    <s v="Zona Norte 2 (Morazán), Zona Franja costera Marina (La Unión, Sonsonate, Ahuachapán, Usulután)"/>
    <s v="13500 productores y productoras de alimentos"/>
    <s v="Productores y productoras atendidos"/>
    <n v="1467"/>
    <m/>
    <n v="1920"/>
    <m/>
    <m/>
    <m/>
    <n v="8.6"/>
    <m/>
    <n v="8.6"/>
    <s v="FIDA / OFID / BCIE"/>
    <m/>
    <m/>
    <n v="8.6"/>
    <n v="0"/>
    <m/>
    <m/>
    <n v="8.6"/>
    <s v="FIDA / OFID / BCIE"/>
    <m/>
    <m/>
    <m/>
    <m/>
    <m/>
    <m/>
    <m/>
    <x v="3"/>
    <m/>
    <n v="10"/>
    <n v="0"/>
  </r>
  <r>
    <x v="0"/>
    <s v="1.i. Promoción de sectores estratégicos y atracción de inversión."/>
    <s v="1.3"/>
    <s v="1.3 Apoyo a la agricultura familiar y seguridad alimentaria."/>
    <s v="MAG"/>
    <s v="07"/>
    <s v="05 ---&gt; 03"/>
    <s v="54"/>
    <x v="4"/>
    <s v="6. Proyecto de Desarrollo y Modernización Rural de la Región Central y Para central (PRODEMOR CENTRAL)"/>
    <s v="Contempla el desarrollo y fortalecimiento a las Organizaciones de base, la asesoría técnica y capacitación para la producción, la transformación de actividades de subsistencia en negocios rentables y sostenibles, la integración a cadena de valor y el desarrollo organizacional de empresas y organizaciones"/>
    <s v="Zona Norte 3 (Chalatenango y Cuscatlán), Zona Franja costera Marina (La Libertad y La Paz)"/>
    <s v="5600 productores y productoras de alimentos"/>
    <s v="Productores y productoras atendidos"/>
    <n v="3960"/>
    <m/>
    <n v="5600"/>
    <m/>
    <m/>
    <m/>
    <n v="4.9580000000000002"/>
    <m/>
    <n v="4.9580000000000002"/>
    <s v="FIDA / BCIE"/>
    <m/>
    <m/>
    <n v="4.9580000000000002"/>
    <n v="0"/>
    <m/>
    <m/>
    <n v="4.9580000000000002"/>
    <s v="FIDA / BCIE"/>
    <m/>
    <m/>
    <m/>
    <m/>
    <m/>
    <m/>
    <m/>
    <x v="3"/>
    <m/>
    <n v="11"/>
    <n v="0"/>
  </r>
  <r>
    <x v="0"/>
    <s v="1.i. Promoción de sectores estratégicos y atracción de inversión."/>
    <s v="1.3"/>
    <s v="1.3 Apoyo a la agricultura familiar y seguridad alimentaria."/>
    <s v="MAG"/>
    <s v="11"/>
    <s v="01 y 02"/>
    <s v="61"/>
    <x v="5"/>
    <s v="7. Proyecto de Apoyo a la Agricultura Familiar (PAAF)"/>
    <s v="Construir y equipar plantas procesadoras de lácteos, para apoyar a los Centros de acopio de leche cruda de las asociaciones beneficiadas para que accesen a mercados formales (Programa Vaso de leche y empresas comerciales) e incrementen la rentabilidad de la producción con la entrega de tanques de refrigeración y almacenamiento de leche._x000d_Rehabilitar o incoporar superficie productiva de bajo riego de Distritos, para incrementar la producción de alimentos"/>
    <s v="Zona Norte 1 (Cabañas), Zona Norte 2 (Morazán), Zona Norte 3 (Chalatenango), Zona Franja costera Marina (La Paz, La Unión y Usulután)"/>
    <s v="2400 productores y productoras"/>
    <s v="Productores y productoras atendidos"/>
    <n v="3500"/>
    <m/>
    <n v="3700"/>
    <m/>
    <m/>
    <m/>
    <n v="5.5563349999999998"/>
    <m/>
    <n v="5.5563349999999998"/>
    <s v="BCIE"/>
    <m/>
    <m/>
    <n v="5.5563349999999998"/>
    <n v="0"/>
    <m/>
    <m/>
    <n v="5.5563349999999998"/>
    <s v="BCIE"/>
    <m/>
    <m/>
    <m/>
    <m/>
    <m/>
    <m/>
    <m/>
    <x v="3"/>
    <m/>
    <n v="12"/>
    <n v="0"/>
  </r>
  <r>
    <x v="0"/>
    <s v="1.i. Promoción de sectores estratégicos y atracción de inversión."/>
    <s v="1.3"/>
    <s v="1.3 Apoyo a la agricultura familiar y seguridad alimentaria."/>
    <s v="MAG"/>
    <s v="05"/>
    <s v="02"/>
    <s v="61"/>
    <x v="6"/>
    <s v="10. Fomento al Desarrollo de la Acuicultura Familiar en los Municipios de Pobreza en El Salvador"/>
    <s v="El Proyecto de Acuicultura Familiar tiene como propósito la reducción significativa de la pobreza, reactivar la actividad agrícola en la zona rural, así como la reactivación económica y la diversificación de las fuentes de alimento. En ese sentido, el Ministerio de Agricultura y Ganadería solicita el apoyo al gobierno de la República de China (Taiwán) para la ejecución del proyecto, aprovechando éste para que los pequeños productores que desarrollen sus capacidades en el cultivo de tilapia y aumentar el consumo de proteína animal para mejorar la nutrición de las familias beneficiarias y garantizar la seguridad alimentaria y además, que mejore sus ingresos económicos por la venta de los excedentes en la producción acuícola."/>
    <s v="Zona Norte 2 (Morazán), Zona Franja costera Marina (La Libertad, La Paz, La Unión, Sonsonate, Ahuachapán, Usulután)"/>
    <s v="1200 productores y productoras"/>
    <s v="Productores y productoras atendidos"/>
    <n v="0"/>
    <m/>
    <n v="400"/>
    <m/>
    <m/>
    <m/>
    <n v="0.2"/>
    <m/>
    <n v="0.2"/>
    <s v="BCIE"/>
    <m/>
    <m/>
    <n v="0.31745499999999999"/>
    <n v="0"/>
    <m/>
    <m/>
    <m/>
    <m/>
    <n v="0.31745499999999999"/>
    <s v="Gobierno de Taiwán"/>
    <m/>
    <m/>
    <m/>
    <m/>
    <s v="Este proyecto tiene programada una ejecución que dura hasta el año 2019_x000d_PRÉSTAMO BCIE POR $200,000"/>
    <x v="3"/>
    <m/>
    <n v="13"/>
    <n v="0"/>
  </r>
  <r>
    <x v="0"/>
    <s v="1.i. Promoción de sectores estratégicos y atracción de inversión."/>
    <s v="1.4"/>
    <s v="1.4 Promoción de la inversión privada coordinada a nivel regional. "/>
    <m/>
    <m/>
    <m/>
    <m/>
    <x v="0"/>
    <m/>
    <m/>
    <m/>
    <m/>
    <m/>
    <m/>
    <m/>
    <m/>
    <m/>
    <m/>
    <m/>
    <m/>
    <m/>
    <m/>
    <m/>
    <m/>
    <m/>
    <m/>
    <n v="0"/>
    <m/>
    <m/>
    <m/>
    <m/>
    <m/>
    <m/>
    <m/>
    <m/>
    <m/>
    <m/>
    <m/>
    <x v="0"/>
    <m/>
    <n v="14"/>
    <n v="0"/>
  </r>
  <r>
    <x v="0"/>
    <s v="1.i. Promoción de sectores estratégicos y atracción de inversión."/>
    <s v="1.4"/>
    <s v="1.4 Promoción de la inversión privada coordinada a nivel regional. "/>
    <s v="FOMILENIO II"/>
    <m/>
    <m/>
    <m/>
    <x v="0"/>
    <s v="PROYECTO CLIMA DE INVERSIÓN"/>
    <s v="Mejoras regulatorias, Asocios Público-Privados y Apuestas por Inversiones"/>
    <m/>
    <m/>
    <m/>
    <m/>
    <m/>
    <m/>
    <m/>
    <m/>
    <m/>
    <n v="14.616683641884098"/>
    <n v="2E-3"/>
    <m/>
    <m/>
    <m/>
    <m/>
    <n v="14.616683641884098"/>
    <n v="0"/>
    <m/>
    <m/>
    <n v="5.3460586418840981"/>
    <s v="BCIE"/>
    <n v="9.270624999999999"/>
    <s v="MCC"/>
    <m/>
    <m/>
    <m/>
    <m/>
    <s v="La contrapartida ha sido prorrateada en base a los montos de cooperación respecitvos a cada proyecto. Pendiente de confirmar."/>
    <x v="4"/>
    <m/>
    <n v="15"/>
    <n v="0"/>
  </r>
  <r>
    <x v="0"/>
    <s v="1.ii. Fomentar la integración eléctrica regional."/>
    <s v="1.9"/>
    <s v="1.9 Diversificación de la matriz energética. "/>
    <m/>
    <m/>
    <m/>
    <m/>
    <x v="0"/>
    <m/>
    <m/>
    <m/>
    <m/>
    <m/>
    <m/>
    <m/>
    <m/>
    <m/>
    <m/>
    <m/>
    <m/>
    <m/>
    <m/>
    <m/>
    <m/>
    <m/>
    <m/>
    <n v="0"/>
    <m/>
    <m/>
    <m/>
    <m/>
    <m/>
    <m/>
    <m/>
    <m/>
    <m/>
    <m/>
    <m/>
    <x v="0"/>
    <m/>
    <n v="16"/>
    <n v="0"/>
  </r>
  <r>
    <x v="0"/>
    <s v="1.ii. Fomentar la integración eléctrica regional."/>
    <s v="1.9"/>
    <s v="1.9 Diversificación de la matriz energética. "/>
    <s v="CEL"/>
    <m/>
    <m/>
    <m/>
    <x v="7"/>
    <s v="Proyecto Fotovoltaico Cerrón Grande"/>
    <s v="Proyecto de energía solar fotovoltaica, de 8.5 MW pico. Objetivo: generar energía limpia y contribuir a diversificar la matriz energética."/>
    <s v="En el Municipio de Jutiapa, Departamento de "/>
    <s v="Se producirán 12.6 GWh, energía equivalente al consumo de 11 mil familias. "/>
    <s v="MW Instalados."/>
    <s v="0 MW"/>
    <m/>
    <m/>
    <s v="8.5 MWp. Se proyecta que entre en operación en el año 2017."/>
    <m/>
    <m/>
    <n v="2E-3"/>
    <n v="2E-3"/>
    <m/>
    <m/>
    <m/>
    <m/>
    <n v="2E-3"/>
    <n v="0"/>
    <m/>
    <m/>
    <m/>
    <m/>
    <m/>
    <m/>
    <m/>
    <m/>
    <m/>
    <m/>
    <m/>
    <x v="5"/>
    <m/>
    <n v="17"/>
    <n v="2E-3"/>
  </r>
  <r>
    <x v="0"/>
    <s v="1.ii. Fomentar la integración eléctrica regional."/>
    <s v="1.9"/>
    <s v="1.9 Diversificación de la matriz energética. "/>
    <s v="CEL"/>
    <m/>
    <m/>
    <m/>
    <x v="8"/>
    <s v="Parque Eólico Metapán"/>
    <s v="Proyecto Eólico con una capacidad Instalada de 42 MW de potencia, y energía anual de 126.5 GWh. Objetivo: incrementar la oferta de energía con recursos renovables y contribuir a la diversificación de la matriz energética."/>
    <s v="Metapán, Santa Ana."/>
    <s v="Se producirá energía para aproximadamente 100 mil familias."/>
    <s v="MW Instalados."/>
    <s v="0 MW"/>
    <m/>
    <m/>
    <s v="42 MW. Se proyecta que entre en operación en el año 2019."/>
    <m/>
    <m/>
    <n v="1.3795200000000001"/>
    <n v="1.3795200000000001"/>
    <m/>
    <m/>
    <m/>
    <m/>
    <n v="1.3795200000000001"/>
    <n v="1.3795200000000001"/>
    <m/>
    <n v="1.3795200000000001"/>
    <m/>
    <m/>
    <m/>
    <m/>
    <m/>
    <m/>
    <m/>
    <m/>
    <m/>
    <x v="5"/>
    <m/>
    <n v="18"/>
    <n v="0"/>
  </r>
  <r>
    <x v="0"/>
    <s v="1.ii. Fomentar la integración eléctrica regional."/>
    <s v="1.9"/>
    <s v="1.9 Diversificación de la matriz energética. "/>
    <s v="CEL"/>
    <m/>
    <m/>
    <m/>
    <x v="9"/>
    <s v="Proyecto Fotovoltaico 15 de Septiembre"/>
    <s v="Proyecto de energía solar fotovoltaica, de 14.2 MW pico. Objetivo: generar energía limpia y contribuir a diversificar la matriz energética."/>
    <s v="En el Municipio de Estanzuelas, Departamento de Usulután."/>
    <s v="Se producirán 24 GWh, energía equivalente al consumo de 20 mil familias. "/>
    <s v="MW Instalados."/>
    <s v="0 MW"/>
    <m/>
    <s v="14.2 MWp"/>
    <m/>
    <m/>
    <m/>
    <n v="21.381955000000001"/>
    <n v="4.3752050000000002"/>
    <n v="17.00675"/>
    <m/>
    <m/>
    <m/>
    <n v="21.381955000000001"/>
    <n v="4.3752050000000002"/>
    <m/>
    <n v="4.3752050000000002"/>
    <n v="17.00675"/>
    <s v="KFW"/>
    <m/>
    <m/>
    <m/>
    <m/>
    <m/>
    <m/>
    <m/>
    <x v="5"/>
    <m/>
    <n v="19"/>
    <n v="0"/>
  </r>
  <r>
    <x v="0"/>
    <s v="1.ii. Fomentar la integración eléctrica regional."/>
    <s v="1.10"/>
    <s v="1.10 Promoción de la eficiencia."/>
    <m/>
    <m/>
    <m/>
    <m/>
    <x v="0"/>
    <m/>
    <m/>
    <m/>
    <m/>
    <m/>
    <m/>
    <m/>
    <m/>
    <m/>
    <m/>
    <m/>
    <m/>
    <m/>
    <m/>
    <m/>
    <m/>
    <m/>
    <m/>
    <n v="0"/>
    <m/>
    <m/>
    <m/>
    <m/>
    <m/>
    <m/>
    <m/>
    <m/>
    <m/>
    <m/>
    <m/>
    <x v="0"/>
    <m/>
    <n v="20"/>
    <n v="0"/>
  </r>
  <r>
    <x v="0"/>
    <s v="1.ii. Fomentar la integración eléctrica regional."/>
    <s v="1.10"/>
    <s v="1.10 Promoción de la eficiencia."/>
    <s v="CEL"/>
    <m/>
    <m/>
    <m/>
    <x v="10"/>
    <s v="Proyecto Hidroeléctrico El Chaparral"/>
    <m/>
    <m/>
    <m/>
    <m/>
    <m/>
    <m/>
    <m/>
    <m/>
    <m/>
    <m/>
    <n v="97.926794999999998"/>
    <n v="33.939529999999998"/>
    <n v="63.987265000000001"/>
    <m/>
    <m/>
    <m/>
    <n v="97.926794999999998"/>
    <n v="33.939529999999998"/>
    <m/>
    <n v="33.939529999999998"/>
    <n v="63.987265000000001"/>
    <s v="BCIE"/>
    <m/>
    <m/>
    <m/>
    <m/>
    <m/>
    <m/>
    <m/>
    <x v="5"/>
    <m/>
    <n v="21"/>
    <n v="0"/>
  </r>
  <r>
    <x v="0"/>
    <s v="1.ii. Fomentar la integración eléctrica regional."/>
    <s v="1.10"/>
    <s v="1.10 Promoción de la eficiencia."/>
    <s v="CEL"/>
    <m/>
    <m/>
    <m/>
    <x v="11"/>
    <s v="Expansión de la Central Hidroeléctrica 5 de Noviembre"/>
    <m/>
    <m/>
    <m/>
    <m/>
    <m/>
    <m/>
    <m/>
    <m/>
    <m/>
    <m/>
    <n v="64.795195000000007"/>
    <n v="33.270964999999997"/>
    <n v="29.515239999999999"/>
    <m/>
    <n v="2.0089899999999998"/>
    <m/>
    <n v="64.795195000000007"/>
    <n v="33.270964999999997"/>
    <m/>
    <n v="33.270964999999997"/>
    <n v="29.515239999999999"/>
    <s v="BCIE"/>
    <n v="2.0089899999999998"/>
    <s v="KFW"/>
    <m/>
    <m/>
    <m/>
    <m/>
    <m/>
    <x v="5"/>
    <m/>
    <n v="22"/>
    <n v="1.1546319456101628E-14"/>
  </r>
  <r>
    <x v="0"/>
    <s v="1.ii. Fomentar la integración eléctrica regional."/>
    <s v="1.10"/>
    <s v="1.10 Promoción de la eficiencia."/>
    <s v="CEL"/>
    <m/>
    <m/>
    <m/>
    <x v="12"/>
    <s v="Programa de Eficiencia Energética en Instalaciones de CEL"/>
    <m/>
    <m/>
    <m/>
    <m/>
    <m/>
    <m/>
    <m/>
    <m/>
    <m/>
    <m/>
    <n v="0.52822999999999998"/>
    <n v="0.52822999999999998"/>
    <m/>
    <m/>
    <m/>
    <m/>
    <n v="0.52822999999999998"/>
    <n v="0.52822999999999998"/>
    <m/>
    <n v="0.52822999999999998"/>
    <m/>
    <m/>
    <m/>
    <m/>
    <m/>
    <m/>
    <m/>
    <m/>
    <m/>
    <x v="5"/>
    <m/>
    <n v="23"/>
    <n v="0"/>
  </r>
  <r>
    <x v="0"/>
    <s v="1.ii. Fomentar la integración eléctrica regional."/>
    <s v="1.10"/>
    <s v="1.10 Promoción de la eficiencia."/>
    <s v="CEL"/>
    <m/>
    <m/>
    <m/>
    <x v="13"/>
    <s v="Reparación y mantenimiento de Bordas en El Bajo Lempa. Etapa I"/>
    <m/>
    <m/>
    <m/>
    <m/>
    <m/>
    <m/>
    <m/>
    <m/>
    <m/>
    <m/>
    <n v="3"/>
    <n v="3"/>
    <m/>
    <m/>
    <m/>
    <m/>
    <n v="3"/>
    <n v="3"/>
    <m/>
    <n v="3"/>
    <m/>
    <m/>
    <m/>
    <m/>
    <m/>
    <m/>
    <m/>
    <m/>
    <m/>
    <x v="5"/>
    <m/>
    <n v="24"/>
    <n v="0"/>
  </r>
  <r>
    <x v="0"/>
    <s v="1.ii. Fomentar la integración eléctrica regional."/>
    <s v="1.10"/>
    <s v="1.10 Promoción de la eficiencia."/>
    <s v="CEL"/>
    <m/>
    <m/>
    <m/>
    <x v="14"/>
    <s v="Proyecto Hidroeléctrico El Cimarrón"/>
    <m/>
    <m/>
    <m/>
    <m/>
    <m/>
    <m/>
    <m/>
    <m/>
    <m/>
    <m/>
    <n v="2E-3"/>
    <m/>
    <m/>
    <m/>
    <m/>
    <m/>
    <n v="2E-3"/>
    <n v="0"/>
    <m/>
    <m/>
    <m/>
    <m/>
    <m/>
    <m/>
    <m/>
    <m/>
    <m/>
    <m/>
    <m/>
    <x v="5"/>
    <m/>
    <n v="25"/>
    <n v="2E-3"/>
  </r>
  <r>
    <x v="0"/>
    <s v="1.iii. Mejorar y expandir infraestructura y corredores logísticos."/>
    <s v="1.11"/>
    <s v="1.11 Expansión de corredores logísticos y fortalecimiento de red de transporte terrestre."/>
    <m/>
    <m/>
    <m/>
    <m/>
    <x v="0"/>
    <m/>
    <m/>
    <m/>
    <m/>
    <m/>
    <m/>
    <m/>
    <m/>
    <m/>
    <m/>
    <m/>
    <m/>
    <m/>
    <m/>
    <m/>
    <m/>
    <m/>
    <m/>
    <n v="0"/>
    <m/>
    <m/>
    <m/>
    <m/>
    <m/>
    <m/>
    <m/>
    <m/>
    <m/>
    <m/>
    <m/>
    <x v="0"/>
    <m/>
    <n v="26"/>
    <n v="0"/>
  </r>
  <r>
    <x v="0"/>
    <s v="1.iii. Mejorar y expandir infraestructura y corredores logísticos."/>
    <s v="1.11"/>
    <s v="1.11 Expansión de corredores logísticos y fortalecimiento de red de transporte terrestre."/>
    <s v="FOVIAL"/>
    <m/>
    <m/>
    <m/>
    <x v="0"/>
    <s v="MANTENIMIENTO PERIODICO DE LA RUTA CA12S: DV. LA LIBERTAD - PUERTO ACAJUTLA"/>
    <m/>
    <m/>
    <m/>
    <m/>
    <m/>
    <m/>
    <m/>
    <m/>
    <m/>
    <s v="a"/>
    <n v="2E-3"/>
    <n v="2E-3"/>
    <m/>
    <m/>
    <m/>
    <m/>
    <n v="2.5384652299999999"/>
    <n v="2.5384652299999999"/>
    <m/>
    <n v="2.5384652299999999"/>
    <m/>
    <m/>
    <m/>
    <m/>
    <m/>
    <m/>
    <m/>
    <m/>
    <m/>
    <x v="6"/>
    <m/>
    <n v="27"/>
    <n v="0"/>
  </r>
  <r>
    <x v="0"/>
    <s v="1.iii. Mejorar y expandir infraestructura y corredores logísticos."/>
    <s v="1.11"/>
    <s v="1.11 Expansión de corredores logísticos y fortalecimiento de red de transporte terrestre."/>
    <s v="FOVIAL"/>
    <m/>
    <m/>
    <m/>
    <x v="0"/>
    <s v="MANTENIMIENTO PERIODICO DE LA RUTA CA8AW: BY PASS SONSONATE (CA08W - Et CA12S)"/>
    <m/>
    <m/>
    <m/>
    <m/>
    <m/>
    <m/>
    <m/>
    <m/>
    <m/>
    <m/>
    <n v="2E-3"/>
    <n v="2E-3"/>
    <m/>
    <m/>
    <m/>
    <m/>
    <n v="2.1896136200000003"/>
    <n v="2.1896136200000003"/>
    <m/>
    <n v="2.1896136200000003"/>
    <m/>
    <m/>
    <m/>
    <m/>
    <m/>
    <m/>
    <m/>
    <m/>
    <m/>
    <x v="6"/>
    <m/>
    <n v="28"/>
    <n v="0"/>
  </r>
  <r>
    <x v="0"/>
    <s v="1.iii. Mejorar y expandir infraestructura y corredores logísticos."/>
    <s v="1.11"/>
    <s v="1.11 Expansión de corredores logísticos y fortalecimiento de red de transporte terrestre."/>
    <s v="MOP"/>
    <m/>
    <m/>
    <m/>
    <x v="15"/>
    <s v="PROGRAMA DE CAMINOS RURALES PARA EL DESARROLLO"/>
    <m/>
    <m/>
    <m/>
    <m/>
    <m/>
    <m/>
    <m/>
    <m/>
    <m/>
    <m/>
    <n v="4.2509600000000001"/>
    <n v="2.1165E-2"/>
    <n v="4.2297950000000002"/>
    <s v="BID"/>
    <m/>
    <m/>
    <n v="4.2509600000000001"/>
    <n v="2.1165E-2"/>
    <n v="2.1165E-2"/>
    <m/>
    <n v="4.2297950000000002"/>
    <s v="BID"/>
    <m/>
    <m/>
    <m/>
    <m/>
    <m/>
    <m/>
    <m/>
    <x v="7"/>
    <m/>
    <n v="29"/>
    <n v="0"/>
  </r>
  <r>
    <x v="0"/>
    <s v="1.iii. Mejorar y expandir infraestructura y corredores logísticos."/>
    <s v="1.11"/>
    <s v="1.11 Expansión de corredores logísticos y fortalecimiento de red de transporte terrestre."/>
    <s v="MOP"/>
    <m/>
    <m/>
    <m/>
    <x v="16"/>
    <s v="PROGRAMA DE CONCECTIVIDAD RURAL EN ZONA NORTE Y ORIENTE"/>
    <m/>
    <m/>
    <m/>
    <m/>
    <m/>
    <m/>
    <m/>
    <m/>
    <m/>
    <m/>
    <n v="0.81154999999999999"/>
    <n v="1.155E-2"/>
    <n v="0.8"/>
    <s v="BID"/>
    <m/>
    <m/>
    <n v="0.81154999999999999"/>
    <n v="1.155E-2"/>
    <n v="1.155E-2"/>
    <m/>
    <n v="0.8"/>
    <s v="BID"/>
    <m/>
    <m/>
    <m/>
    <m/>
    <m/>
    <m/>
    <m/>
    <x v="7"/>
    <m/>
    <n v="30"/>
    <n v="0"/>
  </r>
  <r>
    <x v="0"/>
    <s v="1.iii. Mejorar y expandir infraestructura y corredores logísticos."/>
    <s v="1.11"/>
    <s v="1.11 Expansión de corredores logísticos y fortalecimiento de red de transporte terrestre."/>
    <s v="MOP"/>
    <m/>
    <m/>
    <m/>
    <x v="17"/>
    <s v="PROGRAMA DE CONECTIVIDAD DE LA INFRAESTRUCTURA VIAL PARA EL DESARROLLO"/>
    <m/>
    <m/>
    <m/>
    <m/>
    <m/>
    <m/>
    <m/>
    <m/>
    <m/>
    <m/>
    <n v="5.4665549999999996"/>
    <n v="0.80589"/>
    <n v="4.6606649999999998"/>
    <s v="BCIE"/>
    <m/>
    <m/>
    <n v="5.4665549999999996"/>
    <n v="0.80589"/>
    <n v="0.80589"/>
    <m/>
    <n v="4.6606649999999998"/>
    <s v="BCIE"/>
    <m/>
    <m/>
    <m/>
    <m/>
    <m/>
    <m/>
    <m/>
    <x v="7"/>
    <m/>
    <n v="31"/>
    <n v="0"/>
  </r>
  <r>
    <x v="0"/>
    <s v="1.iii. Mejorar y expandir infraestructura y corredores logísticos."/>
    <s v="1.11"/>
    <s v="1.11 Expansión de corredores logísticos y fortalecimiento de red de transporte terrestre."/>
    <s v="MOP"/>
    <m/>
    <m/>
    <m/>
    <x v="18"/>
    <s v="PROGRAMA DE CAMINOS RURALES PROGRESIVOS EN EL SALVADOR - LAIF"/>
    <m/>
    <m/>
    <m/>
    <m/>
    <m/>
    <m/>
    <m/>
    <m/>
    <m/>
    <m/>
    <n v="3.739125"/>
    <n v="0.43016500000000002"/>
    <m/>
    <m/>
    <n v="3.3089599999999999"/>
    <s v="UE/AECID"/>
    <n v="3.739125"/>
    <n v="0.43016500000000002"/>
    <n v="0.43016500000000002"/>
    <m/>
    <m/>
    <m/>
    <n v="3.3089599999999999"/>
    <s v="UE/AECID"/>
    <m/>
    <m/>
    <m/>
    <m/>
    <m/>
    <x v="7"/>
    <m/>
    <n v="32"/>
    <n v="0"/>
  </r>
  <r>
    <x v="0"/>
    <s v="1.iii. Mejorar y expandir infraestructura y corredores logísticos."/>
    <s v="1.11"/>
    <s v="1.11 Expansión de corredores logísticos y fortalecimiento de red de transporte terrestre."/>
    <s v="MOP"/>
    <m/>
    <m/>
    <m/>
    <x v="19"/>
    <s v="CONTRUCCIÓN DE BY PASS EN LA CIUDAD DE SAN MIGUEL"/>
    <m/>
    <m/>
    <m/>
    <m/>
    <m/>
    <m/>
    <m/>
    <m/>
    <m/>
    <m/>
    <n v="1.1299999999999999"/>
    <n v="0.13"/>
    <n v="1"/>
    <s v="JICA"/>
    <m/>
    <m/>
    <n v="1.1299999999999999"/>
    <n v="0.13"/>
    <n v="0.13"/>
    <m/>
    <n v="1"/>
    <s v="JICA"/>
    <m/>
    <m/>
    <m/>
    <m/>
    <m/>
    <m/>
    <m/>
    <x v="7"/>
    <m/>
    <n v="33"/>
    <n v="-1.1102230246251565E-16"/>
  </r>
  <r>
    <x v="0"/>
    <s v="1.iii. Mejorar y expandir infraestructura y corredores logísticos."/>
    <s v="1.11"/>
    <s v="1.11 Expansión de corredores logísticos y fortalecimiento de red de transporte terrestre."/>
    <s v="FOMILENIO II"/>
    <m/>
    <m/>
    <m/>
    <x v="0"/>
    <s v="MITIGACIÓN SOCIAL AMBIENTAL DE LA CARRETERA EL LITORAL"/>
    <m/>
    <m/>
    <m/>
    <m/>
    <m/>
    <m/>
    <m/>
    <m/>
    <m/>
    <m/>
    <n v="1.1801585067031484"/>
    <n v="2E-3"/>
    <m/>
    <m/>
    <m/>
    <m/>
    <n v="1.1801585067031484"/>
    <n v="0"/>
    <m/>
    <m/>
    <n v="0.43164350670314844"/>
    <s v="BCIE"/>
    <n v="0.74851499999999993"/>
    <s v="MCC"/>
    <m/>
    <m/>
    <m/>
    <m/>
    <s v="La contrapartida ha sido prorrateada en base a los montos de cooperación respecitvos a cada proyecto. Pendiente de confirmar."/>
    <x v="4"/>
    <m/>
    <n v="34"/>
    <n v="0"/>
  </r>
  <r>
    <x v="0"/>
    <s v="1.iii. Mejorar y expandir infraestructura y corredores logísticos."/>
    <s v="1.12"/>
    <s v="1.12 Mejoramiento de puertos, aeropuertos y pasos de frontera."/>
    <m/>
    <m/>
    <m/>
    <m/>
    <x v="0"/>
    <m/>
    <m/>
    <m/>
    <m/>
    <m/>
    <m/>
    <m/>
    <m/>
    <m/>
    <m/>
    <m/>
    <m/>
    <m/>
    <m/>
    <m/>
    <m/>
    <m/>
    <m/>
    <n v="0"/>
    <m/>
    <m/>
    <m/>
    <m/>
    <m/>
    <m/>
    <m/>
    <m/>
    <m/>
    <m/>
    <m/>
    <x v="0"/>
    <m/>
    <n v="35"/>
    <n v="0"/>
  </r>
  <r>
    <x v="0"/>
    <s v="1.iii. Mejorar y expandir infraestructura y corredores logísticos."/>
    <s v="1.12"/>
    <s v="1.12 Mejoramiento de puertos, aeropuertos y pasos de frontera."/>
    <s v="MOP"/>
    <s v="02"/>
    <s v="03"/>
    <s v="61"/>
    <x v="20"/>
    <s v="PROGRAMA OBRAS DE MITIGACIÓN DE RIESGOS"/>
    <m/>
    <m/>
    <n v="25643"/>
    <s v="Porcentaje de proyecto finalizado/100"/>
    <m/>
    <m/>
    <n v="0.89113242102490176"/>
    <m/>
    <m/>
    <s v="a"/>
    <n v="6.0840500000000004"/>
    <m/>
    <m/>
    <m/>
    <m/>
    <m/>
    <n v="6.0840500000000004"/>
    <n v="0.69993499999999997"/>
    <n v="0.69993499999999997"/>
    <m/>
    <n v="5.3841150000000004"/>
    <s v="BCIE"/>
    <m/>
    <m/>
    <n v="0.46592503000000002"/>
    <m/>
    <m/>
    <m/>
    <m/>
    <x v="7"/>
    <m/>
    <n v="36"/>
    <n v="0"/>
  </r>
  <r>
    <x v="0"/>
    <s v="1.iii. Mejorar y expandir infraestructura y corredores logísticos."/>
    <s v="1.12"/>
    <s v="1.12 Mejoramiento de puertos, aeropuertos y pasos de frontera."/>
    <s v="CEPA"/>
    <m/>
    <m/>
    <m/>
    <x v="0"/>
    <s v="Obras de mejoramiento del Aeropuerto Internacional de El Salvador MOARG."/>
    <m/>
    <s v="Aeropuerto Internacional de El Salvador &quot;Monseñor Oscar Arnulfo Romero y Galdámez&quot;, ubicado en San Luis Talpa"/>
    <s v="1. Pasajeros nacionales e internacionales_x000d_2. Aerolíneas_x000d_3. Empresas de apoyo terrestre 4. Pasajeros entrando y saliendo_x000d_5. Tripulación_x000d_6. Empleados en general_x000d_7. Público en general"/>
    <m/>
    <n v="0"/>
    <n v="0"/>
    <n v="50"/>
    <n v="50"/>
    <m/>
    <m/>
    <n v="45.684519999999999"/>
    <n v="45.684519999999999"/>
    <m/>
    <m/>
    <m/>
    <m/>
    <n v="47.684520000000006"/>
    <n v="47.684520000000006"/>
    <m/>
    <n v="47.684520000000006"/>
    <m/>
    <m/>
    <m/>
    <m/>
    <m/>
    <m/>
    <m/>
    <m/>
    <m/>
    <x v="8"/>
    <m/>
    <n v="37"/>
    <n v="0"/>
  </r>
  <r>
    <x v="0"/>
    <s v="1.iii. Mejorar y expandir infraestructura y corredores logísticos."/>
    <s v="1.12"/>
    <s v="1.12 Mejoramiento de puertos, aeropuertos y pasos de frontera."/>
    <s v="CEPA"/>
    <m/>
    <m/>
    <m/>
    <x v="0"/>
    <s v="Obras de mejoramiento del Puerto de Acajutla"/>
    <m/>
    <s v="Nacional e Internacional"/>
    <s v="1. Personal operativo_x000d_2. Navieras_x000d_3. Transportistas_x000d_4. Empresas importadoras y exportadoras"/>
    <m/>
    <n v="0"/>
    <n v="0"/>
    <n v="100"/>
    <n v="0"/>
    <m/>
    <m/>
    <n v="4.75"/>
    <n v="4.75"/>
    <m/>
    <m/>
    <m/>
    <m/>
    <n v="2.7500000000000004"/>
    <n v="2.7500000000000004"/>
    <m/>
    <n v="2.7500000000000004"/>
    <m/>
    <m/>
    <m/>
    <m/>
    <m/>
    <m/>
    <m/>
    <m/>
    <m/>
    <x v="8"/>
    <m/>
    <n v="38"/>
    <n v="0"/>
  </r>
  <r>
    <x v="0"/>
    <s v="1.iii. Mejorar y expandir infraestructura y corredores logísticos."/>
    <s v="1.12"/>
    <s v="1.12 Mejoramiento de puertos, aeropuertos y pasos de frontera."/>
    <s v="FOMILENIO II"/>
    <m/>
    <m/>
    <m/>
    <x v="0"/>
    <s v="MITIGACIÓN SOCIAL AMBIENTAL EN CRUCES FRONTERIZOS"/>
    <m/>
    <m/>
    <m/>
    <m/>
    <m/>
    <m/>
    <m/>
    <m/>
    <m/>
    <m/>
    <n v="2.3649997128377156"/>
    <n v="2E-3"/>
    <m/>
    <m/>
    <m/>
    <m/>
    <n v="2.3649997128377156"/>
    <n v="0"/>
    <m/>
    <m/>
    <n v="0.8649997128377156"/>
    <s v="BCIE"/>
    <n v="1.5"/>
    <s v="MCC"/>
    <m/>
    <m/>
    <m/>
    <m/>
    <s v="La contrapartida ha sido prorrateada en base a los montos de cooperación respecitvos a cada proyecto. Pendiente de confirmar."/>
    <x v="4"/>
    <m/>
    <n v="39"/>
    <n v="0"/>
  </r>
  <r>
    <x v="0"/>
    <s v="1.v. Fortalecer la infraestructura y servicios en gobiernos locales"/>
    <s v="1.17"/>
    <s v="1.17 Fortalecer infraestructura y servicios públicos a nivel territorial"/>
    <m/>
    <m/>
    <m/>
    <m/>
    <x v="0"/>
    <m/>
    <m/>
    <m/>
    <m/>
    <m/>
    <m/>
    <m/>
    <m/>
    <m/>
    <m/>
    <m/>
    <m/>
    <m/>
    <m/>
    <m/>
    <m/>
    <m/>
    <m/>
    <n v="0"/>
    <m/>
    <m/>
    <m/>
    <m/>
    <m/>
    <m/>
    <m/>
    <m/>
    <m/>
    <m/>
    <m/>
    <x v="0"/>
    <m/>
    <n v="35"/>
    <n v="0"/>
  </r>
  <r>
    <x v="0"/>
    <s v="1.v. Fortalecer la infraestructura y servicios en gobiernos locales"/>
    <s v="1.17"/>
    <s v="1.17 Fortalecer infraestructura y servicios públicos a nivel territorial"/>
    <s v="MH - FODES"/>
    <s v="11"/>
    <s v="02"/>
    <m/>
    <x v="0"/>
    <s v="Fondo de Desarrollo Económico y Social (FODES) de los municipios"/>
    <s v="Transferencia a los gobiernos locales._x000d_Incluye inversiones para proyectos de saneamiento, calles, caminos vecinales, reparación de escuelas, recuperación de espacios públicos, entre otros."/>
    <s v="44 municipios del plan PATN"/>
    <m/>
    <m/>
    <m/>
    <m/>
    <m/>
    <m/>
    <m/>
    <m/>
    <n v="261.37650500000001"/>
    <n v="261.37650500000001"/>
    <m/>
    <m/>
    <m/>
    <m/>
    <n v="261.37650500000001"/>
    <n v="261.37650500000001"/>
    <n v="261.37650500000001"/>
    <m/>
    <m/>
    <m/>
    <m/>
    <m/>
    <m/>
    <m/>
    <m/>
    <m/>
    <s v="INFORMACIÓN OBTENIDA DEL PAIP APROBADO 2016"/>
    <x v="9"/>
    <m/>
    <n v="36"/>
    <n v="0"/>
  </r>
  <r>
    <x v="1"/>
    <s v="2.i. Expandir los sistemas de protección social y transferencias condicionadas."/>
    <s v="2.1"/>
    <s v="2.1 Fortalecimiento de los Sistemas de Protección Social en territorios priorizados."/>
    <m/>
    <m/>
    <m/>
    <m/>
    <x v="0"/>
    <m/>
    <m/>
    <m/>
    <m/>
    <m/>
    <m/>
    <m/>
    <m/>
    <m/>
    <m/>
    <m/>
    <m/>
    <m/>
    <m/>
    <m/>
    <m/>
    <m/>
    <m/>
    <n v="0"/>
    <m/>
    <m/>
    <m/>
    <m/>
    <m/>
    <m/>
    <m/>
    <m/>
    <m/>
    <m/>
    <m/>
    <x v="0"/>
    <m/>
    <n v="40"/>
    <n v="0"/>
  </r>
  <r>
    <x v="1"/>
    <s v="2.i. Expandir los sistemas de protección social y transferencias condicionadas."/>
    <s v="2.1"/>
    <s v="2.1 Fortalecimiento de los Sistemas de Protección Social en territorios priorizados."/>
    <s v="FISDL"/>
    <s v="03 APOYO AL PROGRAMA ERRADICACIÓN DE LA POBREZA EN EL SALVADOR"/>
    <s v="01 APOYO EN EDUCACION Y SALUD"/>
    <s v="51, 54, 55, 61 y 62"/>
    <x v="21"/>
    <s v="Sistema de Protección Social Universal (SPSU) - Expansión a 44 municipios"/>
    <s v="Programas de Transferencias Monetarias Condicionadas  dirigidas a familias en condición de vulnerabilidad y Exclusión Social con el propósito de mejorar sus condiciones de vida, que incluye el componente de apoyo y seguimiento integral a las familias participantes."/>
    <s v="44 municipios "/>
    <s v="1. FAMILIAS CON JOVENES QUE CURSAN ENTRE 7o GRADO Y BACHILLERATO_x000d__x000d_2. FAMILIAS CON NIÑOS ENTRE 0-5 AÑOS Y/O MUJERES EMBARAZADAS"/>
    <s v="Familias atendidas a través de programas de Transferencias monetarias condicionadas"/>
    <n v="10197"/>
    <n v="9500"/>
    <n v="16853"/>
    <n v="34326"/>
    <m/>
    <s v="a"/>
    <n v="6.4941500000000003"/>
    <n v="2E-3"/>
    <n v="6.4941500000000003"/>
    <m/>
    <m/>
    <m/>
    <n v="0.8"/>
    <n v="0.8"/>
    <n v="0.8"/>
    <m/>
    <m/>
    <m/>
    <m/>
    <m/>
    <m/>
    <n v="68.42"/>
    <n v="28.42"/>
    <n v="40"/>
    <s v=" 2016: PARA LOS MUNICIPIOS DECOMUNIDADES SOLIDARIAS   _x000d__x000d_1. De los 44 municipios priorizados, 4 coinciden con CSR, los cuales seguirán siendo atendidos en dicho programa. _x000d__x000d_2. De los 44 municipios priorizados ninguno coincide con los municipios de CSU (bono educación) en lo que actualmente hay intervención. _x000d__x000d_3. Datos basados en implementar el Bono Educación Urbano en los 40 municipios restantes, así como un Bono Salud.    "/>
    <x v="1"/>
    <m/>
    <n v="41"/>
    <n v="0"/>
  </r>
  <r>
    <x v="1"/>
    <s v="2.i. Expandir los sistemas de protección social y transferencias condicionadas."/>
    <s v="2.1"/>
    <s v="2.1 Fortalecimiento de los Sistemas de Protección Social en territorios priorizados."/>
    <s v="FISDL"/>
    <s v="03 APOYO AL PROGRAMA ERRADICACIÓN DE LA POBREZA EN EL SALVADOR"/>
    <s v="01 APOYO EN EDUCACION Y SALUD"/>
    <s v="51, 54, 55, 61 y 62"/>
    <x v="21"/>
    <s v="Sistema de Protección Social Universal (SPSU)"/>
    <s v="Programas de Transferencias Monetarias Condicionadas  dirigidas a familias en condición de vulnerabilidad y Exclusión Social con el propósito de mejorar sus condiciones de vida, que incluye el componente de apoyo y seguimiento integral a las familias participantes."/>
    <s v="Nivel nacional"/>
    <m/>
    <m/>
    <m/>
    <m/>
    <m/>
    <m/>
    <s v="a"/>
    <s v="a"/>
    <n v="20.856439999999999"/>
    <n v="3.7590400000000002"/>
    <n v="17.0974"/>
    <m/>
    <m/>
    <m/>
    <n v="17.100000000000001"/>
    <n v="17.100000000000001"/>
    <n v="17.100000000000001"/>
    <m/>
    <m/>
    <m/>
    <m/>
    <m/>
    <m/>
    <m/>
    <m/>
    <m/>
    <s v="PROGRAMAS Y RECURSOS ADICIONADOS EN V.2_x000d_Con el presupuesto 2016 se atenderán 115 municipios"/>
    <x v="1"/>
    <m/>
    <n v="42"/>
    <n v="0"/>
  </r>
  <r>
    <x v="1"/>
    <s v="2.ii. Aumentar la cobertura y mejorar la calidad de la educación secundaria, tercer ciclo y vocacional."/>
    <s v="2.2"/>
    <s v="2.2 Ampliación de la cobertura de educación secundaria."/>
    <m/>
    <m/>
    <m/>
    <m/>
    <x v="0"/>
    <m/>
    <m/>
    <m/>
    <m/>
    <m/>
    <m/>
    <m/>
    <m/>
    <m/>
    <m/>
    <m/>
    <m/>
    <m/>
    <m/>
    <m/>
    <m/>
    <m/>
    <m/>
    <n v="0"/>
    <m/>
    <m/>
    <m/>
    <m/>
    <m/>
    <m/>
    <m/>
    <m/>
    <m/>
    <m/>
    <m/>
    <x v="0"/>
    <m/>
    <n v="43"/>
    <m/>
  </r>
  <r>
    <x v="1"/>
    <s v="2.ii. Aumentar la cobertura y mejorar la calidad de la educación secundaria, tercer ciclo y vocacional."/>
    <s v="2.2"/>
    <s v="2.2 Ampliación de la cobertura de educación secundaria."/>
    <s v="MINED"/>
    <s v="07"/>
    <s v="05"/>
    <m/>
    <x v="0"/>
    <s v="Cultura Emprendedora"/>
    <s v="Se desarrollaran  competencias emprendedoras para formular e implementar ideas de negocios, de corte cooperativo asociativo."/>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Bachilleratos Técnicos Vocacionales públicos,  formados en cultura emprendedora."/>
    <s v="11,550 estudiantes formados"/>
    <m/>
    <m/>
    <m/>
    <m/>
    <m/>
    <m/>
    <m/>
    <m/>
    <m/>
    <m/>
    <m/>
    <m/>
    <n v="5.5E-2"/>
    <n v="5.5E-2"/>
    <n v="5.5E-2"/>
    <m/>
    <m/>
    <m/>
    <m/>
    <m/>
    <m/>
    <m/>
    <m/>
    <m/>
    <s v="Este Programa se está desarrollando desde el año 2010, del cual se cuenta  con  resultados importatnes: más de 30,000 estudiantes foramados en cultura emprendedora con énfais en  cooperativismo y asociatividad, y más de 1600 bachilleres y técnicos de educación superior, beneficiados con capital semilla."/>
    <x v="10"/>
    <m/>
    <n v="44"/>
    <n v="0"/>
  </r>
  <r>
    <x v="1"/>
    <s v="2.ii. Aumentar la cobertura y mejorar la calidad de la educación secundaria, tercer ciclo y vocacional."/>
    <s v="2.2"/>
    <s v="2.2 Ampliación de la cobertura de educación secundaria."/>
    <s v="MINED"/>
    <s v="07"/>
    <s v="05"/>
    <m/>
    <x v="0"/>
    <s v="ORIENTACIÓN VOCACIONAL PARA ESTUDIANTES DE NOVENO GRADO DE EDUCACIÓN BÁSICA Y EDUCACION MEDIA TECNICA."/>
    <s v="Consiste en apoyar a las y los jóvenes a definir su plan de vida, y selección de un bachuillerato de acuerdo a su vocación,  con el apoyo de los docentes de aula."/>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noveno grado de Educación Básica y Bachillerato Técnico."/>
    <s v="1900 estudiantes Orientados en su proyecto de vida"/>
    <m/>
    <m/>
    <m/>
    <m/>
    <m/>
    <m/>
    <m/>
    <m/>
    <m/>
    <m/>
    <m/>
    <m/>
    <n v="0.05"/>
    <n v="0.05"/>
    <n v="0.05"/>
    <m/>
    <m/>
    <m/>
    <m/>
    <m/>
    <m/>
    <m/>
    <m/>
    <m/>
    <m/>
    <x v="10"/>
    <m/>
    <n v="45"/>
    <n v="0"/>
  </r>
  <r>
    <x v="1"/>
    <s v="2.ii. Aumentar la cobertura y mejorar la calidad de la educación secundaria, tercer ciclo y vocacional."/>
    <s v="2.2"/>
    <s v="2.2 Ampliación de la cobertura de educación secundaria."/>
    <s v="MINED"/>
    <s v="07"/>
    <s v="05"/>
    <m/>
    <x v="0"/>
    <s v="Becas a Estudiantes de educación Superior de sedes MEGATEC"/>
    <s v="Otorgar becas de estudio a estudiantes de  Educación Tecnológico Superior"/>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Educación Superior."/>
    <s v="908 Estudiantes becados"/>
    <m/>
    <m/>
    <m/>
    <m/>
    <m/>
    <m/>
    <m/>
    <m/>
    <m/>
    <m/>
    <m/>
    <m/>
    <n v="1.64"/>
    <n v="1.64"/>
    <n v="1.64"/>
    <m/>
    <m/>
    <m/>
    <m/>
    <m/>
    <m/>
    <m/>
    <m/>
    <m/>
    <m/>
    <x v="10"/>
    <m/>
    <n v="46"/>
    <n v="0"/>
  </r>
  <r>
    <x v="1"/>
    <s v="2.ii. Aumentar la cobertura y mejorar la calidad de la educación secundaria, tercer ciclo y vocacional."/>
    <s v="2.2"/>
    <s v="2.2 Ampliación de la cobertura de educación secundaria."/>
    <s v="MINED"/>
    <s v="06"/>
    <s v="01"/>
    <m/>
    <x v="0"/>
    <s v="Becas Estudiantes de Media"/>
    <s v="Otorgar becas de estudio a estudiantes de Bachillerato Técnico"/>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Estudiantes de Educación Media"/>
    <s v="136 Estudiantes becados"/>
    <m/>
    <m/>
    <m/>
    <m/>
    <m/>
    <m/>
    <n v="0.54"/>
    <m/>
    <m/>
    <m/>
    <m/>
    <m/>
    <n v="0.54"/>
    <n v="0.54"/>
    <n v="0.54"/>
    <m/>
    <m/>
    <m/>
    <m/>
    <m/>
    <m/>
    <m/>
    <m/>
    <m/>
    <s v="DESAGREGADO POR LA INSTITUCIÓN "/>
    <x v="10"/>
    <m/>
    <n v="47"/>
    <n v="0"/>
  </r>
  <r>
    <x v="1"/>
    <s v="2.ii. Aumentar la cobertura y mejorar la calidad de la educación secundaria, tercer ciclo y vocacional."/>
    <s v="2.2"/>
    <s v="2.2 Ampliación de la cobertura de educación secundaria."/>
    <s v="MINED"/>
    <s v="04, 05 y 06"/>
    <s v="04-02, 05-01 y 06-01"/>
    <s v="54, 56"/>
    <x v="0"/>
    <s v="PROGRAMA DE ALIMENTACION Y SALUD ESCOLAR (PASE) Y VASO DE LECHE"/>
    <s v="Contribuir a mejorar la capacidad de aprendizaje de los estudiantes por medio de la dotación de una ración diaria de alimentos, satisfaciendo sus necesidades alimentarias inmediatas y fortaleciendo las acciones educativas, introduciendo conocimientos y prácticas adecuadas en salud, alimentación y nutrición."/>
    <s v="Cobertura Nacional en 5,109 centros escolares públicos, en los 262 municipios del pais. (No se cubre la totalidad de centros escolares)"/>
    <s v="1300000 nacional (294,094 estudiantes en triángulo norte)"/>
    <s v="1.3 millones de estudiantes reciben alimentacion escolar a lo largo del periodo escolar"/>
    <s v="1.3 millones de estudiantes reciben alimentacion escolar a lo largo del periodo escolar"/>
    <m/>
    <s v="1.3 millones de estudiantes reciben alimentacion escolar a lo largo del periodo escolar"/>
    <m/>
    <m/>
    <m/>
    <m/>
    <m/>
    <m/>
    <m/>
    <m/>
    <m/>
    <n v="6.99"/>
    <n v="5.75"/>
    <n v="5.75"/>
    <m/>
    <m/>
    <m/>
    <n v="1.24"/>
    <s v="FANTEL"/>
    <m/>
    <m/>
    <m/>
    <m/>
    <s v="El presupuesto se ha calculado como una proporcion de la inversion que se hara en los municipios focalizados, con base a las matriculas de los centros escolares"/>
    <x v="10"/>
    <m/>
    <n v="48"/>
    <n v="0"/>
  </r>
  <r>
    <x v="1"/>
    <s v="2.ii. Aumentar la cobertura y mejorar la calidad de la educación secundaria, tercer ciclo y vocacional."/>
    <s v="2.2"/>
    <s v="2.2 Ampliación de la cobertura de educación secundaria."/>
    <s v="MINED"/>
    <s v="04, 05 y 06"/>
    <s v="04-02, 05-01 y 06-01"/>
    <s v="54, 56"/>
    <x v="0"/>
    <s v="PROGRAMA PAQUETE ESCOLAR"/>
    <s v="Contribuir a incrementar la matricula y permanencia de los niños, niñas y adolescentes en la escuela, promoviendo la equidad. Ademas se fortalece y promueve el desarrollo local con la participación de proveedores micros y pequeños empresarios."/>
    <s v="Cobertura Nacional al 100% de los estudiantes de centros educativos públicos."/>
    <s v="1300000 nacional (297,388 estudiantes en triangulo norte)"/>
    <s v="1.3 millones de estudiantes reciben paquete de útiles, zapatos y dos uniformes escolares."/>
    <s v="1.3 millones de estudiantes reciben paquete de útiles, zapatos y dos uniformes escolares."/>
    <m/>
    <s v="1.3 millones de estudiantes reciben paquete de útiles, zapatos y dos uniformes escolares."/>
    <m/>
    <m/>
    <m/>
    <m/>
    <m/>
    <m/>
    <m/>
    <m/>
    <m/>
    <n v="16.98"/>
    <n v="16.98"/>
    <n v="16.98"/>
    <m/>
    <m/>
    <m/>
    <m/>
    <m/>
    <m/>
    <m/>
    <m/>
    <m/>
    <m/>
    <x v="10"/>
    <m/>
    <n v="49"/>
    <n v="0"/>
  </r>
  <r>
    <x v="1"/>
    <s v="2.ii. Aumentar la cobertura y mejorar la calidad de la educación secundaria, tercer ciclo y vocacional."/>
    <s v="2.2"/>
    <s v="2.2 Ampliación de la cobertura de educación secundaria."/>
    <s v="MINED"/>
    <s v="09"/>
    <s v="01"/>
    <m/>
    <x v="0"/>
    <s v="* Proyecto de Mejora de la Calidad de la Educación, convenio de préstamo 8110 - SV"/>
    <s v="Este proyecto contribuirá con la construccion  de infraestructura completa,para contribuir a los procesos de aprendizaje de los centros escolares del Sistema Integrado de EITP."/>
    <s v="En 2016 en  4 municipios: Izalco, Sonsonate, Jiquilisco y San Alejo con infraestructura completa  ubicados en 3 departamentos."/>
    <s v="7881 estudiantes , Izalco,  Sonsonate, Jiquilisco y San Alejo en 2016 en 3 departamentos"/>
    <s v="9  centros escolares mejorados en infraestructura  incluida supervisión de la obra"/>
    <m/>
    <m/>
    <m/>
    <m/>
    <m/>
    <m/>
    <n v="7"/>
    <m/>
    <m/>
    <m/>
    <m/>
    <m/>
    <n v="7"/>
    <n v="0"/>
    <m/>
    <m/>
    <n v="7"/>
    <s v="Banco Mundial"/>
    <m/>
    <m/>
    <m/>
    <m/>
    <m/>
    <m/>
    <s v="DESAGREGADO POR LA INSTITUCIÓN "/>
    <x v="10"/>
    <m/>
    <n v="50"/>
    <n v="0"/>
  </r>
  <r>
    <x v="1"/>
    <s v="2.ii. Aumentar la cobertura y mejorar la calidad de la educación secundaria, tercer ciclo y vocacional."/>
    <s v="2.2"/>
    <s v="2.2 Ampliación de la cobertura de educación secundaria."/>
    <s v="MINED"/>
    <s v="09"/>
    <s v="01"/>
    <m/>
    <x v="0"/>
    <s v="*Potenciando la Escuela Inclusiva de Tiempo Pleno en El Salvador"/>
    <s v="Este proyecto contribuirá con la construccion  de infraestructura ,para contribuir a los procesos de aprendizaje de los centros escolares  EITP."/>
    <s v="En 2016  en 2 Centros escolares en 2 departamentos"/>
    <s v="1578 estudiantes  pertenecientes  a  2 municipios  Ilobasco y El Carmen,  y 2 departamentos en 2016."/>
    <s v="2  centros escolares mejorados en infraestructura."/>
    <m/>
    <m/>
    <m/>
    <m/>
    <m/>
    <m/>
    <n v="0.37308356000000004"/>
    <m/>
    <m/>
    <m/>
    <m/>
    <m/>
    <n v="0.37308356000000004"/>
    <n v="4.308356E-2"/>
    <n v="4.308356E-2"/>
    <m/>
    <m/>
    <m/>
    <n v="0.33"/>
    <s v="Italia"/>
    <m/>
    <m/>
    <m/>
    <m/>
    <s v="DESAGREGADO POR LA INSTITUCIÓN "/>
    <x v="10"/>
    <m/>
    <n v="51"/>
    <n v="0"/>
  </r>
  <r>
    <x v="1"/>
    <s v="2.ii. Aumentar la cobertura y mejorar la calidad de la educación secundaria, tercer ciclo y vocacional."/>
    <s v="2.2"/>
    <s v="2.2 Ampliación de la cobertura de educación secundaria."/>
    <s v="MINED"/>
    <s v="03"/>
    <s v="02"/>
    <m/>
    <x v="0"/>
    <s v="PROYECTO LEMPITAS"/>
    <s v="Facilitar el acceso a las tecnologías mediante la entrega de computadoras portátiles y la capacitación de docentes en integración de las TIC en el aula."/>
    <s v="Se entregó en San Salvador, La Libertad, San Miguel, Morazán, Santa Ana y Usulután."/>
    <s v="6,043 estudiantes_x000d_207 docentes"/>
    <s v="125 CE mejorados en infraestructura tecnológica,  y 1,075 docentes capacitados."/>
    <n v="1186"/>
    <m/>
    <n v="7890"/>
    <m/>
    <m/>
    <m/>
    <n v="1.956"/>
    <m/>
    <m/>
    <m/>
    <m/>
    <m/>
    <n v="1.956"/>
    <n v="0.75600000000000001"/>
    <n v="0.75600000000000001"/>
    <m/>
    <n v="0"/>
    <m/>
    <n v="1.2"/>
    <s v="Fundación ALBA"/>
    <m/>
    <m/>
    <m/>
    <m/>
    <s v="El $1.2 Millones es una cooperación en especie._x000d_DESAGREGADO POR LA INSTITUCIÓN "/>
    <x v="10"/>
    <m/>
    <n v="52"/>
    <n v="0"/>
  </r>
  <r>
    <x v="1"/>
    <s v="2.ii. Aumentar la cobertura y mejorar la calidad de la educación secundaria, tercer ciclo y vocacional."/>
    <s v="2.2"/>
    <s v="2.2 Ampliación de la cobertura de educación secundaria."/>
    <s v="FOMILENIO II"/>
    <m/>
    <m/>
    <m/>
    <x v="0"/>
    <s v="CAPITAL HUMANO FOMILENIO II"/>
    <s v="Fortalecimiento del Sistema Nacional de Educación, Modelo Inclusivo de Tiempo Completo, Gobernanza del Sistema Integrado y Evaluación Continua de la Demanda del Trabajo."/>
    <m/>
    <m/>
    <m/>
    <m/>
    <m/>
    <m/>
    <m/>
    <m/>
    <m/>
    <n v="10.11426813857504"/>
    <n v="2E-3"/>
    <m/>
    <m/>
    <m/>
    <m/>
    <n v="10.11426813857504"/>
    <n v="0"/>
    <m/>
    <m/>
    <n v="3.6992981385750401"/>
    <s v="BCIE"/>
    <n v="6.4149700000000003"/>
    <s v="MCC"/>
    <m/>
    <m/>
    <m/>
    <m/>
    <s v="La contrapartida ha sido prorrateada en base a los montos de cooperación respecitvos a cada proyecto. Pendiente de confirmar."/>
    <x v="4"/>
    <m/>
    <n v="53"/>
    <n v="0"/>
  </r>
  <r>
    <x v="1"/>
    <s v="2.ii. Aumentar la cobertura y mejorar la calidad de la educación secundaria, tercer ciclo y vocacional."/>
    <s v="2.3"/>
    <s v="2.3 Mejoramiento de la formación para el trabajo de jóvenes. "/>
    <m/>
    <m/>
    <m/>
    <m/>
    <x v="0"/>
    <m/>
    <m/>
    <m/>
    <m/>
    <m/>
    <m/>
    <m/>
    <m/>
    <m/>
    <m/>
    <m/>
    <m/>
    <m/>
    <m/>
    <m/>
    <m/>
    <m/>
    <m/>
    <n v="0"/>
    <m/>
    <m/>
    <m/>
    <m/>
    <m/>
    <m/>
    <m/>
    <m/>
    <m/>
    <m/>
    <m/>
    <x v="0"/>
    <m/>
    <n v="54"/>
    <n v="0"/>
  </r>
  <r>
    <x v="1"/>
    <s v="2.ii. Aumentar la cobertura y mejorar la calidad de la educación secundaria, tercer ciclo y vocacional."/>
    <s v="2.3"/>
    <s v="2.3 Mejoramiento de la formación para el trabajo de jóvenes. "/>
    <s v="FISDL"/>
    <s v="05 EMPLEO Y EMPLEABILIDAD JOVEN"/>
    <s v="01 PROGRAMA APOYO TEMPORAL AL INGRESO"/>
    <s v="51, 54 y 62"/>
    <x v="22"/>
    <s v="Programa de Apoyo Temporal al Ingreso (PATI)"/>
    <s v="El Programa de Apoyo Temporal al Ingreso (PATI), tiene el propósito de reducir el impacto negativo en contextos de crisis en los ingresos de las familias, a si como a fortalecer  principalmente las capacidades de las mujeres y la juventud participante, que viven en las zonas urbanas de mayor exclusion, para mejorar sus capacidades de empleabilidad  y su integración en la comunidad. Para ello el programa financiará prioritariamente la participación de las mujeres y jóvenes en proyectos comunitarios  y cursos de capaacitación técncia, así como  brindará ingresos  individuales  por valor de $100 mensuales  durante un peridodo de 6 meses; así mismo el PATI apoyará, como estrategia base, el fortalecimiento de las capacidades de las municipalidades participantes mediante asistencia técnica, capacitación y un complemento  monetario para  gastos administrativos relacionados directamente con los proyectos comunitarios que se ejecutarán; haciendo énfasis en actividades que fomenten la convivencia y cohesión social en los asentamientos donde intervenga y en la cooperación interinstitucional a nivel local."/>
    <s v="El programa se desarrollara en los 31 municipios que no han participado en el PATI y que han sido  seleccionados como elegibles de acuerdo a la propuesta de seleccion de territorios del. PAPTN_x000d_"/>
    <s v="La población objetivo esta compuesta  por Mujeres y Hombres, de 16 años en adelante, de preferencia priorizando jefas de hogar,  y jovenes entre los 16 y 24 años.  "/>
    <s v="_x000d__x000d_Número de participantes del PATI que han recibido apoyo al ingreso (4 pagos o más)_x000d__x000d_Porcentaje de participantes PATI que han completado la capacitación y proyectos comunitarios_x000d__x000d_"/>
    <m/>
    <n v="250"/>
    <n v="3875"/>
    <n v="15750"/>
    <m/>
    <m/>
    <n v="0.72499999999999998"/>
    <n v="2E-3"/>
    <n v="0.72499999999999998"/>
    <m/>
    <m/>
    <m/>
    <n v="0.72499999999999998"/>
    <n v="0"/>
    <m/>
    <m/>
    <n v="0.72499999999999998"/>
    <s v="Banco Mundial"/>
    <m/>
    <m/>
    <m/>
    <n v="68.42"/>
    <n v="28.42"/>
    <n v="40"/>
    <s v="La Intervencion 2015, esta siendo ejecutada en el municipio de Usulutan _x000d__x000d_De los 44 municipios elegibles se propone intervenir el PATI en 31 municipios"/>
    <x v="1"/>
    <m/>
    <n v="55"/>
    <n v="0"/>
  </r>
  <r>
    <x v="1"/>
    <s v="2.ii. Aumentar la cobertura y mejorar la calidad de la educación secundaria, tercer ciclo y vocacional."/>
    <s v="2.3"/>
    <s v="2.3 Mejoramiento de la formación para el trabajo de jóvenes. "/>
    <s v="MINED"/>
    <s v="03"/>
    <s v="01"/>
    <s v="62"/>
    <x v="0"/>
    <s v="Programa: Atención a Estudiantes con Desempeño Sobresaliente (AEDS) en Competencias para la Investigación Científica: Academias Sabatinas Departamentales"/>
    <s v="• Despliegue progresivo de una Red Nacional de Academias Sabatinas Departamentales (ASD) para la formación en competencias para la investigación científica de estudiantes con desempeño sobresaliente de Básica y Media."/>
    <s v="Academias Sanatinas Departamentales presentes en los departamentos: La Unión, Morazán,  Cabañas, Chalatenango, Ahuachapán, Sonsonate, Cuscatlán, San Vicente y Usulután, La Paz."/>
    <s v="374 Estudiantes provenientes de 30 municipios correspondientes a Triángulo Norte"/>
    <s v="La Red Nacional de Academias Sabatinas Departamentales (ASD) brinda atención a 900 estudiantes de 8° y 9° Básica y 1° y 2° Media."/>
    <s v="*900 Estudiantes"/>
    <m/>
    <s v="*1000 Estudiantes"/>
    <m/>
    <m/>
    <m/>
    <n v="0.28499999999999998"/>
    <m/>
    <m/>
    <m/>
    <m/>
    <m/>
    <n v="0.28499999999999998"/>
    <n v="0.28499999999999998"/>
    <n v="0.28499999999999998"/>
    <m/>
    <m/>
    <m/>
    <m/>
    <m/>
    <m/>
    <m/>
    <m/>
    <m/>
    <s v="DESAGREGADO POR LA INSTITUCIÓN "/>
    <x v="10"/>
    <m/>
    <n v="56"/>
    <n v="0"/>
  </r>
  <r>
    <x v="1"/>
    <s v="2.ii. Aumentar la cobertura y mejorar la calidad de la educación secundaria, tercer ciclo y vocacional."/>
    <s v="2.3"/>
    <s v="2.3 Mejoramiento de la formación para el trabajo de jóvenes. "/>
    <s v="MINED"/>
    <s v="07"/>
    <s v="06/07"/>
    <s v="56"/>
    <x v="0"/>
    <s v="Programa de Atención a Estudiantes con Desempeño Sobresaliente (AEDS) en Competencias para la Investigación Científica: Academias Sabatinas Experimentales"/>
    <s v="• Trasformación progresiva de iniciativas universitarias en Academias Sabatinas Experimentales (ASEx) para la formación en competencias para la investigación científica de estudiantes con desempeño sobresaliente de Básica y Media."/>
    <s v="Academias Sabatinas Experimentales  Ahuachapán, Santa Ana, Cabañas, Chalatenango,Cuscatlán, La Libertad, La Unión, Morazán, San Miguel, La Paz, Sonsonate, San Salvador y Usulután,  San Vicente"/>
    <s v="169 Estudiantes Beneficiarios que pertenecen a los municipios del Trigángulo Norte"/>
    <s v="Estudiantes de 4° Grado de Educación Básica a 2° año de Bachillerato, del sector Público y Privado del sistema de Educación Nacional."/>
    <s v="1,600 AEDS"/>
    <m/>
    <s v="1,800 AEDS"/>
    <m/>
    <m/>
    <m/>
    <m/>
    <m/>
    <m/>
    <m/>
    <m/>
    <m/>
    <n v="0.20200000000000001"/>
    <n v="0.20200000000000001"/>
    <n v="0.20200000000000001"/>
    <m/>
    <m/>
    <m/>
    <m/>
    <m/>
    <m/>
    <m/>
    <m/>
    <m/>
    <m/>
    <x v="10"/>
    <m/>
    <n v="57"/>
    <n v="0"/>
  </r>
  <r>
    <x v="1"/>
    <s v="2.ii. Aumentar la cobertura y mejorar la calidad de la educación secundaria, tercer ciclo y vocacional."/>
    <s v="2.4"/>
    <s v="2.4 Mejoramiento de la formación y carrera docente."/>
    <m/>
    <m/>
    <m/>
    <m/>
    <x v="0"/>
    <m/>
    <m/>
    <m/>
    <m/>
    <m/>
    <m/>
    <m/>
    <m/>
    <m/>
    <m/>
    <m/>
    <m/>
    <m/>
    <m/>
    <m/>
    <m/>
    <m/>
    <m/>
    <n v="0"/>
    <m/>
    <m/>
    <m/>
    <m/>
    <m/>
    <m/>
    <m/>
    <m/>
    <m/>
    <m/>
    <m/>
    <x v="0"/>
    <m/>
    <n v="58"/>
    <m/>
  </r>
  <r>
    <x v="1"/>
    <s v="2.ii. Aumentar la cobertura y mejorar la calidad de la educación secundaria, tercer ciclo y vocacional."/>
    <s v="2.4"/>
    <s v="2.4 Mejoramiento de la formación y carrera docente."/>
    <s v="MINED"/>
    <s v="07. Apoyos a instituciones adscritas y otras entidades"/>
    <s v="06. Implementadoras de Programas educativos"/>
    <m/>
    <x v="0"/>
    <s v="Capacitación de Docente Técnicos y Tecnológicos para la formación en cultura emprendedora."/>
    <s v="Se  Capacitará a Docentes de  Centros Educativos de los Bachilleratos Técnicos y de las Sedes MEGATEC."/>
    <s v="Ilobasco, Sensuntepeque, San Francisco Gotera, Nueva Concepción, Aguilares, San Juan Nonualco, San Juan Talpa, San Luis Talpa, Santiago Nonualco, Zacatecoluca,  Conchagua, El Carmen, La Unión, Pasaquina, Acajutla, Izalco, Sonsonate,  Sonzacate,  Jiquilisco,  Puerto El Triunfo,    Usulután y San Dionisio"/>
    <s v="Docentes técnicos ."/>
    <s v="132 docentes capacitados"/>
    <m/>
    <m/>
    <m/>
    <m/>
    <m/>
    <m/>
    <m/>
    <m/>
    <m/>
    <m/>
    <m/>
    <m/>
    <n v="0"/>
    <n v="0"/>
    <m/>
    <m/>
    <m/>
    <m/>
    <m/>
    <m/>
    <m/>
    <m/>
    <m/>
    <m/>
    <s v="NOTA: ESTE PROYECTO SERÁ FINACIADO CON  LO PRESUPUESTADO EN EL  PROYECTO DE CULTURA EMPRENDEDORA."/>
    <x v="10"/>
    <m/>
    <n v="59"/>
    <n v="0"/>
  </r>
  <r>
    <x v="1"/>
    <s v="2.ii. Aumentar la cobertura y mejorar la calidad de la educación secundaria, tercer ciclo y vocacional."/>
    <s v="2.4"/>
    <s v="2.4 Mejoramiento de la formación y carrera docente."/>
    <s v="MINED"/>
    <s v="09 --&gt; 07 y 08"/>
    <s v="01 --&gt; 07-06 y 08-04"/>
    <m/>
    <x v="0"/>
    <s v="Plan Nacional de Formación de Docentes en Servicio en el Sector Público"/>
    <s v="Estructurar un plan de formaciòn continua para todos los docentes en servicio del sector público de los diferentes niveles y moladidades educativas, que fortalecerá la estrategia de construcción de un Sistema Nacional de Desarrollo Profesional Docente, el cual se implementará en diferentes fases, involucrando procesos dinámicos e innovadores de desarrollo profesional, así como estrategias y mecanismos de evaluación, seguimiento para la mejorara continua del sistema."/>
    <s v="44 municipios del plan PATN"/>
    <s v="30,000 docentes formados de los niveles de educación parvularia, educaciòn básica y media a nivel nacional y en 2016 los beneficiarios serán 11488 docentes."/>
    <s v="Docentes en formación"/>
    <m/>
    <m/>
    <s v="once mil  cuatrocientos ochenta y ocho docentes (11488)"/>
    <m/>
    <m/>
    <m/>
    <n v="1.42"/>
    <m/>
    <m/>
    <m/>
    <m/>
    <m/>
    <n v="1.42"/>
    <n v="0"/>
    <m/>
    <m/>
    <n v="1.42"/>
    <s v="BIRF"/>
    <m/>
    <m/>
    <m/>
    <m/>
    <m/>
    <m/>
    <s v="DESAGREGADO POR LA INSTITUCIÓN "/>
    <x v="10"/>
    <m/>
    <n v="60"/>
    <n v="0"/>
  </r>
  <r>
    <x v="1"/>
    <s v="2.iii. Mejorar la salud, nutrición y desarrollo infantil temprano."/>
    <s v="2.5"/>
    <s v="2.5 Ampliación de programas costo-efectivos en atención primaria en salud."/>
    <m/>
    <m/>
    <m/>
    <m/>
    <x v="0"/>
    <m/>
    <m/>
    <m/>
    <m/>
    <m/>
    <m/>
    <m/>
    <m/>
    <m/>
    <m/>
    <m/>
    <m/>
    <m/>
    <m/>
    <m/>
    <m/>
    <m/>
    <m/>
    <n v="0"/>
    <m/>
    <m/>
    <m/>
    <m/>
    <m/>
    <m/>
    <m/>
    <m/>
    <m/>
    <m/>
    <m/>
    <x v="0"/>
    <m/>
    <n v="61"/>
    <n v="0"/>
  </r>
  <r>
    <x v="1"/>
    <s v="2.iii. Mejorar la salud, nutrición y desarrollo infantil temprano."/>
    <s v="2.5"/>
    <s v="2.5 Ampliación de programas costo-efectivos en atención primaria en salud."/>
    <s v="MINSAL"/>
    <s v="02"/>
    <s v="06, 07, 09 y 10 Atención a la Persona."/>
    <s v="Adquisiciones de Bienes y Servicios"/>
    <x v="0"/>
    <s v="Gestión integral de procesos, compra y provisión de medicamentos para los 44 municipios priorizados que conforman territorios funcionales. "/>
    <s v="Fortalecimiento de la gestión central de medicamentos, dispositivos e insumos médicos. Implementado un sistema de gestión local  que permitan entregar productos de alta calidad a la población que requiere servicios de salud._x000d_Incluye los siguientes sub-componentes:_x000d_1. Mejorar la infraestructura y equipamiento de almacenes de medicamentos, dispositivos e insumos médicos de 12 Centros departamentales de almacenamiento y distribución _x000d_2. Compra de un vehículo refrigerado para cada una de las 44 micro-redes municipales de los municipios priorizados que conforman territorios funcionales._x000d_3. Conectividad y equipamiento informático de las farmacias y almacenes de los establecimientos de las 44 redes de los municipios priorizados que conforman territorios funcionales. _x000d_4. Adquisición mediante compra directa de los medicamentos desabastecidos en los establecimientos incluidos en el proyecto y una cantidad adicional para superar la brecha de financiamiento de los medicamentos para cumplir con las necesidades reales_x000d_"/>
    <s v="44 municipios"/>
    <s v="1,305,633 habitantes"/>
    <s v="Porcentaje de abastecimiento de medicamentos de calidad en el sector público"/>
    <n v="0.85"/>
    <n v="0.88"/>
    <n v="0.9"/>
    <n v="3600"/>
    <s v="a"/>
    <m/>
    <n v="8.2286438099999994"/>
    <n v="2E-3"/>
    <m/>
    <m/>
    <m/>
    <m/>
    <n v="8.2286438099999994"/>
    <n v="7.6866438099999996"/>
    <n v="7.6866438099999996"/>
    <m/>
    <n v="0.17200000000000001"/>
    <s v="Banco Mundial"/>
    <n v="0.37"/>
    <s v="BID - SALUD MESOAMÉRICA 2015"/>
    <m/>
    <n v="68.42"/>
    <n v="28.42"/>
    <n v="40"/>
    <m/>
    <x v="11"/>
    <m/>
    <n v="62"/>
    <n v="0"/>
  </r>
  <r>
    <x v="1"/>
    <s v="2.iii. Mejorar la salud, nutrición y desarrollo infantil temprano."/>
    <s v="2.6"/>
    <s v="2.6 Mejoramiento de la infraestructura de salud. "/>
    <m/>
    <m/>
    <m/>
    <m/>
    <x v="0"/>
    <m/>
    <m/>
    <m/>
    <m/>
    <m/>
    <m/>
    <m/>
    <m/>
    <m/>
    <m/>
    <m/>
    <m/>
    <m/>
    <m/>
    <m/>
    <m/>
    <m/>
    <m/>
    <n v="0"/>
    <m/>
    <m/>
    <m/>
    <m/>
    <m/>
    <m/>
    <m/>
    <m/>
    <m/>
    <m/>
    <m/>
    <x v="0"/>
    <m/>
    <n v="63"/>
    <n v="0"/>
  </r>
  <r>
    <x v="1"/>
    <s v="2.iii. Mejorar la salud, nutrición y desarrollo infantil temprano."/>
    <s v="2.6"/>
    <s v="2.6 Mejoramiento de la infraestructura de salud. "/>
    <s v="MINSAL"/>
    <s v="09_x000d_10"/>
    <s v="01 _x000d_Ampliación de los Programas y Servicios de Salud_x000d__x000d_01 Fortalecimiento de Primer Nivel de Atención."/>
    <m/>
    <x v="0"/>
    <s v="Proyecto de fortalecimiento de la capacidad instalada de 19 hospitales para la atención materno infantil, "/>
    <s v="Garantizar el acceso a los servicios de salud de la población de niños y niñas menores de 2 año y adolescentes embarazadas, a través del fortalecimiento de la infraestructura, adquisición de recurso humano, equipo e insumos de 19 hospitales ubicados en 12 departamentos donde se encuentran los 44 municipios focalizados.   _x000d__x000d_En los hospitales se aumentara la cobertura de banco de leche en 5 hospitales.   _x000d_"/>
    <s v="44 municipios"/>
    <s v="1,305,633 habitantes"/>
    <s v="Número y Porcentaje de hospitales que proveen atención especializada en Pediatría y Ginecoobstetricia permanentemente (7/24)"/>
    <s v="a)  20 hospitales con Ginecoobstetricia 24 hrs (67%)_x000d__x000d_b)  9 hospitales con Pediatras 24 hrs. (30%)"/>
    <s v="a)  22 hospitales con Ginecoobstetricia 24 hrs (75%)_x000d__x000d_b)  15 hospitales con Pediatras 24 hrs. (50%)"/>
    <s v="a)  24 hospitales con Ginecoobstetricia 24 hrs (80%)_x000d__x000d_b)  21 hospitales con Pediatras 24 hrs. (70%)"/>
    <n v="3600"/>
    <s v="a"/>
    <m/>
    <n v="12.49"/>
    <n v="2E-3"/>
    <m/>
    <m/>
    <m/>
    <m/>
    <n v="12.49"/>
    <n v="0"/>
    <m/>
    <m/>
    <n v="12"/>
    <s v="Banco Mundial"/>
    <n v="0.49"/>
    <s v="BID - SALUD MESOAMÉRICA 2015"/>
    <m/>
    <n v="68.42"/>
    <n v="28.42"/>
    <n v="40"/>
    <m/>
    <x v="11"/>
    <m/>
    <n v="64"/>
    <n v="0"/>
  </r>
  <r>
    <x v="1"/>
    <s v="2.iii. Mejorar la salud, nutrición y desarrollo infantil temprano."/>
    <s v="2.6"/>
    <s v="2.6 Mejoramiento de la infraestructura de salud. "/>
    <s v="MINSAL"/>
    <m/>
    <m/>
    <m/>
    <x v="23"/>
    <s v="Programa Integrado de Salud"/>
    <m/>
    <m/>
    <m/>
    <m/>
    <m/>
    <m/>
    <m/>
    <m/>
    <m/>
    <m/>
    <n v="1"/>
    <n v="2E-3"/>
    <m/>
    <m/>
    <m/>
    <m/>
    <n v="1"/>
    <m/>
    <m/>
    <m/>
    <n v="1"/>
    <s v="BID"/>
    <m/>
    <m/>
    <m/>
    <m/>
    <m/>
    <m/>
    <m/>
    <x v="11"/>
    <m/>
    <n v="65"/>
    <n v="0"/>
  </r>
  <r>
    <x v="1"/>
    <s v="2.iii. Mejorar la salud, nutrición y desarrollo infantil temprano."/>
    <s v="2.6"/>
    <s v="2.6 Mejoramiento de la infraestructura de salud. "/>
    <s v="MINSAL"/>
    <m/>
    <m/>
    <m/>
    <x v="24"/>
    <s v="Construcción y Equipamiento del Hospital Nacional de Maternidad, San Salvador"/>
    <m/>
    <m/>
    <m/>
    <m/>
    <m/>
    <m/>
    <m/>
    <m/>
    <m/>
    <m/>
    <n v="2.5299999999999998"/>
    <n v="2E-3"/>
    <m/>
    <m/>
    <m/>
    <m/>
    <n v="2.5299999999999998"/>
    <m/>
    <m/>
    <m/>
    <n v="2.5299999999999998"/>
    <s v="BCIE"/>
    <m/>
    <m/>
    <m/>
    <m/>
    <m/>
    <m/>
    <m/>
    <x v="11"/>
    <m/>
    <n v="66"/>
    <n v="0"/>
  </r>
  <r>
    <x v="1"/>
    <s v="2.iii. Mejorar la salud, nutrición y desarrollo infantil temprano."/>
    <s v="2.6"/>
    <s v="2.6 Mejoramiento de la infraestructura de salud. "/>
    <s v="MINSAL"/>
    <m/>
    <m/>
    <m/>
    <x v="25"/>
    <s v="Fortalecimiento del Sistema Público de Salud"/>
    <m/>
    <m/>
    <m/>
    <m/>
    <m/>
    <m/>
    <m/>
    <m/>
    <m/>
    <m/>
    <n v="20.270254999999999"/>
    <n v="2E-3"/>
    <m/>
    <m/>
    <m/>
    <m/>
    <n v="20.270254999999999"/>
    <m/>
    <m/>
    <m/>
    <n v="20.270254999999999"/>
    <s v="BIRF"/>
    <m/>
    <m/>
    <m/>
    <m/>
    <m/>
    <m/>
    <m/>
    <x v="11"/>
    <m/>
    <n v="67"/>
    <n v="0"/>
  </r>
  <r>
    <x v="1"/>
    <s v="2.iii. Mejorar la salud, nutrición y desarrollo infantil temprano."/>
    <s v="2.6"/>
    <s v="2.6 Mejoramiento de la infraestructura de salud. "/>
    <s v="MINSAL"/>
    <m/>
    <m/>
    <m/>
    <x v="26"/>
    <s v="Programa Salud Mesoamérica 2015 - El Salvador"/>
    <m/>
    <m/>
    <m/>
    <m/>
    <m/>
    <m/>
    <m/>
    <m/>
    <m/>
    <m/>
    <n v="2.0527500000000001"/>
    <n v="2E-3"/>
    <m/>
    <m/>
    <m/>
    <m/>
    <n v="2.0527500000000001"/>
    <m/>
    <m/>
    <m/>
    <m/>
    <m/>
    <n v="2.0527500000000001"/>
    <s v="BID"/>
    <m/>
    <m/>
    <m/>
    <m/>
    <m/>
    <x v="11"/>
    <m/>
    <n v="68"/>
    <n v="0"/>
  </r>
  <r>
    <x v="1"/>
    <s v="2.iii. Mejorar la salud, nutrición y desarrollo infantil temprano."/>
    <s v="2.6"/>
    <s v="2.6 Mejoramiento de la infraestructura de salud. "/>
    <s v="MINSAL"/>
    <m/>
    <m/>
    <m/>
    <x v="27"/>
    <s v="Ampliación, Remodelación y Equipamiento de la Unidad Comunitaria de Salud Familiar Básica UCSF-B El Mozote."/>
    <m/>
    <m/>
    <m/>
    <m/>
    <m/>
    <m/>
    <m/>
    <m/>
    <m/>
    <m/>
    <n v="0.17499999999999999"/>
    <n v="2E-3"/>
    <m/>
    <m/>
    <m/>
    <m/>
    <n v="0.17499999999999999"/>
    <m/>
    <m/>
    <m/>
    <m/>
    <m/>
    <n v="0.17499999999999999"/>
    <s v="DULUX"/>
    <m/>
    <m/>
    <m/>
    <m/>
    <m/>
    <x v="11"/>
    <m/>
    <n v="69"/>
    <n v="0"/>
  </r>
  <r>
    <x v="1"/>
    <s v="2.iii. Mejorar la salud, nutrición y desarrollo infantil temprano."/>
    <s v="2.6"/>
    <s v="2.6 Mejoramiento de la infraestructura de salud. "/>
    <s v="MINSAL"/>
    <m/>
    <m/>
    <m/>
    <x v="28"/>
    <s v="Remodelación y Equipamiento de la Unidad Comunitaria de Salud Familiar Básica UCSF-B Basica Boquín."/>
    <m/>
    <m/>
    <m/>
    <m/>
    <m/>
    <m/>
    <m/>
    <m/>
    <m/>
    <m/>
    <n v="0.2"/>
    <n v="2E-3"/>
    <m/>
    <m/>
    <m/>
    <m/>
    <n v="0.2"/>
    <m/>
    <m/>
    <m/>
    <m/>
    <m/>
    <n v="0.2"/>
    <s v="DULUX"/>
    <m/>
    <m/>
    <m/>
    <m/>
    <m/>
    <x v="11"/>
    <m/>
    <n v="70"/>
    <n v="0"/>
  </r>
  <r>
    <x v="1"/>
    <s v="2.iii. Mejorar la salud, nutrición y desarrollo infantil temprano."/>
    <s v="2.7"/>
    <s v="2.7 Promoción de la salud sexual y reproductiva."/>
    <m/>
    <m/>
    <m/>
    <m/>
    <x v="0"/>
    <m/>
    <m/>
    <m/>
    <m/>
    <m/>
    <m/>
    <m/>
    <m/>
    <m/>
    <m/>
    <m/>
    <m/>
    <m/>
    <m/>
    <m/>
    <m/>
    <m/>
    <m/>
    <n v="0"/>
    <m/>
    <m/>
    <m/>
    <m/>
    <m/>
    <m/>
    <m/>
    <m/>
    <m/>
    <m/>
    <m/>
    <x v="0"/>
    <m/>
    <n v="71"/>
    <n v="0"/>
  </r>
  <r>
    <x v="1"/>
    <s v="2.iii. Mejorar la salud, nutrición y desarrollo infantil temprano."/>
    <s v="2.7"/>
    <s v="2.7 Promoción de la salud sexual y reproductiva."/>
    <s v="MINSAL"/>
    <s v="02_x000d_09_x000d_10"/>
    <s v="17 Fortalecimiento de la Salud de la Mujer_x000d__x000d_01 _x000d_Ampliación de los Programas y Servicios de Salud_x000d__x000d__x000d_01_x000d_ Fortalecimiento de Primer Nivel de Atención._x000d__x000d__x000d_ "/>
    <s v="Adquisiciones de Bienes y Servicios"/>
    <x v="0"/>
    <s v="Proyecto de fortalecimiento de la Participación Social a través de la formación de grupos organizados"/>
    <s v="Formación de promotores juveniles de salud, Círculos educativos con adolescentes embarazadas. Fortalecimiento en la atención integral en salud sexual y reproductiva. Con énfasis en el embarazo en adolescentes._x000d_A través de la metodología entre pares discuten temas de autoestima, proyecto de vida, paternidad responsable, derechos, prevención de violencia sexual y planificación familiar._x000d_A través de los círculos educativos se favorece la prevención del segundo o siguiente embarazo en adolescentes, fortaleciendo el reconocimiento de los derechos, referencia al sistema de protección.  Las Acciones en el componentes de la salud sexual y reproductiva son:_x000d_- Servicios de información, asesoramiento, educación y comunicación en materia de anti-concepción y salud reproductiva._x000d_- Educación y servicios de atención prenatal, partos sin riesgo y pos-parto._x000d_- Acceso a métodos anticonceptivos seguros y modernos._x000d_- Información y tratamiento para las infecciones de transmisión sexual._x000d_- Información, educación y asesoramiento sobre sexualidad, salud reproductiva y maternidad y paternidad responsable._x000d_- Garantizar la participación de las mujeres en la toma de decisiones en los servicios de salud sexual y reproductiva."/>
    <s v="44 municipios "/>
    <s v="1,355,708 habitantes "/>
    <s v="% de establecimientos de salud con grupos de promotores juveniles de salud y círculos educativos con adolescentes embarazadas "/>
    <s v="20% de establecimientos cuentan con grupos organizados"/>
    <s v="40% de establecimientos cuentan con grupos organizados "/>
    <s v="60% de establecimientos cuentan con grupos organizados "/>
    <n v="3600"/>
    <s v="a"/>
    <m/>
    <m/>
    <n v="2E-3"/>
    <m/>
    <m/>
    <m/>
    <m/>
    <n v="98.687973830000004"/>
    <n v="98.362973830000001"/>
    <n v="98.362973830000001"/>
    <m/>
    <n v="0.15"/>
    <s v="Banco Mundial"/>
    <n v="0.17500000000000002"/>
    <s v="BID - SALUD MESOAMÉRICA 2015"/>
    <m/>
    <n v="68.42"/>
    <n v="28.42"/>
    <n v="40"/>
    <m/>
    <x v="11"/>
    <m/>
    <n v="72"/>
    <n v="2.8310687127941492E-15"/>
  </r>
  <r>
    <x v="1"/>
    <s v="2.iii. Mejorar la salud, nutrición y desarrollo infantil temprano."/>
    <s v="2.8"/>
    <s v="2.8 Ampliación de programas de desarrollo infantil temprano y pre-escolar."/>
    <m/>
    <m/>
    <m/>
    <m/>
    <x v="0"/>
    <m/>
    <m/>
    <m/>
    <m/>
    <m/>
    <m/>
    <m/>
    <m/>
    <m/>
    <m/>
    <m/>
    <m/>
    <m/>
    <m/>
    <m/>
    <m/>
    <m/>
    <m/>
    <n v="0"/>
    <m/>
    <m/>
    <m/>
    <m/>
    <m/>
    <m/>
    <m/>
    <m/>
    <m/>
    <m/>
    <m/>
    <x v="0"/>
    <m/>
    <n v="73"/>
    <n v="0"/>
  </r>
  <r>
    <x v="1"/>
    <s v="2.iii. Mejorar la salud, nutrición y desarrollo infantil temprano."/>
    <s v="2.8"/>
    <s v="2.8 Ampliación de programas de desarrollo infantil temprano y pre-escolar."/>
    <s v="MINED"/>
    <s v="07"/>
    <s v="05"/>
    <s v="56"/>
    <x v="0"/>
    <s v="Programa Nacional de Alfabetización"/>
    <s v="Este programa busca a tender a la población de 15 años en adelante (joven y adulta) que está fuera del sistema educativo, acercando la  oferta de servicios educativos por medio de circulos de alfabetización y de continuidad educativa."/>
    <s v="39 Municipios atendidos por el PNA que coinciden con los 44 del triangulo norte (en algunus de estos incluye el segundo  y tercer nivel de educación básica)"/>
    <s v="10,389 asociados en 39 municipios de 12 departamentos: Guacotecti,  Ilobasco, Sensuntepeque ,San Carlos, San Francisco Gotera, Nueva Concepción , Suchitoto ,Aguilares ,_x000d_El Paisnal ,La Libertad ,Tamanique  ,El Rosario, Olocuilta, San Juan Nonualco, San Luis Talpa, San Rafael Obrajuelo, Santiago Nonualco , Zacatecoluca, San Pedro Masahuat,San Luis la Herradura, Conchagua  ,El Carmen, La Unión, Pasaquina, Intipucá,_x000d_San Alejo, Chirilagua, Acajutla,Izalco_x000d_San Julián, Sonsonate, Sonzacate, Jujutla, Concepción Batres, Jiquilisco, Puerto El Triunfo, Santa María, Usulután, San Dionisio."/>
    <s v="10,389 personas jóvenes y adultas alfabetizadas cada año."/>
    <n v="10389"/>
    <m/>
    <n v="10389"/>
    <m/>
    <m/>
    <m/>
    <m/>
    <m/>
    <m/>
    <m/>
    <m/>
    <m/>
    <n v="1.1419999999999999"/>
    <n v="1.1419999999999999"/>
    <n v="1.1419999999999999"/>
    <m/>
    <m/>
    <m/>
    <m/>
    <m/>
    <m/>
    <m/>
    <m/>
    <m/>
    <m/>
    <x v="10"/>
    <m/>
    <n v="74"/>
    <n v="0"/>
  </r>
  <r>
    <x v="1"/>
    <s v="2.iii. Mejorar la salud, nutrición y desarrollo infantil temprano."/>
    <s v="2.8"/>
    <s v="2.8 Ampliación de programas de desarrollo infantil temprano y pre-escolar."/>
    <s v="MINED"/>
    <s v="07"/>
    <s v="05"/>
    <s v="56"/>
    <x v="0"/>
    <s v="Programa de Modalidades Flexibles"/>
    <s v="Este programa busca ampliar la cobertura y acercar oferta de servicios educativos, de educación media general con modalidades flexibles, para insertar jóvenes dentro y fuera del sistema educativo."/>
    <s v="36 Municipios atendidos con Modalidades Flexibles que coinciden con los 44 del triangulo norte, con bachillerato general"/>
    <s v="1,725 estudiantes de 25 municipios de 11 departamentos: Ilobasco, Sensuntepeque, San Francisco Gotera, El Divisadero, Nueva Concepción, Suchitoto, Agiuilares, El Paisnal, La Libertad, El rosario,  Olocuilta, San Juan Nonualco, San Juan Talpa, San Luis Talpa, Santiago Nonualco,  Zacatecoluca, San Pedro Masahuat,  San Luis La Herradura, El Carmen,  La Unión, Pasaquina, Intipucá, Chirilagua, Acajutla, Izalco, San antonio del Monte,  Sonsonate, Sonzacate, Jujutla, Concepción  Batres, Jiquilisco, Ozatlán,  Puesto el Triunfo, Santa María y Usulután."/>
    <s v="9332 personas jóvenes y adultas atendidas con modalidades educativas cada año."/>
    <n v="9332"/>
    <m/>
    <n v="9332"/>
    <m/>
    <m/>
    <m/>
    <m/>
    <m/>
    <m/>
    <m/>
    <m/>
    <m/>
    <n v="1.8380000000000001"/>
    <n v="1.8380000000000001"/>
    <n v="1.8380000000000001"/>
    <m/>
    <m/>
    <m/>
    <m/>
    <m/>
    <m/>
    <m/>
    <m/>
    <m/>
    <m/>
    <x v="10"/>
    <m/>
    <n v="75"/>
    <n v="0"/>
  </r>
  <r>
    <x v="1"/>
    <s v="2.iv. Construir y mejorar la vivienda y el entorno habitacional."/>
    <s v="2.9"/>
    <s v="2.9 Construcción y mejoramiento de viviendas."/>
    <m/>
    <m/>
    <m/>
    <m/>
    <x v="0"/>
    <m/>
    <m/>
    <m/>
    <m/>
    <m/>
    <m/>
    <m/>
    <m/>
    <m/>
    <m/>
    <m/>
    <m/>
    <m/>
    <m/>
    <m/>
    <m/>
    <m/>
    <m/>
    <n v="0"/>
    <m/>
    <m/>
    <m/>
    <m/>
    <m/>
    <m/>
    <m/>
    <m/>
    <m/>
    <m/>
    <m/>
    <x v="0"/>
    <m/>
    <n v="76"/>
    <n v="0"/>
  </r>
  <r>
    <x v="1"/>
    <s v="2.iv. Construir y mejorar la vivienda y el entorno habitacional."/>
    <s v="2.9"/>
    <s v="2.9 Construcción y mejoramiento de viviendas."/>
    <s v="MOP - VMVDU"/>
    <s v="03"/>
    <s v="03"/>
    <s v="54_x000d_61"/>
    <x v="29"/>
    <s v="DOTACION DE VIVIENDAS PARA FAMILIAS EN ZONAS DE ALTO RIESGO Y AFECTADAS POR LA TORMENTA IDA"/>
    <s v="OBJETIVO GENERAL: Atender el déficit habitacional cuantitativo pero abordado de una manera diferente a la simple producción de viviendas y al desarrollo de proyectos de vivienda unifamiliar de baja densidad constructiva (de uno o dos niveles), puesto se plantea generar acciones para la reconstrucción del tejido social, diversificar los mecanismos para la adquisición de vivienda, la renovación urbana de zonas degradas de nuestras ciudades y atender a la población más vulnerable. Actualmente el VMVDU cuenta con financiamiento para ejecutar un proyecto estratégico de construcción de vivienda cooperativa en altura, para habitantes del Centro Histórico de San Salvador, sin embargo es fundamental la gestión de recursos financieros para la ampliación del programa para ampliar el marco de actuación de los 6 componentes detallados anteriormente"/>
    <s v="San Pedro Masahuat"/>
    <s v="500 familias con soluciones habitacionales de interés social bajo un nuevo modelo de Cooperativas de Vivienda por Ayuda Mutua.  El proyecto beneficiará a aproximadamente el 6% de residentes en el Centro Histórico, los cuales ascienden a más de 8 mil habitantes según el censo del año 2007, y beneficia indirectamente a la población flotante que hace uso de dicho territorio para fines comerciales o de paso y vendedores del comercio informal que superan los 10 mil según algunas estimaciones planteadas en el plan parcial del CHSS."/>
    <s v="Familias beneficiadas"/>
    <m/>
    <n v="600"/>
    <n v="1200"/>
    <n v="3600"/>
    <s v="a"/>
    <m/>
    <n v="0.40679999999999999"/>
    <m/>
    <m/>
    <m/>
    <m/>
    <m/>
    <n v="1.7062999999999999"/>
    <n v="0.1963"/>
    <n v="0.1963"/>
    <m/>
    <n v="1.51"/>
    <s v="BCIE"/>
    <m/>
    <m/>
    <m/>
    <n v="68.42"/>
    <n v="28.42"/>
    <n v="40"/>
    <s v="Proyecto Habitacional Villas de San Pedro (Construcción de 175 Viviendas Permanentes)"/>
    <x v="7"/>
    <m/>
    <n v="77"/>
    <n v="0"/>
  </r>
  <r>
    <x v="1"/>
    <s v="2.iv. Construir y mejorar la vivienda y el entorno habitacional."/>
    <s v="2.10"/>
    <s v="2.10 Mejoramiento del entorno habitacional especialmente enfocado en el acceso a agua potable, tratamiento de aguas residuales y electricidad, y el ordenamiento territorial."/>
    <m/>
    <m/>
    <m/>
    <m/>
    <x v="0"/>
    <m/>
    <m/>
    <m/>
    <m/>
    <m/>
    <m/>
    <m/>
    <m/>
    <m/>
    <m/>
    <m/>
    <m/>
    <m/>
    <m/>
    <m/>
    <m/>
    <m/>
    <m/>
    <n v="0"/>
    <m/>
    <m/>
    <m/>
    <m/>
    <m/>
    <m/>
    <m/>
    <m/>
    <m/>
    <m/>
    <m/>
    <x v="0"/>
    <m/>
    <n v="78"/>
    <n v="0"/>
  </r>
  <r>
    <x v="1"/>
    <s v="2.iv. Construir y mejorar la vivienda y el entorno habitacional."/>
    <s v="2.10"/>
    <s v="2.10 Mejoramiento del entorno habitacional especialmente enfocado en el acceso a agua potable, tratamiento de aguas residuales y electricidad, y el ordenamiento territorial."/>
    <s v="MOP - VMVDU"/>
    <s v="03"/>
    <s v="03"/>
    <s v="54_x000d_61"/>
    <x v="30"/>
    <s v="PROGRAMA DE VIVIENDA Y MEJORAMIENTO INTEGRAL DE ASENTAMIENTOS URBANOS PRECARIOS"/>
    <s v="OBJETIVO GENERAL: Incidir en mejorar la calidad de vida de la población por medio de la ejecución de acciones encaminadas a la generación de hábitats adecuados y sustentables que contribuyan al buen vivir de la población impulsando el modelo de asentamientos humanos productivos y sostenibles."/>
    <s v="Suchitoto, Cuscatlan; Santa Maria, Usulutan"/>
    <s v="Asentamientos Urbanos Precarios  (AUP) que viven en pobreza alta y extrema"/>
    <s v="Hogares en Asentamientos Urbanos Precarios (AUP) que cuentan con servicio de agua potable y saneamiento (nuevo o mejorado)"/>
    <n v="6920"/>
    <n v="11720"/>
    <n v="18520"/>
    <n v="46920"/>
    <s v="a"/>
    <m/>
    <n v="4.2"/>
    <m/>
    <m/>
    <m/>
    <m/>
    <m/>
    <n v="4.2"/>
    <n v="0"/>
    <m/>
    <m/>
    <n v="4.2"/>
    <s v="BID"/>
    <m/>
    <m/>
    <m/>
    <n v="141.19999999999999"/>
    <n v="71.2"/>
    <n v="70"/>
    <s v="Viviendas Permanentes In Situ en comunidades San Francisco y Nuevo San Juan. MIAUP &quot;LA CONSTANCIA III&quot;"/>
    <x v="7"/>
    <m/>
    <n v="79"/>
    <n v="0"/>
  </r>
  <r>
    <x v="1"/>
    <s v="2.iv. Construir y mejorar la vivienda y el entorno habitacional."/>
    <s v="2.10"/>
    <s v="2.10 Mejoramiento del entorno habitacional especialmente enfocado en el acceso a agua potable, tratamiento de aguas residuales y electricidad, y el ordenamiento territorial."/>
    <s v="MOP - VMVDU"/>
    <s v="03"/>
    <s v="03"/>
    <s v="54_x000d_61"/>
    <x v="31"/>
    <s v="&quot;PROGRAMA MEJORAMIENTO INTEGRAL DE ASENTAMIENTOS PRECARIOS URBANOS-KFW (MIAPU-KFW) Canje de Deuda entre la República de Alemania y la República de El Salvador&quot;"/>
    <s v="OBJETIVO GENERAL: Incidir en mejorar la calidad de vida de la población por medio de la ejecución de acciones encaminadas a la generación de hábitats adecuados y sustentables que contribuyan al buen vivir de la población impulsando el modelo de asentamientos humanos productivos y sostenibles."/>
    <s v="Acajutla, Izalco, Sonsonate; "/>
    <s v="Asentamientos Urbanos Precarios  (AUP) que viven en pobreza alta y extrema"/>
    <s v="Hogares en Asentamientos Urbanos Precarios (AUP) que cuentan con servicio de agua potable y saneamiento (nuevo o mejorado)"/>
    <m/>
    <m/>
    <m/>
    <m/>
    <m/>
    <m/>
    <n v="5.5"/>
    <m/>
    <m/>
    <m/>
    <m/>
    <m/>
    <n v="5.5"/>
    <n v="0"/>
    <m/>
    <m/>
    <n v="5.5"/>
    <s v="Canje de Deuda KFW"/>
    <m/>
    <m/>
    <m/>
    <m/>
    <m/>
    <m/>
    <s v="Mejoramiento Integral Asentamiento Precario Urbano EL MILAGRO, Mpio. Acajutla, Departamento de Sonsonate. Mejoramiento Integral Asentamiento Precario Urbano EL MILAGRO, Mpio. Acajutla, Departamento de Sonsonate."/>
    <x v="7"/>
    <m/>
    <n v="80"/>
    <n v="0"/>
  </r>
  <r>
    <x v="1"/>
    <s v="2.iv. Construir y mejorar la vivienda y el entorno habitacional."/>
    <s v="2.10"/>
    <s v="2.10 Mejoramiento del entorno habitacional especialmente enfocado en el acceso a agua potable, tratamiento de aguas residuales y electricidad, y el ordenamiento territorial."/>
    <s v="FISDL"/>
    <s v="03 APOYO AL PROGRAMA ERRADICACIÓN DE LA POBREZA EN EL SALVADOR"/>
    <s v="03 INFRAESTRUCTURA SOCIAL BASICA"/>
    <s v="54, 61 Y 62"/>
    <x v="32"/>
    <s v="Acceso a servicio de agua potable y saneamiento básico "/>
    <s v="Incremento en el acceso a servicio de agua potable y saneamiento básico en 40 municipios de Pobreza Extrema Moderada y Baja priorizados. Los 4 municipios restantes (Pobreza Extrema Alta) ya estan siendo intervenidos en el marco de CSR."/>
    <s v="40 municipios "/>
    <s v="Hogares sin acceso de agua potable"/>
    <s v="Incremento de Hogares con acceso a agua potable"/>
    <s v="**"/>
    <s v="**"/>
    <n v="2125"/>
    <n v="8500"/>
    <s v="a"/>
    <s v="a"/>
    <n v="6.4961500000000001"/>
    <n v="2E-3"/>
    <n v="6.4941500000000003"/>
    <m/>
    <m/>
    <m/>
    <n v="4.3"/>
    <n v="2"/>
    <n v="2"/>
    <m/>
    <n v="1.4"/>
    <s v="BID"/>
    <n v="0.9"/>
    <s v="AECID"/>
    <m/>
    <m/>
    <m/>
    <m/>
    <s v="2016: PARA MUNICIPIOS DE COMUNIDADES SOLIDARIAS. Se propone el aumento de al menos 3 puntos porcentuales en 40 municipios de pobreza extrema moderada y baja. La contribución a la meta del PQD 2014-2019 para este servicio es del 25%."/>
    <x v="1"/>
    <m/>
    <n v="81"/>
    <n v="0"/>
  </r>
  <r>
    <x v="1"/>
    <s v="2.iv. Construir y mejorar la vivienda y el entorno habitacional."/>
    <s v="2.10"/>
    <s v="2.10 Mejoramiento del entorno habitacional especialmente enfocado en el acceso a agua potable, tratamiento de aguas residuales y electricidad, y el ordenamiento territorial."/>
    <s v="FISDL"/>
    <s v="03 APOYO AL PROGRAMA ERRADICACIÓN DE LA POBREZA EN EL SALVADOR"/>
    <s v="03 INFRAESTRUCTURA SOCIAL BASICA"/>
    <s v="54, 61 Y 62"/>
    <x v="33"/>
    <s v="Acceso a servicio de energía eléctrica  "/>
    <s v="Incremento en el acceso a servicio de energía electrica  en 40 municipios de Pobreza Extrema Moderada y Baja priorizados. Los 4 municipios restantes (Pobreza Extrema Alta) ya estan siendo intervenidos en el marco de CSR."/>
    <s v="40 municipios "/>
    <s v="Hogares sin acceso de agua potable"/>
    <s v="Incremento de Hogares con acceso a agua potable"/>
    <s v="**"/>
    <s v="**"/>
    <n v="1350"/>
    <n v="5400"/>
    <s v="a"/>
    <s v="a"/>
    <m/>
    <n v="2E-3"/>
    <m/>
    <m/>
    <m/>
    <m/>
    <n v="3"/>
    <n v="3"/>
    <n v="3"/>
    <m/>
    <m/>
    <m/>
    <m/>
    <m/>
    <m/>
    <m/>
    <m/>
    <m/>
    <s v="2016: PARA MUNICIPIOS DE COMUNIDADES SOLIDARIAS. Se propone el aumento de al menos 2 puntos porcentuales en 40 municipios de pobreza extrema moderada y baja. La contribución a la meta del PQD 2014-2019 para este servicio es del 16%."/>
    <x v="1"/>
    <m/>
    <n v="82"/>
    <n v="0"/>
  </r>
  <r>
    <x v="1"/>
    <s v="2.iv. Construir y mejorar la vivienda y el entorno habitacional."/>
    <s v="2.10"/>
    <s v="2.10 Mejoramiento del entorno habitacional especialmente enfocado en el acceso a agua potable, tratamiento de aguas residuales y electricidad, y el ordenamiento territorial."/>
    <s v="ANDA"/>
    <m/>
    <m/>
    <m/>
    <x v="0"/>
    <s v="Desarrollo de infraestructura hidráulica"/>
    <s v="Ejecución de la Primera Etapa del Proyecto de Agua Potable del Lago de Ilopango (PAPLI)._x000d_Proyecto de Rehabilitación del Sistema de Abastecimiento de Agua, denominado “Zona Norte”._x000d_Primera etapa del Programa de Sustitución  Redes de Acueductos y Alcantarillados del AMSS."/>
    <s v="A nivel nacional"/>
    <s v="AMSS"/>
    <s v="Incremento de abastecimiento de agua potable"/>
    <s v="225,600 m3"/>
    <m/>
    <n v="1.5"/>
    <m/>
    <m/>
    <m/>
    <n v="175.10000000000002"/>
    <n v="85.7"/>
    <n v="89.4"/>
    <s v="BCIE / Francia"/>
    <m/>
    <m/>
    <n v="70"/>
    <n v="70"/>
    <m/>
    <n v="70"/>
    <m/>
    <m/>
    <m/>
    <m/>
    <m/>
    <m/>
    <m/>
    <m/>
    <s v="PREVISTO ADICIONAR DURANTE EJECUCIÓN 2016. _x000d_RECURSOS PROPIOS* (Obtenidos mediante la Titularización de Flujos)_x000d_Fondos provenientes de la aprobación de reforma de tarifas en septiembre 2015 y titularización aprobada a iniciarse en 2016. _x000d_"/>
    <x v="12"/>
    <m/>
    <n v="83"/>
    <n v="0"/>
  </r>
  <r>
    <x v="1"/>
    <s v="2.v. Favorecer la reinserción social y económica de los migrantes retornados."/>
    <s v="2.11"/>
    <s v="2.11 Fortalecimiento de programas de acogida a migrantes retornados."/>
    <m/>
    <m/>
    <m/>
    <m/>
    <x v="0"/>
    <m/>
    <m/>
    <m/>
    <m/>
    <m/>
    <m/>
    <m/>
    <m/>
    <m/>
    <m/>
    <m/>
    <m/>
    <m/>
    <m/>
    <m/>
    <m/>
    <m/>
    <m/>
    <n v="0"/>
    <m/>
    <m/>
    <m/>
    <m/>
    <m/>
    <m/>
    <m/>
    <m/>
    <m/>
    <m/>
    <m/>
    <x v="0"/>
    <m/>
    <n v="84"/>
    <n v="0"/>
  </r>
  <r>
    <x v="1"/>
    <s v="2.v. Favorecer la reinserción social y económica de los migrantes retornados."/>
    <s v="2.11"/>
    <s v="2.11 Fortalecimiento de programas de acogida a migrantes retornados."/>
    <s v="FISDL"/>
    <s v="05 EMPLEO Y EMPLEABILIDAD JOVEN"/>
    <s v="02 INCLUSION PRODUCTIVA PARA PERSONAS EN CONDICION DE POBREZA Y VULNERABILIDAD"/>
    <s v="62"/>
    <x v="1"/>
    <s v="Programa de retorno, reunificación familiar, organización de población salvadoreña en el exterior, asistencia y protección humanitaria. Generacion de emprendimientos productivos con población retornada"/>
    <s v="Generación de oportunidades productivas a población retornada a traves de un proceso de identificación de capacidades y habilidades para su inserción a la actividad productiva, así como bono de apoyo a la producción."/>
    <s v="30 municipios con mayor población retornada "/>
    <s v="hombres y mujeres migrantes retornados "/>
    <s v="número de personas retornados intervenidos"/>
    <n v="0"/>
    <n v="0"/>
    <n v="700"/>
    <n v="2100"/>
    <s v="a"/>
    <m/>
    <n v="1.002"/>
    <n v="2E-3"/>
    <n v="1"/>
    <m/>
    <m/>
    <m/>
    <n v="1"/>
    <n v="0"/>
    <m/>
    <m/>
    <n v="1"/>
    <s v="BID"/>
    <m/>
    <m/>
    <m/>
    <n v="141.19999999999999"/>
    <n v="71.2"/>
    <n v="70"/>
    <s v="El dato de linea base es acumulada al 2019 desde el 2016"/>
    <x v="1"/>
    <m/>
    <n v="85"/>
    <n v="0"/>
  </r>
  <r>
    <x v="2"/>
    <s v="3.i. Ampliar programas de seguridad comunitaria y prevención social del delito."/>
    <s v="3.1"/>
    <s v="3.1 Fortalecimiento de  la seguridad comunitaria y espacios seguros."/>
    <m/>
    <m/>
    <m/>
    <m/>
    <x v="0"/>
    <m/>
    <m/>
    <m/>
    <m/>
    <m/>
    <m/>
    <m/>
    <m/>
    <m/>
    <m/>
    <m/>
    <m/>
    <m/>
    <m/>
    <m/>
    <m/>
    <m/>
    <m/>
    <n v="0"/>
    <m/>
    <m/>
    <m/>
    <m/>
    <m/>
    <m/>
    <m/>
    <m/>
    <m/>
    <m/>
    <m/>
    <x v="0"/>
    <m/>
    <n v="86"/>
    <n v="0"/>
  </r>
  <r>
    <x v="2"/>
    <s v="3.i. Ampliar programas de seguridad comunitaria y prevención social del delito."/>
    <s v="3.1"/>
    <s v="3.1 Fortalecimiento de  la seguridad comunitaria y espacios seguros."/>
    <s v="MJSP - PREPAZ"/>
    <s v="Desarrollo de la Inversión"/>
    <s v="Inversión para la Justicia y Seguridad Pública"/>
    <s v="Varios"/>
    <x v="34"/>
    <s v="Apoyo Integral a la Estrategia de Prevención de la Violencia._x000d_Fortalecimiento del área operativa de PREPAZ, cursos de capacitación, observatorio, inserción laboral. "/>
    <s v="Se realizarán capacitaciones a Consejos Municipales de Prevención de la violencia y a los Cuerpos de Agentes Municipales, observatorios y capacitaciones vocacionales"/>
    <s v="• Apopa, Ciudad Delgado,  Cuscatancingo, Mejicanos, Soyapango y San Salvador_x000d_"/>
    <n v="1093579"/>
    <s v="12"/>
    <n v="0"/>
    <m/>
    <n v="12"/>
    <m/>
    <m/>
    <m/>
    <n v="2.2076099999999999"/>
    <n v="2.2076099999999999"/>
    <m/>
    <m/>
    <m/>
    <m/>
    <n v="2.2076099999999999"/>
    <n v="0"/>
    <m/>
    <m/>
    <n v="2.2076099999999999"/>
    <s v="BID"/>
    <m/>
    <m/>
    <m/>
    <m/>
    <m/>
    <m/>
    <s v="Préstamo BID Código MH 5354.  Inicia en 2016 su ejecución."/>
    <x v="13"/>
    <m/>
    <n v="87"/>
    <n v="0"/>
  </r>
  <r>
    <x v="2"/>
    <s v="3.i. Ampliar programas de seguridad comunitaria y prevención social del delito."/>
    <s v="3.1"/>
    <s v="3.1 Fortalecimiento de  la seguridad comunitaria y espacios seguros."/>
    <s v="FISDL"/>
    <s v="04 APOYO AL DESARROLLO LOCAL"/>
    <s v="05 PROGRAMA DE APOYO INTEGRAL A LA ESTRATEGIA DE PREVENCIÓN DE LA VIOLENCIA"/>
    <s v="54 y 61"/>
    <x v="35"/>
    <s v="Programa de Apoyo Integral a la Estrategia de Prevención de Violencia. Prevención de la violencia juvenil a nivel local"/>
    <s v="El proyecto comprende el financiamiento de actividades agrupadas en los siguientes componentes: _x000d_Fortalecimiento Institucional del MJSP_x000d_Prevención de la violencia juvenil a nivel local_x000d_Fortalecimiento del proceso de rehabilitación y reinserción social"/>
    <m/>
    <m/>
    <m/>
    <m/>
    <m/>
    <m/>
    <m/>
    <m/>
    <m/>
    <m/>
    <m/>
    <m/>
    <m/>
    <m/>
    <m/>
    <n v="1"/>
    <n v="0"/>
    <m/>
    <m/>
    <n v="1"/>
    <s v="BID"/>
    <m/>
    <m/>
    <m/>
    <m/>
    <m/>
    <m/>
    <s v="Préstamo BID (aprobado). ES-L1025; 2881/OC-ES. COMPONENTE II."/>
    <x v="1"/>
    <m/>
    <n v="88"/>
    <n v="0"/>
  </r>
  <r>
    <x v="2"/>
    <s v="3.i. Ampliar programas de seguridad comunitaria y prevención social del delito."/>
    <s v="3.1"/>
    <s v="3.1 Fortalecimiento de  la seguridad comunitaria y espacios seguros."/>
    <s v="MJSP - PNC"/>
    <m/>
    <m/>
    <m/>
    <x v="36"/>
    <s v="Reemplazo de la Flota Vehicular de la Policía Nacional Civil en apoyo al Modelo de Policía Comunitaria"/>
    <s v="Se proyecta la adquisición de 3,463 de transporte entre vehículos patrulla y civiles tipo sedán, pick up doble cabina, camiones, microbuses, autobuses, gruas, montacargas y motocicletas, con la finalidad de potenciar la capacidad operativa de las diferentes Dependencias Policiales ubicadas en el territorio salvadoreño."/>
    <s v="El Salvador"/>
    <s v="29,081 personas"/>
    <s v="Medios de transporte adquiridos y operando"/>
    <m/>
    <m/>
    <n v="1"/>
    <m/>
    <m/>
    <m/>
    <n v="2"/>
    <n v="2"/>
    <m/>
    <m/>
    <m/>
    <m/>
    <n v="2"/>
    <n v="2"/>
    <n v="2"/>
    <m/>
    <m/>
    <m/>
    <m/>
    <m/>
    <m/>
    <m/>
    <m/>
    <m/>
    <m/>
    <x v="13"/>
    <m/>
    <n v="89"/>
    <n v="0"/>
  </r>
  <r>
    <x v="2"/>
    <s v="3.i. Ampliar programas de seguridad comunitaria y prevención social del delito."/>
    <s v="3.1"/>
    <s v="3.1 Fortalecimiento de  la seguridad comunitaria y espacios seguros."/>
    <s v="MJSP - PNC"/>
    <m/>
    <m/>
    <m/>
    <x v="37"/>
    <s v="Ampliación del Sistema de Radiocomunicación de la Policía Nacional Civil en apoyo al Modelo de Policía Comunitaria"/>
    <s v="El proyecto consiste en migrar la infraestructura de los sistemas de radiocomunicación analógicos a una plataforma completamente digital, la cual permitirá implementar la red de radiocomunicación digital de área amplia de seguridad pública. Su ejecución comprende 5 fases que iniciaron ejecución en el año 2012 y continuan en los años 2013, 2014, 2015 y  2016. "/>
    <s v="Occidental, Central, Metropolitana, Paracentral y Oriental"/>
    <s v="29,084 personas"/>
    <s v="Sistema de radiocomunicación modernizado"/>
    <m/>
    <m/>
    <n v="1"/>
    <m/>
    <m/>
    <m/>
    <n v="1.2"/>
    <n v="1.2"/>
    <m/>
    <m/>
    <m/>
    <m/>
    <n v="1.2"/>
    <n v="1.2"/>
    <n v="1.2"/>
    <m/>
    <m/>
    <m/>
    <m/>
    <m/>
    <m/>
    <m/>
    <m/>
    <m/>
    <m/>
    <x v="13"/>
    <m/>
    <n v="90"/>
    <n v="0"/>
  </r>
  <r>
    <x v="2"/>
    <s v="3.i. Ampliar programas de seguridad comunitaria y prevención social del delito."/>
    <s v="3.1"/>
    <s v="3.1 Fortalecimiento de  la seguridad comunitaria y espacios seguros."/>
    <s v="MJSP - PNC"/>
    <m/>
    <m/>
    <m/>
    <x v="38"/>
    <s v="Construcción y equipamiento básico de la delegación de la Policía Nacional Civil "/>
    <m/>
    <m/>
    <m/>
    <m/>
    <m/>
    <m/>
    <m/>
    <m/>
    <m/>
    <m/>
    <n v="4.2"/>
    <n v="4.2"/>
    <m/>
    <m/>
    <m/>
    <m/>
    <n v="4.2"/>
    <n v="4.2"/>
    <n v="4.2"/>
    <m/>
    <m/>
    <m/>
    <m/>
    <m/>
    <m/>
    <m/>
    <m/>
    <m/>
    <m/>
    <x v="13"/>
    <m/>
    <n v="91"/>
    <n v="0"/>
  </r>
  <r>
    <x v="2"/>
    <s v="3.ii. Fortalecer los operadores de justicia y reducir la mora judicial."/>
    <s v="3.2"/>
    <s v="3.2 Mejoramiento de la gestión policial."/>
    <m/>
    <m/>
    <m/>
    <m/>
    <x v="0"/>
    <m/>
    <m/>
    <m/>
    <m/>
    <m/>
    <m/>
    <m/>
    <m/>
    <m/>
    <m/>
    <m/>
    <m/>
    <m/>
    <m/>
    <m/>
    <m/>
    <m/>
    <m/>
    <n v="0"/>
    <m/>
    <m/>
    <m/>
    <m/>
    <m/>
    <m/>
    <m/>
    <m/>
    <m/>
    <m/>
    <m/>
    <x v="0"/>
    <m/>
    <n v="92"/>
    <n v="0"/>
  </r>
  <r>
    <x v="2"/>
    <s v="3.ii. Fortalecer los operadores de justicia y reducir la mora judicial."/>
    <s v="3.2"/>
    <s v="3.2 Mejoramiento de la gestión policial."/>
    <s v="MJSP - DGCP - PREPAZ"/>
    <s v="Desarrollo de la Inversión"/>
    <s v="Inversión para la Justicia y Seguridad Pública"/>
    <s v="Varios"/>
    <x v="34"/>
    <s v="Apoyo Integral a la Estrategia de Prevención de la Violencia._x000d_Sistema únificado de información, fortalecimiento de la DGCP y PREPAZ"/>
    <s v="Se invertirá en el concepto general de la Dirección de Información y Análisis que coordinará un sistema de información para el MJSP el cual integrará varias bases de datos.  Fortalecimiento de DGCP y PREPAZ"/>
    <s v="• Apopa, Ciudad Delgado,  Cuscatancingo, Mejicanos, Soyapango y San Salvador_x000d_"/>
    <s v="nacional"/>
    <s v="varios"/>
    <n v="0"/>
    <m/>
    <s v="N/A"/>
    <m/>
    <m/>
    <m/>
    <n v="2.0957499999999998"/>
    <n v="2.0957499999999998"/>
    <m/>
    <m/>
    <m/>
    <m/>
    <n v="2.0957499999999998"/>
    <n v="0"/>
    <m/>
    <m/>
    <n v="2.0957499999999998"/>
    <s v="BID"/>
    <m/>
    <m/>
    <m/>
    <m/>
    <m/>
    <m/>
    <s v="Préstamo BID Código MH 5354.  Inicia en 2016 su ejecución."/>
    <x v="13"/>
    <m/>
    <n v="93"/>
    <n v="0"/>
  </r>
  <r>
    <x v="2"/>
    <s v="3.ii. Fortalecer los operadores de justicia y reducir la mora judicial."/>
    <s v="3.3"/>
    <s v="3.3 Fortalecimiento de las instituciones de investigación del delito."/>
    <m/>
    <m/>
    <m/>
    <m/>
    <x v="0"/>
    <m/>
    <m/>
    <m/>
    <m/>
    <m/>
    <m/>
    <m/>
    <m/>
    <m/>
    <m/>
    <m/>
    <m/>
    <m/>
    <m/>
    <m/>
    <m/>
    <m/>
    <m/>
    <n v="0"/>
    <m/>
    <m/>
    <m/>
    <m/>
    <m/>
    <m/>
    <m/>
    <m/>
    <m/>
    <m/>
    <m/>
    <x v="0"/>
    <m/>
    <n v="94"/>
    <n v="0"/>
  </r>
  <r>
    <x v="2"/>
    <s v="3.ii. Fortalecer los operadores de justicia y reducir la mora judicial."/>
    <s v="3.3"/>
    <s v="3.3 Fortalecimiento de las instituciones de investigación del delito."/>
    <s v="FGR"/>
    <m/>
    <m/>
    <m/>
    <x v="39"/>
    <s v="Construcción, Equipamiento y Modernización de las Oficinas Centrales de la FGR de El Salvador."/>
    <s v="Fortalecer las capacidades institucionales de la Fiscalía General de la República (FGR) mediante la centralización de las actividades y operaciones, fomentando la estandarización, profesionalización y tecnificación de todas las instancias vinculadas a la seguridad y administración de justicia en materia penal, garantizando al mismo tiempo que las víctimas y usuarios en general puedan tener acceso a la seguridad de una manera ordenada, eficiente, eficaz y más ágil."/>
    <m/>
    <m/>
    <m/>
    <m/>
    <m/>
    <m/>
    <m/>
    <m/>
    <m/>
    <n v="17.7"/>
    <n v="2E-3"/>
    <n v="17.7"/>
    <m/>
    <m/>
    <m/>
    <n v="17.7"/>
    <n v="0"/>
    <m/>
    <m/>
    <n v="17.7"/>
    <s v="BCIE"/>
    <m/>
    <m/>
    <m/>
    <m/>
    <m/>
    <m/>
    <m/>
    <x v="14"/>
    <m/>
    <n v="95"/>
    <n v="0"/>
  </r>
  <r>
    <x v="2"/>
    <s v="3.ii. Fortalecer los operadores de justicia y reducir la mora judicial."/>
    <s v="3.3"/>
    <s v="3.3 Fortalecimiento de las instituciones de investigación del delito."/>
    <s v="FGR"/>
    <m/>
    <m/>
    <m/>
    <x v="40"/>
    <s v="Construcción y Equipamiento del Depósito de Evidencias de la FGR"/>
    <m/>
    <m/>
    <m/>
    <m/>
    <m/>
    <m/>
    <m/>
    <m/>
    <m/>
    <m/>
    <n v="5.6000000000000001E-2"/>
    <n v="2E-3"/>
    <n v="5.6000000000000001E-2"/>
    <m/>
    <m/>
    <m/>
    <n v="5.6000000000000001E-2"/>
    <n v="0"/>
    <m/>
    <m/>
    <n v="5.6000000000000001E-2"/>
    <s v="BCIE"/>
    <m/>
    <m/>
    <m/>
    <m/>
    <m/>
    <m/>
    <m/>
    <x v="14"/>
    <m/>
    <n v="96"/>
    <n v="0"/>
  </r>
  <r>
    <x v="2"/>
    <s v="3.ii. Fortalecer los operadores de justicia y reducir la mora judicial."/>
    <s v="3.5"/>
    <s v="3.5 Reducción de mora judicial."/>
    <m/>
    <m/>
    <m/>
    <m/>
    <x v="0"/>
    <m/>
    <m/>
    <m/>
    <m/>
    <m/>
    <m/>
    <m/>
    <m/>
    <m/>
    <m/>
    <m/>
    <m/>
    <m/>
    <m/>
    <m/>
    <m/>
    <m/>
    <m/>
    <n v="0"/>
    <m/>
    <m/>
    <m/>
    <m/>
    <m/>
    <m/>
    <m/>
    <m/>
    <m/>
    <m/>
    <m/>
    <x v="0"/>
    <m/>
    <n v="97"/>
    <n v="0"/>
  </r>
  <r>
    <x v="2"/>
    <s v="3.ii. Fortalecer los operadores de justicia y reducir la mora judicial."/>
    <s v="3.5"/>
    <s v="3.5 Reducción de mora judicial."/>
    <s v="CSJ"/>
    <m/>
    <m/>
    <m/>
    <x v="41"/>
    <s v="Construcción Centro Judicial Integral de Santa Tecla, de segunda instancia de San Salvador y otras remodelaciones y ampliaciones"/>
    <m/>
    <m/>
    <m/>
    <m/>
    <m/>
    <m/>
    <m/>
    <m/>
    <m/>
    <m/>
    <n v="9.5"/>
    <n v="9.5"/>
    <m/>
    <m/>
    <m/>
    <m/>
    <n v="10.5"/>
    <n v="10.5"/>
    <n v="10.5"/>
    <m/>
    <m/>
    <m/>
    <m/>
    <m/>
    <m/>
    <m/>
    <m/>
    <m/>
    <m/>
    <x v="15"/>
    <m/>
    <n v="98"/>
    <n v="0"/>
  </r>
  <r>
    <x v="2"/>
    <s v="3.iii. Mejorar los centros penitenciarios y centros de atención a menores."/>
    <s v="3.6"/>
    <s v="3.6 Mejoramiento de infraestructura y gestión de centros penitenciarios y de detención de menores."/>
    <m/>
    <m/>
    <m/>
    <m/>
    <x v="0"/>
    <m/>
    <m/>
    <m/>
    <m/>
    <m/>
    <m/>
    <m/>
    <m/>
    <m/>
    <m/>
    <m/>
    <m/>
    <m/>
    <m/>
    <m/>
    <m/>
    <m/>
    <m/>
    <n v="0"/>
    <m/>
    <m/>
    <m/>
    <m/>
    <m/>
    <m/>
    <m/>
    <m/>
    <m/>
    <m/>
    <m/>
    <x v="0"/>
    <m/>
    <n v="99"/>
    <n v="0"/>
  </r>
  <r>
    <x v="2"/>
    <s v="3.iii. Mejorar los centros penitenciarios y centros de atención a menores."/>
    <s v="3.6"/>
    <s v="3.6 Mejoramiento de infraestructura y gestión de centros penitenciarios y de detención de menores."/>
    <s v="MJSP - DGCP - PREPAZ"/>
    <s v="Desarrollo de la Inversión"/>
    <s v="Inversión para la Justicia y Seguridad Pública"/>
    <s v="Varios"/>
    <x v="34"/>
    <s v="Apoyo Integral a la Estrategia de Prevención de la Violencia._x000d_Talleres vocacionales e implementación de talleres productivos para granjas penitenciarias."/>
    <s v="Se realizarán capacitaciones en diversas especialidades y se implementarán talleres productivos como parte del modelo Yo Cambio en granjas penitenciarias."/>
    <s v="Centros Penitenciarios."/>
    <s v="31,000 privados de libertad "/>
    <s v="varios"/>
    <n v="0"/>
    <m/>
    <n v="10"/>
    <m/>
    <m/>
    <m/>
    <n v="15.74939"/>
    <n v="2E-3"/>
    <n v="15.74939"/>
    <m/>
    <m/>
    <m/>
    <n v="11.44603"/>
    <n v="0"/>
    <m/>
    <m/>
    <n v="11.44603"/>
    <s v="BID"/>
    <m/>
    <m/>
    <m/>
    <m/>
    <m/>
    <m/>
    <s v="Préstamo BID Código MH 5354.  Inicia en 2016 su ejecución."/>
    <x v="13"/>
    <m/>
    <n v="100"/>
    <n v="0"/>
  </r>
  <r>
    <x v="2"/>
    <s v="3.iii. Mejorar los centros penitenciarios y centros de atención a menores."/>
    <s v="3.6"/>
    <s v="3.6 Mejoramiento de infraestructura y gestión de centros penitenciarios y de detención de menores."/>
    <s v="MJSP - DGCP"/>
    <s v="Desarrollo del modelo Penitenciario"/>
    <s v="Construcción, Reparación, Reconstrucción y Equipamiento de Centros Penales"/>
    <s v="Varios"/>
    <x v="42"/>
    <s v="Fortalecimiento del proceso de rehabilitación y reinserción social"/>
    <s v="Construcción de 3 Centros Penitenciarios nuevos, contrucción de una Granja Penitenciaria, Readecuación de 3 Granajas Penitenciarias e i mplementación de un sistema de monitoreo electronico de privados de Libertad (Brazaletes):_x000d_- Obras Complementarias para finalización del Complejo Penitenciario de Seguridad Izalco FASE III._x000d_- Adquisición de un Sistema de Brazaletes Electrónicos._x000d_- Ampliación de Centro Penal de Izalco._x000d_- Readecuación de Granja Penitenciaria de Zacatecoluca, La Paz._x000d_- Readecuación de Granja Penitenciaria de Izalco, Sonsonate._x000d_- Readecuación de Granja Penitenciaria en Santa Ana."/>
    <s v="Izalco, La Paz, Santa Ana, Morazan"/>
    <s v="18,000 privados(as) de Libertad y población en general"/>
    <s v="Varios"/>
    <n v="0"/>
    <m/>
    <n v="6"/>
    <m/>
    <m/>
    <m/>
    <n v="22.825270000000003"/>
    <n v="2E-3"/>
    <n v="22.825270000000003"/>
    <s v="BCIE No. 2139 2102"/>
    <m/>
    <m/>
    <n v="32.108125000000001"/>
    <n v="0"/>
    <m/>
    <m/>
    <n v="32.108125000000001"/>
    <s v="BCIE"/>
    <m/>
    <m/>
    <m/>
    <m/>
    <m/>
    <m/>
    <s v="Restamo BCIE 2102 inicio la ejecucion en 2015._x000d_En la fuente de financiamiento de préstamo se incluye contrapartida."/>
    <x v="13"/>
    <m/>
    <n v="101"/>
    <n v="0"/>
  </r>
  <r>
    <x v="2"/>
    <s v="3.iii. Mejorar los centros penitenciarios y centros de atención a menores."/>
    <s v="3.9"/>
    <s v="3.9 Mejoramiento del manejo de infractores y sentenciados."/>
    <m/>
    <m/>
    <m/>
    <m/>
    <x v="0"/>
    <m/>
    <m/>
    <m/>
    <m/>
    <m/>
    <m/>
    <m/>
    <m/>
    <m/>
    <m/>
    <m/>
    <m/>
    <m/>
    <m/>
    <m/>
    <m/>
    <m/>
    <m/>
    <n v="0"/>
    <m/>
    <m/>
    <m/>
    <m/>
    <m/>
    <m/>
    <m/>
    <m/>
    <m/>
    <m/>
    <m/>
    <x v="0"/>
    <m/>
    <n v="102"/>
    <n v="0"/>
  </r>
  <r>
    <x v="2"/>
    <s v="3.iii. Mejorar los centros penitenciarios y centros de atención a menores."/>
    <s v="3.9"/>
    <s v="3.9 Mejoramiento del manejo de infractores y sentenciados."/>
    <s v="MJSP - DGCP"/>
    <m/>
    <m/>
    <m/>
    <x v="43"/>
    <s v="Fortalecimiento de capacidades institucionales para la seguridad ciudadana, desarrollo de competencias y remoción de tatuajes."/>
    <m/>
    <m/>
    <m/>
    <m/>
    <m/>
    <m/>
    <m/>
    <m/>
    <m/>
    <m/>
    <m/>
    <n v="2E-3"/>
    <m/>
    <m/>
    <m/>
    <m/>
    <n v="1.5"/>
    <n v="0"/>
    <m/>
    <m/>
    <m/>
    <m/>
    <n v="1.5"/>
    <s v="China-Taiwan"/>
    <m/>
    <m/>
    <m/>
    <m/>
    <m/>
    <x v="13"/>
    <m/>
    <n v="103"/>
    <n v="0"/>
  </r>
  <r>
    <x v="3"/>
    <s v="4.i. Fortalecimiento de la administración tributaria."/>
    <s v="4.1"/>
    <s v="4.1 Incremento de la eficiencia y eficacia en la recaudación de impuestos."/>
    <m/>
    <m/>
    <m/>
    <m/>
    <x v="0"/>
    <m/>
    <m/>
    <m/>
    <m/>
    <m/>
    <m/>
    <m/>
    <m/>
    <m/>
    <m/>
    <m/>
    <m/>
    <m/>
    <m/>
    <m/>
    <m/>
    <m/>
    <m/>
    <n v="0"/>
    <m/>
    <m/>
    <m/>
    <m/>
    <m/>
    <m/>
    <m/>
    <m/>
    <m/>
    <m/>
    <m/>
    <x v="0"/>
    <m/>
    <n v="104"/>
    <n v="0"/>
  </r>
  <r>
    <x v="3"/>
    <s v="4.i. Fortalecimiento de la administración tributaria."/>
    <s v="4.1"/>
    <s v="4.1 Incremento de la eficiencia y eficacia en la recaudación de impuestos."/>
    <s v="MH"/>
    <s v="08"/>
    <s v="01"/>
    <m/>
    <x v="44"/>
    <s v="Programa de Infraestructura Tributaria"/>
    <s v="Mantener en óptimas condiciones la infraestructura física del Ramo y adquirir bienes inmuebles."/>
    <m/>
    <m/>
    <m/>
    <m/>
    <m/>
    <m/>
    <m/>
    <m/>
    <m/>
    <n v="2"/>
    <m/>
    <n v="2"/>
    <s v="BCIE"/>
    <m/>
    <m/>
    <n v="2"/>
    <n v="0"/>
    <m/>
    <m/>
    <n v="2"/>
    <s v="BCIE"/>
    <m/>
    <m/>
    <m/>
    <m/>
    <m/>
    <m/>
    <m/>
    <x v="16"/>
    <m/>
    <n v="105"/>
    <n v="0"/>
  </r>
  <r>
    <x v="3"/>
    <s v="4.i. Fortalecimiento de la administración tributaria."/>
    <s v="4.4"/>
    <s v="4.4 Acceso e intercambio de información tributaria, patrimonial  y financiera."/>
    <m/>
    <m/>
    <m/>
    <m/>
    <x v="0"/>
    <m/>
    <m/>
    <m/>
    <m/>
    <m/>
    <m/>
    <m/>
    <m/>
    <m/>
    <m/>
    <m/>
    <m/>
    <m/>
    <m/>
    <m/>
    <m/>
    <m/>
    <m/>
    <n v="0"/>
    <m/>
    <m/>
    <m/>
    <m/>
    <m/>
    <m/>
    <m/>
    <m/>
    <m/>
    <m/>
    <m/>
    <x v="0"/>
    <m/>
    <n v="106"/>
    <n v="0"/>
  </r>
  <r>
    <x v="3"/>
    <s v="4.i. Fortalecimiento de la administración tributaria."/>
    <s v="4.4"/>
    <s v="4.4 Acceso e intercambio de información tributaria, patrimonial  y financiera."/>
    <s v="MH"/>
    <s v="10"/>
    <s v="01 ---&gt; 01, 02, 03 y 04"/>
    <m/>
    <x v="45"/>
    <s v="Asistencia Técnica para la Administración Fiscal y Desempeño del Sector Público"/>
    <s v="Fortalecer las Direcciones Generales de Impuestos Internos, Aduanas y de Tesorería, para mejorar el intercambio de información y los procesos de fiscalización y control del cumplimiento de las obligaciones tributarias._x000d_Modernizar la gestión administrativa financiera del sector público, los sistemas de Administración Financiera Integrado, de recursos humanos, compras públicas y deuda e inversión pública._x000d_Apoyar las iniciativas elegibles para mejorar la administración de la información y estadística, el acceso a la información pública y la transparencia del sector público._x000d_Fortalecimiento de las capacidades del Ministerio de Hacienda, para una adecuada coordinación y supervisión de la implementación del Proyecto."/>
    <m/>
    <m/>
    <m/>
    <m/>
    <m/>
    <m/>
    <m/>
    <m/>
    <m/>
    <n v="9.4"/>
    <m/>
    <n v="9.4"/>
    <s v="BIRF"/>
    <m/>
    <m/>
    <n v="9.4"/>
    <n v="0"/>
    <m/>
    <m/>
    <n v="9.4"/>
    <s v="BIRF"/>
    <m/>
    <m/>
    <m/>
    <m/>
    <m/>
    <m/>
    <m/>
    <x v="16"/>
    <m/>
    <n v="107"/>
    <n v="0"/>
  </r>
  <r>
    <x v="3"/>
    <s v="4.i. Fortalecimiento de la administración tributaria."/>
    <s v="4.5"/>
    <s v="4.5 Fortalecimiento de los gobiernos locales."/>
    <m/>
    <m/>
    <m/>
    <m/>
    <x v="0"/>
    <m/>
    <m/>
    <m/>
    <m/>
    <m/>
    <m/>
    <m/>
    <m/>
    <m/>
    <m/>
    <m/>
    <m/>
    <m/>
    <m/>
    <m/>
    <m/>
    <m/>
    <m/>
    <n v="0"/>
    <m/>
    <m/>
    <m/>
    <m/>
    <m/>
    <m/>
    <m/>
    <m/>
    <m/>
    <m/>
    <m/>
    <x v="0"/>
    <m/>
    <n v="108"/>
    <n v="0"/>
  </r>
  <r>
    <x v="3"/>
    <s v="4.i. Fortalecimiento de la administración tributaria."/>
    <s v="4.5"/>
    <s v="4.5 Fortalecimiento de los gobiernos locales."/>
    <m/>
    <m/>
    <m/>
    <m/>
    <x v="0"/>
    <m/>
    <m/>
    <m/>
    <m/>
    <m/>
    <m/>
    <m/>
    <m/>
    <m/>
    <m/>
    <m/>
    <m/>
    <m/>
    <m/>
    <m/>
    <m/>
    <m/>
    <m/>
    <m/>
    <m/>
    <m/>
    <m/>
    <m/>
    <m/>
    <m/>
    <m/>
    <m/>
    <m/>
    <m/>
    <m/>
    <x v="0"/>
    <m/>
    <n v="109"/>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gridDropZones="1" multipleFieldFilters="0">
  <location ref="A3:B27" firstHeaderRow="2" firstDataRow="2" firstDataCol="1" rowPageCount="1" colPageCount="1"/>
  <pivotFields count="35">
    <pivotField axis="axisRow" showAll="0">
      <items count="5">
        <item x="0"/>
        <item x="1"/>
        <item x="2"/>
        <item x="3"/>
        <item t="default"/>
      </items>
    </pivotField>
    <pivotField axis="axisRow" showAll="0">
      <items count="17">
        <item x="0"/>
        <item x="1"/>
        <item x="2"/>
        <item x="3"/>
        <item x="4"/>
        <item x="5"/>
        <item x="6"/>
        <item x="7"/>
        <item x="8"/>
        <item x="9"/>
        <item x="10"/>
        <item x="11"/>
        <item x="12"/>
        <item x="13"/>
        <item x="14"/>
        <item x="15"/>
        <item t="default"/>
      </items>
    </pivotField>
    <pivotField showAll="0"/>
    <pivotField axis="axisRow" showAll="0">
      <items count="46">
        <item x="0"/>
        <item x="9"/>
        <item x="10"/>
        <item x="11"/>
        <item x="12"/>
        <item x="13"/>
        <item x="14"/>
        <item x="15"/>
        <item x="1"/>
        <item x="2"/>
        <item x="3"/>
        <item x="4"/>
        <item x="5"/>
        <item x="6"/>
        <item x="7"/>
        <item x="8"/>
        <item x="16"/>
        <item x="25"/>
        <item x="26"/>
        <item x="17"/>
        <item x="18"/>
        <item x="19"/>
        <item x="20"/>
        <item x="21"/>
        <item x="22"/>
        <item x="23"/>
        <item x="24"/>
        <item x="27"/>
        <item x="36"/>
        <item x="28"/>
        <item x="29"/>
        <item x="30"/>
        <item x="31"/>
        <item x="32"/>
        <item x="33"/>
        <item x="34"/>
        <item x="35"/>
        <item x="37"/>
        <item x="38"/>
        <item x="39"/>
        <item x="40"/>
        <item x="41"/>
        <item x="42"/>
        <item x="43"/>
        <item x="4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axis="axisPage" multipleItemSelectionAllowed="1" showAll="0">
      <items count="35">
        <item x="21"/>
        <item h="1" x="11"/>
        <item h="1" x="14"/>
        <item h="1" x="10"/>
        <item h="1" x="3"/>
        <item h="1" x="2"/>
        <item h="1" x="6"/>
        <item h="1" x="16"/>
        <item h="1" x="8"/>
        <item h="1" x="4"/>
        <item h="1" x="32"/>
        <item h="1" x="1"/>
        <item h="1" x="15"/>
        <item h="1" x="20"/>
        <item x="18"/>
        <item h="1" x="13"/>
        <item h="1" x="22"/>
        <item x="9"/>
        <item h="1" x="12"/>
        <item h="1" x="26"/>
        <item h="1" x="27"/>
        <item h="1" x="25"/>
        <item h="1" x="17"/>
        <item h="1" x="30"/>
        <item h="1" x="29"/>
        <item h="1" x="23"/>
        <item h="1" x="24"/>
        <item x="28"/>
        <item h="1" x="31"/>
        <item h="1" x="19"/>
        <item h="1" x="5"/>
        <item h="1" x="33"/>
        <item h="1" x="7"/>
        <item h="1" x="0"/>
        <item t="default"/>
      </items>
    </pivotField>
    <pivotField showAll="0"/>
    <pivotField numFmtId="3" showAll="0"/>
    <pivotField showAll="0"/>
  </pivotFields>
  <rowFields count="3">
    <field x="0"/>
    <field x="1"/>
    <field x="3"/>
  </rowFields>
  <rowItems count="23">
    <i>
      <x/>
    </i>
    <i r="1">
      <x/>
    </i>
    <i r="2">
      <x v="10"/>
    </i>
    <i r="1">
      <x v="2"/>
    </i>
    <i r="2">
      <x v="3"/>
    </i>
    <i>
      <x v="1"/>
    </i>
    <i r="1">
      <x v="5"/>
    </i>
    <i r="2">
      <x v="20"/>
    </i>
    <i r="1">
      <x v="8"/>
    </i>
    <i r="2">
      <x v="18"/>
    </i>
    <i>
      <x v="2"/>
    </i>
    <i r="1">
      <x v="9"/>
    </i>
    <i r="2">
      <x v="27"/>
    </i>
    <i r="1">
      <x v="10"/>
    </i>
    <i r="2">
      <x v="29"/>
    </i>
    <i r="2">
      <x v="30"/>
    </i>
    <i r="2">
      <x v="31"/>
    </i>
    <i r="1">
      <x v="11"/>
    </i>
    <i r="2">
      <x v="33"/>
    </i>
    <i r="2">
      <x v="35"/>
    </i>
    <i r="1">
      <x v="12"/>
    </i>
    <i r="2">
      <x v="28"/>
    </i>
    <i t="grand">
      <x/>
    </i>
  </rowItems>
  <colItems count="1">
    <i/>
  </colItems>
  <pageFields count="1">
    <pageField fld="31" hier="-1"/>
  </pageFields>
  <dataFields count="1">
    <dataField name="Contar de TOTAL PROYECTO" fld="2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useAutoFormatting="1" itemPrintTitles="1" createdVersion="4" indent="0" outline="1" outlineData="1" gridDropZones="1" multipleFieldFilters="0" rowHeaderCaption="LÍNEAS ESTRATÉGICAS PAPTN">
  <location ref="A3:E9" firstHeaderRow="1" firstDataRow="2" firstDataCol="1"/>
  <pivotFields count="37">
    <pivotField axis="axisRow"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showAll="0"/>
    <pivotField dataField="1" showAll="0"/>
    <pivotField showAll="0"/>
    <pivotField showAll="0"/>
    <pivotField showAll="0"/>
    <pivotField showAll="0"/>
    <pivotField showAll="0"/>
    <pivotField showAll="0"/>
    <pivotField showAll="0"/>
    <pivotField showAll="0"/>
    <pivotField numFmtId="3" showAll="0"/>
    <pivotField showAll="0"/>
  </pivotFields>
  <rowFields count="1">
    <field x="0"/>
  </rowFields>
  <rowItems count="5">
    <i>
      <x/>
    </i>
    <i>
      <x v="1"/>
    </i>
    <i>
      <x v="2"/>
    </i>
    <i>
      <x v="3"/>
    </i>
    <i t="grand">
      <x/>
    </i>
  </rowItems>
  <colFields count="1">
    <field x="-2"/>
  </colFields>
  <colItems count="4">
    <i>
      <x/>
    </i>
    <i i="1">
      <x v="1"/>
    </i>
    <i i="2">
      <x v="2"/>
    </i>
    <i i="3">
      <x v="3"/>
    </i>
  </colItems>
  <dataFields count="4">
    <dataField name="Suma de PRESUPUESTO 2016" fld="20" baseField="0" baseItem="0"/>
    <dataField name="Suma de FONDOS GOES + FONDOS PROPIOS" fld="21" baseField="0" baseItem="0"/>
    <dataField name="Suma de MONTO PRÉSTAMO" fld="24" baseField="0" baseItem="0"/>
    <dataField name="Suma de MONTO COOPERACIÓN NO REEMBOLSABLE  " fld="26" baseField="0" baseItem="0"/>
  </dataFields>
  <formats count="9">
    <format dxfId="138">
      <pivotArea outline="0" collapsedLevelsAreSubtotals="1" fieldPosition="0"/>
    </format>
    <format dxfId="137">
      <pivotArea field="-2" type="button" dataOnly="0" labelOnly="1" outline="0" axis="axisCol" fieldPosition="0"/>
    </format>
    <format dxfId="136">
      <pivotArea type="topRight" dataOnly="0" labelOnly="1" outline="0" fieldPosition="0"/>
    </format>
    <format dxfId="135">
      <pivotArea dataOnly="0" labelOnly="1" outline="0" fieldPosition="0">
        <references count="1">
          <reference field="4294967294" count="4">
            <x v="0"/>
            <x v="1"/>
            <x v="2"/>
            <x v="3"/>
          </reference>
        </references>
      </pivotArea>
    </format>
    <format dxfId="134">
      <pivotArea dataOnly="0" labelOnly="1" outline="0" fieldPosition="0">
        <references count="1">
          <reference field="4294967294" count="4">
            <x v="0"/>
            <x v="1"/>
            <x v="2"/>
            <x v="3"/>
          </reference>
        </references>
      </pivotArea>
    </format>
    <format dxfId="133">
      <pivotArea dataOnly="0" labelOnly="1" outline="0" fieldPosition="0">
        <references count="1">
          <reference field="4294967294" count="1">
            <x v="0"/>
          </reference>
        </references>
      </pivotArea>
    </format>
    <format dxfId="132">
      <pivotArea dataOnly="0" labelOnly="1" outline="0" fieldPosition="0">
        <references count="1">
          <reference field="4294967294" count="1">
            <x v="0"/>
          </reference>
        </references>
      </pivotArea>
    </format>
    <format dxfId="131">
      <pivotArea collapsedLevelsAreSubtotals="1" fieldPosition="0">
        <references count="2">
          <reference field="4294967294" count="1" selected="0">
            <x v="0"/>
          </reference>
          <reference field="0" count="0"/>
        </references>
      </pivotArea>
    </format>
    <format dxfId="130">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4" minRefreshableVersion="3" useAutoFormatting="1" itemPrintTitles="1" createdVersion="4" indent="0" outline="1" outlineData="1" gridDropZones="1" multipleFieldFilters="0" rowHeaderCaption="INSTITUCIÓN">
  <location ref="A3:F21" firstHeaderRow="1" firstDataRow="2" firstDataCol="1"/>
  <pivotFields count="43">
    <pivotField axis="axisCol"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8">
        <item x="12"/>
        <item x="5"/>
        <item x="8"/>
        <item x="15"/>
        <item x="14"/>
        <item x="1"/>
        <item x="4"/>
        <item x="6"/>
        <item x="3"/>
        <item x="16"/>
        <item x="9"/>
        <item x="2"/>
        <item x="10"/>
        <item x="11"/>
        <item x="13"/>
        <item x="7"/>
        <item h="1" x="0"/>
        <item t="default"/>
      </items>
    </pivotField>
    <pivotField showAll="0"/>
    <pivotField numFmtId="3" showAll="0"/>
    <pivotField showAll="0"/>
  </pivotFields>
  <rowFields count="1">
    <field x="39"/>
  </rowFields>
  <rowItems count="17">
    <i>
      <x/>
    </i>
    <i>
      <x v="1"/>
    </i>
    <i>
      <x v="2"/>
    </i>
    <i>
      <x v="3"/>
    </i>
    <i>
      <x v="4"/>
    </i>
    <i>
      <x v="5"/>
    </i>
    <i>
      <x v="6"/>
    </i>
    <i>
      <x v="7"/>
    </i>
    <i>
      <x v="8"/>
    </i>
    <i>
      <x v="9"/>
    </i>
    <i>
      <x v="10"/>
    </i>
    <i>
      <x v="11"/>
    </i>
    <i>
      <x v="12"/>
    </i>
    <i>
      <x v="13"/>
    </i>
    <i>
      <x v="14"/>
    </i>
    <i>
      <x v="15"/>
    </i>
    <i t="grand">
      <x/>
    </i>
  </rowItems>
  <colFields count="1">
    <field x="0"/>
  </colFields>
  <colItems count="5">
    <i>
      <x/>
    </i>
    <i>
      <x v="1"/>
    </i>
    <i>
      <x v="2"/>
    </i>
    <i>
      <x v="3"/>
    </i>
    <i t="grand">
      <x/>
    </i>
  </colItems>
  <dataFields count="1">
    <dataField name="Suma de PRESUPUESTO 2016" fld="26" baseField="0" baseItem="0" numFmtId="174"/>
  </dataFields>
  <formats count="10">
    <format dxfId="129">
      <pivotArea outline="0" collapsedLevelsAreSubtotals="1" fieldPosition="0"/>
    </format>
    <format dxfId="128">
      <pivotArea field="0" type="button" dataOnly="0" labelOnly="1" outline="0" axis="axisCol" fieldPosition="0"/>
    </format>
    <format dxfId="127">
      <pivotArea type="topRight" dataOnly="0" labelOnly="1" outline="0" fieldPosition="0"/>
    </format>
    <format dxfId="126">
      <pivotArea dataOnly="0" labelOnly="1" fieldPosition="0">
        <references count="1">
          <reference field="0" count="0"/>
        </references>
      </pivotArea>
    </format>
    <format dxfId="125">
      <pivotArea dataOnly="0" labelOnly="1" grandCol="1" outline="0" fieldPosition="0"/>
    </format>
    <format dxfId="124">
      <pivotArea dataOnly="0" labelOnly="1" fieldPosition="0">
        <references count="1">
          <reference field="0" count="0"/>
        </references>
      </pivotArea>
    </format>
    <format dxfId="123">
      <pivotArea dataOnly="0" labelOnly="1" grandCol="1" outline="0" fieldPosition="0"/>
    </format>
    <format dxfId="122">
      <pivotArea dataOnly="0" labelOnly="1" grandCol="1" outline="0" fieldPosition="0"/>
    </format>
    <format dxfId="121">
      <pivotArea dataOnly="0" labelOnly="1" grandCol="1" outline="0" fieldPosition="0"/>
    </format>
    <format dxfId="120">
      <pivotArea field="39" grandCol="1" collapsedLevelsAreSubtotals="1" axis="axisRow" fieldPosition="0">
        <references count="1">
          <reference field="3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useAutoFormatting="1" itemPrintTitles="1" createdVersion="4" indent="0" outline="1" outlineData="1" gridDropZones="1" multipleFieldFilters="0" rowHeaderCaption="INSTITUCIONES">
  <location ref="A3:E25" firstHeaderRow="1" firstDataRow="2" firstDataCol="1"/>
  <pivotFields count="37">
    <pivotField showAll="0"/>
    <pivotField showAll="0"/>
    <pivotField showAll="0"/>
    <pivotField showAll="0"/>
    <pivotField axis="axisRow" showAll="0" sortType="ascending">
      <items count="22">
        <item x="12"/>
        <item x="5"/>
        <item x="8"/>
        <item x="17"/>
        <item x="16"/>
        <item x="1"/>
        <item x="4"/>
        <item x="6"/>
        <item x="3"/>
        <item x="19"/>
        <item x="20"/>
        <item x="2"/>
        <item x="9"/>
        <item x="10"/>
        <item x="18"/>
        <item x="15"/>
        <item x="14"/>
        <item x="13"/>
        <item x="7"/>
        <item x="1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showAll="0"/>
    <pivotField dataField="1" showAll="0"/>
    <pivotField showAll="0"/>
    <pivotField showAll="0"/>
    <pivotField showAll="0"/>
    <pivotField showAll="0"/>
    <pivotField showAll="0"/>
    <pivotField showAll="0"/>
    <pivotField showAll="0"/>
    <pivotField showAll="0"/>
    <pivotField numFmtId="3"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4">
    <i>
      <x/>
    </i>
    <i i="1">
      <x v="1"/>
    </i>
    <i i="2">
      <x v="2"/>
    </i>
    <i i="3">
      <x v="3"/>
    </i>
  </colItems>
  <dataFields count="4">
    <dataField name="Suma de PRESUPUESTO 2016" fld="20" baseField="0" baseItem="0"/>
    <dataField name="Suma de FONDOS GOES + FONDOS PROPIOS" fld="21" baseField="0" baseItem="0"/>
    <dataField name="Suma de MONTO PRÉSTAMO" fld="24" baseField="0" baseItem="0"/>
    <dataField name="Suma de MONTO COOPERACIÓN NO REEMBOLSABLE  " fld="26" baseField="0" baseItem="0"/>
  </dataFields>
  <formats count="9">
    <format dxfId="119">
      <pivotArea outline="0" collapsedLevelsAreSubtotals="1" fieldPosition="0"/>
    </format>
    <format dxfId="118">
      <pivotArea field="-2" type="button" dataOnly="0" labelOnly="1" outline="0" axis="axisCol" fieldPosition="0"/>
    </format>
    <format dxfId="117">
      <pivotArea type="topRight" dataOnly="0" labelOnly="1" outline="0" fieldPosition="0"/>
    </format>
    <format dxfId="116">
      <pivotArea dataOnly="0" labelOnly="1" outline="0" fieldPosition="0">
        <references count="1">
          <reference field="4294967294" count="4">
            <x v="0"/>
            <x v="1"/>
            <x v="2"/>
            <x v="3"/>
          </reference>
        </references>
      </pivotArea>
    </format>
    <format dxfId="115">
      <pivotArea dataOnly="0" labelOnly="1" outline="0" fieldPosition="0">
        <references count="1">
          <reference field="4294967294" count="4">
            <x v="0"/>
            <x v="1"/>
            <x v="2"/>
            <x v="3"/>
          </reference>
        </references>
      </pivotArea>
    </format>
    <format dxfId="114">
      <pivotArea dataOnly="0" labelOnly="1" outline="0" fieldPosition="0">
        <references count="1">
          <reference field="4294967294" count="1">
            <x v="0"/>
          </reference>
        </references>
      </pivotArea>
    </format>
    <format dxfId="113">
      <pivotArea dataOnly="0" labelOnly="1" outline="0" fieldPosition="0">
        <references count="1">
          <reference field="4294967294" count="1">
            <x v="0"/>
          </reference>
        </references>
      </pivotArea>
    </format>
    <format dxfId="112">
      <pivotArea collapsedLevelsAreSubtotals="1" fieldPosition="0">
        <references count="2">
          <reference field="4294967294" count="1" selected="0">
            <x v="0"/>
          </reference>
          <reference field="4" count="0"/>
        </references>
      </pivotArea>
    </format>
    <format dxfId="111">
      <pivotArea field="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 dinámica4" cacheId="1" applyNumberFormats="0" applyBorderFormats="0" applyFontFormats="0" applyPatternFormats="0" applyAlignmentFormats="0" applyWidthHeightFormats="1" dataCaption="Valores" updatedVersion="4" minRefreshableVersion="3" useAutoFormatting="1" itemPrintTitles="1" createdVersion="4" indent="0" outline="1" outlineData="1" gridDropZones="1" multipleFieldFilters="0" rowHeaderCaption="LÍNEAS ESTRATÉGICAS Y DE ACCIÓN PAPTN">
  <location ref="A3:E21" firstHeaderRow="1" firstDataRow="2" firstDataCol="1"/>
  <pivotFields count="37">
    <pivotField axis="axisRow" showAll="0">
      <items count="5">
        <item x="0"/>
        <item x="1"/>
        <item x="2"/>
        <item x="3"/>
        <item t="default"/>
      </items>
    </pivotField>
    <pivotField axis="axisRow" showAll="0">
      <items count="13">
        <item x="0"/>
        <item x="1"/>
        <item x="2"/>
        <item x="3"/>
        <item x="4"/>
        <item x="5"/>
        <item x="6"/>
        <item x="7"/>
        <item x="8"/>
        <item x="9"/>
        <item x="10"/>
        <item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showAll="0"/>
    <pivotField dataField="1" showAll="0"/>
    <pivotField showAll="0"/>
    <pivotField showAll="0"/>
    <pivotField showAll="0"/>
    <pivotField showAll="0"/>
    <pivotField showAll="0"/>
    <pivotField showAll="0"/>
    <pivotField showAll="0"/>
    <pivotField showAll="0"/>
    <pivotField numFmtId="3" showAll="0"/>
    <pivotField showAll="0"/>
  </pivotFields>
  <rowFields count="2">
    <field x="0"/>
    <field x="1"/>
  </rowFields>
  <rowItems count="17">
    <i>
      <x/>
    </i>
    <i r="1">
      <x/>
    </i>
    <i r="1">
      <x v="1"/>
    </i>
    <i r="1">
      <x v="2"/>
    </i>
    <i>
      <x v="1"/>
    </i>
    <i r="1">
      <x v="3"/>
    </i>
    <i r="1">
      <x v="4"/>
    </i>
    <i r="1">
      <x v="5"/>
    </i>
    <i r="1">
      <x v="6"/>
    </i>
    <i r="1">
      <x v="7"/>
    </i>
    <i>
      <x v="2"/>
    </i>
    <i r="1">
      <x v="8"/>
    </i>
    <i r="1">
      <x v="9"/>
    </i>
    <i r="1">
      <x v="10"/>
    </i>
    <i>
      <x v="3"/>
    </i>
    <i r="1">
      <x v="11"/>
    </i>
    <i t="grand">
      <x/>
    </i>
  </rowItems>
  <colFields count="1">
    <field x="-2"/>
  </colFields>
  <colItems count="4">
    <i>
      <x/>
    </i>
    <i i="1">
      <x v="1"/>
    </i>
    <i i="2">
      <x v="2"/>
    </i>
    <i i="3">
      <x v="3"/>
    </i>
  </colItems>
  <dataFields count="4">
    <dataField name="Suma de PRESUPUESTO 2016" fld="20" baseField="0" baseItem="0"/>
    <dataField name="Suma de FONDOS GOES + FONDOS PROPIOS" fld="21" baseField="0" baseItem="0"/>
    <dataField name="Suma de MONTO PRÉSTAMO" fld="24" baseField="0" baseItem="0"/>
    <dataField name="Suma de MONTO COOPERACIÓN NO REEMBOLSABLE  " fld="26" baseField="0" baseItem="0"/>
  </dataFields>
  <formats count="16">
    <format dxfId="110">
      <pivotArea outline="0" collapsedLevelsAreSubtotals="1" fieldPosition="0"/>
    </format>
    <format dxfId="109">
      <pivotArea field="-2" type="button" dataOnly="0" labelOnly="1" outline="0" axis="axisCol" fieldPosition="0"/>
    </format>
    <format dxfId="108">
      <pivotArea type="topRight" dataOnly="0" labelOnly="1" outline="0" fieldPosition="0"/>
    </format>
    <format dxfId="107">
      <pivotArea dataOnly="0" labelOnly="1" outline="0" fieldPosition="0">
        <references count="1">
          <reference field="4294967294" count="4">
            <x v="0"/>
            <x v="1"/>
            <x v="2"/>
            <x v="3"/>
          </reference>
        </references>
      </pivotArea>
    </format>
    <format dxfId="106">
      <pivotArea dataOnly="0" labelOnly="1" outline="0" fieldPosition="0">
        <references count="1">
          <reference field="4294967294" count="4">
            <x v="0"/>
            <x v="1"/>
            <x v="2"/>
            <x v="3"/>
          </reference>
        </references>
      </pivotArea>
    </format>
    <format dxfId="105">
      <pivotArea field="0" type="button" dataOnly="0" labelOnly="1" outline="0" axis="axisRow" fieldPosition="0"/>
    </format>
    <format dxfId="104">
      <pivotArea dataOnly="0" labelOnly="1" outline="0" fieldPosition="0">
        <references count="1">
          <reference field="4294967294" count="1">
            <x v="0"/>
          </reference>
        </references>
      </pivotArea>
    </format>
    <format dxfId="103">
      <pivotArea dataOnly="0" labelOnly="1" outline="0" fieldPosition="0">
        <references count="1">
          <reference field="4294967294" count="1">
            <x v="0"/>
          </reference>
        </references>
      </pivotArea>
    </format>
    <format dxfId="102">
      <pivotArea collapsedLevelsAreSubtotals="1" fieldPosition="0">
        <references count="2">
          <reference field="4294967294" count="1" selected="0">
            <x v="0"/>
          </reference>
          <reference field="0" count="1">
            <x v="0"/>
          </reference>
        </references>
      </pivotArea>
    </format>
    <format dxfId="101">
      <pivotArea collapsedLevelsAreSubtotals="1" fieldPosition="0">
        <references count="3">
          <reference field="4294967294" count="1" selected="0">
            <x v="0"/>
          </reference>
          <reference field="0" count="1" selected="0">
            <x v="0"/>
          </reference>
          <reference field="1" count="3">
            <x v="0"/>
            <x v="1"/>
            <x v="2"/>
          </reference>
        </references>
      </pivotArea>
    </format>
    <format dxfId="100">
      <pivotArea collapsedLevelsAreSubtotals="1" fieldPosition="0">
        <references count="2">
          <reference field="4294967294" count="1" selected="0">
            <x v="0"/>
          </reference>
          <reference field="0" count="1">
            <x v="1"/>
          </reference>
        </references>
      </pivotArea>
    </format>
    <format dxfId="99">
      <pivotArea collapsedLevelsAreSubtotals="1" fieldPosition="0">
        <references count="3">
          <reference field="4294967294" count="1" selected="0">
            <x v="0"/>
          </reference>
          <reference field="0" count="1" selected="0">
            <x v="1"/>
          </reference>
          <reference field="1" count="5">
            <x v="3"/>
            <x v="4"/>
            <x v="5"/>
            <x v="6"/>
            <x v="7"/>
          </reference>
        </references>
      </pivotArea>
    </format>
    <format dxfId="98">
      <pivotArea collapsedLevelsAreSubtotals="1" fieldPosition="0">
        <references count="2">
          <reference field="4294967294" count="1" selected="0">
            <x v="0"/>
          </reference>
          <reference field="0" count="1">
            <x v="2"/>
          </reference>
        </references>
      </pivotArea>
    </format>
    <format dxfId="97">
      <pivotArea collapsedLevelsAreSubtotals="1" fieldPosition="0">
        <references count="3">
          <reference field="4294967294" count="1" selected="0">
            <x v="0"/>
          </reference>
          <reference field="0" count="1" selected="0">
            <x v="2"/>
          </reference>
          <reference field="1" count="3">
            <x v="8"/>
            <x v="9"/>
            <x v="10"/>
          </reference>
        </references>
      </pivotArea>
    </format>
    <format dxfId="96">
      <pivotArea collapsedLevelsAreSubtotals="1" fieldPosition="0">
        <references count="2">
          <reference field="4294967294" count="1" selected="0">
            <x v="0"/>
          </reference>
          <reference field="0" count="1">
            <x v="3"/>
          </reference>
        </references>
      </pivotArea>
    </format>
    <format dxfId="95">
      <pivotArea collapsedLevelsAreSubtotals="1" fieldPosition="0">
        <references count="3">
          <reference field="4294967294" count="1" selected="0">
            <x v="0"/>
          </reference>
          <reference field="0" count="1" selected="0">
            <x v="3"/>
          </reference>
          <reference field="1" count="1">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A5:AT117" totalsRowCount="1" headerRowDxfId="94" totalsRowDxfId="92" tableBorderDxfId="93">
  <autoFilter ref="A5:AT116"/>
  <sortState ref="A6:AW114">
    <sortCondition ref="AT5:AT114"/>
  </sortState>
  <tableColumns count="46">
    <tableColumn id="1" name="LÍNEAS ESTRATÉGICAS              (1 DÍGITO)" totalsRowLabel="Total" dataDxfId="91" totalsRowDxfId="90"/>
    <tableColumn id="19" name="LÍNEA DE ACCIÓN                                   (2 DÍGITOS)" dataDxfId="89" totalsRowDxfId="88"/>
    <tableColumn id="22" name="# ACC." dataDxfId="87" totalsRowDxfId="86"/>
    <tableColumn id="2" name="LÍNEAS DE ACCIÓN                                 (3 DÍGITOS)" dataDxfId="85" totalsRowDxfId="84"/>
    <tableColumn id="6" name="INSTITUCIÓN" dataDxfId="83" totalsRowDxfId="82"/>
    <tableColumn id="27" name="UNIDAD PRESUPUESTARIA" dataDxfId="81" totalsRowDxfId="80"/>
    <tableColumn id="26" name="LÍNEA DE TRABAJO" dataDxfId="79" totalsRowDxfId="78"/>
    <tableColumn id="25" name="RUBRO" dataDxfId="77" totalsRowDxfId="76"/>
    <tableColumn id="29" name="CÓDIGO DE INVERSIÓN" dataDxfId="75" totalsRowDxfId="74"/>
    <tableColumn id="3" name="PROYECTOS" totalsRowFunction="count" dataDxfId="73" totalsRowDxfId="72"/>
    <tableColumn id="4" name="DESCRIPCIÓN GENERAL" dataDxfId="71" totalsRowDxfId="70"/>
    <tableColumn id="5" name="TERRITORIO" dataDxfId="69" totalsRowDxfId="68"/>
    <tableColumn id="7" name="BENEFICIARIOS" dataDxfId="67" totalsRowDxfId="66"/>
    <tableColumn id="10" name="INDICADOR" dataDxfId="65" totalsRowDxfId="64"/>
    <tableColumn id="11" name="LÍNEA BASE 2015" dataDxfId="63" totalsRowDxfId="62"/>
    <tableColumn id="12" name="2015" dataDxfId="61" totalsRowDxfId="60"/>
    <tableColumn id="13" name="2016" dataDxfId="59" totalsRowDxfId="58"/>
    <tableColumn id="14" name="a 2019" dataDxfId="57" totalsRowDxfId="56"/>
    <tableColumn id="18" name="INICIA EN 2016" totalsRowFunction="count" dataDxfId="55" totalsRowDxfId="54"/>
    <tableColumn id="28" name="EJECUCIÓN 2016" totalsRowFunction="count" dataDxfId="53" totalsRowDxfId="52"/>
    <tableColumn id="38" name="PRESUPUESTO 2016 _x000a_(APROBADO)" totalsRowFunction="sum" dataDxfId="51" totalsRowDxfId="50"/>
    <tableColumn id="39" name="FONDOS PROPIOS / _x000a_FONDO GENERAL" totalsRowFunction="sum" dataDxfId="49" totalsRowDxfId="48"/>
    <tableColumn id="40" name="PRÉSTAMOS EXTERNOS_x000a_(MONTO)" totalsRowFunction="sum" dataDxfId="47" totalsRowDxfId="46"/>
    <tableColumn id="41" name="PRÉSTAMOS EXTERNOS_x000a_(ORGANISMO / INSTITUC.)" dataDxfId="45" totalsRowDxfId="44"/>
    <tableColumn id="42" name="DONACIONES_x000a_(MONTO)" totalsRowFunction="sum" dataDxfId="43" totalsRowDxfId="42"/>
    <tableColumn id="43" name="DONACIONES_x000a_(ORGANISMO / INSTITUC.)" dataDxfId="41" totalsRowDxfId="40"/>
    <tableColumn id="44" name="PRESUPUESTO 2016 _x000a_(APROBADO)2" totalsRowFunction="sum" dataDxfId="39" totalsRowDxfId="38"/>
    <tableColumn id="45" name="FONDOS PROPIOS / _x000a_FONDO GENERAL2" totalsRowFunction="sum" dataDxfId="37" totalsRowDxfId="36"/>
    <tableColumn id="46" name="PRÉSTAMOS EXTERNOS_x000a_(MONTO)2" totalsRowFunction="sum" dataDxfId="35" totalsRowDxfId="34"/>
    <tableColumn id="47" name="PRÉSTAMOS EXTERNOS_x000a_(ORGANISMO / INSTITUC.)2" dataDxfId="33" totalsRowDxfId="32"/>
    <tableColumn id="48" name="DONACIONES_x000a_(MONTO)2" totalsRowFunction="sum" dataDxfId="31" totalsRowDxfId="30"/>
    <tableColumn id="49" name="DONACIONES_x000a_(ORGANISMO / INSTITUC.)2" dataDxfId="29" totalsRowDxfId="28"/>
    <tableColumn id="30" name="PRESUPUESTO 2016_x000a_MONTO TOTAL_x000a_(Millones US$)_x000a_A + B + C + D" totalsRowFunction="sum" dataDxfId="27" totalsRowDxfId="26"/>
    <tableColumn id="37" name="FONDOS GOES + FONDOS PROPIOS" totalsRowFunction="sum" dataDxfId="25" totalsRowDxfId="24">
      <calculatedColumnFormula>Tabla1[[#This Row],[FONDOS GOES
(Millones US$)
(A)]]+Tabla1[[#This Row],[FONDOS PROPIOS 
(Millones US$)
(B)]]</calculatedColumnFormula>
    </tableColumn>
    <tableColumn id="31" name="FONDOS GOES_x000a_(Millones US$)_x000a_(A)" totalsRowFunction="sum" dataDxfId="23" totalsRowDxfId="22">
      <calculatedColumnFormula>Tabla1[[#This Row],[PRESUPUESTO 2016
MONTO TOTAL
(Millones US$)
A + B + C + D]]*0.13</calculatedColumnFormula>
    </tableColumn>
    <tableColumn id="32" name="FONDOS PROPIOS _x000a_(Millones US$)_x000a_(B)" totalsRowFunction="sum" dataDxfId="21" totalsRowDxfId="20"/>
    <tableColumn id="33" name="MONTO PRÉSTAMO_x000a_(Millones US$)_x000a_(C) " totalsRowFunction="sum" dataDxfId="19" totalsRowDxfId="18" dataCellStyle="Moneda"/>
    <tableColumn id="34" name="ORGANISMO / INSTITUCIÓN PRÉSTAMO" dataDxfId="17" totalsRowDxfId="16"/>
    <tableColumn id="35" name="MONTO COOPERACIÓN NO REEMBOLSABLE  _x000a_(Millones US$)_x000a_(D)" totalsRowFunction="sum" dataDxfId="15" totalsRowDxfId="14"/>
    <tableColumn id="20" name="ORGANISMO / INSTITUCIÓN COOPERACIÓN" dataDxfId="13" totalsRowDxfId="12"/>
    <tableColumn id="36" name="TOTAL PROYECTO" totalsRowFunction="sum" dataDxfId="11" totalsRowDxfId="10"/>
    <tableColumn id="15" name="INVERSIÓN TOTAL          (Millones US$)" totalsRowFunction="sum" dataDxfId="9" totalsRowDxfId="8"/>
    <tableColumn id="16" name="RECURSOS NACIONALES        (Millones US$)" totalsRowFunction="sum" dataDxfId="7" totalsRowDxfId="6"/>
    <tableColumn id="17" name="APOYO SOCIOS PAPTN       (Millones US$)" totalsRowFunction="sum" dataDxfId="5" totalsRowDxfId="4"/>
    <tableColumn id="8" name="INSTITUCIÓN QUE ENVÍA" totalsRowFunction="count" dataDxfId="3" totalsRowDxfId="2"/>
    <tableColumn id="9" name="CORRELAT." dataDxfId="1" totalsRowDxfId="0"/>
  </tableColumns>
  <tableStyleInfo showFirstColumn="0" showLastColumn="0" showRowStripes="1" showColumnStripes="0"/>
</table>
</file>

<file path=xl/theme/theme1.xml><?xml version="1.0" encoding="utf-8"?>
<a:theme xmlns:a="http://schemas.openxmlformats.org/drawingml/2006/main" name="Negro">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150" zoomScaleNormal="150" zoomScalePageLayoutView="150" workbookViewId="0">
      <selection activeCell="A14" sqref="A14"/>
    </sheetView>
  </sheetViews>
  <sheetFormatPr baseColWidth="10" defaultRowHeight="15" x14ac:dyDescent="0.25"/>
  <cols>
    <col min="1" max="1" width="152.7109375" customWidth="1"/>
    <col min="2" max="2" width="18" customWidth="1"/>
    <col min="3" max="3" width="25.7109375" bestFit="1" customWidth="1"/>
    <col min="4" max="4" width="43" bestFit="1" customWidth="1"/>
    <col min="5" max="5" width="23.42578125" bestFit="1" customWidth="1"/>
    <col min="6" max="6" width="11.28515625" bestFit="1" customWidth="1"/>
  </cols>
  <sheetData>
    <row r="1" spans="1:2" x14ac:dyDescent="0.25">
      <c r="A1" s="34" t="s">
        <v>13</v>
      </c>
      <c r="B1" t="s">
        <v>57</v>
      </c>
    </row>
    <row r="3" spans="1:2" x14ac:dyDescent="0.25">
      <c r="A3" s="34" t="s">
        <v>72</v>
      </c>
    </row>
    <row r="4" spans="1:2" x14ac:dyDescent="0.25">
      <c r="A4" s="34" t="s">
        <v>59</v>
      </c>
      <c r="B4" t="s">
        <v>16</v>
      </c>
    </row>
    <row r="5" spans="1:2" x14ac:dyDescent="0.25">
      <c r="A5" s="35" t="s">
        <v>44</v>
      </c>
      <c r="B5" s="104"/>
    </row>
    <row r="6" spans="1:2" x14ac:dyDescent="0.25">
      <c r="A6" s="36" t="s">
        <v>37</v>
      </c>
      <c r="B6" s="104"/>
    </row>
    <row r="7" spans="1:2" x14ac:dyDescent="0.25">
      <c r="A7" s="38" t="s">
        <v>23</v>
      </c>
      <c r="B7" s="104"/>
    </row>
    <row r="8" spans="1:2" x14ac:dyDescent="0.25">
      <c r="A8" s="36" t="s">
        <v>38</v>
      </c>
      <c r="B8" s="104"/>
    </row>
    <row r="9" spans="1:2" x14ac:dyDescent="0.25">
      <c r="A9" s="38" t="s">
        <v>24</v>
      </c>
      <c r="B9" s="104"/>
    </row>
    <row r="10" spans="1:2" x14ac:dyDescent="0.25">
      <c r="A10" s="35" t="s">
        <v>54</v>
      </c>
      <c r="B10" s="104"/>
    </row>
    <row r="11" spans="1:2" x14ac:dyDescent="0.25">
      <c r="A11" s="36" t="s">
        <v>39</v>
      </c>
      <c r="B11" s="104"/>
    </row>
    <row r="12" spans="1:2" x14ac:dyDescent="0.25">
      <c r="A12" s="38" t="s">
        <v>25</v>
      </c>
      <c r="B12" s="104"/>
    </row>
    <row r="13" spans="1:2" x14ac:dyDescent="0.25">
      <c r="A13" s="36" t="s">
        <v>40</v>
      </c>
      <c r="B13" s="104"/>
    </row>
    <row r="14" spans="1:2" x14ac:dyDescent="0.25">
      <c r="A14" s="38" t="s">
        <v>26</v>
      </c>
      <c r="B14" s="104"/>
    </row>
    <row r="15" spans="1:2" x14ac:dyDescent="0.25">
      <c r="A15" s="35" t="s">
        <v>45</v>
      </c>
      <c r="B15" s="104">
        <v>1</v>
      </c>
    </row>
    <row r="16" spans="1:2" x14ac:dyDescent="0.25">
      <c r="A16" s="36" t="s">
        <v>41</v>
      </c>
      <c r="B16" s="104"/>
    </row>
    <row r="17" spans="1:2" x14ac:dyDescent="0.25">
      <c r="A17" s="38" t="s">
        <v>22</v>
      </c>
      <c r="B17" s="104"/>
    </row>
    <row r="18" spans="1:2" x14ac:dyDescent="0.25">
      <c r="A18" s="36" t="s">
        <v>42</v>
      </c>
      <c r="B18" s="104"/>
    </row>
    <row r="19" spans="1:2" x14ac:dyDescent="0.25">
      <c r="A19" s="38" t="s">
        <v>27</v>
      </c>
      <c r="B19" s="104"/>
    </row>
    <row r="20" spans="1:2" x14ac:dyDescent="0.25">
      <c r="A20" s="38" t="s">
        <v>28</v>
      </c>
      <c r="B20" s="104"/>
    </row>
    <row r="21" spans="1:2" x14ac:dyDescent="0.25">
      <c r="A21" s="38" t="s">
        <v>29</v>
      </c>
      <c r="B21" s="104"/>
    </row>
    <row r="22" spans="1:2" x14ac:dyDescent="0.25">
      <c r="A22" s="36" t="s">
        <v>43</v>
      </c>
      <c r="B22" s="104">
        <v>1</v>
      </c>
    </row>
    <row r="23" spans="1:2" x14ac:dyDescent="0.25">
      <c r="A23" s="38" t="s">
        <v>30</v>
      </c>
      <c r="B23" s="104">
        <v>1</v>
      </c>
    </row>
    <row r="24" spans="1:2" x14ac:dyDescent="0.25">
      <c r="A24" s="38" t="s">
        <v>31</v>
      </c>
      <c r="B24" s="104"/>
    </row>
    <row r="25" spans="1:2" x14ac:dyDescent="0.25">
      <c r="A25" s="36" t="s">
        <v>46</v>
      </c>
      <c r="B25" s="104"/>
    </row>
    <row r="26" spans="1:2" x14ac:dyDescent="0.25">
      <c r="A26" s="38" t="s">
        <v>32</v>
      </c>
      <c r="B26" s="104"/>
    </row>
    <row r="27" spans="1:2" x14ac:dyDescent="0.25">
      <c r="A27" s="35" t="s">
        <v>19</v>
      </c>
      <c r="B27" s="104">
        <v>1</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showGridLines="0" zoomScale="150" zoomScaleNormal="150" zoomScalePageLayoutView="150" workbookViewId="0">
      <selection activeCell="A52" sqref="A52"/>
    </sheetView>
  </sheetViews>
  <sheetFormatPr baseColWidth="10" defaultRowHeight="15" x14ac:dyDescent="0.25"/>
  <cols>
    <col min="1" max="1" width="149" customWidth="1"/>
  </cols>
  <sheetData>
    <row r="2" spans="1:1" x14ac:dyDescent="0.25">
      <c r="A2" s="232" t="s">
        <v>44</v>
      </c>
    </row>
    <row r="3" spans="1:1" x14ac:dyDescent="0.25">
      <c r="A3" s="236" t="s">
        <v>37</v>
      </c>
    </row>
    <row r="4" spans="1:1" x14ac:dyDescent="0.25">
      <c r="A4" s="38" t="s">
        <v>164</v>
      </c>
    </row>
    <row r="5" spans="1:1" x14ac:dyDescent="0.25">
      <c r="A5" s="38" t="s">
        <v>415</v>
      </c>
    </row>
    <row r="6" spans="1:1" x14ac:dyDescent="0.25">
      <c r="A6" s="38" t="s">
        <v>94</v>
      </c>
    </row>
    <row r="7" spans="1:1" x14ac:dyDescent="0.25">
      <c r="A7" s="38" t="s">
        <v>23</v>
      </c>
    </row>
    <row r="8" spans="1:1" x14ac:dyDescent="0.25">
      <c r="A8" s="38" t="s">
        <v>416</v>
      </c>
    </row>
    <row r="9" spans="1:1" x14ac:dyDescent="0.25">
      <c r="A9" s="236" t="s">
        <v>417</v>
      </c>
    </row>
    <row r="10" spans="1:1" x14ac:dyDescent="0.25">
      <c r="A10" s="38" t="s">
        <v>418</v>
      </c>
    </row>
    <row r="11" spans="1:1" x14ac:dyDescent="0.25">
      <c r="A11" s="38" t="s">
        <v>419</v>
      </c>
    </row>
    <row r="12" spans="1:1" x14ac:dyDescent="0.25">
      <c r="A12" s="38" t="s">
        <v>420</v>
      </c>
    </row>
    <row r="13" spans="1:1" x14ac:dyDescent="0.25">
      <c r="A13" s="38" t="s">
        <v>421</v>
      </c>
    </row>
    <row r="14" spans="1:1" x14ac:dyDescent="0.25">
      <c r="A14" s="38" t="s">
        <v>422</v>
      </c>
    </row>
    <row r="15" spans="1:1" x14ac:dyDescent="0.25">
      <c r="A15" s="236" t="s">
        <v>38</v>
      </c>
    </row>
    <row r="16" spans="1:1" x14ac:dyDescent="0.25">
      <c r="A16" s="38" t="s">
        <v>402</v>
      </c>
    </row>
    <row r="17" spans="1:1" x14ac:dyDescent="0.25">
      <c r="A17" s="38" t="s">
        <v>24</v>
      </c>
    </row>
    <row r="18" spans="1:1" x14ac:dyDescent="0.25">
      <c r="A18" s="236" t="s">
        <v>423</v>
      </c>
    </row>
    <row r="19" spans="1:1" x14ac:dyDescent="0.25">
      <c r="A19" s="38" t="s">
        <v>424</v>
      </c>
    </row>
    <row r="20" spans="1:1" x14ac:dyDescent="0.25">
      <c r="A20" s="38" t="s">
        <v>425</v>
      </c>
    </row>
    <row r="21" spans="1:1" x14ac:dyDescent="0.25">
      <c r="A21" s="38" t="s">
        <v>426</v>
      </c>
    </row>
    <row r="22" spans="1:1" x14ac:dyDescent="0.25">
      <c r="A22" s="38" t="s">
        <v>427</v>
      </c>
    </row>
    <row r="23" spans="1:1" x14ac:dyDescent="0.25">
      <c r="A23" s="232" t="s">
        <v>54</v>
      </c>
    </row>
    <row r="24" spans="1:1" x14ac:dyDescent="0.25">
      <c r="A24" s="236" t="s">
        <v>209</v>
      </c>
    </row>
    <row r="25" spans="1:1" x14ac:dyDescent="0.25">
      <c r="A25" s="38" t="s">
        <v>211</v>
      </c>
    </row>
    <row r="26" spans="1:1" x14ac:dyDescent="0.25">
      <c r="A26" s="236" t="s">
        <v>39</v>
      </c>
    </row>
    <row r="27" spans="1:1" x14ac:dyDescent="0.25">
      <c r="A27" s="38" t="s">
        <v>282</v>
      </c>
    </row>
    <row r="28" spans="1:1" x14ac:dyDescent="0.25">
      <c r="A28" s="38" t="s">
        <v>25</v>
      </c>
    </row>
    <row r="29" spans="1:1" x14ac:dyDescent="0.25">
      <c r="A29" s="38" t="s">
        <v>350</v>
      </c>
    </row>
    <row r="30" spans="1:1" x14ac:dyDescent="0.25">
      <c r="A30" s="236" t="s">
        <v>249</v>
      </c>
    </row>
    <row r="31" spans="1:1" x14ac:dyDescent="0.25">
      <c r="A31" s="38" t="s">
        <v>251</v>
      </c>
    </row>
    <row r="32" spans="1:1" x14ac:dyDescent="0.25">
      <c r="A32" s="38" t="s">
        <v>262</v>
      </c>
    </row>
    <row r="33" spans="1:1" x14ac:dyDescent="0.25">
      <c r="A33" s="38" t="s">
        <v>271</v>
      </c>
    </row>
    <row r="34" spans="1:1" x14ac:dyDescent="0.25">
      <c r="A34" s="38" t="s">
        <v>280</v>
      </c>
    </row>
    <row r="35" spans="1:1" x14ac:dyDescent="0.25">
      <c r="A35" s="236" t="s">
        <v>142</v>
      </c>
    </row>
    <row r="36" spans="1:1" x14ac:dyDescent="0.25">
      <c r="A36" s="38" t="s">
        <v>153</v>
      </c>
    </row>
    <row r="37" spans="1:1" x14ac:dyDescent="0.25">
      <c r="A37" s="38" t="s">
        <v>144</v>
      </c>
    </row>
    <row r="38" spans="1:1" x14ac:dyDescent="0.25">
      <c r="A38" s="236" t="s">
        <v>40</v>
      </c>
    </row>
    <row r="39" spans="1:1" x14ac:dyDescent="0.25">
      <c r="A39" s="38" t="s">
        <v>26</v>
      </c>
    </row>
    <row r="40" spans="1:1" x14ac:dyDescent="0.25">
      <c r="A40" s="232" t="s">
        <v>45</v>
      </c>
    </row>
    <row r="41" spans="1:1" x14ac:dyDescent="0.25">
      <c r="A41" s="236" t="s">
        <v>41</v>
      </c>
    </row>
    <row r="42" spans="1:1" x14ac:dyDescent="0.25">
      <c r="A42" s="38" t="s">
        <v>22</v>
      </c>
    </row>
    <row r="43" spans="1:1" x14ac:dyDescent="0.25">
      <c r="A43" s="236" t="s">
        <v>42</v>
      </c>
    </row>
    <row r="44" spans="1:1" x14ac:dyDescent="0.25">
      <c r="A44" s="38" t="s">
        <v>27</v>
      </c>
    </row>
    <row r="45" spans="1:1" x14ac:dyDescent="0.25">
      <c r="A45" s="38" t="s">
        <v>28</v>
      </c>
    </row>
    <row r="46" spans="1:1" x14ac:dyDescent="0.25">
      <c r="A46" s="38" t="s">
        <v>29</v>
      </c>
    </row>
    <row r="47" spans="1:1" x14ac:dyDescent="0.25">
      <c r="A47" s="38" t="s">
        <v>428</v>
      </c>
    </row>
    <row r="48" spans="1:1" x14ac:dyDescent="0.25">
      <c r="A48" s="236" t="s">
        <v>43</v>
      </c>
    </row>
    <row r="49" spans="1:1" x14ac:dyDescent="0.25">
      <c r="A49" s="38" t="s">
        <v>30</v>
      </c>
    </row>
    <row r="50" spans="1:1" x14ac:dyDescent="0.25">
      <c r="A50" s="38" t="s">
        <v>429</v>
      </c>
    </row>
    <row r="51" spans="1:1" x14ac:dyDescent="0.25">
      <c r="A51" s="38" t="s">
        <v>31</v>
      </c>
    </row>
    <row r="52" spans="1:1" x14ac:dyDescent="0.25">
      <c r="A52" s="38" t="s">
        <v>430</v>
      </c>
    </row>
    <row r="53" spans="1:1" x14ac:dyDescent="0.25">
      <c r="A53" s="236" t="s">
        <v>46</v>
      </c>
    </row>
    <row r="54" spans="1:1" x14ac:dyDescent="0.25">
      <c r="A54" s="38" t="s">
        <v>32</v>
      </c>
    </row>
    <row r="55" spans="1:1" x14ac:dyDescent="0.25">
      <c r="A55" s="232" t="s">
        <v>377</v>
      </c>
    </row>
    <row r="56" spans="1:1" x14ac:dyDescent="0.25">
      <c r="A56" s="236" t="s">
        <v>378</v>
      </c>
    </row>
    <row r="57" spans="1:1" x14ac:dyDescent="0.25">
      <c r="A57" s="38" t="s">
        <v>380</v>
      </c>
    </row>
    <row r="58" spans="1:1" x14ac:dyDescent="0.25">
      <c r="A58" s="38" t="s">
        <v>431</v>
      </c>
    </row>
    <row r="59" spans="1:1" x14ac:dyDescent="0.25">
      <c r="A59" s="38" t="s">
        <v>432</v>
      </c>
    </row>
    <row r="60" spans="1:1" x14ac:dyDescent="0.25">
      <c r="A60" s="38" t="s">
        <v>433</v>
      </c>
    </row>
    <row r="61" spans="1:1" x14ac:dyDescent="0.25">
      <c r="A61" s="38" t="s">
        <v>383</v>
      </c>
    </row>
    <row r="62" spans="1:1" x14ac:dyDescent="0.25">
      <c r="A62" s="236" t="s">
        <v>434</v>
      </c>
    </row>
    <row r="63" spans="1:1" x14ac:dyDescent="0.25">
      <c r="A63" s="38" t="s">
        <v>435</v>
      </c>
    </row>
    <row r="64" spans="1:1" x14ac:dyDescent="0.25">
      <c r="A64" s="236" t="s">
        <v>384</v>
      </c>
    </row>
    <row r="65" spans="1:1" x14ac:dyDescent="0.25">
      <c r="A65" s="38" t="s">
        <v>385</v>
      </c>
    </row>
    <row r="66" spans="1:1" x14ac:dyDescent="0.25">
      <c r="A66" s="38" t="s">
        <v>436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9"/>
  <sheetViews>
    <sheetView showGridLines="0" zoomScale="200" zoomScaleNormal="200" zoomScalePageLayoutView="200" workbookViewId="0">
      <selection activeCell="A4" sqref="A4"/>
    </sheetView>
  </sheetViews>
  <sheetFormatPr baseColWidth="10" defaultRowHeight="15" x14ac:dyDescent="0.25"/>
  <cols>
    <col min="1" max="1" width="42.140625" customWidth="1"/>
    <col min="2" max="2" width="12.28515625" style="226" customWidth="1"/>
    <col min="3" max="3" width="12.42578125" style="226" customWidth="1"/>
    <col min="4" max="4" width="10" style="226" customWidth="1"/>
    <col min="5" max="5" width="13.28515625" style="226" customWidth="1"/>
    <col min="6" max="6" width="3.140625" bestFit="1" customWidth="1"/>
    <col min="7" max="7" width="5.28515625" bestFit="1" customWidth="1"/>
    <col min="8" max="8" width="6.7109375" bestFit="1" customWidth="1"/>
    <col min="9" max="9" width="5.85546875" bestFit="1" customWidth="1"/>
    <col min="10" max="10" width="9.42578125" bestFit="1" customWidth="1"/>
    <col min="11" max="13" width="3.140625" bestFit="1" customWidth="1"/>
    <col min="14" max="14" width="22.42578125" bestFit="1" customWidth="1"/>
    <col min="15" max="15" width="28" bestFit="1" customWidth="1"/>
    <col min="16" max="16" width="6" bestFit="1" customWidth="1"/>
    <col min="17" max="17" width="7" bestFit="1" customWidth="1"/>
    <col min="18" max="18" width="11.28515625" bestFit="1" customWidth="1"/>
  </cols>
  <sheetData>
    <row r="3" spans="1:7" x14ac:dyDescent="0.25">
      <c r="B3" s="225" t="s">
        <v>387</v>
      </c>
    </row>
    <row r="4" spans="1:7" ht="90" x14ac:dyDescent="0.25">
      <c r="A4" s="245" t="s">
        <v>555</v>
      </c>
      <c r="B4" s="242" t="s">
        <v>388</v>
      </c>
      <c r="C4" s="227" t="s">
        <v>538</v>
      </c>
      <c r="D4" s="227" t="s">
        <v>389</v>
      </c>
      <c r="E4" s="227" t="s">
        <v>390</v>
      </c>
    </row>
    <row r="5" spans="1:7" x14ac:dyDescent="0.25">
      <c r="A5" s="35" t="s">
        <v>44</v>
      </c>
      <c r="B5" s="243">
        <v>350.91288871142501</v>
      </c>
      <c r="C5" s="226">
        <v>177.53992685</v>
      </c>
      <c r="D5" s="226">
        <v>155.63941686142499</v>
      </c>
      <c r="E5" s="226">
        <v>17.729544999999998</v>
      </c>
      <c r="G5" s="240"/>
    </row>
    <row r="6" spans="1:7" x14ac:dyDescent="0.25">
      <c r="A6" s="35" t="s">
        <v>54</v>
      </c>
      <c r="B6" s="243">
        <v>304.55127433857501</v>
      </c>
      <c r="C6" s="226">
        <v>228.42700120000001</v>
      </c>
      <c r="D6" s="226">
        <v>62.576553138575036</v>
      </c>
      <c r="E6" s="226">
        <v>13.54772</v>
      </c>
      <c r="G6" s="240"/>
    </row>
    <row r="7" spans="1:7" x14ac:dyDescent="0.25">
      <c r="A7" s="35" t="s">
        <v>45</v>
      </c>
      <c r="B7" s="243">
        <v>86.013515000000012</v>
      </c>
      <c r="C7" s="226">
        <v>17.899999999999999</v>
      </c>
      <c r="D7" s="226">
        <v>66.613515000000007</v>
      </c>
      <c r="E7" s="226">
        <v>1.5</v>
      </c>
      <c r="G7" s="240"/>
    </row>
    <row r="8" spans="1:7" x14ac:dyDescent="0.25">
      <c r="A8" s="35" t="s">
        <v>377</v>
      </c>
      <c r="B8" s="243">
        <v>272.77999999999997</v>
      </c>
      <c r="C8" s="226">
        <v>261.38</v>
      </c>
      <c r="D8" s="226">
        <v>11.4</v>
      </c>
      <c r="G8" s="240"/>
    </row>
    <row r="9" spans="1:7" x14ac:dyDescent="0.25">
      <c r="A9" s="35" t="s">
        <v>19</v>
      </c>
      <c r="B9" s="226">
        <v>1014.25767805</v>
      </c>
      <c r="C9" s="226">
        <v>685.24692804999995</v>
      </c>
      <c r="D9" s="226">
        <v>296.22948500000001</v>
      </c>
      <c r="E9" s="226">
        <v>32.777265</v>
      </c>
    </row>
  </sheetData>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2"/>
  <sheetViews>
    <sheetView showGridLines="0" zoomScale="150" zoomScaleNormal="150" zoomScalePageLayoutView="150" workbookViewId="0">
      <selection activeCell="F15" sqref="A15:F15"/>
    </sheetView>
  </sheetViews>
  <sheetFormatPr baseColWidth="10" defaultRowHeight="15" x14ac:dyDescent="0.25"/>
  <cols>
    <col min="1" max="1" width="23.42578125" customWidth="1"/>
    <col min="2" max="2" width="21.42578125" style="226" customWidth="1"/>
    <col min="3" max="3" width="12" style="226" customWidth="1"/>
    <col min="4" max="4" width="11.42578125" style="226" customWidth="1"/>
    <col min="5" max="5" width="13.42578125" style="226" customWidth="1"/>
    <col min="6" max="6" width="11.7109375" style="226" customWidth="1"/>
  </cols>
  <sheetData>
    <row r="3" spans="1:6" x14ac:dyDescent="0.25">
      <c r="A3" s="34" t="s">
        <v>388</v>
      </c>
      <c r="B3" s="225" t="s">
        <v>531</v>
      </c>
    </row>
    <row r="4" spans="1:6" ht="90" x14ac:dyDescent="0.25">
      <c r="A4" s="34" t="s">
        <v>0</v>
      </c>
      <c r="B4" s="227" t="s">
        <v>44</v>
      </c>
      <c r="C4" s="227" t="s">
        <v>54</v>
      </c>
      <c r="D4" s="227" t="s">
        <v>45</v>
      </c>
      <c r="E4" s="227" t="s">
        <v>377</v>
      </c>
      <c r="F4" s="242" t="s">
        <v>19</v>
      </c>
    </row>
    <row r="5" spans="1:6" x14ac:dyDescent="0.25">
      <c r="A5" s="35" t="s">
        <v>408</v>
      </c>
      <c r="C5" s="226">
        <v>70</v>
      </c>
      <c r="F5" s="243">
        <v>70</v>
      </c>
    </row>
    <row r="6" spans="1:6" x14ac:dyDescent="0.25">
      <c r="A6" s="35" t="s">
        <v>406</v>
      </c>
      <c r="B6" s="226">
        <v>189.01569500000002</v>
      </c>
      <c r="F6" s="243">
        <v>189.01569500000002</v>
      </c>
    </row>
    <row r="7" spans="1:6" x14ac:dyDescent="0.25">
      <c r="A7" s="35" t="s">
        <v>407</v>
      </c>
      <c r="B7" s="226">
        <v>50.434520000000006</v>
      </c>
      <c r="F7" s="243">
        <v>50.434520000000006</v>
      </c>
    </row>
    <row r="8" spans="1:6" x14ac:dyDescent="0.25">
      <c r="A8" s="35" t="s">
        <v>507</v>
      </c>
      <c r="D8" s="226">
        <v>10.5</v>
      </c>
      <c r="F8" s="243">
        <v>10.5</v>
      </c>
    </row>
    <row r="9" spans="1:6" x14ac:dyDescent="0.25">
      <c r="A9" s="35" t="s">
        <v>510</v>
      </c>
      <c r="D9" s="226">
        <v>17.756</v>
      </c>
      <c r="F9" s="243">
        <v>17.756</v>
      </c>
    </row>
    <row r="10" spans="1:6" x14ac:dyDescent="0.25">
      <c r="A10" s="35" t="s">
        <v>165</v>
      </c>
      <c r="B10" s="226">
        <v>1</v>
      </c>
      <c r="C10" s="226">
        <v>26.925000000000004</v>
      </c>
      <c r="D10" s="226">
        <v>1</v>
      </c>
      <c r="F10" s="243">
        <v>28.925000000000004</v>
      </c>
    </row>
    <row r="11" spans="1:6" x14ac:dyDescent="0.25">
      <c r="A11" s="35" t="s">
        <v>521</v>
      </c>
      <c r="B11" s="226">
        <v>18.161841861424961</v>
      </c>
      <c r="C11" s="226">
        <v>10.11426813857504</v>
      </c>
      <c r="F11" s="243">
        <v>28.276110000000003</v>
      </c>
    </row>
    <row r="12" spans="1:6" x14ac:dyDescent="0.25">
      <c r="A12" s="35" t="s">
        <v>403</v>
      </c>
      <c r="B12" s="226">
        <v>4.7280788500000002</v>
      </c>
      <c r="F12" s="243">
        <v>4.7280788500000002</v>
      </c>
    </row>
    <row r="13" spans="1:6" x14ac:dyDescent="0.25">
      <c r="A13" s="35" t="s">
        <v>95</v>
      </c>
      <c r="B13" s="226">
        <v>58.648572999999999</v>
      </c>
      <c r="F13" s="243">
        <v>58.648572999999999</v>
      </c>
    </row>
    <row r="14" spans="1:6" x14ac:dyDescent="0.25">
      <c r="A14" s="35" t="s">
        <v>381</v>
      </c>
      <c r="E14" s="226">
        <v>11.4</v>
      </c>
      <c r="F14" s="243">
        <v>11.4</v>
      </c>
    </row>
    <row r="15" spans="1:6" x14ac:dyDescent="0.25">
      <c r="A15" s="35" t="s">
        <v>552</v>
      </c>
      <c r="B15" s="226">
        <v>261.37650500000001</v>
      </c>
      <c r="F15" s="243">
        <v>261.37650500000001</v>
      </c>
    </row>
    <row r="16" spans="1:6" x14ac:dyDescent="0.25">
      <c r="A16" s="35" t="s">
        <v>222</v>
      </c>
      <c r="B16" s="226">
        <v>7.4499399999999998</v>
      </c>
      <c r="F16" s="243">
        <v>7.4499399999999998</v>
      </c>
    </row>
    <row r="17" spans="1:6" x14ac:dyDescent="0.25">
      <c r="A17" s="35" t="s">
        <v>283</v>
      </c>
      <c r="C17" s="226">
        <v>40.471083560000004</v>
      </c>
      <c r="F17" s="243">
        <v>40.471083560000004</v>
      </c>
    </row>
    <row r="18" spans="1:6" x14ac:dyDescent="0.25">
      <c r="A18" s="35" t="s">
        <v>252</v>
      </c>
      <c r="C18" s="226">
        <v>145.63462264</v>
      </c>
      <c r="F18" s="243">
        <v>145.63462264</v>
      </c>
    </row>
    <row r="19" spans="1:6" x14ac:dyDescent="0.25">
      <c r="A19" s="35" t="s">
        <v>14</v>
      </c>
      <c r="D19" s="226">
        <v>56.757515000000012</v>
      </c>
      <c r="F19" s="243">
        <v>56.757515000000012</v>
      </c>
    </row>
    <row r="20" spans="1:6" x14ac:dyDescent="0.25">
      <c r="A20" s="35" t="s">
        <v>560</v>
      </c>
      <c r="B20" s="226">
        <v>21.482240000000001</v>
      </c>
      <c r="C20" s="226">
        <v>11.4063</v>
      </c>
      <c r="F20" s="243">
        <v>32.888539999999999</v>
      </c>
    </row>
    <row r="21" spans="1:6" x14ac:dyDescent="0.25">
      <c r="A21" s="35" t="s">
        <v>19</v>
      </c>
      <c r="B21" s="226">
        <v>612.297393711425</v>
      </c>
      <c r="C21" s="226">
        <v>304.55127433857501</v>
      </c>
      <c r="D21" s="226">
        <v>86.013515000000012</v>
      </c>
      <c r="E21" s="226">
        <v>11.4</v>
      </c>
      <c r="F21" s="226">
        <v>1014.2621830500001</v>
      </c>
    </row>
    <row r="25" spans="1:6" ht="90" x14ac:dyDescent="0.25">
      <c r="B25" s="246" t="s">
        <v>44</v>
      </c>
      <c r="C25" s="246" t="s">
        <v>54</v>
      </c>
      <c r="D25" s="246" t="s">
        <v>45</v>
      </c>
      <c r="E25" s="246" t="s">
        <v>377</v>
      </c>
    </row>
    <row r="26" spans="1:6" x14ac:dyDescent="0.25">
      <c r="A26" s="35" t="s">
        <v>381</v>
      </c>
      <c r="B26" s="226">
        <f t="shared" ref="B26:E27" si="0">B14</f>
        <v>0</v>
      </c>
      <c r="C26" s="226">
        <f t="shared" si="0"/>
        <v>0</v>
      </c>
      <c r="D26" s="226">
        <f t="shared" si="0"/>
        <v>0</v>
      </c>
      <c r="E26" s="226">
        <f t="shared" si="0"/>
        <v>11.4</v>
      </c>
      <c r="F26" s="226">
        <f t="shared" ref="F26:F30" si="1">SUM(B26:E26)</f>
        <v>11.4</v>
      </c>
    </row>
    <row r="27" spans="1:6" x14ac:dyDescent="0.25">
      <c r="A27" s="35" t="s">
        <v>552</v>
      </c>
      <c r="B27" s="226">
        <f t="shared" si="0"/>
        <v>261.37650500000001</v>
      </c>
      <c r="C27" s="226">
        <f t="shared" si="0"/>
        <v>0</v>
      </c>
      <c r="D27" s="226">
        <f t="shared" si="0"/>
        <v>0</v>
      </c>
      <c r="E27" s="226">
        <f t="shared" si="0"/>
        <v>0</v>
      </c>
      <c r="F27" s="226">
        <f t="shared" si="1"/>
        <v>261.37650500000001</v>
      </c>
    </row>
    <row r="28" spans="1:6" x14ac:dyDescent="0.25">
      <c r="A28" s="35" t="s">
        <v>507</v>
      </c>
      <c r="B28" s="226">
        <f t="shared" ref="B28:E29" si="2">B8</f>
        <v>0</v>
      </c>
      <c r="C28" s="226">
        <f t="shared" si="2"/>
        <v>0</v>
      </c>
      <c r="D28" s="226">
        <f t="shared" si="2"/>
        <v>10.5</v>
      </c>
      <c r="E28" s="226">
        <f t="shared" si="2"/>
        <v>0</v>
      </c>
      <c r="F28" s="226">
        <f>SUM(B28:E28)</f>
        <v>10.5</v>
      </c>
    </row>
    <row r="29" spans="1:6" x14ac:dyDescent="0.25">
      <c r="A29" s="35" t="s">
        <v>510</v>
      </c>
      <c r="B29" s="226">
        <f t="shared" si="2"/>
        <v>0</v>
      </c>
      <c r="C29" s="226">
        <f t="shared" si="2"/>
        <v>0</v>
      </c>
      <c r="D29" s="226">
        <f t="shared" si="2"/>
        <v>17.756</v>
      </c>
      <c r="E29" s="226">
        <f t="shared" si="2"/>
        <v>0</v>
      </c>
      <c r="F29" s="226">
        <f>SUM(B29:E29)</f>
        <v>17.756</v>
      </c>
    </row>
    <row r="30" spans="1:6" x14ac:dyDescent="0.25">
      <c r="A30" s="35" t="s">
        <v>14</v>
      </c>
      <c r="B30" s="226">
        <f>B19</f>
        <v>0</v>
      </c>
      <c r="C30" s="226">
        <f>C19</f>
        <v>0</v>
      </c>
      <c r="D30" s="226">
        <f>D19</f>
        <v>56.757515000000012</v>
      </c>
      <c r="E30" s="226">
        <f>E19</f>
        <v>0</v>
      </c>
      <c r="F30" s="226">
        <f t="shared" si="1"/>
        <v>56.757515000000012</v>
      </c>
    </row>
    <row r="31" spans="1:6" x14ac:dyDescent="0.25">
      <c r="A31" s="35" t="s">
        <v>165</v>
      </c>
      <c r="B31" s="226">
        <f>B10</f>
        <v>1</v>
      </c>
      <c r="C31" s="226">
        <f>C10</f>
        <v>26.925000000000004</v>
      </c>
      <c r="D31" s="226">
        <f>D10</f>
        <v>1</v>
      </c>
      <c r="E31" s="226">
        <f>E10</f>
        <v>0</v>
      </c>
      <c r="F31" s="226">
        <f t="shared" ref="F31:F41" si="3">SUM(B31:E31)</f>
        <v>28.925000000000004</v>
      </c>
    </row>
    <row r="32" spans="1:6" x14ac:dyDescent="0.25">
      <c r="A32" s="35" t="s">
        <v>283</v>
      </c>
      <c r="B32" s="226">
        <f>B17</f>
        <v>0</v>
      </c>
      <c r="C32" s="226">
        <f>C17</f>
        <v>40.471083560000004</v>
      </c>
      <c r="D32" s="226">
        <f>D17</f>
        <v>0</v>
      </c>
      <c r="E32" s="226">
        <f>E17</f>
        <v>0</v>
      </c>
      <c r="F32" s="226">
        <f t="shared" si="3"/>
        <v>40.471083560000004</v>
      </c>
    </row>
    <row r="33" spans="1:6" x14ac:dyDescent="0.25">
      <c r="A33" s="35" t="s">
        <v>408</v>
      </c>
      <c r="B33" s="226">
        <f>B5</f>
        <v>0</v>
      </c>
      <c r="C33" s="226">
        <f>C5</f>
        <v>70</v>
      </c>
      <c r="D33" s="226">
        <f>D5</f>
        <v>0</v>
      </c>
      <c r="E33" s="226">
        <f>E5</f>
        <v>0</v>
      </c>
      <c r="F33" s="226">
        <f t="shared" si="3"/>
        <v>70</v>
      </c>
    </row>
    <row r="34" spans="1:6" x14ac:dyDescent="0.25">
      <c r="A34" s="35" t="s">
        <v>252</v>
      </c>
      <c r="B34" s="226">
        <f>B18</f>
        <v>0</v>
      </c>
      <c r="C34" s="226">
        <f>C18</f>
        <v>145.63462264</v>
      </c>
      <c r="D34" s="226">
        <f>D18</f>
        <v>0</v>
      </c>
      <c r="E34" s="226">
        <f>E18</f>
        <v>0</v>
      </c>
      <c r="F34" s="226">
        <f t="shared" si="3"/>
        <v>145.63462264</v>
      </c>
    </row>
    <row r="35" spans="1:6" x14ac:dyDescent="0.25">
      <c r="A35" s="35" t="s">
        <v>403</v>
      </c>
      <c r="B35" s="226">
        <f>B12</f>
        <v>4.7280788500000002</v>
      </c>
      <c r="C35" s="226">
        <f>C12</f>
        <v>0</v>
      </c>
      <c r="D35" s="226">
        <f>D12</f>
        <v>0</v>
      </c>
      <c r="E35" s="226">
        <f>E12</f>
        <v>0</v>
      </c>
      <c r="F35" s="226">
        <f t="shared" si="3"/>
        <v>4.7280788500000002</v>
      </c>
    </row>
    <row r="36" spans="1:6" x14ac:dyDescent="0.25">
      <c r="A36" s="35" t="s">
        <v>222</v>
      </c>
      <c r="B36" s="226">
        <f>B16</f>
        <v>7.4499399999999998</v>
      </c>
      <c r="C36" s="226">
        <f>C16</f>
        <v>0</v>
      </c>
      <c r="D36" s="226">
        <f>D16</f>
        <v>0</v>
      </c>
      <c r="E36" s="226">
        <f>E16</f>
        <v>0</v>
      </c>
      <c r="F36" s="226">
        <f t="shared" si="3"/>
        <v>7.4499399999999998</v>
      </c>
    </row>
    <row r="37" spans="1:6" x14ac:dyDescent="0.25">
      <c r="A37" s="35" t="s">
        <v>521</v>
      </c>
      <c r="B37" s="226">
        <f>B11</f>
        <v>18.161841861424961</v>
      </c>
      <c r="C37" s="226">
        <f>C11</f>
        <v>10.11426813857504</v>
      </c>
      <c r="D37" s="226">
        <f>D11</f>
        <v>0</v>
      </c>
      <c r="E37" s="226">
        <f>E11</f>
        <v>0</v>
      </c>
      <c r="F37" s="226">
        <f t="shared" si="3"/>
        <v>28.276110000000003</v>
      </c>
    </row>
    <row r="38" spans="1:6" x14ac:dyDescent="0.25">
      <c r="A38" s="35" t="s">
        <v>560</v>
      </c>
      <c r="B38" s="226">
        <f>B20</f>
        <v>21.482240000000001</v>
      </c>
      <c r="C38" s="226">
        <f>C20</f>
        <v>11.4063</v>
      </c>
      <c r="D38" s="226">
        <f>D20</f>
        <v>0</v>
      </c>
      <c r="E38" s="226">
        <f>E20</f>
        <v>0</v>
      </c>
      <c r="F38" s="226">
        <f t="shared" si="3"/>
        <v>32.888539999999999</v>
      </c>
    </row>
    <row r="39" spans="1:6" x14ac:dyDescent="0.25">
      <c r="A39" s="35" t="s">
        <v>407</v>
      </c>
      <c r="B39" s="226">
        <f>B7</f>
        <v>50.434520000000006</v>
      </c>
      <c r="C39" s="226">
        <f>C7</f>
        <v>0</v>
      </c>
      <c r="D39" s="226">
        <f>D7</f>
        <v>0</v>
      </c>
      <c r="E39" s="226">
        <f>E7</f>
        <v>0</v>
      </c>
      <c r="F39" s="226">
        <f t="shared" si="3"/>
        <v>50.434520000000006</v>
      </c>
    </row>
    <row r="40" spans="1:6" x14ac:dyDescent="0.25">
      <c r="A40" s="35" t="s">
        <v>95</v>
      </c>
      <c r="B40" s="226">
        <f>B13</f>
        <v>58.648572999999999</v>
      </c>
      <c r="C40" s="226">
        <f>C13</f>
        <v>0</v>
      </c>
      <c r="D40" s="226">
        <f>D13</f>
        <v>0</v>
      </c>
      <c r="E40" s="226">
        <f>E13</f>
        <v>0</v>
      </c>
      <c r="F40" s="226">
        <f t="shared" si="3"/>
        <v>58.648572999999999</v>
      </c>
    </row>
    <row r="41" spans="1:6" x14ac:dyDescent="0.25">
      <c r="A41" s="35" t="s">
        <v>406</v>
      </c>
      <c r="B41" s="226">
        <f>B6</f>
        <v>189.01569500000002</v>
      </c>
      <c r="C41" s="226">
        <f>C6</f>
        <v>0</v>
      </c>
      <c r="D41" s="226">
        <f>D6</f>
        <v>0</v>
      </c>
      <c r="E41" s="226">
        <f>E6</f>
        <v>0</v>
      </c>
      <c r="F41" s="226">
        <f t="shared" si="3"/>
        <v>189.01569500000002</v>
      </c>
    </row>
    <row r="42" spans="1:6" x14ac:dyDescent="0.25">
      <c r="B42" s="247">
        <f>SUM(B26:B41)</f>
        <v>612.297393711425</v>
      </c>
      <c r="C42" s="247">
        <f>SUM(C26:C41)</f>
        <v>304.55127433857507</v>
      </c>
      <c r="D42" s="247">
        <f>SUM(D26:D41)</f>
        <v>86.013515000000012</v>
      </c>
      <c r="E42" s="247">
        <f>SUM(E26:E41)</f>
        <v>11.4</v>
      </c>
    </row>
  </sheetData>
  <phoneticPr fontId="58" type="noConversion"/>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5"/>
  <sheetViews>
    <sheetView showGridLines="0" zoomScale="200" zoomScaleNormal="200" zoomScalePageLayoutView="200" workbookViewId="0">
      <pane ySplit="4" topLeftCell="A5" activePane="bottomLeft" state="frozenSplit"/>
      <selection pane="bottomLeft" activeCell="A4" sqref="A4"/>
    </sheetView>
  </sheetViews>
  <sheetFormatPr baseColWidth="10" defaultRowHeight="15" x14ac:dyDescent="0.25"/>
  <cols>
    <col min="1" max="1" width="18" bestFit="1" customWidth="1"/>
    <col min="2" max="2" width="12.28515625" style="226" bestFit="1" customWidth="1"/>
    <col min="3" max="3" width="15.140625" style="226" customWidth="1"/>
    <col min="4" max="5" width="14.85546875" style="226" bestFit="1" customWidth="1"/>
    <col min="6" max="6" width="3.140625" bestFit="1" customWidth="1"/>
    <col min="7" max="7" width="5.28515625" bestFit="1" customWidth="1"/>
    <col min="8" max="8" width="6.7109375" bestFit="1" customWidth="1"/>
    <col min="9" max="9" width="5.85546875" bestFit="1" customWidth="1"/>
    <col min="10" max="10" width="9.42578125" bestFit="1" customWidth="1"/>
    <col min="11" max="13" width="3.140625" bestFit="1" customWidth="1"/>
    <col min="14" max="14" width="22.42578125" bestFit="1" customWidth="1"/>
    <col min="15" max="15" width="28" bestFit="1" customWidth="1"/>
    <col min="16" max="16" width="6" bestFit="1" customWidth="1"/>
    <col min="17" max="17" width="7" bestFit="1" customWidth="1"/>
    <col min="18" max="18" width="11.28515625" bestFit="1" customWidth="1"/>
  </cols>
  <sheetData>
    <row r="3" spans="1:5" x14ac:dyDescent="0.25">
      <c r="B3" s="225" t="s">
        <v>387</v>
      </c>
    </row>
    <row r="4" spans="1:5" ht="75" x14ac:dyDescent="0.25">
      <c r="A4" s="245" t="s">
        <v>554</v>
      </c>
      <c r="B4" s="242" t="s">
        <v>388</v>
      </c>
      <c r="C4" s="227" t="s">
        <v>538</v>
      </c>
      <c r="D4" s="227" t="s">
        <v>389</v>
      </c>
      <c r="E4" s="227" t="s">
        <v>390</v>
      </c>
    </row>
    <row r="5" spans="1:5" x14ac:dyDescent="0.25">
      <c r="A5" s="35" t="s">
        <v>408</v>
      </c>
      <c r="B5" s="243">
        <v>70</v>
      </c>
      <c r="C5" s="226">
        <v>70</v>
      </c>
    </row>
    <row r="6" spans="1:5" x14ac:dyDescent="0.25">
      <c r="A6" s="35" t="s">
        <v>406</v>
      </c>
      <c r="B6" s="243">
        <v>189.01569500000002</v>
      </c>
      <c r="C6" s="226">
        <v>76.493449999999982</v>
      </c>
      <c r="D6" s="226">
        <v>110.509255</v>
      </c>
      <c r="E6" s="226">
        <v>2.0089899999999998</v>
      </c>
    </row>
    <row r="7" spans="1:5" x14ac:dyDescent="0.25">
      <c r="A7" s="35" t="s">
        <v>407</v>
      </c>
      <c r="B7" s="243">
        <v>50.434520000000006</v>
      </c>
      <c r="C7" s="226">
        <v>50.434520000000006</v>
      </c>
    </row>
    <row r="8" spans="1:5" x14ac:dyDescent="0.25">
      <c r="A8" s="35" t="s">
        <v>507</v>
      </c>
      <c r="B8" s="243">
        <v>10.5</v>
      </c>
      <c r="C8" s="226">
        <v>10.5</v>
      </c>
    </row>
    <row r="9" spans="1:5" x14ac:dyDescent="0.25">
      <c r="A9" s="35" t="s">
        <v>510</v>
      </c>
      <c r="B9" s="243">
        <v>17.756</v>
      </c>
      <c r="C9" s="226">
        <v>0</v>
      </c>
      <c r="D9" s="226">
        <v>17.756</v>
      </c>
    </row>
    <row r="10" spans="1:5" x14ac:dyDescent="0.25">
      <c r="A10" s="35" t="s">
        <v>165</v>
      </c>
      <c r="B10" s="243">
        <v>28.925000000000004</v>
      </c>
      <c r="C10" s="226">
        <v>23.900000000000002</v>
      </c>
      <c r="D10" s="226">
        <v>4.125</v>
      </c>
      <c r="E10" s="226">
        <v>0.9</v>
      </c>
    </row>
    <row r="11" spans="1:5" x14ac:dyDescent="0.25">
      <c r="A11" s="35" t="s">
        <v>521</v>
      </c>
      <c r="B11" s="243">
        <v>28.276110000000003</v>
      </c>
      <c r="C11" s="226">
        <v>0</v>
      </c>
      <c r="D11" s="226">
        <v>10.342000000000002</v>
      </c>
      <c r="E11" s="226">
        <v>17.934109999999997</v>
      </c>
    </row>
    <row r="12" spans="1:5" x14ac:dyDescent="0.25">
      <c r="A12" s="35" t="s">
        <v>403</v>
      </c>
      <c r="B12" s="243">
        <v>4.7280788500000002</v>
      </c>
      <c r="C12" s="226">
        <v>4.7280788500000002</v>
      </c>
    </row>
    <row r="13" spans="1:5" x14ac:dyDescent="0.25">
      <c r="A13" s="35" t="s">
        <v>95</v>
      </c>
      <c r="B13" s="243">
        <v>58.640573000000003</v>
      </c>
      <c r="C13" s="226">
        <v>39.216783</v>
      </c>
      <c r="D13" s="226">
        <v>19.106335000000001</v>
      </c>
      <c r="E13" s="226">
        <v>0.31745499999999999</v>
      </c>
    </row>
    <row r="14" spans="1:5" x14ac:dyDescent="0.25">
      <c r="A14" s="35" t="s">
        <v>381</v>
      </c>
      <c r="B14" s="243">
        <v>11.4</v>
      </c>
      <c r="C14" s="226">
        <v>0</v>
      </c>
      <c r="D14" s="226">
        <v>11.4</v>
      </c>
    </row>
    <row r="15" spans="1:5" x14ac:dyDescent="0.25">
      <c r="A15" s="35" t="s">
        <v>552</v>
      </c>
      <c r="B15" s="243">
        <v>261.38</v>
      </c>
      <c r="C15" s="226">
        <v>261.38</v>
      </c>
    </row>
    <row r="16" spans="1:5" x14ac:dyDescent="0.25">
      <c r="A16" s="35" t="s">
        <v>222</v>
      </c>
      <c r="B16" s="243">
        <v>7.4499399999999998</v>
      </c>
      <c r="C16" s="226">
        <v>3.56839</v>
      </c>
      <c r="D16" s="226">
        <v>3.3065500000000001</v>
      </c>
      <c r="E16" s="226">
        <v>0.57499999999999996</v>
      </c>
    </row>
    <row r="17" spans="1:5" x14ac:dyDescent="0.25">
      <c r="A17" s="35" t="s">
        <v>283</v>
      </c>
      <c r="B17" s="243">
        <v>40.471083560000004</v>
      </c>
      <c r="C17" s="226">
        <v>29.281083560000003</v>
      </c>
      <c r="D17" s="226">
        <v>8.42</v>
      </c>
      <c r="E17" s="226">
        <v>2.77</v>
      </c>
    </row>
    <row r="18" spans="1:5" x14ac:dyDescent="0.25">
      <c r="A18" s="35" t="s">
        <v>252</v>
      </c>
      <c r="B18" s="243">
        <v>145.63462264</v>
      </c>
      <c r="C18" s="226">
        <v>106.04961764000001</v>
      </c>
      <c r="D18" s="226">
        <v>36.122254999999996</v>
      </c>
      <c r="E18" s="226">
        <v>3.4627499999999998</v>
      </c>
    </row>
    <row r="19" spans="1:5" x14ac:dyDescent="0.25">
      <c r="A19" s="35" t="s">
        <v>536</v>
      </c>
      <c r="B19" s="243">
        <v>33.608125000000001</v>
      </c>
      <c r="C19" s="226">
        <v>0</v>
      </c>
      <c r="D19" s="226">
        <v>32.108125000000001</v>
      </c>
      <c r="E19" s="226">
        <v>1.5</v>
      </c>
    </row>
    <row r="20" spans="1:5" x14ac:dyDescent="0.25">
      <c r="A20" s="35" t="s">
        <v>535</v>
      </c>
      <c r="B20" s="243">
        <v>13.541779999999999</v>
      </c>
      <c r="C20" s="226">
        <v>0</v>
      </c>
      <c r="D20" s="226">
        <v>13.541779999999999</v>
      </c>
    </row>
    <row r="21" spans="1:5" x14ac:dyDescent="0.25">
      <c r="A21" s="35" t="s">
        <v>534</v>
      </c>
      <c r="B21" s="243">
        <v>7.4</v>
      </c>
      <c r="C21" s="226">
        <v>7.4</v>
      </c>
    </row>
    <row r="22" spans="1:5" x14ac:dyDescent="0.25">
      <c r="A22" s="35" t="s">
        <v>533</v>
      </c>
      <c r="B22" s="243">
        <v>2.2076099999999999</v>
      </c>
      <c r="C22" s="226">
        <v>0</v>
      </c>
      <c r="D22" s="226">
        <v>2.2076099999999999</v>
      </c>
    </row>
    <row r="23" spans="1:5" x14ac:dyDescent="0.25">
      <c r="A23" s="35" t="s">
        <v>139</v>
      </c>
      <c r="B23" s="243">
        <v>21.482240000000001</v>
      </c>
      <c r="C23" s="226">
        <v>2.0987049999999998</v>
      </c>
      <c r="D23" s="226">
        <v>16.074574999999999</v>
      </c>
      <c r="E23" s="226">
        <v>3.3089599999999999</v>
      </c>
    </row>
    <row r="24" spans="1:5" x14ac:dyDescent="0.25">
      <c r="A24" s="35" t="s">
        <v>532</v>
      </c>
      <c r="B24" s="243">
        <v>11.4063</v>
      </c>
      <c r="C24" s="226">
        <v>0.1963</v>
      </c>
      <c r="D24" s="226">
        <v>11.21</v>
      </c>
    </row>
    <row r="25" spans="1:5" x14ac:dyDescent="0.25">
      <c r="A25" s="35" t="s">
        <v>19</v>
      </c>
      <c r="B25" s="226">
        <v>1014.25767805</v>
      </c>
      <c r="C25" s="226">
        <v>685.24692804999984</v>
      </c>
      <c r="D25" s="226">
        <v>296.22948499999995</v>
      </c>
      <c r="E25" s="226">
        <v>32.777264999999993</v>
      </c>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5"/>
  <sheetViews>
    <sheetView showGridLines="0" zoomScale="150" zoomScaleNormal="150" zoomScalePageLayoutView="150" workbookViewId="0">
      <selection activeCell="C22" sqref="C22:E22"/>
    </sheetView>
  </sheetViews>
  <sheetFormatPr baseColWidth="10" defaultRowHeight="15" x14ac:dyDescent="0.25"/>
  <cols>
    <col min="1" max="1" width="81.7109375" customWidth="1"/>
    <col min="2" max="2" width="11.140625" style="226" bestFit="1" customWidth="1"/>
    <col min="3" max="3" width="10" style="226" bestFit="1" customWidth="1"/>
    <col min="4" max="4" width="10" style="226" customWidth="1"/>
    <col min="5" max="5" width="13.28515625" style="226" customWidth="1"/>
    <col min="6" max="6" width="10.42578125" style="226" customWidth="1"/>
    <col min="7" max="7" width="5.28515625" bestFit="1" customWidth="1"/>
    <col min="8" max="8" width="6.7109375" bestFit="1" customWidth="1"/>
    <col min="9" max="9" width="5.85546875" bestFit="1" customWidth="1"/>
    <col min="10" max="10" width="9.42578125" bestFit="1" customWidth="1"/>
    <col min="11" max="11" width="3.140625" customWidth="1"/>
    <col min="12" max="12" width="3.140625" bestFit="1" customWidth="1"/>
    <col min="13" max="13" width="3.140625" customWidth="1"/>
    <col min="14" max="14" width="22.42578125" bestFit="1" customWidth="1"/>
    <col min="15" max="15" width="28" bestFit="1" customWidth="1"/>
    <col min="16" max="16" width="6" bestFit="1" customWidth="1"/>
    <col min="17" max="17" width="7" bestFit="1" customWidth="1"/>
    <col min="18" max="18" width="11.28515625" bestFit="1" customWidth="1"/>
  </cols>
  <sheetData>
    <row r="3" spans="1:5" x14ac:dyDescent="0.25">
      <c r="B3" s="225" t="s">
        <v>387</v>
      </c>
    </row>
    <row r="4" spans="1:5" ht="90" x14ac:dyDescent="0.25">
      <c r="A4" s="245" t="s">
        <v>556</v>
      </c>
      <c r="B4" s="242" t="s">
        <v>388</v>
      </c>
      <c r="C4" s="227" t="s">
        <v>538</v>
      </c>
      <c r="D4" s="227" t="s">
        <v>389</v>
      </c>
      <c r="E4" s="227" t="s">
        <v>390</v>
      </c>
    </row>
    <row r="5" spans="1:5" x14ac:dyDescent="0.25">
      <c r="A5" s="35" t="s">
        <v>44</v>
      </c>
      <c r="B5" s="243">
        <v>350.91288871142501</v>
      </c>
      <c r="C5" s="226">
        <v>177.53992684999997</v>
      </c>
      <c r="D5" s="226">
        <v>155.63941686142493</v>
      </c>
      <c r="E5" s="226">
        <v>17.729544999999998</v>
      </c>
    </row>
    <row r="6" spans="1:5" x14ac:dyDescent="0.25">
      <c r="A6" s="36" t="s">
        <v>37</v>
      </c>
      <c r="B6" s="243">
        <v>81.707196641884096</v>
      </c>
      <c r="C6" s="226">
        <v>43.785173</v>
      </c>
      <c r="D6" s="226">
        <v>27.758943641884098</v>
      </c>
      <c r="E6" s="226">
        <v>10.163079999999999</v>
      </c>
    </row>
    <row r="7" spans="1:5" x14ac:dyDescent="0.25">
      <c r="A7" s="36" t="s">
        <v>417</v>
      </c>
      <c r="B7" s="243">
        <v>189.01569500000002</v>
      </c>
      <c r="C7" s="226">
        <v>76.493449999999982</v>
      </c>
      <c r="D7" s="226">
        <v>110.509255</v>
      </c>
      <c r="E7" s="226">
        <v>2.0089899999999998</v>
      </c>
    </row>
    <row r="8" spans="1:5" x14ac:dyDescent="0.25">
      <c r="A8" s="36" t="s">
        <v>38</v>
      </c>
      <c r="B8" s="243">
        <v>80.189997069540865</v>
      </c>
      <c r="C8" s="226">
        <v>57.261303850000004</v>
      </c>
      <c r="D8" s="226">
        <v>17.371218219540864</v>
      </c>
      <c r="E8" s="226">
        <v>5.5574750000000002</v>
      </c>
    </row>
    <row r="9" spans="1:5" x14ac:dyDescent="0.25">
      <c r="A9" s="35" t="s">
        <v>54</v>
      </c>
      <c r="B9" s="243">
        <v>304.55127433857501</v>
      </c>
      <c r="C9" s="226">
        <v>228.42700120000001</v>
      </c>
      <c r="D9" s="226">
        <v>62.576553138575036</v>
      </c>
      <c r="E9" s="226">
        <v>13.54772</v>
      </c>
    </row>
    <row r="10" spans="1:5" x14ac:dyDescent="0.25">
      <c r="A10" s="36" t="s">
        <v>209</v>
      </c>
      <c r="B10" s="243">
        <v>17.900000000000002</v>
      </c>
      <c r="C10" s="226">
        <v>17.900000000000002</v>
      </c>
    </row>
    <row r="11" spans="1:5" x14ac:dyDescent="0.25">
      <c r="A11" s="36" t="s">
        <v>39</v>
      </c>
      <c r="B11" s="243">
        <v>48.330351698575043</v>
      </c>
      <c r="C11" s="226">
        <v>26.301083560000002</v>
      </c>
      <c r="D11" s="226">
        <v>12.84429813857504</v>
      </c>
      <c r="E11" s="226">
        <v>9.1849699999999999</v>
      </c>
    </row>
    <row r="12" spans="1:5" x14ac:dyDescent="0.25">
      <c r="A12" s="36" t="s">
        <v>249</v>
      </c>
      <c r="B12" s="243">
        <v>148.61462263999999</v>
      </c>
      <c r="C12" s="226">
        <v>109.02961764</v>
      </c>
      <c r="D12" s="226">
        <v>36.122254999999996</v>
      </c>
      <c r="E12" s="226">
        <v>3.4627499999999998</v>
      </c>
    </row>
    <row r="13" spans="1:5" x14ac:dyDescent="0.25">
      <c r="A13" s="36" t="s">
        <v>142</v>
      </c>
      <c r="B13" s="243">
        <v>88.706299999999999</v>
      </c>
      <c r="C13" s="226">
        <v>75.196299999999994</v>
      </c>
      <c r="D13" s="226">
        <v>12.610000000000001</v>
      </c>
      <c r="E13" s="226">
        <v>0.9</v>
      </c>
    </row>
    <row r="14" spans="1:5" x14ac:dyDescent="0.25">
      <c r="A14" s="36" t="s">
        <v>40</v>
      </c>
      <c r="B14" s="243">
        <v>1</v>
      </c>
      <c r="C14" s="226">
        <v>0</v>
      </c>
      <c r="D14" s="226">
        <v>1</v>
      </c>
    </row>
    <row r="15" spans="1:5" x14ac:dyDescent="0.25">
      <c r="A15" s="35" t="s">
        <v>45</v>
      </c>
      <c r="B15" s="243">
        <v>86.013515000000012</v>
      </c>
      <c r="C15" s="226">
        <v>17.899999999999999</v>
      </c>
      <c r="D15" s="226">
        <v>66.613515000000007</v>
      </c>
      <c r="E15" s="226">
        <v>1.5</v>
      </c>
    </row>
    <row r="16" spans="1:5" x14ac:dyDescent="0.25">
      <c r="A16" s="36" t="s">
        <v>41</v>
      </c>
      <c r="B16" s="243">
        <v>10.607610000000001</v>
      </c>
      <c r="C16" s="226">
        <v>7.4</v>
      </c>
      <c r="D16" s="226">
        <v>3.2076099999999999</v>
      </c>
    </row>
    <row r="17" spans="1:5" x14ac:dyDescent="0.25">
      <c r="A17" s="36" t="s">
        <v>42</v>
      </c>
      <c r="B17" s="243">
        <v>30.351749999999999</v>
      </c>
      <c r="C17" s="226">
        <v>10.5</v>
      </c>
      <c r="D17" s="226">
        <v>19.851749999999999</v>
      </c>
    </row>
    <row r="18" spans="1:5" x14ac:dyDescent="0.25">
      <c r="A18" s="36" t="s">
        <v>43</v>
      </c>
      <c r="B18" s="243">
        <v>45.054155000000002</v>
      </c>
      <c r="C18" s="226">
        <v>0</v>
      </c>
      <c r="D18" s="226">
        <v>43.554155000000002</v>
      </c>
      <c r="E18" s="226">
        <v>1.5</v>
      </c>
    </row>
    <row r="19" spans="1:5" x14ac:dyDescent="0.25">
      <c r="A19" s="35" t="s">
        <v>377</v>
      </c>
      <c r="B19" s="243">
        <v>272.77999999999997</v>
      </c>
      <c r="C19" s="226">
        <v>261.38</v>
      </c>
      <c r="D19" s="226">
        <v>11.4</v>
      </c>
    </row>
    <row r="20" spans="1:5" x14ac:dyDescent="0.25">
      <c r="A20" s="36" t="s">
        <v>378</v>
      </c>
      <c r="B20" s="243">
        <v>272.77999999999997</v>
      </c>
      <c r="C20" s="226">
        <v>261.38</v>
      </c>
      <c r="D20" s="226">
        <v>11.4</v>
      </c>
    </row>
    <row r="21" spans="1:5" x14ac:dyDescent="0.25">
      <c r="A21" s="35" t="s">
        <v>19</v>
      </c>
      <c r="B21" s="226">
        <v>1014.2576780500001</v>
      </c>
      <c r="C21" s="226">
        <v>685.24692804999995</v>
      </c>
      <c r="D21" s="226">
        <v>296.22948499999995</v>
      </c>
      <c r="E21" s="226">
        <v>32.777265</v>
      </c>
    </row>
    <row r="22" spans="1:5" x14ac:dyDescent="0.25">
      <c r="C22" s="240">
        <f>C21/$B$21</f>
        <v>0.67561423776199325</v>
      </c>
      <c r="D22" s="240">
        <f t="shared" ref="D22:E22" si="0">D21/$B$21</f>
        <v>0.29206531181457485</v>
      </c>
      <c r="E22" s="240">
        <f t="shared" si="0"/>
        <v>3.2316506652448701E-2</v>
      </c>
    </row>
    <row r="23" spans="1:5" x14ac:dyDescent="0.25">
      <c r="C23" s="226" t="s">
        <v>557</v>
      </c>
      <c r="D23" s="226" t="s">
        <v>558</v>
      </c>
      <c r="E23" s="226" t="s">
        <v>559</v>
      </c>
    </row>
    <row r="24" spans="1:5" customFormat="1" x14ac:dyDescent="0.25">
      <c r="A24" s="36" t="s">
        <v>378</v>
      </c>
      <c r="B24" s="248">
        <f t="shared" ref="B24:E24" si="1">B20</f>
        <v>272.77999999999997</v>
      </c>
      <c r="C24" s="248">
        <f t="shared" si="1"/>
        <v>261.38</v>
      </c>
      <c r="D24" s="248">
        <f t="shared" si="1"/>
        <v>11.4</v>
      </c>
      <c r="E24" s="248">
        <f t="shared" si="1"/>
        <v>0</v>
      </c>
    </row>
    <row r="25" spans="1:5" customFormat="1" x14ac:dyDescent="0.25">
      <c r="A25" s="36" t="s">
        <v>43</v>
      </c>
      <c r="B25" s="248">
        <f>B18</f>
        <v>45.054155000000002</v>
      </c>
      <c r="C25" s="248">
        <f>C18</f>
        <v>0</v>
      </c>
      <c r="D25" s="248">
        <f>D18</f>
        <v>43.554155000000002</v>
      </c>
      <c r="E25" s="248">
        <f>E18</f>
        <v>1.5</v>
      </c>
    </row>
    <row r="26" spans="1:5" customFormat="1" x14ac:dyDescent="0.25">
      <c r="A26" s="36" t="s">
        <v>42</v>
      </c>
      <c r="B26" s="248">
        <f>B17</f>
        <v>30.351749999999999</v>
      </c>
      <c r="C26" s="248">
        <f>C17</f>
        <v>10.5</v>
      </c>
      <c r="D26" s="248">
        <f>D17</f>
        <v>19.851749999999999</v>
      </c>
      <c r="E26" s="248">
        <f>E17</f>
        <v>0</v>
      </c>
    </row>
    <row r="27" spans="1:5" customFormat="1" x14ac:dyDescent="0.25">
      <c r="A27" s="36" t="s">
        <v>41</v>
      </c>
      <c r="B27" s="248">
        <f>B16</f>
        <v>10.607610000000001</v>
      </c>
      <c r="C27" s="248">
        <f>C16</f>
        <v>7.4</v>
      </c>
      <c r="D27" s="248">
        <f>D16</f>
        <v>3.2076099999999999</v>
      </c>
      <c r="E27" s="248">
        <f>E16</f>
        <v>0</v>
      </c>
    </row>
    <row r="28" spans="1:5" customFormat="1" x14ac:dyDescent="0.25">
      <c r="A28" s="36" t="s">
        <v>40</v>
      </c>
      <c r="B28" s="248">
        <f>B14</f>
        <v>1</v>
      </c>
      <c r="C28" s="248">
        <f>C14</f>
        <v>0</v>
      </c>
      <c r="D28" s="248">
        <f>D14</f>
        <v>1</v>
      </c>
      <c r="E28" s="248">
        <f>E14</f>
        <v>0</v>
      </c>
    </row>
    <row r="29" spans="1:5" customFormat="1" x14ac:dyDescent="0.25">
      <c r="A29" s="36" t="s">
        <v>142</v>
      </c>
      <c r="B29" s="248">
        <f>B13</f>
        <v>88.706299999999999</v>
      </c>
      <c r="C29" s="248">
        <f>C13</f>
        <v>75.196299999999994</v>
      </c>
      <c r="D29" s="248">
        <f>D13</f>
        <v>12.610000000000001</v>
      </c>
      <c r="E29" s="248">
        <f>E13</f>
        <v>0.9</v>
      </c>
    </row>
    <row r="30" spans="1:5" customFormat="1" x14ac:dyDescent="0.25">
      <c r="A30" s="36" t="s">
        <v>249</v>
      </c>
      <c r="B30" s="248">
        <f>B12</f>
        <v>148.61462263999999</v>
      </c>
      <c r="C30" s="248">
        <f>C12</f>
        <v>109.02961764</v>
      </c>
      <c r="D30" s="248">
        <f>D12</f>
        <v>36.122254999999996</v>
      </c>
      <c r="E30" s="248">
        <f>E12</f>
        <v>3.4627499999999998</v>
      </c>
    </row>
    <row r="31" spans="1:5" customFormat="1" x14ac:dyDescent="0.25">
      <c r="A31" s="36" t="s">
        <v>39</v>
      </c>
      <c r="B31" s="248">
        <f>B11</f>
        <v>48.330351698575043</v>
      </c>
      <c r="C31" s="248">
        <f>C11</f>
        <v>26.301083560000002</v>
      </c>
      <c r="D31" s="248">
        <f>D11</f>
        <v>12.84429813857504</v>
      </c>
      <c r="E31" s="248">
        <f>E11</f>
        <v>9.1849699999999999</v>
      </c>
    </row>
    <row r="32" spans="1:5" customFormat="1" x14ac:dyDescent="0.25">
      <c r="A32" s="36" t="s">
        <v>209</v>
      </c>
      <c r="B32" s="248">
        <f>B10</f>
        <v>17.900000000000002</v>
      </c>
      <c r="C32" s="248">
        <f>C10</f>
        <v>17.900000000000002</v>
      </c>
      <c r="D32" s="248">
        <f>D10</f>
        <v>0</v>
      </c>
      <c r="E32" s="248">
        <f>E10</f>
        <v>0</v>
      </c>
    </row>
    <row r="33" spans="1:5" customFormat="1" x14ac:dyDescent="0.25">
      <c r="A33" s="36" t="s">
        <v>38</v>
      </c>
      <c r="B33" s="248">
        <f>B8</f>
        <v>80.189997069540865</v>
      </c>
      <c r="C33" s="248">
        <f>C8</f>
        <v>57.261303850000004</v>
      </c>
      <c r="D33" s="248">
        <f>D8</f>
        <v>17.371218219540864</v>
      </c>
      <c r="E33" s="248">
        <f>E8</f>
        <v>5.5574750000000002</v>
      </c>
    </row>
    <row r="34" spans="1:5" customFormat="1" x14ac:dyDescent="0.25">
      <c r="A34" s="36" t="s">
        <v>417</v>
      </c>
      <c r="B34" s="248">
        <f>B7</f>
        <v>189.01569500000002</v>
      </c>
      <c r="C34" s="248">
        <f>C7</f>
        <v>76.493449999999982</v>
      </c>
      <c r="D34" s="248">
        <f>D7</f>
        <v>110.509255</v>
      </c>
      <c r="E34" s="248">
        <f>E7</f>
        <v>2.0089899999999998</v>
      </c>
    </row>
    <row r="35" spans="1:5" customFormat="1" x14ac:dyDescent="0.25">
      <c r="A35" s="36" t="s">
        <v>37</v>
      </c>
      <c r="B35" s="248">
        <f>B6</f>
        <v>81.707196641884096</v>
      </c>
      <c r="C35" s="248">
        <f>C6</f>
        <v>43.785173</v>
      </c>
      <c r="D35" s="248">
        <f>D6</f>
        <v>27.758943641884098</v>
      </c>
      <c r="E35" s="248">
        <f>E6</f>
        <v>10.163079999999999</v>
      </c>
    </row>
  </sheetData>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L133"/>
  <sheetViews>
    <sheetView showGridLines="0" tabSelected="1" workbookViewId="0">
      <selection activeCell="A6" sqref="A6"/>
    </sheetView>
  </sheetViews>
  <sheetFormatPr baseColWidth="10" defaultColWidth="8.85546875" defaultRowHeight="15" x14ac:dyDescent="0.25"/>
  <cols>
    <col min="1" max="1" width="17.7109375" style="1" customWidth="1"/>
    <col min="2" max="2" width="20.85546875" style="1" customWidth="1"/>
    <col min="3" max="3" width="4.7109375" style="1" customWidth="1"/>
    <col min="4" max="4" width="21" style="2" customWidth="1"/>
    <col min="5" max="5" width="14" style="2" customWidth="1"/>
    <col min="6" max="9" width="20.85546875" style="2" customWidth="1"/>
    <col min="10" max="10" width="46.7109375" style="2" customWidth="1"/>
    <col min="11" max="12" width="43.85546875" style="2" customWidth="1"/>
    <col min="13" max="13" width="19.85546875" customWidth="1"/>
    <col min="14" max="14" width="16.85546875" style="2" customWidth="1"/>
    <col min="15" max="15" width="9.7109375" style="2" customWidth="1"/>
    <col min="16" max="16" width="9.7109375" style="2" hidden="1" customWidth="1"/>
    <col min="17" max="17" width="9.7109375" style="2" customWidth="1"/>
    <col min="18" max="18" width="9.7109375" style="2" hidden="1" customWidth="1"/>
    <col min="19" max="20" width="9" style="2" hidden="1" customWidth="1"/>
    <col min="21" max="40" width="19.28515625" style="2" customWidth="1"/>
    <col min="41" max="42" width="19.28515625" style="2" hidden="1" customWidth="1"/>
    <col min="43" max="44" width="19.28515625" style="3" hidden="1" customWidth="1"/>
    <col min="45" max="45" width="61.28515625" style="4" customWidth="1"/>
    <col min="46" max="46" width="12.28515625" style="3" customWidth="1"/>
    <col min="47" max="47" width="12.28515625" style="3" hidden="1" customWidth="1"/>
    <col min="48" max="48" width="5.7109375" style="3" customWidth="1"/>
    <col min="49" max="49" width="12.85546875" style="3" customWidth="1"/>
    <col min="50" max="50" width="8.85546875" style="3"/>
    <col min="51" max="51" width="8.85546875" style="101"/>
    <col min="52" max="16384" width="8.85546875" style="3"/>
  </cols>
  <sheetData>
    <row r="1" spans="1:64" s="26" customFormat="1" x14ac:dyDescent="0.25">
      <c r="A1" s="25">
        <v>1</v>
      </c>
      <c r="B1" s="25">
        <v>2</v>
      </c>
      <c r="C1" s="70">
        <f>Tabla1[[#Totals],[PROYECTOS]]</f>
        <v>82</v>
      </c>
      <c r="D1" s="25">
        <v>4</v>
      </c>
      <c r="E1" s="25">
        <f>D1+1</f>
        <v>5</v>
      </c>
      <c r="F1" s="25">
        <f t="shared" ref="F1:BK1" si="0">E1+1</f>
        <v>6</v>
      </c>
      <c r="G1" s="25">
        <f t="shared" si="0"/>
        <v>7</v>
      </c>
      <c r="H1" s="25">
        <f t="shared" si="0"/>
        <v>8</v>
      </c>
      <c r="I1" s="25">
        <f t="shared" ref="I1" si="1">H1+1</f>
        <v>9</v>
      </c>
      <c r="J1" s="25">
        <f t="shared" ref="J1" si="2">I1+1</f>
        <v>10</v>
      </c>
      <c r="K1" s="25">
        <f t="shared" si="0"/>
        <v>11</v>
      </c>
      <c r="L1" s="25">
        <f t="shared" si="0"/>
        <v>12</v>
      </c>
      <c r="M1" s="25">
        <f t="shared" si="0"/>
        <v>13</v>
      </c>
      <c r="N1" s="25">
        <f t="shared" si="0"/>
        <v>14</v>
      </c>
      <c r="O1" s="25">
        <f t="shared" si="0"/>
        <v>15</v>
      </c>
      <c r="P1" s="25">
        <f t="shared" si="0"/>
        <v>16</v>
      </c>
      <c r="Q1" s="25">
        <f t="shared" si="0"/>
        <v>17</v>
      </c>
      <c r="R1" s="25">
        <f t="shared" si="0"/>
        <v>18</v>
      </c>
      <c r="S1" s="25">
        <f t="shared" si="0"/>
        <v>19</v>
      </c>
      <c r="T1" s="25">
        <f t="shared" si="0"/>
        <v>20</v>
      </c>
      <c r="U1" s="25"/>
      <c r="V1" s="25"/>
      <c r="W1" s="25"/>
      <c r="X1" s="25"/>
      <c r="Y1" s="25"/>
      <c r="Z1" s="25"/>
      <c r="AA1" s="25"/>
      <c r="AB1" s="25"/>
      <c r="AC1" s="25"/>
      <c r="AD1" s="25"/>
      <c r="AE1" s="25"/>
      <c r="AF1" s="25"/>
      <c r="AG1" s="25">
        <f>T1+1</f>
        <v>21</v>
      </c>
      <c r="AH1" s="25">
        <f t="shared" ref="AH1" si="3">AG1+1</f>
        <v>22</v>
      </c>
      <c r="AI1" s="25">
        <f t="shared" ref="AI1" si="4">AH1+1</f>
        <v>23</v>
      </c>
      <c r="AJ1" s="25">
        <f t="shared" si="0"/>
        <v>24</v>
      </c>
      <c r="AK1" s="25">
        <f t="shared" si="0"/>
        <v>25</v>
      </c>
      <c r="AL1" s="25">
        <f t="shared" si="0"/>
        <v>26</v>
      </c>
      <c r="AM1" s="25">
        <f t="shared" si="0"/>
        <v>27</v>
      </c>
      <c r="AN1" s="25">
        <f t="shared" si="0"/>
        <v>28</v>
      </c>
      <c r="AO1" s="25">
        <f t="shared" si="0"/>
        <v>29</v>
      </c>
      <c r="AP1" s="25">
        <f t="shared" si="0"/>
        <v>30</v>
      </c>
      <c r="AQ1" s="25">
        <f t="shared" si="0"/>
        <v>31</v>
      </c>
      <c r="AR1" s="25">
        <f t="shared" si="0"/>
        <v>32</v>
      </c>
      <c r="AS1" s="25">
        <f t="shared" si="0"/>
        <v>33</v>
      </c>
      <c r="AT1" s="25">
        <f t="shared" si="0"/>
        <v>34</v>
      </c>
      <c r="AU1" s="25">
        <f t="shared" si="0"/>
        <v>35</v>
      </c>
      <c r="AV1" s="25">
        <f t="shared" si="0"/>
        <v>36</v>
      </c>
      <c r="AW1" s="25">
        <f t="shared" si="0"/>
        <v>37</v>
      </c>
      <c r="AX1" s="25">
        <f t="shared" si="0"/>
        <v>38</v>
      </c>
      <c r="AY1" s="25">
        <f t="shared" si="0"/>
        <v>39</v>
      </c>
      <c r="AZ1" s="25">
        <f t="shared" si="0"/>
        <v>40</v>
      </c>
      <c r="BA1" s="25">
        <f t="shared" si="0"/>
        <v>41</v>
      </c>
      <c r="BB1" s="25">
        <f t="shared" si="0"/>
        <v>42</v>
      </c>
      <c r="BC1" s="25">
        <f t="shared" si="0"/>
        <v>43</v>
      </c>
      <c r="BD1" s="25">
        <f t="shared" si="0"/>
        <v>44</v>
      </c>
      <c r="BE1" s="25">
        <f t="shared" si="0"/>
        <v>45</v>
      </c>
      <c r="BF1" s="25">
        <f t="shared" si="0"/>
        <v>46</v>
      </c>
      <c r="BG1" s="25">
        <f t="shared" si="0"/>
        <v>47</v>
      </c>
      <c r="BH1" s="25">
        <f t="shared" si="0"/>
        <v>48</v>
      </c>
      <c r="BI1" s="25">
        <f t="shared" si="0"/>
        <v>49</v>
      </c>
      <c r="BJ1" s="25">
        <f t="shared" si="0"/>
        <v>50</v>
      </c>
      <c r="BK1" s="25">
        <f t="shared" si="0"/>
        <v>51</v>
      </c>
      <c r="BL1" s="25">
        <f t="shared" ref="BL1" si="5">BK1+1</f>
        <v>52</v>
      </c>
    </row>
    <row r="2" spans="1:64" s="81" customFormat="1" ht="66" hidden="1" customHeight="1" x14ac:dyDescent="0.3">
      <c r="A2" s="275" t="s">
        <v>74</v>
      </c>
      <c r="B2" s="275"/>
      <c r="C2" s="275"/>
      <c r="D2" s="275"/>
      <c r="E2" s="275"/>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113"/>
      <c r="AH2" s="113"/>
      <c r="AI2" s="113"/>
      <c r="AJ2"/>
      <c r="AK2" s="113"/>
      <c r="AL2" s="113"/>
      <c r="AM2" s="113"/>
      <c r="AN2" s="113"/>
      <c r="AO2" s="113"/>
      <c r="AP2" s="113"/>
      <c r="AQ2" s="113"/>
      <c r="AR2" s="113"/>
      <c r="AS2" s="93"/>
      <c r="AY2" s="99"/>
    </row>
    <row r="3" spans="1:64" s="81" customFormat="1" ht="21.95" customHeight="1" x14ac:dyDescent="0.3">
      <c r="A3" s="114" t="s">
        <v>73</v>
      </c>
      <c r="B3" s="78"/>
      <c r="C3" s="79"/>
      <c r="D3" s="80"/>
      <c r="E3" s="80"/>
      <c r="F3" s="80"/>
      <c r="G3" s="80"/>
      <c r="H3" s="80"/>
      <c r="I3" s="80"/>
      <c r="J3" s="80"/>
      <c r="K3" s="80"/>
      <c r="L3" s="80"/>
      <c r="M3" s="80"/>
      <c r="N3" s="80"/>
      <c r="O3" s="80"/>
      <c r="P3" s="80"/>
      <c r="Q3" s="80"/>
      <c r="R3" s="80"/>
      <c r="S3" s="80"/>
      <c r="T3" s="80"/>
      <c r="U3" s="283" t="s">
        <v>597</v>
      </c>
      <c r="V3" s="283"/>
      <c r="W3" s="283"/>
      <c r="X3" s="283"/>
      <c r="Y3" s="283"/>
      <c r="Z3" s="283"/>
      <c r="AA3" s="283" t="s">
        <v>598</v>
      </c>
      <c r="AB3" s="283"/>
      <c r="AC3" s="283"/>
      <c r="AD3" s="283"/>
      <c r="AE3" s="283"/>
      <c r="AF3" s="284"/>
      <c r="AG3" s="91">
        <f>Tabla1[[#Totals],[PRESUPUESTO 2016
MONTO TOTAL
(Millones US$)
A + B + C + D]]</f>
        <v>1014.2621830500001</v>
      </c>
      <c r="AH3" s="121">
        <f>Tabla1[[#Totals],[FONDOS GOES + FONDOS PROPIOS]]</f>
        <v>685.24343305000014</v>
      </c>
      <c r="AI3" s="91">
        <f>Tabla1[[#Totals],[FONDOS GOES
(Millones US$)
(A)]]</f>
        <v>483.58738420000014</v>
      </c>
      <c r="AJ3" s="121">
        <f>Tabla1[[#Totals],[FONDOS PROPIOS 
(Millones US$)
(B)]]</f>
        <v>201.65604884999999</v>
      </c>
      <c r="AK3" s="281">
        <f>Tabla1[[#Totals],[MONTO PRÉSTAMO
(Millones US$)
(C) ]]</f>
        <v>296.23748499999999</v>
      </c>
      <c r="AL3" s="282"/>
      <c r="AM3" s="281">
        <f>Tabla1[[#Totals],[MONTO COOPERACIÓN NO REEMBOLSABLE  
(Millones US$)
(D)]]</f>
        <v>32.777264999999993</v>
      </c>
      <c r="AN3" s="282"/>
      <c r="AO3" s="91">
        <f>Tabla1[[#Totals],[TOTAL PROYECTO]]</f>
        <v>0.93185006000000004</v>
      </c>
      <c r="AP3" s="91">
        <f>Tabla1[[#Totals],[INVERSIÓN TOTAL          (Millones US$)]]</f>
        <v>942.92000000000007</v>
      </c>
      <c r="AQ3" s="91">
        <f>Tabla1[[#Totals],[RECURSOS NACIONALES        (Millones US$)]]</f>
        <v>452.92000000000007</v>
      </c>
      <c r="AR3" s="91">
        <f>Tabla1[[#Totals],[APOYO SOCIOS PAPTN       (Millones US$)]]</f>
        <v>490</v>
      </c>
      <c r="AS3" s="93"/>
      <c r="AY3" s="99"/>
    </row>
    <row r="4" spans="1:64" s="77" customFormat="1" ht="18.75" x14ac:dyDescent="0.3">
      <c r="A4" s="102" t="s">
        <v>58</v>
      </c>
      <c r="B4" s="71"/>
      <c r="C4" s="71"/>
      <c r="D4" s="71"/>
      <c r="E4" s="71"/>
      <c r="F4" s="71"/>
      <c r="G4" s="71"/>
      <c r="H4" s="71"/>
      <c r="I4" s="71"/>
      <c r="J4" s="90"/>
      <c r="K4" s="71"/>
      <c r="L4" s="71"/>
      <c r="M4" s="280" t="s">
        <v>71</v>
      </c>
      <c r="N4" s="280"/>
      <c r="O4" s="280"/>
      <c r="P4" s="280"/>
      <c r="Q4" s="280"/>
      <c r="R4" s="76"/>
      <c r="S4" s="103">
        <f>Tabla1[[#Totals],[INICIA EN 2016]]</f>
        <v>12</v>
      </c>
      <c r="T4" s="103">
        <f>Tabla1[[#Totals],[EJECUCIÓN 2016]]</f>
        <v>6</v>
      </c>
      <c r="U4" s="121">
        <f>Tabla1[[#Totals],[PRESUPUESTO 2016 
(APROBADO)]]</f>
        <v>965.06362237000019</v>
      </c>
      <c r="V4" s="121">
        <f>Tabla1[[#Totals],[FONDOS PROPIOS / 
FONDO GENERAL]]</f>
        <v>519.46963000000005</v>
      </c>
      <c r="W4" s="281">
        <f>Tabla1[[#Totals],[PRÉSTAMOS EXTERNOS
(MONTO)]]</f>
        <v>330.45540999999992</v>
      </c>
      <c r="X4" s="282"/>
      <c r="Y4" s="281">
        <f>Tabla1[[#Totals],[DONACIONES
(MONTO)]]</f>
        <v>5.3179499999999997</v>
      </c>
      <c r="Z4" s="282"/>
      <c r="AA4" s="121">
        <f>Tabla1[[#Totals],[PRESUPUESTO 2016 
(APROBADO)2]]</f>
        <v>965.06362237000019</v>
      </c>
      <c r="AB4" s="121">
        <f>Tabla1[[#Totals],[FONDOS PROPIOS / 
FONDO GENERAL2]]</f>
        <v>519.46963000000005</v>
      </c>
      <c r="AC4" s="281">
        <f>Tabla1[[#Totals],[PRÉSTAMOS EXTERNOS
(MONTO)2]]</f>
        <v>330.45540999999992</v>
      </c>
      <c r="AD4" s="282"/>
      <c r="AE4" s="281">
        <f>Tabla1[[#Totals],[DONACIONES
(MONTO)2]]</f>
        <v>5.3179499999999997</v>
      </c>
      <c r="AF4" s="282"/>
      <c r="AG4" s="276" t="s">
        <v>50</v>
      </c>
      <c r="AH4" s="276"/>
      <c r="AI4" s="276"/>
      <c r="AJ4" s="276"/>
      <c r="AK4" s="276"/>
      <c r="AL4" s="276"/>
      <c r="AM4" s="276"/>
      <c r="AN4" s="276"/>
      <c r="AO4" s="277"/>
      <c r="AP4" s="278" t="s">
        <v>53</v>
      </c>
      <c r="AQ4" s="279"/>
      <c r="AR4" s="279"/>
      <c r="AS4" s="72"/>
      <c r="AY4" s="95"/>
    </row>
    <row r="5" spans="1:64" s="6" customFormat="1" ht="54.95" customHeight="1" x14ac:dyDescent="0.2">
      <c r="A5" s="73" t="s">
        <v>49</v>
      </c>
      <c r="B5" s="73" t="s">
        <v>48</v>
      </c>
      <c r="C5" s="241" t="s">
        <v>18</v>
      </c>
      <c r="D5" s="73" t="s">
        <v>47</v>
      </c>
      <c r="E5" s="73" t="s">
        <v>0</v>
      </c>
      <c r="F5" s="105" t="s">
        <v>60</v>
      </c>
      <c r="G5" s="105" t="s">
        <v>61</v>
      </c>
      <c r="H5" s="105" t="s">
        <v>62</v>
      </c>
      <c r="I5" s="105" t="s">
        <v>92</v>
      </c>
      <c r="J5" s="73" t="s">
        <v>1</v>
      </c>
      <c r="K5" s="73" t="s">
        <v>2</v>
      </c>
      <c r="L5" s="73" t="s">
        <v>3</v>
      </c>
      <c r="M5" s="74" t="s">
        <v>10</v>
      </c>
      <c r="N5" s="74" t="s">
        <v>11</v>
      </c>
      <c r="O5" s="75" t="s">
        <v>63</v>
      </c>
      <c r="P5" s="73" t="s">
        <v>4</v>
      </c>
      <c r="Q5" s="73" t="s">
        <v>5</v>
      </c>
      <c r="R5" s="73" t="s">
        <v>6</v>
      </c>
      <c r="S5" s="73" t="s">
        <v>20</v>
      </c>
      <c r="T5" s="73" t="s">
        <v>51</v>
      </c>
      <c r="U5" s="274" t="s">
        <v>561</v>
      </c>
      <c r="V5" s="274" t="s">
        <v>580</v>
      </c>
      <c r="W5" s="274" t="s">
        <v>581</v>
      </c>
      <c r="X5" s="274" t="s">
        <v>584</v>
      </c>
      <c r="Y5" s="274" t="s">
        <v>582</v>
      </c>
      <c r="Z5" s="274" t="s">
        <v>583</v>
      </c>
      <c r="AA5" s="249" t="s">
        <v>591</v>
      </c>
      <c r="AB5" s="249" t="s">
        <v>592</v>
      </c>
      <c r="AC5" s="249" t="s">
        <v>593</v>
      </c>
      <c r="AD5" s="249" t="s">
        <v>594</v>
      </c>
      <c r="AE5" s="249" t="s">
        <v>595</v>
      </c>
      <c r="AF5" s="249" t="s">
        <v>596</v>
      </c>
      <c r="AG5" s="106" t="s">
        <v>64</v>
      </c>
      <c r="AH5" s="107" t="s">
        <v>537</v>
      </c>
      <c r="AI5" s="107" t="s">
        <v>65</v>
      </c>
      <c r="AJ5" s="107" t="s">
        <v>66</v>
      </c>
      <c r="AK5" s="108" t="s">
        <v>67</v>
      </c>
      <c r="AL5" s="108" t="s">
        <v>68</v>
      </c>
      <c r="AM5" s="109" t="s">
        <v>69</v>
      </c>
      <c r="AN5" s="109" t="s">
        <v>70</v>
      </c>
      <c r="AO5" s="73" t="s">
        <v>52</v>
      </c>
      <c r="AP5" s="73" t="s">
        <v>7</v>
      </c>
      <c r="AQ5" s="73" t="s">
        <v>8</v>
      </c>
      <c r="AR5" s="73" t="s">
        <v>9</v>
      </c>
      <c r="AS5" s="110" t="s">
        <v>13</v>
      </c>
      <c r="AT5" s="33" t="s">
        <v>15</v>
      </c>
      <c r="AV5" s="96"/>
    </row>
    <row r="6" spans="1:64" s="9" customFormat="1" ht="40.5" customHeight="1" x14ac:dyDescent="0.2">
      <c r="A6" s="47" t="s">
        <v>44</v>
      </c>
      <c r="B6" s="66" t="s">
        <v>37</v>
      </c>
      <c r="C6" s="62" t="s">
        <v>163</v>
      </c>
      <c r="D6" s="155" t="s">
        <v>164</v>
      </c>
      <c r="E6" s="49"/>
      <c r="F6" s="49"/>
      <c r="G6" s="49"/>
      <c r="H6" s="49"/>
      <c r="I6" s="49"/>
      <c r="J6" s="50"/>
      <c r="K6" s="50"/>
      <c r="L6" s="50"/>
      <c r="M6" s="130"/>
      <c r="N6" s="50"/>
      <c r="O6" s="51"/>
      <c r="P6" s="51"/>
      <c r="Q6" s="51"/>
      <c r="R6" s="51"/>
      <c r="S6" s="52"/>
      <c r="T6" s="52"/>
      <c r="U6" s="258"/>
      <c r="V6" s="258"/>
      <c r="W6" s="258"/>
      <c r="X6" s="267"/>
      <c r="Y6" s="258"/>
      <c r="Z6" s="267"/>
      <c r="AA6" s="258"/>
      <c r="AB6" s="258"/>
      <c r="AC6" s="258"/>
      <c r="AD6" s="267"/>
      <c r="AE6" s="258"/>
      <c r="AF6" s="267"/>
      <c r="AG6" s="82"/>
      <c r="AH6" s="82">
        <f>Tabla1[[#This Row],[FONDOS GOES
(Millones US$)
(A)]]+Tabla1[[#This Row],[FONDOS PROPIOS 
(Millones US$)
(B)]]</f>
        <v>0</v>
      </c>
      <c r="AI6" s="82"/>
      <c r="AJ6" s="82"/>
      <c r="AK6" s="82"/>
      <c r="AL6" s="82"/>
      <c r="AM6" s="82"/>
      <c r="AN6" s="82"/>
      <c r="AO6" s="86"/>
      <c r="AP6" s="53"/>
      <c r="AQ6" s="53"/>
      <c r="AR6" s="53"/>
      <c r="AS6" s="49"/>
      <c r="AT6" s="23">
        <v>1</v>
      </c>
      <c r="AV6" s="97"/>
    </row>
    <row r="7" spans="1:64" s="149" customFormat="1" ht="45.95" customHeight="1" x14ac:dyDescent="0.2">
      <c r="A7" s="21" t="s">
        <v>44</v>
      </c>
      <c r="B7" s="67" t="s">
        <v>37</v>
      </c>
      <c r="C7" s="63" t="s">
        <v>163</v>
      </c>
      <c r="D7" s="156" t="s">
        <v>164</v>
      </c>
      <c r="E7" s="27" t="s">
        <v>165</v>
      </c>
      <c r="F7" s="27" t="s">
        <v>167</v>
      </c>
      <c r="G7" s="27" t="s">
        <v>168</v>
      </c>
      <c r="H7" s="27" t="s">
        <v>169</v>
      </c>
      <c r="I7" s="231" t="s">
        <v>166</v>
      </c>
      <c r="J7" s="22" t="s">
        <v>170</v>
      </c>
      <c r="K7" s="22" t="s">
        <v>171</v>
      </c>
      <c r="L7" s="22" t="s">
        <v>172</v>
      </c>
      <c r="M7" s="150" t="s">
        <v>173</v>
      </c>
      <c r="N7" s="137" t="s">
        <v>174</v>
      </c>
      <c r="O7" s="7">
        <v>1000</v>
      </c>
      <c r="P7" s="7">
        <v>1000</v>
      </c>
      <c r="Q7" s="7">
        <v>2100</v>
      </c>
      <c r="R7" s="7">
        <v>6300</v>
      </c>
      <c r="S7" s="37"/>
      <c r="T7" s="37"/>
      <c r="U7" s="252">
        <v>1</v>
      </c>
      <c r="V7" s="252">
        <v>2E-3</v>
      </c>
      <c r="W7" s="252">
        <v>1</v>
      </c>
      <c r="X7" s="268"/>
      <c r="Y7" s="252"/>
      <c r="Z7" s="268"/>
      <c r="AA7" s="252">
        <v>1</v>
      </c>
      <c r="AB7" s="252">
        <v>2E-3</v>
      </c>
      <c r="AC7" s="252">
        <v>1</v>
      </c>
      <c r="AD7" s="268"/>
      <c r="AE7" s="252"/>
      <c r="AF7" s="268"/>
      <c r="AG7" s="83">
        <v>1</v>
      </c>
      <c r="AH7" s="83">
        <f>Tabla1[[#This Row],[FONDOS GOES
(Millones US$)
(A)]]+Tabla1[[#This Row],[FONDOS PROPIOS 
(Millones US$)
(B)]]</f>
        <v>1</v>
      </c>
      <c r="AI7" s="83">
        <v>1</v>
      </c>
      <c r="AJ7" s="222"/>
      <c r="AK7" s="83"/>
      <c r="AL7" s="83"/>
      <c r="AM7" s="83"/>
      <c r="AN7" s="83"/>
      <c r="AO7" s="87">
        <v>0.46592503000000002</v>
      </c>
      <c r="AP7" s="8"/>
      <c r="AQ7" s="8"/>
      <c r="AR7" s="8"/>
      <c r="AS7" s="27" t="s">
        <v>165</v>
      </c>
      <c r="AT7" s="23">
        <v>2</v>
      </c>
      <c r="AV7" s="97"/>
    </row>
    <row r="8" spans="1:64" s="9" customFormat="1" ht="45.95" customHeight="1" x14ac:dyDescent="0.2">
      <c r="A8" s="21" t="s">
        <v>44</v>
      </c>
      <c r="B8" s="67" t="s">
        <v>37</v>
      </c>
      <c r="C8" s="256" t="s">
        <v>163</v>
      </c>
      <c r="D8" s="156" t="s">
        <v>164</v>
      </c>
      <c r="E8" s="27" t="s">
        <v>222</v>
      </c>
      <c r="F8" s="27" t="s">
        <v>223</v>
      </c>
      <c r="G8" s="27" t="s">
        <v>224</v>
      </c>
      <c r="H8" s="27" t="s">
        <v>225</v>
      </c>
      <c r="I8" s="27" t="s">
        <v>234</v>
      </c>
      <c r="J8" s="22" t="s">
        <v>226</v>
      </c>
      <c r="K8" s="22" t="s">
        <v>227</v>
      </c>
      <c r="L8" s="22" t="s">
        <v>228</v>
      </c>
      <c r="M8" s="162" t="s">
        <v>229</v>
      </c>
      <c r="N8" s="137" t="s">
        <v>230</v>
      </c>
      <c r="O8" s="7">
        <v>0</v>
      </c>
      <c r="P8" s="7">
        <v>1000</v>
      </c>
      <c r="Q8" s="7">
        <v>300</v>
      </c>
      <c r="R8" s="7"/>
      <c r="S8" s="37"/>
      <c r="T8" s="37"/>
      <c r="U8" s="252">
        <f>0.664475+2.086105+0.07814+0.73967</f>
        <v>3.56839</v>
      </c>
      <c r="V8" s="252"/>
      <c r="W8" s="252"/>
      <c r="X8" s="268"/>
      <c r="Y8" s="252"/>
      <c r="Z8" s="268"/>
      <c r="AA8" s="252">
        <f>0.664475+2.086105+0.07814+0.73967</f>
        <v>3.56839</v>
      </c>
      <c r="AB8" s="252"/>
      <c r="AC8" s="252"/>
      <c r="AD8" s="268"/>
      <c r="AE8" s="252"/>
      <c r="AF8" s="268"/>
      <c r="AG8" s="83">
        <f>(3272662.5+481125+265000)/1000000</f>
        <v>4.0187875000000002</v>
      </c>
      <c r="AH8" s="83">
        <f>Tabla1[[#This Row],[FONDOS GOES
(Millones US$)
(A)]]+Tabla1[[#This Row],[FONDOS PROPIOS 
(Millones US$)
(B)]]</f>
        <v>3.2726625</v>
      </c>
      <c r="AI8" s="83">
        <f>((441215+2129380+406340+(591455*50%)))/1000000</f>
        <v>3.2726625</v>
      </c>
      <c r="AJ8" s="222"/>
      <c r="AK8" s="159">
        <f>(3213180-2200000-625425+93370)/1000000</f>
        <v>0.48112500000000002</v>
      </c>
      <c r="AL8" s="83" t="s">
        <v>246</v>
      </c>
      <c r="AM8" s="83">
        <f>265000/1000000</f>
        <v>0.26500000000000001</v>
      </c>
      <c r="AN8" s="83" t="s">
        <v>247</v>
      </c>
      <c r="AO8" s="87"/>
      <c r="AP8" s="8"/>
      <c r="AQ8" s="8"/>
      <c r="AR8" s="8"/>
      <c r="AS8" s="27" t="s">
        <v>222</v>
      </c>
      <c r="AT8" s="23">
        <v>3</v>
      </c>
      <c r="AV8" s="97"/>
    </row>
    <row r="9" spans="1:64" s="9" customFormat="1" ht="45.95" customHeight="1" x14ac:dyDescent="0.2">
      <c r="A9" s="21" t="s">
        <v>44</v>
      </c>
      <c r="B9" s="67" t="s">
        <v>37</v>
      </c>
      <c r="C9" s="256" t="s">
        <v>163</v>
      </c>
      <c r="D9" s="156" t="s">
        <v>164</v>
      </c>
      <c r="E9" s="27" t="s">
        <v>575</v>
      </c>
      <c r="F9" s="27" t="s">
        <v>231</v>
      </c>
      <c r="G9" s="27" t="s">
        <v>232</v>
      </c>
      <c r="H9" s="27" t="s">
        <v>233</v>
      </c>
      <c r="I9" s="27" t="s">
        <v>234</v>
      </c>
      <c r="J9" s="22" t="s">
        <v>235</v>
      </c>
      <c r="K9" s="22" t="s">
        <v>236</v>
      </c>
      <c r="L9" s="22" t="s">
        <v>237</v>
      </c>
      <c r="M9" s="162" t="s">
        <v>238</v>
      </c>
      <c r="N9" s="137" t="s">
        <v>239</v>
      </c>
      <c r="O9" s="7">
        <v>28</v>
      </c>
      <c r="P9" s="7"/>
      <c r="Q9" s="7">
        <v>15</v>
      </c>
      <c r="R9" s="7"/>
      <c r="S9" s="37"/>
      <c r="T9" s="37"/>
      <c r="U9" s="252">
        <f>3.21318+0.09337</f>
        <v>3.3065500000000001</v>
      </c>
      <c r="V9" s="252"/>
      <c r="W9" s="252"/>
      <c r="X9" s="268"/>
      <c r="Y9" s="252"/>
      <c r="Z9" s="268"/>
      <c r="AA9" s="252">
        <f>3.21318+0.09337</f>
        <v>3.3065500000000001</v>
      </c>
      <c r="AB9" s="252"/>
      <c r="AC9" s="252"/>
      <c r="AD9" s="268"/>
      <c r="AE9" s="252"/>
      <c r="AF9" s="268"/>
      <c r="AG9" s="83">
        <f>625425/1000000</f>
        <v>0.62542500000000001</v>
      </c>
      <c r="AH9" s="83">
        <f>Tabla1[[#This Row],[FONDOS GOES
(Millones US$)
(A)]]+Tabla1[[#This Row],[FONDOS PROPIOS 
(Millones US$)
(B)]]</f>
        <v>0</v>
      </c>
      <c r="AI9" s="83"/>
      <c r="AJ9" s="222"/>
      <c r="AK9" s="159">
        <f>625425/1000000</f>
        <v>0.62542500000000001</v>
      </c>
      <c r="AL9" s="83" t="s">
        <v>246</v>
      </c>
      <c r="AM9" s="83"/>
      <c r="AN9" s="83"/>
      <c r="AO9" s="87"/>
      <c r="AP9" s="8"/>
      <c r="AQ9" s="8"/>
      <c r="AR9" s="8"/>
      <c r="AS9" s="27" t="s">
        <v>222</v>
      </c>
      <c r="AT9" s="23">
        <v>4</v>
      </c>
      <c r="AV9" s="97"/>
    </row>
    <row r="10" spans="1:64" s="9" customFormat="1" ht="45.95" customHeight="1" x14ac:dyDescent="0.2">
      <c r="A10" s="21" t="s">
        <v>44</v>
      </c>
      <c r="B10" s="67" t="s">
        <v>37</v>
      </c>
      <c r="C10" s="256" t="s">
        <v>163</v>
      </c>
      <c r="D10" s="156" t="s">
        <v>164</v>
      </c>
      <c r="E10" s="27" t="s">
        <v>222</v>
      </c>
      <c r="F10" s="27" t="s">
        <v>223</v>
      </c>
      <c r="G10" s="27" t="s">
        <v>240</v>
      </c>
      <c r="H10" s="27" t="s">
        <v>225</v>
      </c>
      <c r="I10" s="27" t="s">
        <v>234</v>
      </c>
      <c r="J10" s="22" t="s">
        <v>241</v>
      </c>
      <c r="K10" s="22" t="s">
        <v>242</v>
      </c>
      <c r="L10" s="22" t="s">
        <v>243</v>
      </c>
      <c r="M10" s="162" t="s">
        <v>244</v>
      </c>
      <c r="N10" s="137" t="s">
        <v>245</v>
      </c>
      <c r="O10" s="7">
        <v>300</v>
      </c>
      <c r="P10" s="7"/>
      <c r="Q10" s="7">
        <v>300</v>
      </c>
      <c r="R10" s="7"/>
      <c r="S10" s="37"/>
      <c r="T10" s="37"/>
      <c r="U10" s="252"/>
      <c r="V10" s="252"/>
      <c r="W10" s="252"/>
      <c r="X10" s="268"/>
      <c r="Y10" s="252"/>
      <c r="Z10" s="268"/>
      <c r="AA10" s="252"/>
      <c r="AB10" s="252"/>
      <c r="AC10" s="252"/>
      <c r="AD10" s="268"/>
      <c r="AE10" s="252"/>
      <c r="AF10" s="268"/>
      <c r="AG10" s="83">
        <f>(295727.5+2200000+310000)/1000000</f>
        <v>2.8057275000000002</v>
      </c>
      <c r="AH10" s="83">
        <f>Tabla1[[#This Row],[FONDOS GOES
(Millones US$)
(A)]]+Tabla1[[#This Row],[FONDOS PROPIOS 
(Millones US$)
(B)]]</f>
        <v>0.29572749999999998</v>
      </c>
      <c r="AI10" s="83">
        <f>295727.5/1000000</f>
        <v>0.29572749999999998</v>
      </c>
      <c r="AJ10" s="222"/>
      <c r="AK10" s="159">
        <f>2200000/1000000</f>
        <v>2.2000000000000002</v>
      </c>
      <c r="AL10" s="83" t="s">
        <v>246</v>
      </c>
      <c r="AM10" s="83">
        <f>310000/1000000</f>
        <v>0.31</v>
      </c>
      <c r="AN10" s="83" t="s">
        <v>248</v>
      </c>
      <c r="AO10" s="87"/>
      <c r="AP10" s="8"/>
      <c r="AQ10" s="8"/>
      <c r="AR10" s="8"/>
      <c r="AS10" s="27" t="s">
        <v>222</v>
      </c>
      <c r="AT10" s="23">
        <v>5</v>
      </c>
      <c r="AV10" s="97"/>
    </row>
    <row r="11" spans="1:64" s="131" customFormat="1" ht="45.95" customHeight="1" x14ac:dyDescent="0.2">
      <c r="A11" s="47" t="s">
        <v>44</v>
      </c>
      <c r="B11" s="66" t="s">
        <v>37</v>
      </c>
      <c r="C11" s="62" t="s">
        <v>93</v>
      </c>
      <c r="D11" s="48" t="s">
        <v>94</v>
      </c>
      <c r="E11" s="49"/>
      <c r="F11" s="49"/>
      <c r="G11" s="49"/>
      <c r="H11" s="49"/>
      <c r="I11" s="49"/>
      <c r="J11" s="50"/>
      <c r="K11" s="50"/>
      <c r="L11" s="50"/>
      <c r="M11" s="130"/>
      <c r="N11" s="50"/>
      <c r="O11" s="51"/>
      <c r="P11" s="51"/>
      <c r="Q11" s="51"/>
      <c r="R11" s="51"/>
      <c r="S11" s="52"/>
      <c r="T11" s="52"/>
      <c r="U11" s="258"/>
      <c r="V11" s="258"/>
      <c r="W11" s="258"/>
      <c r="X11" s="267"/>
      <c r="Y11" s="258"/>
      <c r="Z11" s="267"/>
      <c r="AA11" s="258"/>
      <c r="AB11" s="258"/>
      <c r="AC11" s="258"/>
      <c r="AD11" s="267"/>
      <c r="AE11" s="258"/>
      <c r="AF11" s="267"/>
      <c r="AG11" s="82"/>
      <c r="AH11" s="82">
        <f>Tabla1[[#This Row],[FONDOS GOES
(Millones US$)
(A)]]+Tabla1[[#This Row],[FONDOS PROPIOS 
(Millones US$)
(B)]]</f>
        <v>0</v>
      </c>
      <c r="AI11" s="82"/>
      <c r="AJ11" s="82"/>
      <c r="AK11" s="82"/>
      <c r="AL11" s="82"/>
      <c r="AM11" s="82"/>
      <c r="AN11" s="82"/>
      <c r="AO11" s="86"/>
      <c r="AP11" s="53"/>
      <c r="AQ11" s="53"/>
      <c r="AR11" s="53"/>
      <c r="AS11" s="49"/>
      <c r="AT11" s="23">
        <v>6</v>
      </c>
      <c r="AV11" s="97"/>
    </row>
    <row r="12" spans="1:64" s="131" customFormat="1" ht="45.95" customHeight="1" x14ac:dyDescent="0.2">
      <c r="A12" s="21" t="s">
        <v>44</v>
      </c>
      <c r="B12" s="67" t="s">
        <v>37</v>
      </c>
      <c r="C12" s="239" t="s">
        <v>93</v>
      </c>
      <c r="D12" s="29" t="s">
        <v>94</v>
      </c>
      <c r="E12" s="27" t="s">
        <v>95</v>
      </c>
      <c r="F12" s="27" t="s">
        <v>96</v>
      </c>
      <c r="G12" s="27" t="s">
        <v>96</v>
      </c>
      <c r="H12" s="27" t="s">
        <v>568</v>
      </c>
      <c r="I12" s="27"/>
      <c r="J12" s="22" t="s">
        <v>98</v>
      </c>
      <c r="K12" s="22" t="s">
        <v>99</v>
      </c>
      <c r="L12" s="22" t="s">
        <v>100</v>
      </c>
      <c r="M12" s="30" t="s">
        <v>101</v>
      </c>
      <c r="N12" s="22" t="s">
        <v>102</v>
      </c>
      <c r="O12" s="7">
        <v>451018</v>
      </c>
      <c r="P12" s="7">
        <v>451018</v>
      </c>
      <c r="Q12" s="7">
        <v>500000</v>
      </c>
      <c r="R12" s="7">
        <v>451018</v>
      </c>
      <c r="S12" s="37" t="s">
        <v>21</v>
      </c>
      <c r="T12" s="37"/>
      <c r="U12" s="252">
        <v>19.049985</v>
      </c>
      <c r="V12" s="252">
        <v>19.049985</v>
      </c>
      <c r="W12" s="252"/>
      <c r="X12" s="268"/>
      <c r="Y12" s="252"/>
      <c r="Z12" s="268"/>
      <c r="AA12" s="252">
        <v>19.049985</v>
      </c>
      <c r="AB12" s="252">
        <v>19.049985</v>
      </c>
      <c r="AC12" s="252"/>
      <c r="AD12" s="268"/>
      <c r="AE12" s="252"/>
      <c r="AF12" s="268"/>
      <c r="AG12" s="83">
        <f>Tabla1[[#This Row],[FONDOS GOES
(Millones US$)
(A)]]</f>
        <v>19.05</v>
      </c>
      <c r="AH12" s="83">
        <f>Tabla1[[#This Row],[FONDOS GOES
(Millones US$)
(A)]]+Tabla1[[#This Row],[FONDOS PROPIOS 
(Millones US$)
(B)]]</f>
        <v>19.05</v>
      </c>
      <c r="AI12" s="83">
        <v>19.05</v>
      </c>
      <c r="AJ12" s="83"/>
      <c r="AK12" s="83"/>
      <c r="AL12" s="83"/>
      <c r="AM12" s="83"/>
      <c r="AN12" s="83"/>
      <c r="AO12" s="87"/>
      <c r="AP12" s="8">
        <v>150</v>
      </c>
      <c r="AQ12" s="8">
        <v>100</v>
      </c>
      <c r="AR12" s="8">
        <v>50</v>
      </c>
      <c r="AS12" s="27" t="s">
        <v>95</v>
      </c>
      <c r="AT12" s="23">
        <v>7</v>
      </c>
      <c r="AV12" s="97"/>
    </row>
    <row r="13" spans="1:64" s="131" customFormat="1" ht="45.95" customHeight="1" x14ac:dyDescent="0.2">
      <c r="A13" s="21" t="s">
        <v>44</v>
      </c>
      <c r="B13" s="67" t="s">
        <v>37</v>
      </c>
      <c r="C13" s="256" t="s">
        <v>93</v>
      </c>
      <c r="D13" s="29" t="s">
        <v>94</v>
      </c>
      <c r="E13" s="27" t="s">
        <v>95</v>
      </c>
      <c r="F13" s="27" t="s">
        <v>103</v>
      </c>
      <c r="G13" s="27" t="s">
        <v>104</v>
      </c>
      <c r="H13" s="27" t="s">
        <v>105</v>
      </c>
      <c r="I13" s="27"/>
      <c r="J13" s="22" t="s">
        <v>106</v>
      </c>
      <c r="K13" s="22" t="s">
        <v>107</v>
      </c>
      <c r="L13" s="22" t="s">
        <v>100</v>
      </c>
      <c r="M13" s="30" t="s">
        <v>108</v>
      </c>
      <c r="N13" s="22" t="s">
        <v>102</v>
      </c>
      <c r="O13" s="7">
        <v>62000</v>
      </c>
      <c r="P13" s="7">
        <v>63325</v>
      </c>
      <c r="Q13" s="7">
        <v>63325</v>
      </c>
      <c r="R13" s="7">
        <v>64000</v>
      </c>
      <c r="S13" s="37" t="s">
        <v>21</v>
      </c>
      <c r="T13" s="37"/>
      <c r="U13" s="252" t="s">
        <v>585</v>
      </c>
      <c r="V13" s="252"/>
      <c r="W13" s="252"/>
      <c r="X13" s="268"/>
      <c r="Y13" s="252"/>
      <c r="Z13" s="268"/>
      <c r="AA13" s="252" t="s">
        <v>585</v>
      </c>
      <c r="AB13" s="252"/>
      <c r="AC13" s="252"/>
      <c r="AD13" s="268"/>
      <c r="AE13" s="252"/>
      <c r="AF13" s="268"/>
      <c r="AG13" s="83">
        <f>Tabla1[[#This Row],[FONDOS GOES
(Millones US$)
(A)]]</f>
        <v>4.7</v>
      </c>
      <c r="AH13" s="83">
        <f>Tabla1[[#This Row],[FONDOS GOES
(Millones US$)
(A)]]+Tabla1[[#This Row],[FONDOS PROPIOS 
(Millones US$)
(B)]]</f>
        <v>4.7</v>
      </c>
      <c r="AI13" s="83">
        <v>4.7</v>
      </c>
      <c r="AJ13" s="83"/>
      <c r="AK13" s="83"/>
      <c r="AL13" s="83"/>
      <c r="AM13" s="83"/>
      <c r="AN13" s="83"/>
      <c r="AO13" s="87"/>
      <c r="AP13" s="8">
        <v>40</v>
      </c>
      <c r="AQ13" s="8">
        <v>20</v>
      </c>
      <c r="AR13" s="8">
        <v>20</v>
      </c>
      <c r="AS13" s="27" t="s">
        <v>95</v>
      </c>
      <c r="AT13" s="23">
        <v>8</v>
      </c>
      <c r="AV13" s="97"/>
    </row>
    <row r="14" spans="1:64" s="131" customFormat="1" ht="45.95" customHeight="1" x14ac:dyDescent="0.2">
      <c r="A14" s="21" t="s">
        <v>44</v>
      </c>
      <c r="B14" s="67" t="s">
        <v>37</v>
      </c>
      <c r="C14" s="256" t="s">
        <v>93</v>
      </c>
      <c r="D14" s="29" t="s">
        <v>94</v>
      </c>
      <c r="E14" s="27" t="s">
        <v>95</v>
      </c>
      <c r="F14" s="27" t="s">
        <v>109</v>
      </c>
      <c r="G14" s="27" t="s">
        <v>569</v>
      </c>
      <c r="H14" s="27" t="s">
        <v>105</v>
      </c>
      <c r="I14" s="27"/>
      <c r="J14" s="22" t="s">
        <v>110</v>
      </c>
      <c r="K14" s="22" t="s">
        <v>111</v>
      </c>
      <c r="L14" s="22" t="s">
        <v>100</v>
      </c>
      <c r="M14" s="30" t="s">
        <v>112</v>
      </c>
      <c r="N14" s="22" t="s">
        <v>102</v>
      </c>
      <c r="O14" s="7">
        <v>18392</v>
      </c>
      <c r="P14" s="7">
        <v>18392</v>
      </c>
      <c r="Q14" s="7">
        <v>18392</v>
      </c>
      <c r="R14" s="7">
        <v>80563</v>
      </c>
      <c r="S14" s="37" t="s">
        <v>21</v>
      </c>
      <c r="T14" s="37"/>
      <c r="U14" s="252" t="s">
        <v>585</v>
      </c>
      <c r="V14" s="252"/>
      <c r="W14" s="252"/>
      <c r="X14" s="268"/>
      <c r="Y14" s="252"/>
      <c r="Z14" s="268"/>
      <c r="AA14" s="252" t="s">
        <v>585</v>
      </c>
      <c r="AB14" s="252"/>
      <c r="AC14" s="252"/>
      <c r="AD14" s="268"/>
      <c r="AE14" s="252"/>
      <c r="AF14" s="268"/>
      <c r="AG14" s="83">
        <f>Tabla1[[#This Row],[FONDOS GOES
(Millones US$)
(A)]]</f>
        <v>15.466783</v>
      </c>
      <c r="AH14" s="83">
        <f>Tabla1[[#This Row],[FONDOS GOES
(Millones US$)
(A)]]+Tabla1[[#This Row],[FONDOS PROPIOS 
(Millones US$)
(B)]]</f>
        <v>15.466783</v>
      </c>
      <c r="AI14" s="83">
        <f>15466783/1000000</f>
        <v>15.466783</v>
      </c>
      <c r="AJ14" s="83"/>
      <c r="AK14" s="83"/>
      <c r="AL14" s="83"/>
      <c r="AM14" s="83"/>
      <c r="AN14" s="83"/>
      <c r="AO14" s="87"/>
      <c r="AP14" s="8">
        <v>60</v>
      </c>
      <c r="AQ14" s="8">
        <v>20</v>
      </c>
      <c r="AR14" s="8">
        <v>40</v>
      </c>
      <c r="AS14" s="27" t="s">
        <v>95</v>
      </c>
      <c r="AT14" s="23">
        <v>9</v>
      </c>
      <c r="AV14" s="97"/>
    </row>
    <row r="15" spans="1:64" s="131" customFormat="1" ht="45.95" customHeight="1" x14ac:dyDescent="0.2">
      <c r="A15" s="21" t="s">
        <v>44</v>
      </c>
      <c r="B15" s="67" t="s">
        <v>37</v>
      </c>
      <c r="C15" s="254" t="s">
        <v>93</v>
      </c>
      <c r="D15" s="29" t="s">
        <v>94</v>
      </c>
      <c r="E15" s="27" t="s">
        <v>95</v>
      </c>
      <c r="F15" s="27" t="s">
        <v>114</v>
      </c>
      <c r="G15" s="251" t="s">
        <v>562</v>
      </c>
      <c r="H15" s="27" t="s">
        <v>97</v>
      </c>
      <c r="I15" s="27" t="s">
        <v>115</v>
      </c>
      <c r="J15" s="22" t="s">
        <v>116</v>
      </c>
      <c r="K15" s="22" t="s">
        <v>117</v>
      </c>
      <c r="L15" s="22" t="s">
        <v>118</v>
      </c>
      <c r="M15" s="30" t="s">
        <v>119</v>
      </c>
      <c r="N15" s="22" t="s">
        <v>102</v>
      </c>
      <c r="O15" s="132">
        <v>1467</v>
      </c>
      <c r="P15" s="24"/>
      <c r="Q15" s="132">
        <v>1920</v>
      </c>
      <c r="R15" s="24"/>
      <c r="S15" s="37"/>
      <c r="T15" s="37"/>
      <c r="U15" s="252">
        <v>8.6</v>
      </c>
      <c r="V15" s="252"/>
      <c r="W15" s="252">
        <f>4.5+3.5+0.6</f>
        <v>8.6</v>
      </c>
      <c r="X15" s="83" t="s">
        <v>565</v>
      </c>
      <c r="Y15" s="252"/>
      <c r="Z15" s="268"/>
      <c r="AA15" s="252">
        <v>8.6</v>
      </c>
      <c r="AB15" s="252"/>
      <c r="AC15" s="252">
        <f>4.5+3.5+0.6</f>
        <v>8.6</v>
      </c>
      <c r="AD15" s="83" t="s">
        <v>565</v>
      </c>
      <c r="AE15" s="252"/>
      <c r="AF15" s="268"/>
      <c r="AG15" s="83">
        <v>8.6</v>
      </c>
      <c r="AH15" s="83">
        <f>Tabla1[[#This Row],[FONDOS GOES
(Millones US$)
(A)]]+Tabla1[[#This Row],[FONDOS PROPIOS 
(Millones US$)
(B)]]</f>
        <v>0</v>
      </c>
      <c r="AI15" s="83"/>
      <c r="AJ15" s="83"/>
      <c r="AK15" s="143">
        <f>4.5+3.5+0.6</f>
        <v>8.6</v>
      </c>
      <c r="AL15" s="83" t="s">
        <v>565</v>
      </c>
      <c r="AM15" s="83"/>
      <c r="AN15" s="83"/>
      <c r="AO15" s="87"/>
      <c r="AP15" s="8"/>
      <c r="AQ15" s="8"/>
      <c r="AR15" s="8"/>
      <c r="AS15" s="27" t="s">
        <v>95</v>
      </c>
      <c r="AT15" s="23">
        <v>10</v>
      </c>
      <c r="AV15" s="97"/>
    </row>
    <row r="16" spans="1:64" s="131" customFormat="1" ht="45.95" customHeight="1" x14ac:dyDescent="0.2">
      <c r="A16" s="133" t="s">
        <v>44</v>
      </c>
      <c r="B16" s="134" t="s">
        <v>37</v>
      </c>
      <c r="C16" s="254" t="s">
        <v>93</v>
      </c>
      <c r="D16" s="135" t="s">
        <v>94</v>
      </c>
      <c r="E16" s="136" t="s">
        <v>95</v>
      </c>
      <c r="F16" s="136" t="s">
        <v>114</v>
      </c>
      <c r="G16" s="250" t="s">
        <v>563</v>
      </c>
      <c r="H16" s="136" t="s">
        <v>97</v>
      </c>
      <c r="I16" s="250" t="s">
        <v>564</v>
      </c>
      <c r="J16" s="137" t="s">
        <v>121</v>
      </c>
      <c r="K16" s="138" t="s">
        <v>122</v>
      </c>
      <c r="L16" s="137" t="s">
        <v>123</v>
      </c>
      <c r="M16" s="139" t="s">
        <v>124</v>
      </c>
      <c r="N16" s="137" t="s">
        <v>102</v>
      </c>
      <c r="O16" s="132">
        <v>3960</v>
      </c>
      <c r="P16" s="140"/>
      <c r="Q16" s="132">
        <v>5600</v>
      </c>
      <c r="R16" s="140"/>
      <c r="S16" s="141"/>
      <c r="T16" s="141"/>
      <c r="U16" s="253">
        <v>4.9580000000000002</v>
      </c>
      <c r="V16" s="253"/>
      <c r="W16" s="143">
        <f>4.95+0.008</f>
        <v>4.9580000000000002</v>
      </c>
      <c r="X16" s="83" t="s">
        <v>566</v>
      </c>
      <c r="Y16" s="253"/>
      <c r="Z16" s="269"/>
      <c r="AA16" s="253">
        <v>4.9580000000000002</v>
      </c>
      <c r="AB16" s="253"/>
      <c r="AC16" s="143">
        <f>4.95+0.008</f>
        <v>4.9580000000000002</v>
      </c>
      <c r="AD16" s="83" t="s">
        <v>566</v>
      </c>
      <c r="AE16" s="253"/>
      <c r="AF16" s="269"/>
      <c r="AG16" s="143">
        <v>4.9580000000000002</v>
      </c>
      <c r="AH16" s="143">
        <f>Tabla1[[#This Row],[FONDOS GOES
(Millones US$)
(A)]]+Tabla1[[#This Row],[FONDOS PROPIOS 
(Millones US$)
(B)]]</f>
        <v>0</v>
      </c>
      <c r="AI16" s="143"/>
      <c r="AJ16" s="143"/>
      <c r="AK16" s="143">
        <f>4.95+0.008</f>
        <v>4.9580000000000002</v>
      </c>
      <c r="AL16" s="83" t="s">
        <v>566</v>
      </c>
      <c r="AM16" s="143"/>
      <c r="AN16" s="143"/>
      <c r="AO16" s="142"/>
      <c r="AP16" s="144"/>
      <c r="AQ16" s="144"/>
      <c r="AR16" s="144"/>
      <c r="AS16" s="27" t="s">
        <v>95</v>
      </c>
      <c r="AT16" s="23">
        <v>11</v>
      </c>
      <c r="AV16" s="97"/>
    </row>
    <row r="17" spans="1:51" s="19" customFormat="1" ht="45.95" customHeight="1" x14ac:dyDescent="0.2">
      <c r="A17" s="133" t="s">
        <v>44</v>
      </c>
      <c r="B17" s="134" t="s">
        <v>37</v>
      </c>
      <c r="C17" s="254" t="s">
        <v>93</v>
      </c>
      <c r="D17" s="135" t="s">
        <v>94</v>
      </c>
      <c r="E17" s="136" t="s">
        <v>95</v>
      </c>
      <c r="F17" s="27" t="s">
        <v>125</v>
      </c>
      <c r="G17" s="27" t="s">
        <v>567</v>
      </c>
      <c r="H17" s="27" t="s">
        <v>127</v>
      </c>
      <c r="I17" s="27" t="s">
        <v>128</v>
      </c>
      <c r="J17" s="137" t="s">
        <v>129</v>
      </c>
      <c r="K17" s="137" t="s">
        <v>130</v>
      </c>
      <c r="L17" s="137" t="s">
        <v>131</v>
      </c>
      <c r="M17" s="139" t="s">
        <v>132</v>
      </c>
      <c r="N17" s="137" t="s">
        <v>102</v>
      </c>
      <c r="O17" s="132">
        <f>2200+1300</f>
        <v>3500</v>
      </c>
      <c r="P17" s="132"/>
      <c r="Q17" s="132">
        <f>2400+1300</f>
        <v>3700</v>
      </c>
      <c r="R17" s="132"/>
      <c r="S17" s="37"/>
      <c r="T17" s="37"/>
      <c r="U17" s="252">
        <f>1.884965+3.67137</f>
        <v>5.5563349999999998</v>
      </c>
      <c r="V17" s="252"/>
      <c r="W17" s="252">
        <f>1.66811+0.216855+3.249+0.42237</f>
        <v>5.5563349999999998</v>
      </c>
      <c r="X17" s="268" t="s">
        <v>90</v>
      </c>
      <c r="Y17" s="252"/>
      <c r="Z17" s="268"/>
      <c r="AA17" s="252">
        <f>1.884965+3.67137</f>
        <v>5.5563349999999998</v>
      </c>
      <c r="AB17" s="252"/>
      <c r="AC17" s="252">
        <f>1.66811+0.216855+3.249+0.42237</f>
        <v>5.5563349999999998</v>
      </c>
      <c r="AD17" s="268" t="s">
        <v>90</v>
      </c>
      <c r="AE17" s="252"/>
      <c r="AF17" s="268"/>
      <c r="AG17" s="83">
        <f>5556335/1000000</f>
        <v>5.5563349999999998</v>
      </c>
      <c r="AH17" s="83">
        <f>Tabla1[[#This Row],[FONDOS GOES
(Millones US$)
(A)]]+Tabla1[[#This Row],[FONDOS PROPIOS 
(Millones US$)
(B)]]</f>
        <v>0</v>
      </c>
      <c r="AI17" s="83"/>
      <c r="AJ17" s="83"/>
      <c r="AK17" s="83">
        <f>5556335/1000000</f>
        <v>5.5563349999999998</v>
      </c>
      <c r="AL17" s="83" t="s">
        <v>90</v>
      </c>
      <c r="AM17" s="83"/>
      <c r="AN17" s="83"/>
      <c r="AO17" s="87"/>
      <c r="AP17" s="8"/>
      <c r="AQ17" s="8"/>
      <c r="AR17" s="144"/>
      <c r="AS17" s="27" t="s">
        <v>95</v>
      </c>
      <c r="AT17" s="23">
        <v>12</v>
      </c>
      <c r="AV17" s="97"/>
    </row>
    <row r="18" spans="1:51" ht="45.95" customHeight="1" x14ac:dyDescent="0.2">
      <c r="A18" s="145" t="s">
        <v>44</v>
      </c>
      <c r="B18" s="146" t="s">
        <v>37</v>
      </c>
      <c r="C18" s="254" t="s">
        <v>93</v>
      </c>
      <c r="D18" s="147" t="s">
        <v>94</v>
      </c>
      <c r="E18" s="148" t="s">
        <v>95</v>
      </c>
      <c r="F18" s="27" t="s">
        <v>120</v>
      </c>
      <c r="G18" s="27" t="s">
        <v>96</v>
      </c>
      <c r="H18" s="27" t="s">
        <v>127</v>
      </c>
      <c r="I18" s="27" t="s">
        <v>133</v>
      </c>
      <c r="J18" s="137" t="s">
        <v>134</v>
      </c>
      <c r="K18" s="137" t="s">
        <v>135</v>
      </c>
      <c r="L18" s="137" t="s">
        <v>136</v>
      </c>
      <c r="M18" s="139" t="s">
        <v>137</v>
      </c>
      <c r="N18" s="137" t="s">
        <v>102</v>
      </c>
      <c r="O18" s="132">
        <v>0</v>
      </c>
      <c r="P18" s="132"/>
      <c r="Q18" s="132">
        <v>400</v>
      </c>
      <c r="R18" s="132"/>
      <c r="S18" s="37"/>
      <c r="T18" s="37"/>
      <c r="U18" s="252">
        <v>0.2</v>
      </c>
      <c r="V18" s="252"/>
      <c r="W18" s="252">
        <v>0.2</v>
      </c>
      <c r="X18" s="268" t="s">
        <v>90</v>
      </c>
      <c r="Y18" s="252"/>
      <c r="Z18" s="268"/>
      <c r="AA18" s="252">
        <v>0.2</v>
      </c>
      <c r="AB18" s="252"/>
      <c r="AC18" s="252">
        <v>0.2</v>
      </c>
      <c r="AD18" s="268" t="s">
        <v>90</v>
      </c>
      <c r="AE18" s="252"/>
      <c r="AF18" s="268"/>
      <c r="AG18" s="83">
        <f>317455/1000000</f>
        <v>0.31745499999999999</v>
      </c>
      <c r="AH18" s="83">
        <f>Tabla1[[#This Row],[FONDOS GOES
(Millones US$)
(A)]]+Tabla1[[#This Row],[FONDOS PROPIOS 
(Millones US$)
(B)]]</f>
        <v>0</v>
      </c>
      <c r="AI18" s="83"/>
      <c r="AJ18" s="83"/>
      <c r="AK18" s="83"/>
      <c r="AL18" s="83"/>
      <c r="AM18" s="83">
        <f>317455/1000000</f>
        <v>0.31745499999999999</v>
      </c>
      <c r="AN18" s="83" t="s">
        <v>138</v>
      </c>
      <c r="AO18" s="87"/>
      <c r="AP18" s="8"/>
      <c r="AQ18" s="8"/>
      <c r="AR18" s="144"/>
      <c r="AS18" s="27" t="s">
        <v>95</v>
      </c>
      <c r="AT18" s="23">
        <v>13</v>
      </c>
      <c r="AV18" s="97"/>
      <c r="AY18" s="3"/>
    </row>
    <row r="19" spans="1:51" s="160" customFormat="1" ht="45.95" customHeight="1" x14ac:dyDescent="0.2">
      <c r="A19" s="47" t="s">
        <v>44</v>
      </c>
      <c r="B19" s="66" t="s">
        <v>37</v>
      </c>
      <c r="C19" s="62" t="s">
        <v>520</v>
      </c>
      <c r="D19" s="48" t="s">
        <v>23</v>
      </c>
      <c r="E19" s="49"/>
      <c r="F19" s="49"/>
      <c r="G19" s="49"/>
      <c r="H19" s="49"/>
      <c r="I19" s="49"/>
      <c r="J19" s="50"/>
      <c r="K19" s="50"/>
      <c r="L19" s="50"/>
      <c r="M19" s="130"/>
      <c r="N19" s="50"/>
      <c r="O19" s="51"/>
      <c r="P19" s="51"/>
      <c r="Q19" s="51"/>
      <c r="R19" s="51"/>
      <c r="S19" s="52"/>
      <c r="T19" s="52"/>
      <c r="U19" s="258"/>
      <c r="V19" s="258"/>
      <c r="W19" s="258"/>
      <c r="X19" s="267"/>
      <c r="Y19" s="258"/>
      <c r="Z19" s="267"/>
      <c r="AA19" s="258"/>
      <c r="AB19" s="258"/>
      <c r="AC19" s="258"/>
      <c r="AD19" s="267"/>
      <c r="AE19" s="258"/>
      <c r="AF19" s="267"/>
      <c r="AG19" s="82"/>
      <c r="AH19" s="82">
        <f>Tabla1[[#This Row],[FONDOS GOES
(Millones US$)
(A)]]+Tabla1[[#This Row],[FONDOS PROPIOS 
(Millones US$)
(B)]]</f>
        <v>0</v>
      </c>
      <c r="AI19" s="82"/>
      <c r="AJ19" s="82"/>
      <c r="AK19" s="82"/>
      <c r="AL19" s="82"/>
      <c r="AM19" s="82"/>
      <c r="AN19" s="82"/>
      <c r="AO19" s="86"/>
      <c r="AP19" s="53"/>
      <c r="AQ19" s="53"/>
      <c r="AR19" s="53"/>
      <c r="AS19" s="49"/>
      <c r="AT19" s="23">
        <v>14</v>
      </c>
      <c r="AV19" s="97"/>
    </row>
    <row r="20" spans="1:51" s="160" customFormat="1" ht="45.95" customHeight="1" x14ac:dyDescent="0.2">
      <c r="A20" s="228" t="s">
        <v>44</v>
      </c>
      <c r="B20" s="126" t="s">
        <v>37</v>
      </c>
      <c r="C20" s="158" t="s">
        <v>520</v>
      </c>
      <c r="D20" s="29" t="s">
        <v>23</v>
      </c>
      <c r="E20" s="27" t="s">
        <v>521</v>
      </c>
      <c r="F20" s="27"/>
      <c r="G20" s="27"/>
      <c r="H20" s="27"/>
      <c r="I20" s="27"/>
      <c r="J20" s="137" t="s">
        <v>528</v>
      </c>
      <c r="K20" s="137" t="s">
        <v>522</v>
      </c>
      <c r="L20" s="137"/>
      <c r="M20" s="139"/>
      <c r="N20" s="137"/>
      <c r="O20" s="132"/>
      <c r="P20" s="132"/>
      <c r="Q20" s="132"/>
      <c r="R20" s="132"/>
      <c r="S20" s="37"/>
      <c r="T20" s="37"/>
      <c r="U20" s="252">
        <v>14.616683641884098</v>
      </c>
      <c r="V20" s="252">
        <v>2E-3</v>
      </c>
      <c r="W20" s="252"/>
      <c r="X20" s="268"/>
      <c r="Y20" s="252"/>
      <c r="Z20" s="268"/>
      <c r="AA20" s="252">
        <v>14.616683641884098</v>
      </c>
      <c r="AB20" s="252">
        <v>2E-3</v>
      </c>
      <c r="AC20" s="252"/>
      <c r="AD20" s="268"/>
      <c r="AE20" s="252"/>
      <c r="AF20" s="268"/>
      <c r="AG20" s="83">
        <f>AI20+AJ20+AK20+AM20</f>
        <v>14.616683641884098</v>
      </c>
      <c r="AH20" s="83">
        <f>Tabla1[[#This Row],[FONDOS GOES
(Millones US$)
(A)]]+Tabla1[[#This Row],[FONDOS PROPIOS 
(Millones US$)
(B)]]</f>
        <v>0</v>
      </c>
      <c r="AI20" s="83"/>
      <c r="AJ20" s="83"/>
      <c r="AK20" s="159">
        <v>5.3460586418840981</v>
      </c>
      <c r="AL20" s="83" t="s">
        <v>90</v>
      </c>
      <c r="AM20" s="83">
        <f>0.99875+2.241875+6.03</f>
        <v>9.270624999999999</v>
      </c>
      <c r="AN20" s="83" t="s">
        <v>523</v>
      </c>
      <c r="AO20" s="87"/>
      <c r="AP20" s="8"/>
      <c r="AQ20" s="8"/>
      <c r="AR20" s="144"/>
      <c r="AS20" s="27" t="s">
        <v>521</v>
      </c>
      <c r="AT20" s="23">
        <v>15</v>
      </c>
      <c r="AV20" s="237"/>
    </row>
    <row r="21" spans="1:51" s="160" customFormat="1" ht="45.95" customHeight="1" x14ac:dyDescent="0.2">
      <c r="A21" s="47" t="s">
        <v>44</v>
      </c>
      <c r="B21" s="66" t="s">
        <v>417</v>
      </c>
      <c r="C21" s="62" t="s">
        <v>448</v>
      </c>
      <c r="D21" s="48" t="s">
        <v>422</v>
      </c>
      <c r="E21" s="49"/>
      <c r="F21" s="49"/>
      <c r="G21" s="49"/>
      <c r="H21" s="49"/>
      <c r="I21" s="49"/>
      <c r="J21" s="50"/>
      <c r="K21" s="50"/>
      <c r="L21" s="50"/>
      <c r="M21" s="130"/>
      <c r="N21" s="50"/>
      <c r="O21" s="51"/>
      <c r="P21" s="51"/>
      <c r="Q21" s="51"/>
      <c r="R21" s="51"/>
      <c r="S21" s="52"/>
      <c r="T21" s="52"/>
      <c r="U21" s="258"/>
      <c r="V21" s="258"/>
      <c r="W21" s="258"/>
      <c r="X21" s="267"/>
      <c r="Y21" s="258"/>
      <c r="Z21" s="267"/>
      <c r="AA21" s="258"/>
      <c r="AB21" s="258"/>
      <c r="AC21" s="258"/>
      <c r="AD21" s="267"/>
      <c r="AE21" s="258"/>
      <c r="AF21" s="267"/>
      <c r="AG21" s="82"/>
      <c r="AH21" s="82">
        <f>Tabla1[[#This Row],[FONDOS GOES
(Millones US$)
(A)]]+Tabla1[[#This Row],[FONDOS PROPIOS 
(Millones US$)
(B)]]</f>
        <v>0</v>
      </c>
      <c r="AI21" s="82"/>
      <c r="AJ21" s="82"/>
      <c r="AK21" s="82"/>
      <c r="AL21" s="82"/>
      <c r="AM21" s="82"/>
      <c r="AN21" s="82"/>
      <c r="AO21" s="86"/>
      <c r="AP21" s="53"/>
      <c r="AQ21" s="53"/>
      <c r="AR21" s="53"/>
      <c r="AS21" s="49"/>
      <c r="AT21" s="23">
        <v>16</v>
      </c>
      <c r="AV21" s="97"/>
    </row>
    <row r="22" spans="1:51" s="160" customFormat="1" ht="45.95" customHeight="1" x14ac:dyDescent="0.2">
      <c r="A22" s="228" t="s">
        <v>44</v>
      </c>
      <c r="B22" s="67" t="s">
        <v>417</v>
      </c>
      <c r="C22" s="63" t="s">
        <v>448</v>
      </c>
      <c r="D22" s="29" t="s">
        <v>422</v>
      </c>
      <c r="E22" s="27" t="s">
        <v>406</v>
      </c>
      <c r="F22" s="153"/>
      <c r="G22" s="153"/>
      <c r="H22" s="153"/>
      <c r="I22" s="154">
        <v>373</v>
      </c>
      <c r="J22" s="22" t="s">
        <v>456</v>
      </c>
      <c r="K22" s="22" t="s">
        <v>457</v>
      </c>
      <c r="L22" s="22" t="s">
        <v>479</v>
      </c>
      <c r="M22" s="162" t="s">
        <v>458</v>
      </c>
      <c r="N22" s="22" t="s">
        <v>453</v>
      </c>
      <c r="O22" s="7" t="s">
        <v>454</v>
      </c>
      <c r="P22" s="7"/>
      <c r="Q22" s="7"/>
      <c r="R22" s="7" t="s">
        <v>459</v>
      </c>
      <c r="S22" s="37"/>
      <c r="T22" s="37"/>
      <c r="U22" s="252">
        <v>2E-3</v>
      </c>
      <c r="V22" s="252">
        <v>2E-3</v>
      </c>
      <c r="W22" s="252"/>
      <c r="X22" s="268"/>
      <c r="Y22" s="252"/>
      <c r="Z22" s="268"/>
      <c r="AA22" s="252">
        <v>2E-3</v>
      </c>
      <c r="AB22" s="252">
        <v>2E-3</v>
      </c>
      <c r="AC22" s="252"/>
      <c r="AD22" s="268"/>
      <c r="AE22" s="252"/>
      <c r="AF22" s="268"/>
      <c r="AG22" s="83">
        <f>2000/1000000</f>
        <v>2E-3</v>
      </c>
      <c r="AH22" s="83">
        <f>Tabla1[[#This Row],[FONDOS GOES
(Millones US$)
(A)]]+Tabla1[[#This Row],[FONDOS PROPIOS 
(Millones US$)
(B)]]</f>
        <v>0</v>
      </c>
      <c r="AI22" s="83"/>
      <c r="AJ22" s="83"/>
      <c r="AK22" s="83"/>
      <c r="AL22" s="83"/>
      <c r="AM22" s="83"/>
      <c r="AN22" s="83"/>
      <c r="AO22" s="87"/>
      <c r="AP22" s="8"/>
      <c r="AQ22" s="8"/>
      <c r="AR22" s="8"/>
      <c r="AS22" s="27" t="s">
        <v>406</v>
      </c>
      <c r="AT22" s="23">
        <v>17</v>
      </c>
      <c r="AV22" s="97"/>
    </row>
    <row r="23" spans="1:51" s="160" customFormat="1" ht="45.95" customHeight="1" x14ac:dyDescent="0.2">
      <c r="A23" s="145" t="s">
        <v>44</v>
      </c>
      <c r="B23" s="67" t="s">
        <v>417</v>
      </c>
      <c r="C23" s="63" t="s">
        <v>448</v>
      </c>
      <c r="D23" s="29" t="s">
        <v>422</v>
      </c>
      <c r="E23" s="27" t="s">
        <v>406</v>
      </c>
      <c r="F23" s="27"/>
      <c r="G23" s="27"/>
      <c r="H23" s="27"/>
      <c r="I23" s="27" t="s">
        <v>465</v>
      </c>
      <c r="J23" s="22" t="s">
        <v>449</v>
      </c>
      <c r="K23" s="22" t="s">
        <v>450</v>
      </c>
      <c r="L23" s="22" t="s">
        <v>451</v>
      </c>
      <c r="M23" s="162" t="s">
        <v>452</v>
      </c>
      <c r="N23" s="22" t="s">
        <v>453</v>
      </c>
      <c r="O23" s="7" t="s">
        <v>454</v>
      </c>
      <c r="P23" s="7"/>
      <c r="Q23" s="7"/>
      <c r="R23" s="7" t="s">
        <v>455</v>
      </c>
      <c r="S23" s="37"/>
      <c r="T23" s="37"/>
      <c r="U23" s="252">
        <v>1.3795200000000001</v>
      </c>
      <c r="V23" s="252">
        <v>1.3795200000000001</v>
      </c>
      <c r="W23" s="252"/>
      <c r="X23" s="268"/>
      <c r="Y23" s="252"/>
      <c r="Z23" s="268"/>
      <c r="AA23" s="252">
        <v>1.3795200000000001</v>
      </c>
      <c r="AB23" s="252">
        <v>1.3795200000000001</v>
      </c>
      <c r="AC23" s="252"/>
      <c r="AD23" s="268"/>
      <c r="AE23" s="252"/>
      <c r="AF23" s="268"/>
      <c r="AG23" s="83">
        <v>1.3795200000000001</v>
      </c>
      <c r="AH23" s="83">
        <f>Tabla1[[#This Row],[FONDOS GOES
(Millones US$)
(A)]]+Tabla1[[#This Row],[FONDOS PROPIOS 
(Millones US$)
(B)]]</f>
        <v>1.3795200000000001</v>
      </c>
      <c r="AI23" s="83"/>
      <c r="AJ23" s="83">
        <v>1.3795200000000001</v>
      </c>
      <c r="AK23" s="159"/>
      <c r="AL23" s="83"/>
      <c r="AM23" s="83"/>
      <c r="AN23" s="83"/>
      <c r="AO23" s="87"/>
      <c r="AP23" s="8"/>
      <c r="AQ23" s="8"/>
      <c r="AR23" s="8"/>
      <c r="AS23" s="27" t="s">
        <v>406</v>
      </c>
      <c r="AT23" s="23">
        <v>18</v>
      </c>
      <c r="AV23" s="97"/>
    </row>
    <row r="24" spans="1:51" s="160" customFormat="1" ht="45.95" customHeight="1" x14ac:dyDescent="0.2">
      <c r="A24" s="145" t="s">
        <v>44</v>
      </c>
      <c r="B24" s="67" t="s">
        <v>417</v>
      </c>
      <c r="C24" s="63" t="s">
        <v>448</v>
      </c>
      <c r="D24" s="29" t="s">
        <v>422</v>
      </c>
      <c r="E24" s="27" t="s">
        <v>406</v>
      </c>
      <c r="F24" s="27"/>
      <c r="G24" s="27"/>
      <c r="H24" s="27"/>
      <c r="I24" s="27" t="s">
        <v>466</v>
      </c>
      <c r="J24" s="22" t="s">
        <v>460</v>
      </c>
      <c r="K24" s="22" t="s">
        <v>461</v>
      </c>
      <c r="L24" s="22" t="s">
        <v>462</v>
      </c>
      <c r="M24" s="162" t="s">
        <v>463</v>
      </c>
      <c r="N24" s="22" t="s">
        <v>453</v>
      </c>
      <c r="O24" s="7" t="s">
        <v>454</v>
      </c>
      <c r="P24" s="7"/>
      <c r="Q24" s="7" t="s">
        <v>464</v>
      </c>
      <c r="R24" s="7"/>
      <c r="S24" s="37"/>
      <c r="T24" s="37"/>
      <c r="U24" s="252">
        <v>21.381955000000001</v>
      </c>
      <c r="V24" s="252">
        <v>4.3752050000000002</v>
      </c>
      <c r="W24" s="252">
        <v>17.00675</v>
      </c>
      <c r="X24" s="268"/>
      <c r="Y24" s="252"/>
      <c r="Z24" s="268"/>
      <c r="AA24" s="252">
        <v>21.381955000000001</v>
      </c>
      <c r="AB24" s="252">
        <v>4.3752050000000002</v>
      </c>
      <c r="AC24" s="252">
        <v>17.00675</v>
      </c>
      <c r="AD24" s="268"/>
      <c r="AE24" s="252"/>
      <c r="AF24" s="268"/>
      <c r="AG24" s="83">
        <v>21.381955000000001</v>
      </c>
      <c r="AH24" s="83">
        <f>Tabla1[[#This Row],[FONDOS GOES
(Millones US$)
(A)]]+Tabla1[[#This Row],[FONDOS PROPIOS 
(Millones US$)
(B)]]</f>
        <v>4.3752050000000002</v>
      </c>
      <c r="AI24" s="83"/>
      <c r="AJ24" s="83">
        <v>4.3752050000000002</v>
      </c>
      <c r="AK24" s="159">
        <v>17.00675</v>
      </c>
      <c r="AL24" s="83" t="s">
        <v>486</v>
      </c>
      <c r="AM24" s="83"/>
      <c r="AN24" s="83"/>
      <c r="AO24" s="87"/>
      <c r="AP24" s="8"/>
      <c r="AQ24" s="8"/>
      <c r="AR24" s="8"/>
      <c r="AS24" s="27" t="s">
        <v>406</v>
      </c>
      <c r="AT24" s="23">
        <v>19</v>
      </c>
      <c r="AV24" s="97"/>
    </row>
    <row r="25" spans="1:51" s="160" customFormat="1" ht="45.95" customHeight="1" x14ac:dyDescent="0.2">
      <c r="A25" s="47" t="s">
        <v>44</v>
      </c>
      <c r="B25" s="66" t="s">
        <v>417</v>
      </c>
      <c r="C25" s="62" t="s">
        <v>467</v>
      </c>
      <c r="D25" s="48" t="s">
        <v>468</v>
      </c>
      <c r="E25" s="49"/>
      <c r="F25" s="49"/>
      <c r="G25" s="49"/>
      <c r="H25" s="49"/>
      <c r="I25" s="49"/>
      <c r="J25" s="50"/>
      <c r="K25" s="50"/>
      <c r="L25" s="50"/>
      <c r="M25" s="130"/>
      <c r="N25" s="50"/>
      <c r="O25" s="51"/>
      <c r="P25" s="51"/>
      <c r="Q25" s="51"/>
      <c r="R25" s="51"/>
      <c r="S25" s="52"/>
      <c r="T25" s="52"/>
      <c r="U25" s="258"/>
      <c r="V25" s="258"/>
      <c r="W25" s="258"/>
      <c r="X25" s="267"/>
      <c r="Y25" s="258"/>
      <c r="Z25" s="267"/>
      <c r="AA25" s="258"/>
      <c r="AB25" s="258"/>
      <c r="AC25" s="258"/>
      <c r="AD25" s="267"/>
      <c r="AE25" s="258"/>
      <c r="AF25" s="267"/>
      <c r="AG25" s="82"/>
      <c r="AH25" s="82">
        <f>Tabla1[[#This Row],[FONDOS GOES
(Millones US$)
(A)]]+Tabla1[[#This Row],[FONDOS PROPIOS 
(Millones US$)
(B)]]</f>
        <v>0</v>
      </c>
      <c r="AI25" s="82"/>
      <c r="AJ25" s="82"/>
      <c r="AK25" s="82"/>
      <c r="AL25" s="82"/>
      <c r="AM25" s="82"/>
      <c r="AN25" s="82"/>
      <c r="AO25" s="86"/>
      <c r="AP25" s="53"/>
      <c r="AQ25" s="53"/>
      <c r="AR25" s="53"/>
      <c r="AS25" s="49"/>
      <c r="AT25" s="23">
        <v>20</v>
      </c>
      <c r="AV25" s="97"/>
    </row>
    <row r="26" spans="1:51" s="160" customFormat="1" ht="45.95" customHeight="1" x14ac:dyDescent="0.2">
      <c r="A26" s="145" t="s">
        <v>44</v>
      </c>
      <c r="B26" s="126" t="s">
        <v>417</v>
      </c>
      <c r="C26" s="235" t="s">
        <v>467</v>
      </c>
      <c r="D26" s="29" t="s">
        <v>468</v>
      </c>
      <c r="E26" s="27" t="s">
        <v>406</v>
      </c>
      <c r="F26" s="27"/>
      <c r="G26" s="27"/>
      <c r="H26" s="27"/>
      <c r="I26" s="27" t="s">
        <v>469</v>
      </c>
      <c r="J26" s="22" t="s">
        <v>474</v>
      </c>
      <c r="K26" s="22"/>
      <c r="L26" s="22"/>
      <c r="M26" s="162"/>
      <c r="N26" s="22"/>
      <c r="O26" s="7"/>
      <c r="P26" s="7"/>
      <c r="Q26" s="7"/>
      <c r="R26" s="7"/>
      <c r="S26" s="37"/>
      <c r="T26" s="37"/>
      <c r="U26" s="252">
        <v>97.926794999999998</v>
      </c>
      <c r="V26" s="252">
        <v>33.939529999999998</v>
      </c>
      <c r="W26" s="252">
        <v>63.987265000000001</v>
      </c>
      <c r="X26" s="268"/>
      <c r="Y26" s="252"/>
      <c r="Z26" s="268"/>
      <c r="AA26" s="252">
        <v>97.926794999999998</v>
      </c>
      <c r="AB26" s="252">
        <v>33.939529999999998</v>
      </c>
      <c r="AC26" s="252">
        <v>63.987265000000001</v>
      </c>
      <c r="AD26" s="268"/>
      <c r="AE26" s="252"/>
      <c r="AF26" s="268"/>
      <c r="AG26" s="83">
        <v>97.926794999999998</v>
      </c>
      <c r="AH26" s="83">
        <f>Tabla1[[#This Row],[FONDOS GOES
(Millones US$)
(A)]]+Tabla1[[#This Row],[FONDOS PROPIOS 
(Millones US$)
(B)]]</f>
        <v>33.939529999999998</v>
      </c>
      <c r="AI26" s="83"/>
      <c r="AJ26" s="83">
        <v>33.939529999999998</v>
      </c>
      <c r="AK26" s="159">
        <v>63.987265000000001</v>
      </c>
      <c r="AL26" s="83" t="s">
        <v>90</v>
      </c>
      <c r="AM26" s="83"/>
      <c r="AN26" s="83"/>
      <c r="AO26" s="87"/>
      <c r="AP26" s="8"/>
      <c r="AQ26" s="8"/>
      <c r="AR26" s="8"/>
      <c r="AS26" s="27" t="s">
        <v>406</v>
      </c>
      <c r="AT26" s="23">
        <v>21</v>
      </c>
      <c r="AV26" s="97"/>
    </row>
    <row r="27" spans="1:51" s="160" customFormat="1" ht="45.95" customHeight="1" x14ac:dyDescent="0.2">
      <c r="A27" s="145" t="s">
        <v>44</v>
      </c>
      <c r="B27" s="126" t="s">
        <v>417</v>
      </c>
      <c r="C27" s="235" t="s">
        <v>467</v>
      </c>
      <c r="D27" s="29" t="s">
        <v>468</v>
      </c>
      <c r="E27" s="27" t="s">
        <v>406</v>
      </c>
      <c r="F27" s="27"/>
      <c r="G27" s="27"/>
      <c r="H27" s="27"/>
      <c r="I27" s="27" t="s">
        <v>470</v>
      </c>
      <c r="J27" s="22" t="s">
        <v>475</v>
      </c>
      <c r="K27" s="22"/>
      <c r="L27" s="22"/>
      <c r="M27" s="162"/>
      <c r="N27" s="22"/>
      <c r="O27" s="7"/>
      <c r="P27" s="7"/>
      <c r="Q27" s="7"/>
      <c r="R27" s="7"/>
      <c r="S27" s="37"/>
      <c r="T27" s="37"/>
      <c r="U27" s="252">
        <v>64.795195000000007</v>
      </c>
      <c r="V27" s="252">
        <v>33.270964999999997</v>
      </c>
      <c r="W27" s="252">
        <v>29.515239999999999</v>
      </c>
      <c r="X27" s="268"/>
      <c r="Y27" s="252">
        <v>2.0089899999999998</v>
      </c>
      <c r="Z27" s="268"/>
      <c r="AA27" s="252">
        <v>64.795195000000007</v>
      </c>
      <c r="AB27" s="252">
        <v>33.270964999999997</v>
      </c>
      <c r="AC27" s="252">
        <v>29.515239999999999</v>
      </c>
      <c r="AD27" s="268"/>
      <c r="AE27" s="252">
        <v>2.0089899999999998</v>
      </c>
      <c r="AF27" s="268"/>
      <c r="AG27" s="83">
        <v>64.795195000000007</v>
      </c>
      <c r="AH27" s="83">
        <f>Tabla1[[#This Row],[FONDOS GOES
(Millones US$)
(A)]]+Tabla1[[#This Row],[FONDOS PROPIOS 
(Millones US$)
(B)]]</f>
        <v>33.270964999999997</v>
      </c>
      <c r="AI27" s="83"/>
      <c r="AJ27" s="83">
        <v>33.270964999999997</v>
      </c>
      <c r="AK27" s="159">
        <v>29.515239999999999</v>
      </c>
      <c r="AL27" s="83" t="s">
        <v>90</v>
      </c>
      <c r="AM27" s="83">
        <v>2.0089899999999998</v>
      </c>
      <c r="AN27" s="83" t="s">
        <v>486</v>
      </c>
      <c r="AO27" s="87"/>
      <c r="AP27" s="8"/>
      <c r="AQ27" s="8"/>
      <c r="AR27" s="8"/>
      <c r="AS27" s="27" t="s">
        <v>406</v>
      </c>
      <c r="AT27" s="23">
        <v>22</v>
      </c>
      <c r="AV27" s="97"/>
    </row>
    <row r="28" spans="1:51" s="160" customFormat="1" ht="45.95" customHeight="1" x14ac:dyDescent="0.2">
      <c r="A28" s="145" t="s">
        <v>44</v>
      </c>
      <c r="B28" s="126" t="s">
        <v>417</v>
      </c>
      <c r="C28" s="158" t="s">
        <v>467</v>
      </c>
      <c r="D28" s="29" t="s">
        <v>468</v>
      </c>
      <c r="E28" s="27" t="s">
        <v>406</v>
      </c>
      <c r="F28" s="27"/>
      <c r="G28" s="27"/>
      <c r="H28" s="27"/>
      <c r="I28" s="27" t="s">
        <v>471</v>
      </c>
      <c r="J28" s="22" t="s">
        <v>476</v>
      </c>
      <c r="K28" s="22"/>
      <c r="L28" s="22"/>
      <c r="M28" s="162"/>
      <c r="N28" s="22"/>
      <c r="O28" s="7"/>
      <c r="P28" s="7"/>
      <c r="Q28" s="7"/>
      <c r="R28" s="7"/>
      <c r="S28" s="37"/>
      <c r="T28" s="37"/>
      <c r="U28" s="252">
        <v>0.52822999999999998</v>
      </c>
      <c r="V28" s="252">
        <v>0.52822999999999998</v>
      </c>
      <c r="W28" s="252"/>
      <c r="X28" s="268"/>
      <c r="Y28" s="252"/>
      <c r="Z28" s="268"/>
      <c r="AA28" s="252">
        <v>0.52822999999999998</v>
      </c>
      <c r="AB28" s="252">
        <v>0.52822999999999998</v>
      </c>
      <c r="AC28" s="252"/>
      <c r="AD28" s="268"/>
      <c r="AE28" s="252"/>
      <c r="AF28" s="268"/>
      <c r="AG28" s="83">
        <v>0.52822999999999998</v>
      </c>
      <c r="AH28" s="83">
        <f>Tabla1[[#This Row],[FONDOS GOES
(Millones US$)
(A)]]+Tabla1[[#This Row],[FONDOS PROPIOS 
(Millones US$)
(B)]]</f>
        <v>0.52822999999999998</v>
      </c>
      <c r="AI28" s="83"/>
      <c r="AJ28" s="83">
        <v>0.52822999999999998</v>
      </c>
      <c r="AK28" s="159"/>
      <c r="AL28" s="83"/>
      <c r="AM28" s="83"/>
      <c r="AN28" s="83"/>
      <c r="AO28" s="87"/>
      <c r="AP28" s="8"/>
      <c r="AQ28" s="8"/>
      <c r="AR28" s="8"/>
      <c r="AS28" s="27" t="s">
        <v>406</v>
      </c>
      <c r="AT28" s="23">
        <v>23</v>
      </c>
      <c r="AV28" s="97"/>
    </row>
    <row r="29" spans="1:51" s="160" customFormat="1" ht="45.95" customHeight="1" x14ac:dyDescent="0.2">
      <c r="A29" s="145" t="s">
        <v>44</v>
      </c>
      <c r="B29" s="126" t="s">
        <v>417</v>
      </c>
      <c r="C29" s="158" t="s">
        <v>467</v>
      </c>
      <c r="D29" s="29" t="s">
        <v>468</v>
      </c>
      <c r="E29" s="27" t="s">
        <v>406</v>
      </c>
      <c r="F29" s="27"/>
      <c r="G29" s="27"/>
      <c r="H29" s="27"/>
      <c r="I29" s="27" t="s">
        <v>472</v>
      </c>
      <c r="J29" s="22" t="s">
        <v>477</v>
      </c>
      <c r="K29" s="22"/>
      <c r="L29" s="22"/>
      <c r="M29" s="162"/>
      <c r="N29" s="22"/>
      <c r="O29" s="7"/>
      <c r="P29" s="7"/>
      <c r="Q29" s="7"/>
      <c r="R29" s="7"/>
      <c r="S29" s="37"/>
      <c r="T29" s="37"/>
      <c r="U29" s="252">
        <v>3</v>
      </c>
      <c r="V29" s="252">
        <v>3</v>
      </c>
      <c r="W29" s="252"/>
      <c r="X29" s="268"/>
      <c r="Y29" s="252"/>
      <c r="Z29" s="268"/>
      <c r="AA29" s="252">
        <v>3</v>
      </c>
      <c r="AB29" s="252">
        <v>3</v>
      </c>
      <c r="AC29" s="252"/>
      <c r="AD29" s="268"/>
      <c r="AE29" s="252"/>
      <c r="AF29" s="268"/>
      <c r="AG29" s="83">
        <v>3</v>
      </c>
      <c r="AH29" s="83">
        <f>Tabla1[[#This Row],[FONDOS GOES
(Millones US$)
(A)]]+Tabla1[[#This Row],[FONDOS PROPIOS 
(Millones US$)
(B)]]</f>
        <v>3</v>
      </c>
      <c r="AI29" s="83"/>
      <c r="AJ29" s="83">
        <v>3</v>
      </c>
      <c r="AK29" s="159"/>
      <c r="AL29" s="83"/>
      <c r="AM29" s="83"/>
      <c r="AN29" s="83"/>
      <c r="AO29" s="87"/>
      <c r="AP29" s="8"/>
      <c r="AQ29" s="8"/>
      <c r="AR29" s="8"/>
      <c r="AS29" s="27" t="s">
        <v>406</v>
      </c>
      <c r="AT29" s="23">
        <v>24</v>
      </c>
      <c r="AV29" s="97"/>
    </row>
    <row r="30" spans="1:51" s="160" customFormat="1" ht="45.95" customHeight="1" x14ac:dyDescent="0.2">
      <c r="A30" s="145" t="s">
        <v>44</v>
      </c>
      <c r="B30" s="126" t="s">
        <v>417</v>
      </c>
      <c r="C30" s="158" t="s">
        <v>467</v>
      </c>
      <c r="D30" s="29" t="s">
        <v>468</v>
      </c>
      <c r="E30" s="27" t="s">
        <v>406</v>
      </c>
      <c r="F30" s="27"/>
      <c r="G30" s="27"/>
      <c r="H30" s="27"/>
      <c r="I30" s="27" t="s">
        <v>473</v>
      </c>
      <c r="J30" s="22" t="s">
        <v>478</v>
      </c>
      <c r="K30" s="22"/>
      <c r="L30" s="22"/>
      <c r="M30" s="162"/>
      <c r="N30" s="22"/>
      <c r="O30" s="7"/>
      <c r="P30" s="7"/>
      <c r="Q30" s="7"/>
      <c r="R30" s="7"/>
      <c r="S30" s="37"/>
      <c r="T30" s="37"/>
      <c r="U30" s="252">
        <v>2E-3</v>
      </c>
      <c r="V30" s="252"/>
      <c r="W30" s="252"/>
      <c r="X30" s="268"/>
      <c r="Y30" s="252"/>
      <c r="Z30" s="268"/>
      <c r="AA30" s="252">
        <v>2E-3</v>
      </c>
      <c r="AB30" s="252"/>
      <c r="AC30" s="252"/>
      <c r="AD30" s="268"/>
      <c r="AE30" s="252"/>
      <c r="AF30" s="268"/>
      <c r="AG30" s="83">
        <f>2000/1000000</f>
        <v>2E-3</v>
      </c>
      <c r="AH30" s="83">
        <f>Tabla1[[#This Row],[FONDOS GOES
(Millones US$)
(A)]]+Tabla1[[#This Row],[FONDOS PROPIOS 
(Millones US$)
(B)]]</f>
        <v>0</v>
      </c>
      <c r="AI30" s="83"/>
      <c r="AJ30" s="83"/>
      <c r="AK30" s="159"/>
      <c r="AL30" s="83"/>
      <c r="AM30" s="83"/>
      <c r="AN30" s="83"/>
      <c r="AO30" s="87"/>
      <c r="AP30" s="8"/>
      <c r="AQ30" s="8"/>
      <c r="AR30" s="8"/>
      <c r="AS30" s="27" t="s">
        <v>406</v>
      </c>
      <c r="AT30" s="23">
        <v>25</v>
      </c>
      <c r="AV30" s="97"/>
    </row>
    <row r="31" spans="1:51" s="160" customFormat="1" ht="45.95" customHeight="1" x14ac:dyDescent="0.2">
      <c r="A31" s="47" t="s">
        <v>44</v>
      </c>
      <c r="B31" s="66" t="s">
        <v>38</v>
      </c>
      <c r="C31" s="62" t="s">
        <v>401</v>
      </c>
      <c r="D31" s="48" t="s">
        <v>402</v>
      </c>
      <c r="E31" s="49"/>
      <c r="F31" s="49"/>
      <c r="G31" s="49"/>
      <c r="H31" s="49"/>
      <c r="I31" s="49"/>
      <c r="J31" s="50"/>
      <c r="K31" s="50"/>
      <c r="L31" s="50"/>
      <c r="M31" s="130"/>
      <c r="N31" s="50"/>
      <c r="O31" s="51"/>
      <c r="P31" s="51"/>
      <c r="Q31" s="51"/>
      <c r="R31" s="51"/>
      <c r="S31" s="52"/>
      <c r="T31" s="52"/>
      <c r="U31" s="258"/>
      <c r="V31" s="258"/>
      <c r="W31" s="258"/>
      <c r="X31" s="267"/>
      <c r="Y31" s="258"/>
      <c r="Z31" s="267"/>
      <c r="AA31" s="258"/>
      <c r="AB31" s="258"/>
      <c r="AC31" s="258"/>
      <c r="AD31" s="267"/>
      <c r="AE31" s="258"/>
      <c r="AF31" s="267"/>
      <c r="AG31" s="82"/>
      <c r="AH31" s="82">
        <f>Tabla1[[#This Row],[FONDOS GOES
(Millones US$)
(A)]]+Tabla1[[#This Row],[FONDOS PROPIOS 
(Millones US$)
(B)]]</f>
        <v>0</v>
      </c>
      <c r="AI31" s="82"/>
      <c r="AJ31" s="82"/>
      <c r="AK31" s="82"/>
      <c r="AL31" s="82"/>
      <c r="AM31" s="82"/>
      <c r="AN31" s="82"/>
      <c r="AO31" s="86"/>
      <c r="AP31" s="53"/>
      <c r="AQ31" s="53"/>
      <c r="AR31" s="53"/>
      <c r="AS31" s="49"/>
      <c r="AT31" s="23">
        <v>26</v>
      </c>
      <c r="AV31" s="97"/>
    </row>
    <row r="32" spans="1:51" s="160" customFormat="1" ht="45.95" customHeight="1" x14ac:dyDescent="0.2">
      <c r="A32" s="228" t="s">
        <v>44</v>
      </c>
      <c r="B32" s="229" t="s">
        <v>38</v>
      </c>
      <c r="C32" s="63" t="s">
        <v>401</v>
      </c>
      <c r="D32" s="230" t="s">
        <v>402</v>
      </c>
      <c r="E32" s="27" t="s">
        <v>403</v>
      </c>
      <c r="F32" s="153"/>
      <c r="G32" s="153"/>
      <c r="H32" s="153"/>
      <c r="I32" s="154"/>
      <c r="J32" s="22" t="s">
        <v>404</v>
      </c>
      <c r="K32" s="22"/>
      <c r="L32" s="22"/>
      <c r="M32" s="150"/>
      <c r="N32" s="137"/>
      <c r="O32" s="7"/>
      <c r="P32" s="7"/>
      <c r="Q32" s="151"/>
      <c r="R32" s="7"/>
      <c r="S32" s="37"/>
      <c r="T32" s="37" t="s">
        <v>21</v>
      </c>
      <c r="U32" s="252">
        <v>2E-3</v>
      </c>
      <c r="V32" s="252">
        <v>2E-3</v>
      </c>
      <c r="W32" s="252"/>
      <c r="X32" s="268"/>
      <c r="Y32" s="252"/>
      <c r="Z32" s="268"/>
      <c r="AA32" s="252">
        <v>2E-3</v>
      </c>
      <c r="AB32" s="252">
        <v>2E-3</v>
      </c>
      <c r="AC32" s="252"/>
      <c r="AD32" s="268"/>
      <c r="AE32" s="252"/>
      <c r="AF32" s="268"/>
      <c r="AG32" s="83">
        <f>2538465.23/1000000</f>
        <v>2.5384652299999999</v>
      </c>
      <c r="AH32" s="83">
        <f>Tabla1[[#This Row],[FONDOS GOES
(Millones US$)
(A)]]+Tabla1[[#This Row],[FONDOS PROPIOS 
(Millones US$)
(B)]]</f>
        <v>2.5384652299999999</v>
      </c>
      <c r="AI32" s="83"/>
      <c r="AJ32" s="83">
        <f>2538465.23/1000000</f>
        <v>2.5384652299999999</v>
      </c>
      <c r="AK32" s="83"/>
      <c r="AL32" s="83"/>
      <c r="AM32" s="83"/>
      <c r="AN32" s="83"/>
      <c r="AO32" s="87"/>
      <c r="AP32" s="8"/>
      <c r="AQ32" s="8"/>
      <c r="AR32" s="8"/>
      <c r="AS32" s="27" t="s">
        <v>403</v>
      </c>
      <c r="AT32" s="23">
        <v>27</v>
      </c>
      <c r="AV32" s="97"/>
    </row>
    <row r="33" spans="1:51" s="160" customFormat="1" ht="45.95" customHeight="1" x14ac:dyDescent="0.2">
      <c r="A33" s="228" t="s">
        <v>44</v>
      </c>
      <c r="B33" s="229" t="s">
        <v>38</v>
      </c>
      <c r="C33" s="63" t="s">
        <v>401</v>
      </c>
      <c r="D33" s="230" t="s">
        <v>402</v>
      </c>
      <c r="E33" s="27" t="s">
        <v>403</v>
      </c>
      <c r="F33" s="27"/>
      <c r="G33" s="27"/>
      <c r="H33" s="27"/>
      <c r="I33" s="27"/>
      <c r="J33" s="22" t="s">
        <v>405</v>
      </c>
      <c r="K33" s="22"/>
      <c r="L33" s="22"/>
      <c r="M33" s="162"/>
      <c r="N33" s="137"/>
      <c r="O33" s="7"/>
      <c r="P33" s="7"/>
      <c r="Q33" s="163"/>
      <c r="R33" s="7"/>
      <c r="S33" s="37"/>
      <c r="T33" s="37"/>
      <c r="U33" s="252">
        <v>2E-3</v>
      </c>
      <c r="V33" s="252">
        <v>2E-3</v>
      </c>
      <c r="W33" s="252"/>
      <c r="X33" s="268"/>
      <c r="Y33" s="252"/>
      <c r="Z33" s="268"/>
      <c r="AA33" s="252">
        <v>2E-3</v>
      </c>
      <c r="AB33" s="252">
        <v>2E-3</v>
      </c>
      <c r="AC33" s="252"/>
      <c r="AD33" s="268"/>
      <c r="AE33" s="252"/>
      <c r="AF33" s="268"/>
      <c r="AG33" s="83">
        <f>2189613.62/1000000</f>
        <v>2.1896136200000003</v>
      </c>
      <c r="AH33" s="83">
        <f>Tabla1[[#This Row],[FONDOS GOES
(Millones US$)
(A)]]+Tabla1[[#This Row],[FONDOS PROPIOS 
(Millones US$)
(B)]]</f>
        <v>2.1896136200000003</v>
      </c>
      <c r="AI33" s="83"/>
      <c r="AJ33" s="83">
        <f>2189613.62/1000000</f>
        <v>2.1896136200000003</v>
      </c>
      <c r="AK33" s="159"/>
      <c r="AL33" s="83"/>
      <c r="AM33" s="83"/>
      <c r="AN33" s="83"/>
      <c r="AO33" s="87"/>
      <c r="AP33" s="8"/>
      <c r="AQ33" s="8"/>
      <c r="AR33" s="8"/>
      <c r="AS33" s="27" t="s">
        <v>403</v>
      </c>
      <c r="AT33" s="23">
        <v>28</v>
      </c>
      <c r="AV33" s="97"/>
    </row>
    <row r="34" spans="1:51" s="160" customFormat="1" ht="45.95" customHeight="1" x14ac:dyDescent="0.2">
      <c r="A34" s="228" t="s">
        <v>44</v>
      </c>
      <c r="B34" s="229" t="s">
        <v>38</v>
      </c>
      <c r="C34" s="239" t="s">
        <v>401</v>
      </c>
      <c r="D34" s="230" t="s">
        <v>402</v>
      </c>
      <c r="E34" s="27" t="s">
        <v>139</v>
      </c>
      <c r="F34" s="27"/>
      <c r="G34" s="27"/>
      <c r="H34" s="27"/>
      <c r="I34" s="27" t="s">
        <v>437</v>
      </c>
      <c r="J34" s="22" t="s">
        <v>442</v>
      </c>
      <c r="K34" s="22"/>
      <c r="L34" s="22"/>
      <c r="M34" s="162"/>
      <c r="N34" s="137"/>
      <c r="O34" s="7"/>
      <c r="P34" s="7"/>
      <c r="Q34" s="163"/>
      <c r="R34" s="7"/>
      <c r="S34" s="37"/>
      <c r="T34" s="37"/>
      <c r="U34" s="252">
        <v>4.2509600000000001</v>
      </c>
      <c r="V34" s="83">
        <v>2.1165E-2</v>
      </c>
      <c r="W34" s="159">
        <v>4.2297950000000002</v>
      </c>
      <c r="X34" s="83" t="s">
        <v>89</v>
      </c>
      <c r="Y34" s="83"/>
      <c r="Z34" s="83"/>
      <c r="AA34" s="252">
        <v>4.2509600000000001</v>
      </c>
      <c r="AB34" s="83">
        <v>2.1165E-2</v>
      </c>
      <c r="AC34" s="159">
        <v>4.2297950000000002</v>
      </c>
      <c r="AD34" s="83" t="s">
        <v>89</v>
      </c>
      <c r="AE34" s="83"/>
      <c r="AF34" s="83"/>
      <c r="AG34" s="83">
        <f>Tabla1[[#This Row],[FONDOS GOES
(Millones US$)
(A)]]+Tabla1[[#This Row],[FONDOS PROPIOS 
(Millones US$)
(B)]]+Tabla1[[#This Row],[MONTO PRÉSTAMO
(Millones US$)
(C) ]]+Tabla1[[#This Row],[MONTO COOPERACIÓN NO REEMBOLSABLE  
(Millones US$)
(D)]]</f>
        <v>4.2509600000000001</v>
      </c>
      <c r="AH34" s="83">
        <f>Tabla1[[#This Row],[FONDOS GOES
(Millones US$)
(A)]]+Tabla1[[#This Row],[FONDOS PROPIOS 
(Millones US$)
(B)]]</f>
        <v>2.1165E-2</v>
      </c>
      <c r="AI34" s="83">
        <f>21165/1000000</f>
        <v>2.1165E-2</v>
      </c>
      <c r="AJ34" s="83"/>
      <c r="AK34" s="159">
        <v>4.2297950000000002</v>
      </c>
      <c r="AL34" s="83" t="s">
        <v>89</v>
      </c>
      <c r="AM34" s="83"/>
      <c r="AN34" s="83"/>
      <c r="AO34" s="87"/>
      <c r="AP34" s="8"/>
      <c r="AQ34" s="8"/>
      <c r="AR34" s="8"/>
      <c r="AS34" s="27" t="s">
        <v>560</v>
      </c>
      <c r="AT34" s="23">
        <v>29</v>
      </c>
      <c r="AV34" s="97"/>
    </row>
    <row r="35" spans="1:51" s="160" customFormat="1" ht="45.95" customHeight="1" x14ac:dyDescent="0.2">
      <c r="A35" s="228" t="s">
        <v>44</v>
      </c>
      <c r="B35" s="229" t="s">
        <v>38</v>
      </c>
      <c r="C35" s="239" t="s">
        <v>401</v>
      </c>
      <c r="D35" s="230" t="s">
        <v>402</v>
      </c>
      <c r="E35" s="27" t="s">
        <v>139</v>
      </c>
      <c r="F35" s="27"/>
      <c r="G35" s="27"/>
      <c r="H35" s="27"/>
      <c r="I35" s="27" t="s">
        <v>438</v>
      </c>
      <c r="J35" s="22" t="s">
        <v>443</v>
      </c>
      <c r="K35" s="22"/>
      <c r="L35" s="22"/>
      <c r="M35" s="162"/>
      <c r="N35" s="137"/>
      <c r="O35" s="7"/>
      <c r="P35" s="7"/>
      <c r="Q35" s="163"/>
      <c r="R35" s="7"/>
      <c r="S35" s="37"/>
      <c r="T35" s="37"/>
      <c r="U35" s="252">
        <v>0.81154999999999999</v>
      </c>
      <c r="V35" s="83">
        <v>1.155E-2</v>
      </c>
      <c r="W35" s="159">
        <f>800000/1000000</f>
        <v>0.8</v>
      </c>
      <c r="X35" s="83" t="s">
        <v>89</v>
      </c>
      <c r="Y35" s="83"/>
      <c r="Z35" s="83"/>
      <c r="AA35" s="252">
        <v>0.81154999999999999</v>
      </c>
      <c r="AB35" s="83">
        <v>1.155E-2</v>
      </c>
      <c r="AC35" s="159">
        <f>800000/1000000</f>
        <v>0.8</v>
      </c>
      <c r="AD35" s="83" t="s">
        <v>89</v>
      </c>
      <c r="AE35" s="83"/>
      <c r="AF35" s="83"/>
      <c r="AG35" s="83">
        <f>Tabla1[[#This Row],[FONDOS GOES
(Millones US$)
(A)]]+Tabla1[[#This Row],[FONDOS PROPIOS 
(Millones US$)
(B)]]+Tabla1[[#This Row],[MONTO PRÉSTAMO
(Millones US$)
(C) ]]+Tabla1[[#This Row],[MONTO COOPERACIÓN NO REEMBOLSABLE  
(Millones US$)
(D)]]</f>
        <v>0.81154999999999999</v>
      </c>
      <c r="AH35" s="83">
        <f>Tabla1[[#This Row],[FONDOS GOES
(Millones US$)
(A)]]+Tabla1[[#This Row],[FONDOS PROPIOS 
(Millones US$)
(B)]]</f>
        <v>1.155E-2</v>
      </c>
      <c r="AI35" s="83">
        <f>11550/1000000</f>
        <v>1.155E-2</v>
      </c>
      <c r="AJ35" s="83"/>
      <c r="AK35" s="159">
        <f>800000/1000000</f>
        <v>0.8</v>
      </c>
      <c r="AL35" s="83" t="s">
        <v>89</v>
      </c>
      <c r="AM35" s="83"/>
      <c r="AN35" s="83"/>
      <c r="AO35" s="87"/>
      <c r="AP35" s="8"/>
      <c r="AQ35" s="8"/>
      <c r="AR35" s="8"/>
      <c r="AS35" s="27" t="s">
        <v>560</v>
      </c>
      <c r="AT35" s="23">
        <v>30</v>
      </c>
      <c r="AV35" s="97"/>
    </row>
    <row r="36" spans="1:51" s="160" customFormat="1" ht="45.95" customHeight="1" x14ac:dyDescent="0.2">
      <c r="A36" s="228" t="s">
        <v>44</v>
      </c>
      <c r="B36" s="229" t="s">
        <v>38</v>
      </c>
      <c r="C36" s="239" t="s">
        <v>401</v>
      </c>
      <c r="D36" s="230" t="s">
        <v>402</v>
      </c>
      <c r="E36" s="27" t="s">
        <v>139</v>
      </c>
      <c r="F36" s="27"/>
      <c r="G36" s="27"/>
      <c r="H36" s="27"/>
      <c r="I36" s="27" t="s">
        <v>439</v>
      </c>
      <c r="J36" s="22" t="s">
        <v>444</v>
      </c>
      <c r="K36" s="22"/>
      <c r="L36" s="22"/>
      <c r="M36" s="162"/>
      <c r="N36" s="137"/>
      <c r="O36" s="7"/>
      <c r="P36" s="7"/>
      <c r="Q36" s="163"/>
      <c r="R36" s="7"/>
      <c r="S36" s="37"/>
      <c r="T36" s="37"/>
      <c r="U36" s="252">
        <v>5.4665549999999996</v>
      </c>
      <c r="V36" s="83">
        <v>0.80589</v>
      </c>
      <c r="W36" s="159">
        <v>4.6606649999999998</v>
      </c>
      <c r="X36" s="83" t="s">
        <v>90</v>
      </c>
      <c r="Y36" s="83"/>
      <c r="Z36" s="83"/>
      <c r="AA36" s="252">
        <v>5.4665549999999996</v>
      </c>
      <c r="AB36" s="83">
        <v>0.80589</v>
      </c>
      <c r="AC36" s="159">
        <v>4.6606649999999998</v>
      </c>
      <c r="AD36" s="83" t="s">
        <v>90</v>
      </c>
      <c r="AE36" s="83"/>
      <c r="AF36" s="83"/>
      <c r="AG36" s="83">
        <f>Tabla1[[#This Row],[FONDOS GOES
(Millones US$)
(A)]]+Tabla1[[#This Row],[FONDOS PROPIOS 
(Millones US$)
(B)]]+Tabla1[[#This Row],[MONTO PRÉSTAMO
(Millones US$)
(C) ]]+Tabla1[[#This Row],[MONTO COOPERACIÓN NO REEMBOLSABLE  
(Millones US$)
(D)]]</f>
        <v>5.4665549999999996</v>
      </c>
      <c r="AH36" s="83">
        <f>Tabla1[[#This Row],[FONDOS GOES
(Millones US$)
(A)]]+Tabla1[[#This Row],[FONDOS PROPIOS 
(Millones US$)
(B)]]</f>
        <v>0.80589</v>
      </c>
      <c r="AI36" s="83">
        <f>805890/1000000</f>
        <v>0.80589</v>
      </c>
      <c r="AJ36" s="83"/>
      <c r="AK36" s="159">
        <v>4.6606649999999998</v>
      </c>
      <c r="AL36" s="83" t="s">
        <v>90</v>
      </c>
      <c r="AM36" s="83"/>
      <c r="AN36" s="83"/>
      <c r="AO36" s="87"/>
      <c r="AP36" s="8"/>
      <c r="AQ36" s="8"/>
      <c r="AR36" s="8"/>
      <c r="AS36" s="27" t="s">
        <v>560</v>
      </c>
      <c r="AT36" s="23">
        <v>31</v>
      </c>
      <c r="AV36" s="97"/>
    </row>
    <row r="37" spans="1:51" ht="45.95" customHeight="1" x14ac:dyDescent="0.2">
      <c r="A37" s="228" t="s">
        <v>44</v>
      </c>
      <c r="B37" s="229" t="s">
        <v>38</v>
      </c>
      <c r="C37" s="239" t="s">
        <v>401</v>
      </c>
      <c r="D37" s="230" t="s">
        <v>402</v>
      </c>
      <c r="E37" s="27" t="s">
        <v>139</v>
      </c>
      <c r="F37" s="27"/>
      <c r="G37" s="27"/>
      <c r="H37" s="27"/>
      <c r="I37" s="27" t="s">
        <v>440</v>
      </c>
      <c r="J37" s="22" t="s">
        <v>579</v>
      </c>
      <c r="K37" s="22"/>
      <c r="L37" s="22"/>
      <c r="M37" s="162"/>
      <c r="N37" s="137"/>
      <c r="O37" s="7"/>
      <c r="P37" s="7"/>
      <c r="Q37" s="163"/>
      <c r="R37" s="7"/>
      <c r="S37" s="37"/>
      <c r="T37" s="37"/>
      <c r="U37" s="252">
        <v>3.739125</v>
      </c>
      <c r="V37" s="83">
        <v>0.43016500000000002</v>
      </c>
      <c r="W37" s="159"/>
      <c r="X37" s="83"/>
      <c r="Y37" s="83">
        <v>3.3089599999999999</v>
      </c>
      <c r="Z37" s="83" t="s">
        <v>446</v>
      </c>
      <c r="AA37" s="252">
        <v>3.739125</v>
      </c>
      <c r="AB37" s="83">
        <v>0.43016500000000002</v>
      </c>
      <c r="AC37" s="159"/>
      <c r="AD37" s="83"/>
      <c r="AE37" s="83">
        <v>3.3089599999999999</v>
      </c>
      <c r="AF37" s="83" t="s">
        <v>446</v>
      </c>
      <c r="AG37" s="83">
        <f>Tabla1[[#This Row],[FONDOS GOES
(Millones US$)
(A)]]+Tabla1[[#This Row],[FONDOS PROPIOS 
(Millones US$)
(B)]]+Tabla1[[#This Row],[MONTO PRÉSTAMO
(Millones US$)
(C) ]]+Tabla1[[#This Row],[MONTO COOPERACIÓN NO REEMBOLSABLE  
(Millones US$)
(D)]]</f>
        <v>3.739125</v>
      </c>
      <c r="AH37" s="83">
        <f>Tabla1[[#This Row],[FONDOS GOES
(Millones US$)
(A)]]+Tabla1[[#This Row],[FONDOS PROPIOS 
(Millones US$)
(B)]]</f>
        <v>0.43016500000000002</v>
      </c>
      <c r="AI37" s="83">
        <f>430165/1000000</f>
        <v>0.43016500000000002</v>
      </c>
      <c r="AJ37" s="83"/>
      <c r="AK37" s="159"/>
      <c r="AL37" s="83"/>
      <c r="AM37" s="83">
        <v>3.3089599999999999</v>
      </c>
      <c r="AN37" s="83" t="s">
        <v>446</v>
      </c>
      <c r="AO37" s="87"/>
      <c r="AP37" s="8"/>
      <c r="AQ37" s="8"/>
      <c r="AR37" s="8"/>
      <c r="AS37" s="27" t="s">
        <v>560</v>
      </c>
      <c r="AT37" s="23">
        <v>32</v>
      </c>
      <c r="AV37" s="97"/>
      <c r="AY37" s="3"/>
    </row>
    <row r="38" spans="1:51" ht="45.95" customHeight="1" x14ac:dyDescent="0.2">
      <c r="A38" s="228" t="s">
        <v>44</v>
      </c>
      <c r="B38" s="229" t="s">
        <v>38</v>
      </c>
      <c r="C38" s="239" t="s">
        <v>401</v>
      </c>
      <c r="D38" s="230" t="s">
        <v>402</v>
      </c>
      <c r="E38" s="27" t="s">
        <v>139</v>
      </c>
      <c r="F38" s="27"/>
      <c r="G38" s="27"/>
      <c r="H38" s="27"/>
      <c r="I38" s="27" t="s">
        <v>441</v>
      </c>
      <c r="J38" s="22" t="s">
        <v>445</v>
      </c>
      <c r="K38" s="22"/>
      <c r="L38" s="22"/>
      <c r="M38" s="162"/>
      <c r="N38" s="137"/>
      <c r="O38" s="7"/>
      <c r="P38" s="7"/>
      <c r="Q38" s="163"/>
      <c r="R38" s="7"/>
      <c r="S38" s="37"/>
      <c r="T38" s="37"/>
      <c r="U38" s="252">
        <v>1.1299999999999999</v>
      </c>
      <c r="V38" s="83">
        <v>0.13</v>
      </c>
      <c r="W38" s="159">
        <v>1</v>
      </c>
      <c r="X38" s="83" t="s">
        <v>447</v>
      </c>
      <c r="Y38" s="83"/>
      <c r="Z38" s="83"/>
      <c r="AA38" s="252">
        <v>1.1299999999999999</v>
      </c>
      <c r="AB38" s="83">
        <v>0.13</v>
      </c>
      <c r="AC38" s="159">
        <v>1</v>
      </c>
      <c r="AD38" s="83" t="s">
        <v>447</v>
      </c>
      <c r="AE38" s="83"/>
      <c r="AF38" s="83"/>
      <c r="AG38" s="83">
        <f>Tabla1[[#This Row],[FONDOS GOES
(Millones US$)
(A)]]+Tabla1[[#This Row],[FONDOS PROPIOS 
(Millones US$)
(B)]]+Tabla1[[#This Row],[MONTO PRÉSTAMO
(Millones US$)
(C) ]]+Tabla1[[#This Row],[MONTO COOPERACIÓN NO REEMBOLSABLE  
(Millones US$)
(D)]]</f>
        <v>1.1299999999999999</v>
      </c>
      <c r="AH38" s="83">
        <f>Tabla1[[#This Row],[FONDOS GOES
(Millones US$)
(A)]]+Tabla1[[#This Row],[FONDOS PROPIOS 
(Millones US$)
(B)]]</f>
        <v>0.13</v>
      </c>
      <c r="AI38" s="83">
        <f>130000/1000000</f>
        <v>0.13</v>
      </c>
      <c r="AJ38" s="83"/>
      <c r="AK38" s="159">
        <v>1</v>
      </c>
      <c r="AL38" s="83" t="s">
        <v>447</v>
      </c>
      <c r="AM38" s="83"/>
      <c r="AN38" s="83"/>
      <c r="AO38" s="87"/>
      <c r="AP38" s="8"/>
      <c r="AQ38" s="8"/>
      <c r="AR38" s="8"/>
      <c r="AS38" s="27" t="s">
        <v>560</v>
      </c>
      <c r="AT38" s="23">
        <v>33</v>
      </c>
      <c r="AV38" s="97"/>
      <c r="AY38" s="3"/>
    </row>
    <row r="39" spans="1:51" s="160" customFormat="1" ht="45.95" customHeight="1" x14ac:dyDescent="0.2">
      <c r="A39" s="228" t="s">
        <v>44</v>
      </c>
      <c r="B39" s="229" t="s">
        <v>38</v>
      </c>
      <c r="C39" s="63" t="s">
        <v>401</v>
      </c>
      <c r="D39" s="230" t="s">
        <v>402</v>
      </c>
      <c r="E39" s="27" t="s">
        <v>521</v>
      </c>
      <c r="F39" s="27"/>
      <c r="G39" s="27"/>
      <c r="H39" s="27"/>
      <c r="I39" s="27"/>
      <c r="J39" s="22" t="s">
        <v>526</v>
      </c>
      <c r="K39" s="22"/>
      <c r="L39" s="22"/>
      <c r="M39" s="162"/>
      <c r="N39" s="137"/>
      <c r="O39" s="7"/>
      <c r="P39" s="7"/>
      <c r="Q39" s="163"/>
      <c r="R39" s="7"/>
      <c r="S39" s="37"/>
      <c r="T39" s="37"/>
      <c r="U39" s="252">
        <v>1.1801585067031484</v>
      </c>
      <c r="V39" s="252">
        <v>2E-3</v>
      </c>
      <c r="W39" s="252"/>
      <c r="X39" s="268"/>
      <c r="Y39" s="252"/>
      <c r="Z39" s="268"/>
      <c r="AA39" s="252">
        <v>1.1801585067031484</v>
      </c>
      <c r="AB39" s="252">
        <v>2E-3</v>
      </c>
      <c r="AC39" s="252"/>
      <c r="AD39" s="268"/>
      <c r="AE39" s="252"/>
      <c r="AF39" s="268"/>
      <c r="AG39" s="83">
        <f>Tabla1[[#This Row],[FONDOS GOES
(Millones US$)
(A)]]+Tabla1[[#This Row],[FONDOS PROPIOS 
(Millones US$)
(B)]]+Tabla1[[#This Row],[MONTO PRÉSTAMO
(Millones US$)
(C) ]]+Tabla1[[#This Row],[MONTO COOPERACIÓN NO REEMBOLSABLE  
(Millones US$)
(D)]]</f>
        <v>1.1801585067031484</v>
      </c>
      <c r="AH39" s="83">
        <f>Tabla1[[#This Row],[FONDOS GOES
(Millones US$)
(A)]]+Tabla1[[#This Row],[FONDOS PROPIOS 
(Millones US$)
(B)]]</f>
        <v>0</v>
      </c>
      <c r="AI39" s="83"/>
      <c r="AJ39" s="83"/>
      <c r="AK39" s="159">
        <v>0.43164350670314844</v>
      </c>
      <c r="AL39" s="83" t="s">
        <v>90</v>
      </c>
      <c r="AM39" s="83">
        <f>0.7+0.048515</f>
        <v>0.74851499999999993</v>
      </c>
      <c r="AN39" s="83" t="s">
        <v>523</v>
      </c>
      <c r="AO39" s="87"/>
      <c r="AP39" s="8"/>
      <c r="AQ39" s="8"/>
      <c r="AR39" s="8"/>
      <c r="AS39" s="27" t="s">
        <v>521</v>
      </c>
      <c r="AT39" s="23">
        <v>34</v>
      </c>
      <c r="AV39" s="237"/>
    </row>
    <row r="40" spans="1:51" s="160" customFormat="1" ht="45.95" customHeight="1" x14ac:dyDescent="0.2">
      <c r="A40" s="47" t="s">
        <v>44</v>
      </c>
      <c r="B40" s="66" t="s">
        <v>38</v>
      </c>
      <c r="C40" s="62" t="s">
        <v>33</v>
      </c>
      <c r="D40" s="48" t="s">
        <v>24</v>
      </c>
      <c r="E40" s="49"/>
      <c r="F40" s="49"/>
      <c r="G40" s="49"/>
      <c r="H40" s="49"/>
      <c r="I40" s="49"/>
      <c r="J40" s="50"/>
      <c r="K40" s="50"/>
      <c r="L40" s="50"/>
      <c r="M40" s="130"/>
      <c r="N40" s="50"/>
      <c r="O40" s="51"/>
      <c r="P40" s="51"/>
      <c r="Q40" s="51"/>
      <c r="R40" s="51"/>
      <c r="S40" s="52"/>
      <c r="T40" s="52"/>
      <c r="U40" s="258"/>
      <c r="V40" s="258"/>
      <c r="W40" s="258"/>
      <c r="X40" s="267"/>
      <c r="Y40" s="258"/>
      <c r="Z40" s="267"/>
      <c r="AA40" s="258"/>
      <c r="AB40" s="258"/>
      <c r="AC40" s="258"/>
      <c r="AD40" s="267"/>
      <c r="AE40" s="258"/>
      <c r="AF40" s="267"/>
      <c r="AG40" s="82"/>
      <c r="AH40" s="82">
        <f>Tabla1[[#This Row],[FONDOS GOES
(Millones US$)
(A)]]+Tabla1[[#This Row],[FONDOS PROPIOS 
(Millones US$)
(B)]]</f>
        <v>0</v>
      </c>
      <c r="AI40" s="82"/>
      <c r="AJ40" s="82"/>
      <c r="AK40" s="82"/>
      <c r="AL40" s="82"/>
      <c r="AM40" s="82"/>
      <c r="AN40" s="82"/>
      <c r="AO40" s="86"/>
      <c r="AP40" s="53"/>
      <c r="AQ40" s="53"/>
      <c r="AR40" s="53"/>
      <c r="AS40" s="49"/>
      <c r="AT40" s="23">
        <v>35</v>
      </c>
      <c r="AV40" s="97"/>
    </row>
    <row r="41" spans="1:51" s="160" customFormat="1" ht="45.95" customHeight="1" x14ac:dyDescent="0.2">
      <c r="A41" s="21" t="s">
        <v>44</v>
      </c>
      <c r="B41" s="67" t="s">
        <v>38</v>
      </c>
      <c r="C41" s="239" t="s">
        <v>33</v>
      </c>
      <c r="D41" s="29" t="s">
        <v>24</v>
      </c>
      <c r="E41" s="27" t="s">
        <v>139</v>
      </c>
      <c r="F41" s="153" t="s">
        <v>96</v>
      </c>
      <c r="G41" s="153" t="s">
        <v>140</v>
      </c>
      <c r="H41" s="153" t="s">
        <v>127</v>
      </c>
      <c r="I41" s="154">
        <v>5098</v>
      </c>
      <c r="J41" s="22" t="s">
        <v>414</v>
      </c>
      <c r="K41" s="22"/>
      <c r="L41" s="22"/>
      <c r="M41" s="150">
        <v>25643</v>
      </c>
      <c r="N41" s="137" t="s">
        <v>141</v>
      </c>
      <c r="O41" s="7"/>
      <c r="P41" s="7"/>
      <c r="Q41" s="151">
        <v>0.89113242102490176</v>
      </c>
      <c r="R41" s="7"/>
      <c r="S41" s="37"/>
      <c r="T41" s="37" t="s">
        <v>21</v>
      </c>
      <c r="U41" s="252">
        <v>6.0840500000000004</v>
      </c>
      <c r="V41" s="252"/>
      <c r="W41" s="252"/>
      <c r="X41" s="268"/>
      <c r="Y41" s="252"/>
      <c r="Z41" s="268"/>
      <c r="AA41" s="252">
        <v>6.0840500000000004</v>
      </c>
      <c r="AB41" s="252"/>
      <c r="AC41" s="252"/>
      <c r="AD41" s="268"/>
      <c r="AE41" s="252"/>
      <c r="AF41" s="268"/>
      <c r="AG41" s="83">
        <f>Tabla1[[#This Row],[FONDOS GOES
(Millones US$)
(A)]]+Tabla1[[#This Row],[FONDOS PROPIOS 
(Millones US$)
(B)]]+Tabla1[[#This Row],[MONTO PRÉSTAMO
(Millones US$)
(C) ]]+Tabla1[[#This Row],[MONTO COOPERACIÓN NO REEMBOLSABLE  
(Millones US$)
(D)]]</f>
        <v>6.0840500000000004</v>
      </c>
      <c r="AH41" s="83">
        <f>Tabla1[[#This Row],[FONDOS GOES
(Millones US$)
(A)]]+Tabla1[[#This Row],[FONDOS PROPIOS 
(Millones US$)
(B)]]</f>
        <v>0.69993499999999997</v>
      </c>
      <c r="AI41" s="83">
        <v>0.69993499999999997</v>
      </c>
      <c r="AJ41" s="222"/>
      <c r="AK41" s="83">
        <v>5.3841150000000004</v>
      </c>
      <c r="AL41" s="83" t="s">
        <v>90</v>
      </c>
      <c r="AM41" s="83"/>
      <c r="AN41" s="83"/>
      <c r="AO41" s="87">
        <v>0.46592503000000002</v>
      </c>
      <c r="AP41" s="8"/>
      <c r="AQ41" s="8"/>
      <c r="AR41" s="8"/>
      <c r="AS41" s="27" t="s">
        <v>560</v>
      </c>
      <c r="AT41" s="23">
        <v>36</v>
      </c>
      <c r="AV41" s="97"/>
    </row>
    <row r="42" spans="1:51" s="160" customFormat="1" ht="45.95" customHeight="1" x14ac:dyDescent="0.2">
      <c r="A42" s="21" t="s">
        <v>44</v>
      </c>
      <c r="B42" s="67" t="s">
        <v>38</v>
      </c>
      <c r="C42" s="63" t="s">
        <v>33</v>
      </c>
      <c r="D42" s="29" t="s">
        <v>24</v>
      </c>
      <c r="E42" s="27" t="s">
        <v>407</v>
      </c>
      <c r="F42" s="27"/>
      <c r="G42" s="27"/>
      <c r="H42" s="27"/>
      <c r="I42" s="27"/>
      <c r="J42" s="22" t="s">
        <v>487</v>
      </c>
      <c r="K42" s="22"/>
      <c r="L42" s="22" t="s">
        <v>488</v>
      </c>
      <c r="M42" s="30" t="s">
        <v>489</v>
      </c>
      <c r="N42" s="22"/>
      <c r="O42" s="7">
        <v>0</v>
      </c>
      <c r="P42" s="7">
        <v>0</v>
      </c>
      <c r="Q42" s="7">
        <v>50</v>
      </c>
      <c r="R42" s="7">
        <v>50</v>
      </c>
      <c r="S42" s="37"/>
      <c r="T42" s="37"/>
      <c r="U42" s="252">
        <v>45.684519999999999</v>
      </c>
      <c r="V42" s="252">
        <v>45.684519999999999</v>
      </c>
      <c r="W42" s="252"/>
      <c r="X42" s="268"/>
      <c r="Y42" s="252"/>
      <c r="Z42" s="268"/>
      <c r="AA42" s="252">
        <v>45.684519999999999</v>
      </c>
      <c r="AB42" s="252">
        <v>45.684519999999999</v>
      </c>
      <c r="AC42" s="252"/>
      <c r="AD42" s="268"/>
      <c r="AE42" s="252"/>
      <c r="AF42" s="268"/>
      <c r="AG42" s="83">
        <f>Tabla1[[#This Row],[FONDOS PROPIOS 
(Millones US$)
(B)]]</f>
        <v>47.684520000000006</v>
      </c>
      <c r="AH42" s="83">
        <f>Tabla1[[#This Row],[FONDOS GOES
(Millones US$)
(A)]]+Tabla1[[#This Row],[FONDOS PROPIOS 
(Millones US$)
(B)]]</f>
        <v>47.684520000000006</v>
      </c>
      <c r="AI42" s="83"/>
      <c r="AJ42" s="222">
        <f>20.729915+0.05+0.07+0.825+0.07+0.02+0.03+1.75+1+0.12+0.01+2+4.52358+4.682025+2+6.204+3.6</f>
        <v>47.684520000000006</v>
      </c>
      <c r="AK42" s="159"/>
      <c r="AL42" s="83"/>
      <c r="AM42" s="83"/>
      <c r="AN42" s="83"/>
      <c r="AO42" s="87"/>
      <c r="AP42" s="8"/>
      <c r="AQ42" s="8"/>
      <c r="AR42" s="8"/>
      <c r="AS42" s="27" t="s">
        <v>407</v>
      </c>
      <c r="AT42" s="23">
        <v>37</v>
      </c>
      <c r="AV42" s="97"/>
    </row>
    <row r="43" spans="1:51" s="160" customFormat="1" ht="45.95" customHeight="1" x14ac:dyDescent="0.2">
      <c r="A43" s="21" t="s">
        <v>44</v>
      </c>
      <c r="B43" s="67" t="s">
        <v>38</v>
      </c>
      <c r="C43" s="63" t="s">
        <v>33</v>
      </c>
      <c r="D43" s="29" t="s">
        <v>24</v>
      </c>
      <c r="E43" s="27" t="s">
        <v>407</v>
      </c>
      <c r="F43" s="27"/>
      <c r="G43" s="27"/>
      <c r="H43" s="27"/>
      <c r="I43" s="27"/>
      <c r="J43" s="22" t="s">
        <v>490</v>
      </c>
      <c r="K43" s="22"/>
      <c r="L43" s="22" t="s">
        <v>491</v>
      </c>
      <c r="M43" s="30" t="s">
        <v>492</v>
      </c>
      <c r="N43" s="22"/>
      <c r="O43" s="7">
        <v>0</v>
      </c>
      <c r="P43" s="7">
        <v>0</v>
      </c>
      <c r="Q43" s="7">
        <v>100</v>
      </c>
      <c r="R43" s="7">
        <v>0</v>
      </c>
      <c r="S43" s="37"/>
      <c r="T43" s="37"/>
      <c r="U43" s="252">
        <v>4.75</v>
      </c>
      <c r="V43" s="252">
        <v>4.75</v>
      </c>
      <c r="W43" s="252"/>
      <c r="X43" s="268"/>
      <c r="Y43" s="252"/>
      <c r="Z43" s="268"/>
      <c r="AA43" s="252">
        <v>4.75</v>
      </c>
      <c r="AB43" s="252">
        <v>4.75</v>
      </c>
      <c r="AC43" s="252"/>
      <c r="AD43" s="268"/>
      <c r="AE43" s="252"/>
      <c r="AF43" s="268"/>
      <c r="AG43" s="83">
        <f>Tabla1[[#This Row],[FONDOS PROPIOS 
(Millones US$)
(B)]]</f>
        <v>2.7500000000000004</v>
      </c>
      <c r="AH43" s="83">
        <f>Tabla1[[#This Row],[FONDOS GOES
(Millones US$)
(A)]]+Tabla1[[#This Row],[FONDOS PROPIOS 
(Millones US$)
(B)]]</f>
        <v>2.7500000000000004</v>
      </c>
      <c r="AI43" s="83"/>
      <c r="AJ43" s="222">
        <f>0.77+0.2+0.485+0.1+0.35+0.645+0.2</f>
        <v>2.7500000000000004</v>
      </c>
      <c r="AK43" s="159"/>
      <c r="AL43" s="83"/>
      <c r="AM43" s="83"/>
      <c r="AN43" s="83"/>
      <c r="AO43" s="87"/>
      <c r="AP43" s="8"/>
      <c r="AQ43" s="8"/>
      <c r="AR43" s="8"/>
      <c r="AS43" s="27" t="s">
        <v>407</v>
      </c>
      <c r="AT43" s="23">
        <v>38</v>
      </c>
      <c r="AV43" s="97"/>
    </row>
    <row r="44" spans="1:51" s="160" customFormat="1" ht="45.95" customHeight="1" x14ac:dyDescent="0.2">
      <c r="A44" s="21" t="s">
        <v>44</v>
      </c>
      <c r="B44" s="67" t="s">
        <v>38</v>
      </c>
      <c r="C44" s="63" t="s">
        <v>33</v>
      </c>
      <c r="D44" s="29" t="s">
        <v>24</v>
      </c>
      <c r="E44" s="27" t="s">
        <v>521</v>
      </c>
      <c r="F44" s="27"/>
      <c r="G44" s="27"/>
      <c r="H44" s="27"/>
      <c r="I44" s="27"/>
      <c r="J44" s="22" t="s">
        <v>527</v>
      </c>
      <c r="K44" s="22"/>
      <c r="L44" s="22"/>
      <c r="M44" s="30"/>
      <c r="N44" s="22"/>
      <c r="O44" s="7"/>
      <c r="P44" s="7"/>
      <c r="Q44" s="7"/>
      <c r="R44" s="7"/>
      <c r="S44" s="37"/>
      <c r="T44" s="37"/>
      <c r="U44" s="252">
        <v>2.3649997128377156</v>
      </c>
      <c r="V44" s="252">
        <v>2E-3</v>
      </c>
      <c r="W44" s="252"/>
      <c r="X44" s="268"/>
      <c r="Y44" s="252"/>
      <c r="Z44" s="268"/>
      <c r="AA44" s="252">
        <v>2.3649997128377156</v>
      </c>
      <c r="AB44" s="252">
        <v>2E-3</v>
      </c>
      <c r="AC44" s="252"/>
      <c r="AD44" s="268"/>
      <c r="AE44" s="252"/>
      <c r="AF44" s="268"/>
      <c r="AG44" s="83">
        <f>Tabla1[[#This Row],[FONDOS GOES
(Millones US$)
(A)]]+Tabla1[[#This Row],[FONDOS PROPIOS 
(Millones US$)
(B)]]+Tabla1[[#This Row],[MONTO PRÉSTAMO
(Millones US$)
(C) ]]+Tabla1[[#This Row],[MONTO COOPERACIÓN NO REEMBOLSABLE  
(Millones US$)
(D)]]</f>
        <v>2.3649997128377156</v>
      </c>
      <c r="AH44" s="83">
        <f>Tabla1[[#This Row],[FONDOS GOES
(Millones US$)
(A)]]+Tabla1[[#This Row],[FONDOS PROPIOS 
(Millones US$)
(B)]]</f>
        <v>0</v>
      </c>
      <c r="AI44" s="83"/>
      <c r="AJ44" s="222"/>
      <c r="AK44" s="159">
        <v>0.8649997128377156</v>
      </c>
      <c r="AL44" s="83" t="s">
        <v>90</v>
      </c>
      <c r="AM44" s="83">
        <v>1.5</v>
      </c>
      <c r="AN44" s="83" t="s">
        <v>523</v>
      </c>
      <c r="AO44" s="87"/>
      <c r="AP44" s="8"/>
      <c r="AQ44" s="8"/>
      <c r="AR44" s="8"/>
      <c r="AS44" s="27" t="s">
        <v>521</v>
      </c>
      <c r="AT44" s="23">
        <v>39</v>
      </c>
      <c r="AV44" s="237"/>
    </row>
    <row r="45" spans="1:51" s="160" customFormat="1" ht="45.95" customHeight="1" x14ac:dyDescent="0.2">
      <c r="A45" s="47" t="s">
        <v>44</v>
      </c>
      <c r="B45" s="66" t="s">
        <v>587</v>
      </c>
      <c r="C45" s="62" t="s">
        <v>588</v>
      </c>
      <c r="D45" s="48" t="s">
        <v>589</v>
      </c>
      <c r="E45" s="49"/>
      <c r="F45" s="49"/>
      <c r="G45" s="49"/>
      <c r="H45" s="49"/>
      <c r="I45" s="49"/>
      <c r="J45" s="50"/>
      <c r="K45" s="50"/>
      <c r="L45" s="50"/>
      <c r="M45" s="130"/>
      <c r="N45" s="50"/>
      <c r="O45" s="51"/>
      <c r="P45" s="51"/>
      <c r="Q45" s="51"/>
      <c r="R45" s="51"/>
      <c r="S45" s="52"/>
      <c r="T45" s="52"/>
      <c r="U45" s="258"/>
      <c r="V45" s="258"/>
      <c r="W45" s="258"/>
      <c r="X45" s="267"/>
      <c r="Y45" s="258"/>
      <c r="Z45" s="267"/>
      <c r="AA45" s="258"/>
      <c r="AB45" s="258"/>
      <c r="AC45" s="258"/>
      <c r="AD45" s="267"/>
      <c r="AE45" s="258"/>
      <c r="AF45" s="267"/>
      <c r="AG45" s="82"/>
      <c r="AH45" s="82">
        <f>Tabla1[[#This Row],[FONDOS GOES
(Millones US$)
(A)]]+Tabla1[[#This Row],[FONDOS PROPIOS 
(Millones US$)
(B)]]</f>
        <v>0</v>
      </c>
      <c r="AI45" s="82"/>
      <c r="AJ45" s="82"/>
      <c r="AK45" s="82"/>
      <c r="AL45" s="82"/>
      <c r="AM45" s="82"/>
      <c r="AN45" s="82"/>
      <c r="AO45" s="86"/>
      <c r="AP45" s="53"/>
      <c r="AQ45" s="53"/>
      <c r="AR45" s="53"/>
      <c r="AS45" s="49"/>
      <c r="AT45" s="23">
        <v>35</v>
      </c>
      <c r="AV45" s="237"/>
    </row>
    <row r="46" spans="1:51" s="160" customFormat="1" ht="45.95" customHeight="1" x14ac:dyDescent="0.2">
      <c r="A46" s="21" t="s">
        <v>44</v>
      </c>
      <c r="B46" s="67" t="s">
        <v>587</v>
      </c>
      <c r="C46" s="63" t="s">
        <v>588</v>
      </c>
      <c r="D46" s="29" t="s">
        <v>589</v>
      </c>
      <c r="E46" s="27" t="s">
        <v>552</v>
      </c>
      <c r="F46" s="27" t="s">
        <v>125</v>
      </c>
      <c r="G46" s="27" t="s">
        <v>96</v>
      </c>
      <c r="H46" s="27"/>
      <c r="I46" s="27"/>
      <c r="J46" s="22" t="s">
        <v>530</v>
      </c>
      <c r="K46" s="22" t="s">
        <v>553</v>
      </c>
      <c r="L46" s="22" t="s">
        <v>358</v>
      </c>
      <c r="M46" s="30"/>
      <c r="N46" s="22"/>
      <c r="O46" s="7"/>
      <c r="P46" s="7"/>
      <c r="Q46" s="7"/>
      <c r="R46" s="7"/>
      <c r="S46" s="37"/>
      <c r="T46" s="37"/>
      <c r="U46" s="252">
        <v>261.37650500000001</v>
      </c>
      <c r="V46" s="252">
        <v>261.37650500000001</v>
      </c>
      <c r="W46" s="252"/>
      <c r="X46" s="268"/>
      <c r="Y46" s="252"/>
      <c r="Z46" s="268"/>
      <c r="AA46" s="252">
        <v>261.37650500000001</v>
      </c>
      <c r="AB46" s="252">
        <v>261.37650500000001</v>
      </c>
      <c r="AC46" s="252"/>
      <c r="AD46" s="268"/>
      <c r="AE46" s="252"/>
      <c r="AF46" s="268"/>
      <c r="AG46" s="252">
        <v>261.37650500000001</v>
      </c>
      <c r="AH46" s="83">
        <f>Tabla1[[#This Row],[FONDOS GOES
(Millones US$)
(A)]]+Tabla1[[#This Row],[FONDOS PROPIOS 
(Millones US$)
(B)]]</f>
        <v>261.37650500000001</v>
      </c>
      <c r="AI46" s="252">
        <v>261.37650500000001</v>
      </c>
      <c r="AJ46" s="83"/>
      <c r="AK46" s="159"/>
      <c r="AL46" s="83"/>
      <c r="AM46" s="83"/>
      <c r="AN46" s="83"/>
      <c r="AO46" s="87"/>
      <c r="AP46" s="8"/>
      <c r="AQ46" s="8"/>
      <c r="AR46" s="8"/>
      <c r="AS46" s="27" t="s">
        <v>552</v>
      </c>
      <c r="AT46" s="23">
        <v>36</v>
      </c>
      <c r="AV46" s="237"/>
    </row>
    <row r="47" spans="1:51" s="160" customFormat="1" ht="45.95" customHeight="1" x14ac:dyDescent="0.2">
      <c r="A47" s="39" t="s">
        <v>54</v>
      </c>
      <c r="B47" s="68" t="s">
        <v>209</v>
      </c>
      <c r="C47" s="64" t="s">
        <v>210</v>
      </c>
      <c r="D47" s="40" t="s">
        <v>211</v>
      </c>
      <c r="E47" s="41"/>
      <c r="F47" s="41"/>
      <c r="G47" s="41"/>
      <c r="H47" s="41"/>
      <c r="I47" s="41"/>
      <c r="J47" s="42"/>
      <c r="K47" s="42"/>
      <c r="L47" s="42"/>
      <c r="M47" s="43"/>
      <c r="N47" s="42"/>
      <c r="O47" s="44"/>
      <c r="P47" s="44"/>
      <c r="Q47" s="44"/>
      <c r="R47" s="44"/>
      <c r="S47" s="45"/>
      <c r="T47" s="45"/>
      <c r="U47" s="259"/>
      <c r="V47" s="259"/>
      <c r="W47" s="259"/>
      <c r="X47" s="270"/>
      <c r="Y47" s="259"/>
      <c r="Z47" s="270"/>
      <c r="AA47" s="259"/>
      <c r="AB47" s="259"/>
      <c r="AC47" s="259"/>
      <c r="AD47" s="270"/>
      <c r="AE47" s="259"/>
      <c r="AF47" s="270"/>
      <c r="AG47" s="84"/>
      <c r="AH47" s="84">
        <f>Tabla1[[#This Row],[FONDOS GOES
(Millones US$)
(A)]]+Tabla1[[#This Row],[FONDOS PROPIOS 
(Millones US$)
(B)]]</f>
        <v>0</v>
      </c>
      <c r="AI47" s="84"/>
      <c r="AJ47" s="84"/>
      <c r="AK47" s="84"/>
      <c r="AL47" s="84"/>
      <c r="AM47" s="84"/>
      <c r="AN47" s="84"/>
      <c r="AO47" s="88"/>
      <c r="AP47" s="46"/>
      <c r="AQ47" s="46"/>
      <c r="AR47" s="46"/>
      <c r="AS47" s="41"/>
      <c r="AT47" s="23">
        <v>40</v>
      </c>
      <c r="AV47" s="97"/>
    </row>
    <row r="48" spans="1:51" s="160" customFormat="1" ht="45.95" customHeight="1" x14ac:dyDescent="0.2">
      <c r="A48" s="21" t="s">
        <v>54</v>
      </c>
      <c r="B48" s="67" t="s">
        <v>209</v>
      </c>
      <c r="C48" s="63" t="s">
        <v>210</v>
      </c>
      <c r="D48" s="29" t="s">
        <v>211</v>
      </c>
      <c r="E48" s="152" t="s">
        <v>165</v>
      </c>
      <c r="F48" s="27" t="s">
        <v>184</v>
      </c>
      <c r="G48" s="27" t="s">
        <v>212</v>
      </c>
      <c r="H48" s="27" t="s">
        <v>213</v>
      </c>
      <c r="I48" s="152" t="s">
        <v>214</v>
      </c>
      <c r="J48" s="22" t="s">
        <v>215</v>
      </c>
      <c r="K48" s="22" t="s">
        <v>216</v>
      </c>
      <c r="L48" s="22" t="s">
        <v>217</v>
      </c>
      <c r="M48" s="30" t="s">
        <v>218</v>
      </c>
      <c r="N48" s="22" t="s">
        <v>219</v>
      </c>
      <c r="O48" s="7">
        <v>10197</v>
      </c>
      <c r="P48" s="7">
        <v>9500</v>
      </c>
      <c r="Q48" s="7">
        <v>16853</v>
      </c>
      <c r="R48" s="7">
        <v>34326</v>
      </c>
      <c r="S48" s="37"/>
      <c r="T48" s="37" t="s">
        <v>21</v>
      </c>
      <c r="U48" s="252">
        <v>6.4941500000000003</v>
      </c>
      <c r="V48" s="252">
        <v>2E-3</v>
      </c>
      <c r="W48" s="252">
        <v>6.4941500000000003</v>
      </c>
      <c r="X48" s="268"/>
      <c r="Y48" s="252"/>
      <c r="Z48" s="268"/>
      <c r="AA48" s="252">
        <v>6.4941500000000003</v>
      </c>
      <c r="AB48" s="252">
        <v>2E-3</v>
      </c>
      <c r="AC48" s="252">
        <v>6.4941500000000003</v>
      </c>
      <c r="AD48" s="268"/>
      <c r="AE48" s="252"/>
      <c r="AF48" s="268"/>
      <c r="AG48" s="83">
        <v>0.8</v>
      </c>
      <c r="AH48" s="83">
        <f>Tabla1[[#This Row],[FONDOS GOES
(Millones US$)
(A)]]+Tabla1[[#This Row],[FONDOS PROPIOS 
(Millones US$)
(B)]]</f>
        <v>0.8</v>
      </c>
      <c r="AI48" s="83">
        <v>0.8</v>
      </c>
      <c r="AJ48" s="83"/>
      <c r="AK48" s="83"/>
      <c r="AL48" s="83"/>
      <c r="AM48" s="83"/>
      <c r="AN48" s="83"/>
      <c r="AO48" s="87"/>
      <c r="AP48" s="8">
        <v>68.42</v>
      </c>
      <c r="AQ48" s="8">
        <v>28.42</v>
      </c>
      <c r="AR48" s="8">
        <v>40</v>
      </c>
      <c r="AS48" s="27" t="s">
        <v>165</v>
      </c>
      <c r="AT48" s="23">
        <v>41</v>
      </c>
      <c r="AV48" s="97"/>
    </row>
    <row r="49" spans="1:51" s="160" customFormat="1" ht="45.95" customHeight="1" x14ac:dyDescent="0.2">
      <c r="A49" s="21" t="s">
        <v>54</v>
      </c>
      <c r="B49" s="126" t="s">
        <v>209</v>
      </c>
      <c r="C49" s="158" t="s">
        <v>210</v>
      </c>
      <c r="D49" s="29" t="s">
        <v>211</v>
      </c>
      <c r="E49" s="152" t="s">
        <v>165</v>
      </c>
      <c r="F49" s="27" t="s">
        <v>184</v>
      </c>
      <c r="G49" s="27" t="s">
        <v>212</v>
      </c>
      <c r="H49" s="27" t="s">
        <v>213</v>
      </c>
      <c r="I49" s="27" t="s">
        <v>214</v>
      </c>
      <c r="J49" s="22" t="s">
        <v>220</v>
      </c>
      <c r="K49" s="22" t="s">
        <v>216</v>
      </c>
      <c r="L49" s="22" t="s">
        <v>221</v>
      </c>
      <c r="M49" s="30"/>
      <c r="N49" s="22"/>
      <c r="O49" s="7"/>
      <c r="P49" s="7"/>
      <c r="Q49" s="7"/>
      <c r="R49" s="7"/>
      <c r="S49" s="37" t="s">
        <v>21</v>
      </c>
      <c r="T49" s="37" t="s">
        <v>21</v>
      </c>
      <c r="U49" s="252">
        <v>20.856439999999999</v>
      </c>
      <c r="V49" s="252">
        <v>3.7590400000000002</v>
      </c>
      <c r="W49" s="252">
        <v>17.0974</v>
      </c>
      <c r="X49" s="268"/>
      <c r="Y49" s="252"/>
      <c r="Z49" s="268"/>
      <c r="AA49" s="252">
        <v>20.856439999999999</v>
      </c>
      <c r="AB49" s="252">
        <v>3.7590400000000002</v>
      </c>
      <c r="AC49" s="252">
        <v>17.0974</v>
      </c>
      <c r="AD49" s="268"/>
      <c r="AE49" s="252"/>
      <c r="AF49" s="268"/>
      <c r="AG49" s="83">
        <v>17.100000000000001</v>
      </c>
      <c r="AH49" s="83">
        <f>Tabla1[[#This Row],[FONDOS GOES
(Millones US$)
(A)]]+Tabla1[[#This Row],[FONDOS PROPIOS 
(Millones US$)
(B)]]</f>
        <v>17.100000000000001</v>
      </c>
      <c r="AI49" s="83">
        <v>17.100000000000001</v>
      </c>
      <c r="AJ49" s="83"/>
      <c r="AK49" s="159"/>
      <c r="AL49" s="83"/>
      <c r="AM49" s="83"/>
      <c r="AN49" s="83"/>
      <c r="AO49" s="87"/>
      <c r="AP49" s="8"/>
      <c r="AQ49" s="8"/>
      <c r="AR49" s="8"/>
      <c r="AS49" s="27" t="s">
        <v>165</v>
      </c>
      <c r="AT49" s="23">
        <v>42</v>
      </c>
      <c r="AV49" s="97"/>
    </row>
    <row r="50" spans="1:51" s="160" customFormat="1" ht="45.95" customHeight="1" x14ac:dyDescent="0.2">
      <c r="A50" s="164" t="s">
        <v>54</v>
      </c>
      <c r="B50" s="194" t="s">
        <v>39</v>
      </c>
      <c r="C50" s="195" t="s">
        <v>281</v>
      </c>
      <c r="D50" s="196" t="s">
        <v>282</v>
      </c>
      <c r="E50" s="167"/>
      <c r="F50" s="168"/>
      <c r="G50" s="168"/>
      <c r="H50" s="168"/>
      <c r="I50" s="168"/>
      <c r="J50" s="168"/>
      <c r="K50" s="168"/>
      <c r="L50" s="168"/>
      <c r="M50" s="169"/>
      <c r="N50" s="168"/>
      <c r="O50" s="170"/>
      <c r="P50" s="170"/>
      <c r="Q50" s="170"/>
      <c r="R50" s="7"/>
      <c r="S50" s="37"/>
      <c r="T50" s="37"/>
      <c r="U50" s="252"/>
      <c r="V50" s="252"/>
      <c r="W50" s="252"/>
      <c r="X50" s="268"/>
      <c r="Y50" s="252"/>
      <c r="Z50" s="268"/>
      <c r="AA50" s="252"/>
      <c r="AB50" s="252"/>
      <c r="AC50" s="252"/>
      <c r="AD50" s="268"/>
      <c r="AE50" s="252"/>
      <c r="AF50" s="268"/>
      <c r="AG50" s="170"/>
      <c r="AH50" s="170">
        <f>Tabla1[[#This Row],[FONDOS GOES
(Millones US$)
(A)]]+Tabla1[[#This Row],[FONDOS PROPIOS 
(Millones US$)
(B)]]</f>
        <v>0</v>
      </c>
      <c r="AI50" s="170"/>
      <c r="AJ50" s="170"/>
      <c r="AK50" s="170"/>
      <c r="AL50" s="170"/>
      <c r="AM50" s="170"/>
      <c r="AN50" s="170"/>
      <c r="AO50" s="170"/>
      <c r="AP50" s="170"/>
      <c r="AQ50" s="170"/>
      <c r="AR50" s="170"/>
      <c r="AS50" s="170"/>
      <c r="AT50" s="23">
        <v>43</v>
      </c>
      <c r="AV50" s="97"/>
    </row>
    <row r="51" spans="1:51" s="160" customFormat="1" ht="45.95" customHeight="1" x14ac:dyDescent="0.2">
      <c r="A51" s="171" t="s">
        <v>54</v>
      </c>
      <c r="B51" s="197" t="s">
        <v>39</v>
      </c>
      <c r="C51" s="266" t="s">
        <v>281</v>
      </c>
      <c r="D51" s="198" t="s">
        <v>282</v>
      </c>
      <c r="E51" s="28" t="s">
        <v>283</v>
      </c>
      <c r="F51" s="28" t="s">
        <v>114</v>
      </c>
      <c r="G51" s="28" t="s">
        <v>120</v>
      </c>
      <c r="H51" s="174"/>
      <c r="I51" s="174"/>
      <c r="J51" s="174" t="s">
        <v>284</v>
      </c>
      <c r="K51" s="174" t="s">
        <v>285</v>
      </c>
      <c r="L51" s="175" t="s">
        <v>286</v>
      </c>
      <c r="M51" s="176" t="s">
        <v>287</v>
      </c>
      <c r="N51" s="174" t="s">
        <v>288</v>
      </c>
      <c r="O51" s="177"/>
      <c r="P51" s="177"/>
      <c r="Q51" s="177"/>
      <c r="R51" s="7"/>
      <c r="S51" s="37"/>
      <c r="T51" s="37"/>
      <c r="U51" s="252"/>
      <c r="V51" s="252"/>
      <c r="W51" s="252"/>
      <c r="X51" s="268"/>
      <c r="Y51" s="252"/>
      <c r="Z51" s="268"/>
      <c r="AA51" s="252"/>
      <c r="AB51" s="252"/>
      <c r="AC51" s="252"/>
      <c r="AD51" s="268"/>
      <c r="AE51" s="252"/>
      <c r="AF51" s="268"/>
      <c r="AG51" s="83">
        <f t="shared" ref="AG51:AG60" si="6">AI51+AJ51+AK51+AM51</f>
        <v>5.5E-2</v>
      </c>
      <c r="AH51" s="83">
        <f>Tabla1[[#This Row],[FONDOS GOES
(Millones US$)
(A)]]+Tabla1[[#This Row],[FONDOS PROPIOS 
(Millones US$)
(B)]]</f>
        <v>5.5E-2</v>
      </c>
      <c r="AI51" s="83">
        <v>5.5E-2</v>
      </c>
      <c r="AJ51" s="83"/>
      <c r="AK51" s="159"/>
      <c r="AL51" s="83"/>
      <c r="AM51" s="83"/>
      <c r="AN51" s="83"/>
      <c r="AO51" s="87"/>
      <c r="AP51" s="8"/>
      <c r="AQ51" s="8"/>
      <c r="AR51" s="8"/>
      <c r="AS51" s="27" t="s">
        <v>283</v>
      </c>
      <c r="AT51" s="23">
        <v>44</v>
      </c>
      <c r="AV51" s="97"/>
    </row>
    <row r="52" spans="1:51" s="160" customFormat="1" ht="45.95" customHeight="1" x14ac:dyDescent="0.2">
      <c r="A52" s="178" t="s">
        <v>54</v>
      </c>
      <c r="B52" s="199" t="s">
        <v>39</v>
      </c>
      <c r="C52" s="273" t="s">
        <v>281</v>
      </c>
      <c r="D52" s="200" t="s">
        <v>282</v>
      </c>
      <c r="E52" s="179" t="s">
        <v>283</v>
      </c>
      <c r="F52" s="179" t="s">
        <v>114</v>
      </c>
      <c r="G52" s="179" t="s">
        <v>120</v>
      </c>
      <c r="H52" s="180"/>
      <c r="I52" s="180"/>
      <c r="J52" s="181" t="s">
        <v>289</v>
      </c>
      <c r="K52" s="181" t="s">
        <v>290</v>
      </c>
      <c r="L52" s="181" t="s">
        <v>286</v>
      </c>
      <c r="M52" s="182" t="s">
        <v>291</v>
      </c>
      <c r="N52" s="183" t="s">
        <v>292</v>
      </c>
      <c r="O52" s="184"/>
      <c r="P52" s="184"/>
      <c r="Q52" s="184"/>
      <c r="R52" s="7"/>
      <c r="S52" s="37"/>
      <c r="T52" s="37"/>
      <c r="U52" s="252"/>
      <c r="V52" s="252"/>
      <c r="W52" s="252"/>
      <c r="X52" s="268"/>
      <c r="Y52" s="252"/>
      <c r="Z52" s="268"/>
      <c r="AA52" s="252"/>
      <c r="AB52" s="252"/>
      <c r="AC52" s="252"/>
      <c r="AD52" s="268"/>
      <c r="AE52" s="252"/>
      <c r="AF52" s="268"/>
      <c r="AG52" s="83">
        <f t="shared" si="6"/>
        <v>0.05</v>
      </c>
      <c r="AH52" s="83">
        <f>Tabla1[[#This Row],[FONDOS GOES
(Millones US$)
(A)]]+Tabla1[[#This Row],[FONDOS PROPIOS 
(Millones US$)
(B)]]</f>
        <v>0.05</v>
      </c>
      <c r="AI52" s="83">
        <v>0.05</v>
      </c>
      <c r="AJ52" s="83"/>
      <c r="AK52" s="159"/>
      <c r="AL52" s="83"/>
      <c r="AM52" s="83"/>
      <c r="AN52" s="83"/>
      <c r="AO52" s="87"/>
      <c r="AP52" s="8"/>
      <c r="AQ52" s="8"/>
      <c r="AR52" s="8"/>
      <c r="AS52" s="27" t="s">
        <v>283</v>
      </c>
      <c r="AT52" s="23">
        <v>45</v>
      </c>
      <c r="AV52" s="97"/>
    </row>
    <row r="53" spans="1:51" s="160" customFormat="1" ht="45.95" customHeight="1" x14ac:dyDescent="0.2">
      <c r="A53" s="178" t="s">
        <v>54</v>
      </c>
      <c r="B53" s="199" t="s">
        <v>39</v>
      </c>
      <c r="C53" s="273" t="s">
        <v>281</v>
      </c>
      <c r="D53" s="200" t="s">
        <v>282</v>
      </c>
      <c r="E53" s="179" t="s">
        <v>283</v>
      </c>
      <c r="F53" s="179" t="s">
        <v>114</v>
      </c>
      <c r="G53" s="179" t="s">
        <v>120</v>
      </c>
      <c r="H53" s="180"/>
      <c r="I53" s="180"/>
      <c r="J53" s="180" t="s">
        <v>293</v>
      </c>
      <c r="K53" s="180" t="s">
        <v>294</v>
      </c>
      <c r="L53" s="175" t="s">
        <v>286</v>
      </c>
      <c r="M53" s="185" t="s">
        <v>295</v>
      </c>
      <c r="N53" s="180" t="s">
        <v>296</v>
      </c>
      <c r="O53" s="184"/>
      <c r="P53" s="184"/>
      <c r="Q53" s="184"/>
      <c r="R53" s="7"/>
      <c r="S53" s="37"/>
      <c r="T53" s="37"/>
      <c r="U53" s="252"/>
      <c r="V53" s="252"/>
      <c r="W53" s="252"/>
      <c r="X53" s="268"/>
      <c r="Y53" s="252"/>
      <c r="Z53" s="268"/>
      <c r="AA53" s="252"/>
      <c r="AB53" s="252"/>
      <c r="AC53" s="252"/>
      <c r="AD53" s="268"/>
      <c r="AE53" s="252"/>
      <c r="AF53" s="268"/>
      <c r="AG53" s="83">
        <f t="shared" si="6"/>
        <v>1.64</v>
      </c>
      <c r="AH53" s="83">
        <f>Tabla1[[#This Row],[FONDOS GOES
(Millones US$)
(A)]]+Tabla1[[#This Row],[FONDOS PROPIOS 
(Millones US$)
(B)]]</f>
        <v>1.64</v>
      </c>
      <c r="AI53" s="83">
        <v>1.64</v>
      </c>
      <c r="AJ53" s="83"/>
      <c r="AK53" s="159"/>
      <c r="AL53" s="83"/>
      <c r="AM53" s="83"/>
      <c r="AN53" s="83"/>
      <c r="AO53" s="87"/>
      <c r="AP53" s="8"/>
      <c r="AQ53" s="8"/>
      <c r="AR53" s="8"/>
      <c r="AS53" s="27" t="s">
        <v>283</v>
      </c>
      <c r="AT53" s="23">
        <v>46</v>
      </c>
      <c r="AV53" s="97"/>
    </row>
    <row r="54" spans="1:51" s="160" customFormat="1" ht="45.95" customHeight="1" x14ac:dyDescent="0.2">
      <c r="A54" s="178" t="s">
        <v>54</v>
      </c>
      <c r="B54" s="199" t="s">
        <v>39</v>
      </c>
      <c r="C54" s="265" t="s">
        <v>281</v>
      </c>
      <c r="D54" s="200" t="s">
        <v>282</v>
      </c>
      <c r="E54" s="179" t="s">
        <v>283</v>
      </c>
      <c r="F54" s="180" t="s">
        <v>113</v>
      </c>
      <c r="G54" s="180" t="s">
        <v>126</v>
      </c>
      <c r="H54" s="180"/>
      <c r="I54" s="180"/>
      <c r="J54" s="180" t="s">
        <v>297</v>
      </c>
      <c r="K54" s="180" t="s">
        <v>298</v>
      </c>
      <c r="L54" s="175" t="s">
        <v>286</v>
      </c>
      <c r="M54" s="185" t="s">
        <v>299</v>
      </c>
      <c r="N54" s="180" t="s">
        <v>300</v>
      </c>
      <c r="O54" s="184"/>
      <c r="P54" s="184"/>
      <c r="Q54" s="184"/>
      <c r="R54" s="7"/>
      <c r="S54" s="37"/>
      <c r="T54" s="37"/>
      <c r="U54" s="83">
        <v>0.54</v>
      </c>
      <c r="V54" s="83"/>
      <c r="W54" s="83"/>
      <c r="X54" s="268"/>
      <c r="Y54" s="83"/>
      <c r="Z54" s="268"/>
      <c r="AA54" s="83">
        <v>0.54</v>
      </c>
      <c r="AB54" s="83"/>
      <c r="AC54" s="83"/>
      <c r="AD54" s="268"/>
      <c r="AE54" s="83"/>
      <c r="AF54" s="268"/>
      <c r="AG54" s="83">
        <f t="shared" si="6"/>
        <v>0.54</v>
      </c>
      <c r="AH54" s="83">
        <f>Tabla1[[#This Row],[FONDOS GOES
(Millones US$)
(A)]]+Tabla1[[#This Row],[FONDOS PROPIOS 
(Millones US$)
(B)]]</f>
        <v>0.54</v>
      </c>
      <c r="AI54" s="83">
        <v>0.54</v>
      </c>
      <c r="AJ54" s="83"/>
      <c r="AK54" s="159"/>
      <c r="AL54" s="83"/>
      <c r="AM54" s="83"/>
      <c r="AN54" s="83"/>
      <c r="AO54" s="87"/>
      <c r="AP54" s="8"/>
      <c r="AQ54" s="8"/>
      <c r="AR54" s="8"/>
      <c r="AS54" s="27" t="s">
        <v>283</v>
      </c>
      <c r="AT54" s="23">
        <v>47</v>
      </c>
      <c r="AV54" s="97"/>
    </row>
    <row r="55" spans="1:51" s="160" customFormat="1" ht="45.95" customHeight="1" x14ac:dyDescent="0.2">
      <c r="A55" s="186" t="s">
        <v>54</v>
      </c>
      <c r="B55" s="197" t="s">
        <v>39</v>
      </c>
      <c r="C55" s="266" t="s">
        <v>281</v>
      </c>
      <c r="D55" s="198" t="s">
        <v>282</v>
      </c>
      <c r="E55" s="28" t="s">
        <v>283</v>
      </c>
      <c r="F55" s="174" t="s">
        <v>301</v>
      </c>
      <c r="G55" s="174" t="s">
        <v>302</v>
      </c>
      <c r="H55" s="174" t="s">
        <v>303</v>
      </c>
      <c r="I55" s="174"/>
      <c r="J55" s="174" t="s">
        <v>304</v>
      </c>
      <c r="K55" s="197" t="s">
        <v>305</v>
      </c>
      <c r="L55" s="174" t="s">
        <v>306</v>
      </c>
      <c r="M55" s="187" t="s">
        <v>307</v>
      </c>
      <c r="N55" s="174" t="s">
        <v>308</v>
      </c>
      <c r="O55" s="174" t="s">
        <v>308</v>
      </c>
      <c r="P55" s="188"/>
      <c r="Q55" s="174" t="s">
        <v>308</v>
      </c>
      <c r="R55" s="7"/>
      <c r="S55" s="37"/>
      <c r="T55" s="37"/>
      <c r="U55" s="252"/>
      <c r="V55" s="252"/>
      <c r="W55" s="252"/>
      <c r="X55" s="268"/>
      <c r="Y55" s="252"/>
      <c r="Z55" s="268"/>
      <c r="AA55" s="252"/>
      <c r="AB55" s="252"/>
      <c r="AC55" s="252"/>
      <c r="AD55" s="268"/>
      <c r="AE55" s="252"/>
      <c r="AF55" s="268"/>
      <c r="AG55" s="83">
        <f t="shared" si="6"/>
        <v>6.99</v>
      </c>
      <c r="AH55" s="83">
        <f>Tabla1[[#This Row],[FONDOS GOES
(Millones US$)
(A)]]+Tabla1[[#This Row],[FONDOS PROPIOS 
(Millones US$)
(B)]]</f>
        <v>5.75</v>
      </c>
      <c r="AI55" s="83">
        <v>5.75</v>
      </c>
      <c r="AJ55" s="83"/>
      <c r="AK55" s="159"/>
      <c r="AL55" s="83"/>
      <c r="AM55" s="83">
        <v>1.24</v>
      </c>
      <c r="AN55" s="83" t="s">
        <v>330</v>
      </c>
      <c r="AO55" s="87"/>
      <c r="AP55" s="8"/>
      <c r="AQ55" s="8"/>
      <c r="AR55" s="8"/>
      <c r="AS55" s="27" t="s">
        <v>283</v>
      </c>
      <c r="AT55" s="23">
        <v>48</v>
      </c>
      <c r="AV55" s="97"/>
    </row>
    <row r="56" spans="1:51" s="160" customFormat="1" ht="45.95" customHeight="1" x14ac:dyDescent="0.2">
      <c r="A56" s="186" t="s">
        <v>54</v>
      </c>
      <c r="B56" s="197" t="s">
        <v>39</v>
      </c>
      <c r="C56" s="266" t="s">
        <v>281</v>
      </c>
      <c r="D56" s="198" t="s">
        <v>282</v>
      </c>
      <c r="E56" s="28" t="s">
        <v>283</v>
      </c>
      <c r="F56" s="174" t="s">
        <v>301</v>
      </c>
      <c r="G56" s="174" t="s">
        <v>302</v>
      </c>
      <c r="H56" s="174" t="s">
        <v>303</v>
      </c>
      <c r="I56" s="174"/>
      <c r="J56" s="174" t="s">
        <v>309</v>
      </c>
      <c r="K56" s="197" t="s">
        <v>310</v>
      </c>
      <c r="L56" s="174" t="s">
        <v>311</v>
      </c>
      <c r="M56" s="187" t="s">
        <v>312</v>
      </c>
      <c r="N56" s="174" t="s">
        <v>313</v>
      </c>
      <c r="O56" s="174" t="s">
        <v>313</v>
      </c>
      <c r="P56" s="188"/>
      <c r="Q56" s="174" t="s">
        <v>313</v>
      </c>
      <c r="R56" s="7"/>
      <c r="S56" s="37"/>
      <c r="T56" s="37"/>
      <c r="U56" s="252"/>
      <c r="V56" s="252"/>
      <c r="W56" s="252"/>
      <c r="X56" s="268"/>
      <c r="Y56" s="252"/>
      <c r="Z56" s="268"/>
      <c r="AA56" s="252"/>
      <c r="AB56" s="252"/>
      <c r="AC56" s="252"/>
      <c r="AD56" s="268"/>
      <c r="AE56" s="252"/>
      <c r="AF56" s="268"/>
      <c r="AG56" s="83">
        <f t="shared" si="6"/>
        <v>16.98</v>
      </c>
      <c r="AH56" s="83">
        <f>Tabla1[[#This Row],[FONDOS GOES
(Millones US$)
(A)]]+Tabla1[[#This Row],[FONDOS PROPIOS 
(Millones US$)
(B)]]</f>
        <v>16.98</v>
      </c>
      <c r="AI56" s="83">
        <v>16.98</v>
      </c>
      <c r="AJ56" s="83"/>
      <c r="AK56" s="159"/>
      <c r="AL56" s="83"/>
      <c r="AM56" s="83"/>
      <c r="AN56" s="83"/>
      <c r="AO56" s="87"/>
      <c r="AP56" s="8"/>
      <c r="AQ56" s="8"/>
      <c r="AR56" s="8"/>
      <c r="AS56" s="27" t="s">
        <v>283</v>
      </c>
      <c r="AT56" s="23">
        <v>49</v>
      </c>
      <c r="AV56" s="97"/>
    </row>
    <row r="57" spans="1:51" s="160" customFormat="1" ht="45.95" customHeight="1" x14ac:dyDescent="0.25">
      <c r="A57" s="186" t="s">
        <v>54</v>
      </c>
      <c r="B57" s="197" t="s">
        <v>39</v>
      </c>
      <c r="C57" s="262" t="s">
        <v>281</v>
      </c>
      <c r="D57" s="198" t="s">
        <v>282</v>
      </c>
      <c r="E57" s="28" t="s">
        <v>283</v>
      </c>
      <c r="F57" s="28" t="s">
        <v>314</v>
      </c>
      <c r="G57" s="28" t="s">
        <v>126</v>
      </c>
      <c r="H57" s="28"/>
      <c r="I57" s="28"/>
      <c r="J57" s="174" t="s">
        <v>315</v>
      </c>
      <c r="K57" s="174" t="s">
        <v>316</v>
      </c>
      <c r="L57" s="174" t="s">
        <v>317</v>
      </c>
      <c r="M57" s="201" t="s">
        <v>318</v>
      </c>
      <c r="N57" s="174" t="s">
        <v>319</v>
      </c>
      <c r="O57" s="188"/>
      <c r="P57" s="188"/>
      <c r="Q57" s="202"/>
      <c r="R57" s="7"/>
      <c r="S57" s="37"/>
      <c r="T57" s="37"/>
      <c r="U57" s="83">
        <v>7</v>
      </c>
      <c r="V57" s="83"/>
      <c r="W57" s="83"/>
      <c r="X57" s="268"/>
      <c r="Y57" s="83"/>
      <c r="Z57" s="268"/>
      <c r="AA57" s="83">
        <v>7</v>
      </c>
      <c r="AB57" s="83"/>
      <c r="AC57" s="83"/>
      <c r="AD57" s="268"/>
      <c r="AE57" s="83"/>
      <c r="AF57" s="268"/>
      <c r="AG57" s="83">
        <f t="shared" si="6"/>
        <v>7</v>
      </c>
      <c r="AH57" s="83">
        <f>Tabla1[[#This Row],[FONDOS GOES
(Millones US$)
(A)]]+Tabla1[[#This Row],[FONDOS PROPIOS 
(Millones US$)
(B)]]</f>
        <v>0</v>
      </c>
      <c r="AI57" s="83"/>
      <c r="AJ57" s="83"/>
      <c r="AK57" s="159">
        <v>7</v>
      </c>
      <c r="AL57" s="83" t="s">
        <v>259</v>
      </c>
      <c r="AM57" s="83"/>
      <c r="AN57" s="83"/>
      <c r="AO57" s="87"/>
      <c r="AP57" s="8"/>
      <c r="AQ57" s="8"/>
      <c r="AR57" s="8"/>
      <c r="AS57" s="27" t="s">
        <v>283</v>
      </c>
      <c r="AT57" s="23">
        <v>50</v>
      </c>
      <c r="AV57" s="97"/>
    </row>
    <row r="58" spans="1:51" ht="45.95" customHeight="1" x14ac:dyDescent="0.2">
      <c r="A58" s="186" t="s">
        <v>54</v>
      </c>
      <c r="B58" s="197" t="s">
        <v>39</v>
      </c>
      <c r="C58" s="262" t="s">
        <v>281</v>
      </c>
      <c r="D58" s="198" t="s">
        <v>282</v>
      </c>
      <c r="E58" s="28" t="s">
        <v>283</v>
      </c>
      <c r="F58" s="28" t="s">
        <v>314</v>
      </c>
      <c r="G58" s="28" t="s">
        <v>126</v>
      </c>
      <c r="H58" s="28"/>
      <c r="I58" s="28"/>
      <c r="J58" s="174" t="s">
        <v>320</v>
      </c>
      <c r="K58" s="174" t="s">
        <v>321</v>
      </c>
      <c r="L58" s="174" t="s">
        <v>322</v>
      </c>
      <c r="M58" s="201" t="s">
        <v>323</v>
      </c>
      <c r="N58" s="174" t="s">
        <v>324</v>
      </c>
      <c r="O58" s="188"/>
      <c r="P58" s="188"/>
      <c r="Q58" s="203"/>
      <c r="R58" s="7"/>
      <c r="S58" s="37"/>
      <c r="T58" s="37"/>
      <c r="U58" s="83">
        <v>0.37308356000000004</v>
      </c>
      <c r="V58" s="83"/>
      <c r="W58" s="83"/>
      <c r="X58" s="268"/>
      <c r="Y58" s="83"/>
      <c r="Z58" s="268"/>
      <c r="AA58" s="83">
        <v>0.37308356000000004</v>
      </c>
      <c r="AB58" s="83"/>
      <c r="AC58" s="83"/>
      <c r="AD58" s="268"/>
      <c r="AE58" s="83"/>
      <c r="AF58" s="268"/>
      <c r="AG58" s="83">
        <f t="shared" si="6"/>
        <v>0.37308356000000004</v>
      </c>
      <c r="AH58" s="83">
        <f>Tabla1[[#This Row],[FONDOS GOES
(Millones US$)
(A)]]+Tabla1[[#This Row],[FONDOS PROPIOS 
(Millones US$)
(B)]]</f>
        <v>4.308356E-2</v>
      </c>
      <c r="AI58" s="83">
        <v>4.308356E-2</v>
      </c>
      <c r="AJ58" s="83"/>
      <c r="AK58" s="159"/>
      <c r="AL58" s="83"/>
      <c r="AM58" s="83">
        <v>0.33</v>
      </c>
      <c r="AN58" s="83" t="s">
        <v>331</v>
      </c>
      <c r="AO58" s="87"/>
      <c r="AP58" s="8"/>
      <c r="AQ58" s="8"/>
      <c r="AR58" s="8"/>
      <c r="AS58" s="27" t="s">
        <v>283</v>
      </c>
      <c r="AT58" s="23">
        <v>51</v>
      </c>
      <c r="AV58" s="97"/>
      <c r="AY58" s="3"/>
    </row>
    <row r="59" spans="1:51" ht="45.95" customHeight="1" x14ac:dyDescent="0.2">
      <c r="A59" s="189" t="s">
        <v>54</v>
      </c>
      <c r="B59" s="197" t="s">
        <v>39</v>
      </c>
      <c r="C59" s="262" t="s">
        <v>281</v>
      </c>
      <c r="D59" s="198" t="s">
        <v>282</v>
      </c>
      <c r="E59" s="190" t="s">
        <v>283</v>
      </c>
      <c r="F59" s="190" t="s">
        <v>140</v>
      </c>
      <c r="G59" s="190" t="s">
        <v>96</v>
      </c>
      <c r="H59" s="190"/>
      <c r="I59" s="190"/>
      <c r="J59" s="191" t="s">
        <v>325</v>
      </c>
      <c r="K59" s="191" t="s">
        <v>326</v>
      </c>
      <c r="L59" s="191" t="s">
        <v>327</v>
      </c>
      <c r="M59" s="192" t="s">
        <v>328</v>
      </c>
      <c r="N59" s="191" t="s">
        <v>329</v>
      </c>
      <c r="O59" s="193">
        <v>1186</v>
      </c>
      <c r="P59" s="193"/>
      <c r="Q59" s="193">
        <v>7890</v>
      </c>
      <c r="R59" s="7"/>
      <c r="S59" s="37"/>
      <c r="T59" s="37"/>
      <c r="U59" s="83">
        <v>1.956</v>
      </c>
      <c r="V59" s="83"/>
      <c r="W59" s="83"/>
      <c r="X59" s="268"/>
      <c r="Y59" s="83"/>
      <c r="Z59" s="268"/>
      <c r="AA59" s="83">
        <v>1.956</v>
      </c>
      <c r="AB59" s="83"/>
      <c r="AC59" s="83"/>
      <c r="AD59" s="268"/>
      <c r="AE59" s="83"/>
      <c r="AF59" s="268"/>
      <c r="AG59" s="83">
        <f t="shared" si="6"/>
        <v>1.956</v>
      </c>
      <c r="AH59" s="83">
        <f>Tabla1[[#This Row],[FONDOS GOES
(Millones US$)
(A)]]+Tabla1[[#This Row],[FONDOS PROPIOS 
(Millones US$)
(B)]]</f>
        <v>0.75600000000000001</v>
      </c>
      <c r="AI59" s="83">
        <v>0.75600000000000001</v>
      </c>
      <c r="AJ59" s="83"/>
      <c r="AK59" s="83">
        <v>0</v>
      </c>
      <c r="AL59" s="83"/>
      <c r="AM59" s="83">
        <v>1.2</v>
      </c>
      <c r="AN59" s="83" t="s">
        <v>332</v>
      </c>
      <c r="AO59" s="87"/>
      <c r="AP59" s="8"/>
      <c r="AQ59" s="8"/>
      <c r="AR59" s="8"/>
      <c r="AS59" s="27" t="s">
        <v>283</v>
      </c>
      <c r="AT59" s="23">
        <v>52</v>
      </c>
      <c r="AV59" s="97"/>
      <c r="AY59" s="3"/>
    </row>
    <row r="60" spans="1:51" s="160" customFormat="1" ht="45.95" customHeight="1" x14ac:dyDescent="0.2">
      <c r="A60" s="189" t="s">
        <v>54</v>
      </c>
      <c r="B60" s="197" t="s">
        <v>39</v>
      </c>
      <c r="C60" s="266" t="s">
        <v>281</v>
      </c>
      <c r="D60" s="198" t="s">
        <v>282</v>
      </c>
      <c r="E60" s="27" t="s">
        <v>521</v>
      </c>
      <c r="F60" s="27"/>
      <c r="G60" s="27"/>
      <c r="H60" s="27"/>
      <c r="I60" s="27"/>
      <c r="J60" s="22" t="s">
        <v>524</v>
      </c>
      <c r="K60" s="22" t="s">
        <v>525</v>
      </c>
      <c r="L60" s="22"/>
      <c r="M60" s="30"/>
      <c r="N60" s="22"/>
      <c r="O60" s="7"/>
      <c r="P60" s="7"/>
      <c r="Q60" s="7"/>
      <c r="R60" s="7"/>
      <c r="S60" s="37"/>
      <c r="T60" s="37"/>
      <c r="U60" s="252">
        <v>10.11426813857504</v>
      </c>
      <c r="V60" s="252">
        <v>2E-3</v>
      </c>
      <c r="W60" s="252"/>
      <c r="X60" s="268"/>
      <c r="Y60" s="252"/>
      <c r="Z60" s="268"/>
      <c r="AA60" s="252">
        <v>10.11426813857504</v>
      </c>
      <c r="AB60" s="252">
        <v>2E-3</v>
      </c>
      <c r="AC60" s="252"/>
      <c r="AD60" s="268"/>
      <c r="AE60" s="252"/>
      <c r="AF60" s="268"/>
      <c r="AG60" s="83">
        <f t="shared" si="6"/>
        <v>10.11426813857504</v>
      </c>
      <c r="AH60" s="83">
        <f>Tabla1[[#This Row],[FONDOS GOES
(Millones US$)
(A)]]+Tabla1[[#This Row],[FONDOS PROPIOS 
(Millones US$)
(B)]]</f>
        <v>0</v>
      </c>
      <c r="AI60" s="83"/>
      <c r="AJ60" s="83"/>
      <c r="AK60" s="159">
        <v>3.6992981385750401</v>
      </c>
      <c r="AL60" s="83" t="s">
        <v>90</v>
      </c>
      <c r="AM60" s="83">
        <f>0.9729+3.6575+1.13457+0.65</f>
        <v>6.4149700000000003</v>
      </c>
      <c r="AN60" s="83" t="s">
        <v>523</v>
      </c>
      <c r="AO60" s="87"/>
      <c r="AP60" s="8"/>
      <c r="AQ60" s="8"/>
      <c r="AR60" s="8"/>
      <c r="AS60" s="27" t="s">
        <v>521</v>
      </c>
      <c r="AT60" s="23">
        <v>53</v>
      </c>
      <c r="AV60" s="237"/>
    </row>
    <row r="61" spans="1:51" s="160" customFormat="1" ht="45.95" customHeight="1" x14ac:dyDescent="0.2">
      <c r="A61" s="39" t="s">
        <v>54</v>
      </c>
      <c r="B61" s="68" t="s">
        <v>39</v>
      </c>
      <c r="C61" s="64" t="s">
        <v>175</v>
      </c>
      <c r="D61" s="40" t="s">
        <v>25</v>
      </c>
      <c r="E61" s="41"/>
      <c r="F61" s="41"/>
      <c r="G61" s="41"/>
      <c r="H61" s="41"/>
      <c r="I61" s="41"/>
      <c r="J61" s="42"/>
      <c r="K61" s="42"/>
      <c r="L61" s="42"/>
      <c r="M61" s="43"/>
      <c r="N61" s="42"/>
      <c r="O61" s="44"/>
      <c r="P61" s="44"/>
      <c r="Q61" s="44"/>
      <c r="R61" s="44"/>
      <c r="S61" s="45"/>
      <c r="T61" s="45"/>
      <c r="U61" s="259"/>
      <c r="V61" s="259"/>
      <c r="W61" s="259"/>
      <c r="X61" s="270"/>
      <c r="Y61" s="259"/>
      <c r="Z61" s="270"/>
      <c r="AA61" s="259"/>
      <c r="AB61" s="259"/>
      <c r="AC61" s="259"/>
      <c r="AD61" s="270"/>
      <c r="AE61" s="259"/>
      <c r="AF61" s="270"/>
      <c r="AG61" s="84"/>
      <c r="AH61" s="84">
        <f>Tabla1[[#This Row],[FONDOS GOES
(Millones US$)
(A)]]+Tabla1[[#This Row],[FONDOS PROPIOS 
(Millones US$)
(B)]]</f>
        <v>0</v>
      </c>
      <c r="AI61" s="84"/>
      <c r="AJ61" s="84"/>
      <c r="AK61" s="84"/>
      <c r="AL61" s="84"/>
      <c r="AM61" s="84"/>
      <c r="AN61" s="84"/>
      <c r="AO61" s="88"/>
      <c r="AP61" s="46"/>
      <c r="AQ61" s="46"/>
      <c r="AR61" s="46"/>
      <c r="AS61" s="41"/>
      <c r="AT61" s="23">
        <v>54</v>
      </c>
      <c r="AV61" s="97"/>
    </row>
    <row r="62" spans="1:51" s="160" customFormat="1" ht="45.95" customHeight="1" x14ac:dyDescent="0.2">
      <c r="A62" s="21" t="s">
        <v>54</v>
      </c>
      <c r="B62" s="67" t="s">
        <v>39</v>
      </c>
      <c r="C62" s="63" t="s">
        <v>175</v>
      </c>
      <c r="D62" s="29" t="s">
        <v>25</v>
      </c>
      <c r="E62" s="152" t="s">
        <v>165</v>
      </c>
      <c r="F62" s="27" t="s">
        <v>167</v>
      </c>
      <c r="G62" s="27" t="s">
        <v>176</v>
      </c>
      <c r="H62" s="27" t="s">
        <v>177</v>
      </c>
      <c r="I62" s="152" t="s">
        <v>178</v>
      </c>
      <c r="J62" s="22" t="s">
        <v>179</v>
      </c>
      <c r="K62" s="22" t="s">
        <v>180</v>
      </c>
      <c r="L62" s="22" t="s">
        <v>181</v>
      </c>
      <c r="M62" s="30" t="s">
        <v>182</v>
      </c>
      <c r="N62" s="22" t="s">
        <v>183</v>
      </c>
      <c r="O62" s="7"/>
      <c r="P62" s="7">
        <v>250</v>
      </c>
      <c r="Q62" s="7">
        <v>3875</v>
      </c>
      <c r="R62" s="7">
        <v>15750</v>
      </c>
      <c r="S62" s="37"/>
      <c r="T62" s="37"/>
      <c r="U62" s="252">
        <v>0.72499999999999998</v>
      </c>
      <c r="V62" s="252">
        <v>2E-3</v>
      </c>
      <c r="W62" s="252">
        <v>0.72499999999999998</v>
      </c>
      <c r="X62" s="268"/>
      <c r="Y62" s="252"/>
      <c r="Z62" s="268"/>
      <c r="AA62" s="252">
        <v>0.72499999999999998</v>
      </c>
      <c r="AB62" s="252">
        <v>2E-3</v>
      </c>
      <c r="AC62" s="252">
        <v>0.72499999999999998</v>
      </c>
      <c r="AD62" s="268"/>
      <c r="AE62" s="252"/>
      <c r="AF62" s="268"/>
      <c r="AG62" s="83">
        <v>0.72499999999999998</v>
      </c>
      <c r="AH62" s="83">
        <f>Tabla1[[#This Row],[FONDOS GOES
(Millones US$)
(A)]]+Tabla1[[#This Row],[FONDOS PROPIOS 
(Millones US$)
(B)]]</f>
        <v>0</v>
      </c>
      <c r="AI62" s="83"/>
      <c r="AJ62" s="83"/>
      <c r="AK62" s="83">
        <v>0.72499999999999998</v>
      </c>
      <c r="AL62" s="83" t="s">
        <v>259</v>
      </c>
      <c r="AM62" s="83"/>
      <c r="AN62" s="83"/>
      <c r="AO62" s="87"/>
      <c r="AP62" s="8">
        <v>68.42</v>
      </c>
      <c r="AQ62" s="8">
        <v>28.42</v>
      </c>
      <c r="AR62" s="8">
        <v>40</v>
      </c>
      <c r="AS62" s="27" t="s">
        <v>165</v>
      </c>
      <c r="AT62" s="23">
        <v>55</v>
      </c>
      <c r="AV62" s="97"/>
    </row>
    <row r="63" spans="1:51" s="160" customFormat="1" ht="45.95" customHeight="1" x14ac:dyDescent="0.2">
      <c r="A63" s="21" t="s">
        <v>54</v>
      </c>
      <c r="B63" s="67" t="s">
        <v>39</v>
      </c>
      <c r="C63" s="239" t="s">
        <v>175</v>
      </c>
      <c r="D63" s="29" t="s">
        <v>25</v>
      </c>
      <c r="E63" s="27" t="s">
        <v>283</v>
      </c>
      <c r="F63" s="27" t="s">
        <v>140</v>
      </c>
      <c r="G63" s="27" t="s">
        <v>126</v>
      </c>
      <c r="H63" s="27" t="s">
        <v>169</v>
      </c>
      <c r="I63" s="27"/>
      <c r="J63" s="22" t="s">
        <v>333</v>
      </c>
      <c r="K63" s="22" t="s">
        <v>334</v>
      </c>
      <c r="L63" s="22" t="s">
        <v>335</v>
      </c>
      <c r="M63" s="30" t="s">
        <v>336</v>
      </c>
      <c r="N63" s="22" t="s">
        <v>337</v>
      </c>
      <c r="O63" s="7" t="s">
        <v>338</v>
      </c>
      <c r="P63" s="7"/>
      <c r="Q63" s="7" t="s">
        <v>339</v>
      </c>
      <c r="R63" s="7"/>
      <c r="S63" s="37"/>
      <c r="T63" s="37"/>
      <c r="U63" s="252">
        <v>0.28499999999999998</v>
      </c>
      <c r="V63" s="252"/>
      <c r="W63" s="252"/>
      <c r="X63" s="268"/>
      <c r="Y63" s="252"/>
      <c r="Z63" s="268"/>
      <c r="AA63" s="252">
        <v>0.28499999999999998</v>
      </c>
      <c r="AB63" s="252"/>
      <c r="AC63" s="252"/>
      <c r="AD63" s="268"/>
      <c r="AE63" s="252"/>
      <c r="AF63" s="268"/>
      <c r="AG63" s="83">
        <f>AI63+AJ63+AK63+AM63</f>
        <v>0.28499999999999998</v>
      </c>
      <c r="AH63" s="83">
        <f>Tabla1[[#This Row],[FONDOS GOES
(Millones US$)
(A)]]+Tabla1[[#This Row],[FONDOS PROPIOS 
(Millones US$)
(B)]]</f>
        <v>0.28499999999999998</v>
      </c>
      <c r="AI63" s="83">
        <v>0.28499999999999998</v>
      </c>
      <c r="AJ63" s="83"/>
      <c r="AK63" s="159"/>
      <c r="AL63" s="83"/>
      <c r="AM63" s="83"/>
      <c r="AN63" s="83"/>
      <c r="AO63" s="87"/>
      <c r="AP63" s="8"/>
      <c r="AQ63" s="8"/>
      <c r="AR63" s="8"/>
      <c r="AS63" s="27" t="s">
        <v>283</v>
      </c>
      <c r="AT63" s="23">
        <v>56</v>
      </c>
      <c r="AV63" s="97"/>
    </row>
    <row r="64" spans="1:51" s="160" customFormat="1" ht="45.95" customHeight="1" x14ac:dyDescent="0.2">
      <c r="A64" s="21" t="s">
        <v>54</v>
      </c>
      <c r="B64" s="67" t="s">
        <v>39</v>
      </c>
      <c r="C64" s="256" t="s">
        <v>175</v>
      </c>
      <c r="D64" s="29" t="s">
        <v>25</v>
      </c>
      <c r="E64" s="27" t="s">
        <v>283</v>
      </c>
      <c r="F64" s="27" t="s">
        <v>114</v>
      </c>
      <c r="G64" s="27" t="s">
        <v>340</v>
      </c>
      <c r="H64" s="27" t="s">
        <v>341</v>
      </c>
      <c r="I64" s="27"/>
      <c r="J64" s="22" t="s">
        <v>342</v>
      </c>
      <c r="K64" s="22" t="s">
        <v>343</v>
      </c>
      <c r="L64" s="22" t="s">
        <v>344</v>
      </c>
      <c r="M64" s="30" t="s">
        <v>345</v>
      </c>
      <c r="N64" s="22" t="s">
        <v>346</v>
      </c>
      <c r="O64" s="7" t="s">
        <v>347</v>
      </c>
      <c r="P64" s="7"/>
      <c r="Q64" s="7" t="s">
        <v>348</v>
      </c>
      <c r="R64" s="7"/>
      <c r="S64" s="37"/>
      <c r="T64" s="37"/>
      <c r="U64" s="252"/>
      <c r="V64" s="252"/>
      <c r="W64" s="252"/>
      <c r="X64" s="268"/>
      <c r="Y64" s="252"/>
      <c r="Z64" s="268"/>
      <c r="AA64" s="252"/>
      <c r="AB64" s="252"/>
      <c r="AC64" s="252"/>
      <c r="AD64" s="268"/>
      <c r="AE64" s="252"/>
      <c r="AF64" s="268"/>
      <c r="AG64" s="83">
        <f>AI64+AJ64+AK64+AM64</f>
        <v>0.20200000000000001</v>
      </c>
      <c r="AH64" s="83">
        <f>Tabla1[[#This Row],[FONDOS GOES
(Millones US$)
(A)]]+Tabla1[[#This Row],[FONDOS PROPIOS 
(Millones US$)
(B)]]</f>
        <v>0.20200000000000001</v>
      </c>
      <c r="AI64" s="83">
        <v>0.20200000000000001</v>
      </c>
      <c r="AJ64" s="83"/>
      <c r="AK64" s="159"/>
      <c r="AL64" s="83"/>
      <c r="AM64" s="83"/>
      <c r="AN64" s="83"/>
      <c r="AO64" s="87"/>
      <c r="AP64" s="8"/>
      <c r="AQ64" s="8"/>
      <c r="AR64" s="8"/>
      <c r="AS64" s="27" t="s">
        <v>283</v>
      </c>
      <c r="AT64" s="23">
        <v>57</v>
      </c>
      <c r="AV64" s="97"/>
    </row>
    <row r="65" spans="1:48" s="160" customFormat="1" ht="45.95" customHeight="1" x14ac:dyDescent="0.2">
      <c r="A65" s="164" t="s">
        <v>54</v>
      </c>
      <c r="B65" s="165" t="s">
        <v>39</v>
      </c>
      <c r="C65" s="166" t="s">
        <v>349</v>
      </c>
      <c r="D65" s="204" t="s">
        <v>350</v>
      </c>
      <c r="E65" s="167"/>
      <c r="F65" s="168"/>
      <c r="G65" s="168"/>
      <c r="H65" s="168"/>
      <c r="I65" s="168"/>
      <c r="J65" s="168"/>
      <c r="K65" s="168"/>
      <c r="L65" s="168"/>
      <c r="M65" s="169"/>
      <c r="N65" s="168"/>
      <c r="O65" s="170"/>
      <c r="P65" s="170"/>
      <c r="Q65" s="170"/>
      <c r="R65" s="7"/>
      <c r="S65" s="37"/>
      <c r="T65" s="37"/>
      <c r="U65" s="170"/>
      <c r="V65" s="170"/>
      <c r="W65" s="170"/>
      <c r="X65" s="170"/>
      <c r="Y65" s="170"/>
      <c r="Z65" s="170"/>
      <c r="AA65" s="170"/>
      <c r="AB65" s="170"/>
      <c r="AC65" s="170"/>
      <c r="AD65" s="170"/>
      <c r="AE65" s="170"/>
      <c r="AF65" s="170"/>
      <c r="AG65" s="170"/>
      <c r="AH65" s="170">
        <f>Tabla1[[#This Row],[FONDOS GOES
(Millones US$)
(A)]]+Tabla1[[#This Row],[FONDOS PROPIOS 
(Millones US$)
(B)]]</f>
        <v>0</v>
      </c>
      <c r="AI65" s="170"/>
      <c r="AJ65" s="170"/>
      <c r="AK65" s="170"/>
      <c r="AL65" s="170"/>
      <c r="AM65" s="170"/>
      <c r="AN65" s="170"/>
      <c r="AO65" s="170"/>
      <c r="AP65" s="170"/>
      <c r="AQ65" s="170"/>
      <c r="AR65" s="170"/>
      <c r="AS65" s="170"/>
      <c r="AT65" s="23">
        <v>58</v>
      </c>
      <c r="AV65" s="97"/>
    </row>
    <row r="66" spans="1:48" s="160" customFormat="1" ht="45.95" customHeight="1" x14ac:dyDescent="0.2">
      <c r="A66" s="171" t="s">
        <v>54</v>
      </c>
      <c r="B66" s="172" t="s">
        <v>39</v>
      </c>
      <c r="C66" s="266" t="s">
        <v>349</v>
      </c>
      <c r="D66" s="173" t="s">
        <v>350</v>
      </c>
      <c r="E66" s="28" t="s">
        <v>283</v>
      </c>
      <c r="F66" s="174" t="s">
        <v>351</v>
      </c>
      <c r="G66" s="174" t="s">
        <v>576</v>
      </c>
      <c r="H66" s="174"/>
      <c r="I66" s="174"/>
      <c r="J66" s="174" t="s">
        <v>352</v>
      </c>
      <c r="K66" s="174" t="s">
        <v>353</v>
      </c>
      <c r="L66" s="175" t="s">
        <v>286</v>
      </c>
      <c r="M66" s="176" t="s">
        <v>354</v>
      </c>
      <c r="N66" s="174" t="s">
        <v>355</v>
      </c>
      <c r="O66" s="177"/>
      <c r="P66" s="177"/>
      <c r="Q66" s="177"/>
      <c r="R66" s="7"/>
      <c r="S66" s="37"/>
      <c r="T66" s="37"/>
      <c r="U66" s="252"/>
      <c r="V66" s="252"/>
      <c r="W66" s="252"/>
      <c r="X66" s="268"/>
      <c r="Y66" s="252"/>
      <c r="Z66" s="268"/>
      <c r="AA66" s="252"/>
      <c r="AB66" s="252"/>
      <c r="AC66" s="252"/>
      <c r="AD66" s="268"/>
      <c r="AE66" s="252"/>
      <c r="AF66" s="268"/>
      <c r="AG66" s="83">
        <f>AI66+AJ66+AK66+AM66</f>
        <v>0</v>
      </c>
      <c r="AH66" s="83">
        <f>Tabla1[[#This Row],[FONDOS GOES
(Millones US$)
(A)]]+Tabla1[[#This Row],[FONDOS PROPIOS 
(Millones US$)
(B)]]</f>
        <v>0</v>
      </c>
      <c r="AI66" s="83"/>
      <c r="AJ66" s="83"/>
      <c r="AK66" s="159"/>
      <c r="AL66" s="83"/>
      <c r="AM66" s="83"/>
      <c r="AN66" s="83"/>
      <c r="AO66" s="87"/>
      <c r="AP66" s="8"/>
      <c r="AQ66" s="8"/>
      <c r="AR66" s="8"/>
      <c r="AS66" s="27" t="s">
        <v>283</v>
      </c>
      <c r="AT66" s="23">
        <v>59</v>
      </c>
      <c r="AV66" s="97"/>
    </row>
    <row r="67" spans="1:48" s="160" customFormat="1" ht="45.95" customHeight="1" x14ac:dyDescent="0.2">
      <c r="A67" s="186" t="s">
        <v>54</v>
      </c>
      <c r="B67" s="172" t="s">
        <v>39</v>
      </c>
      <c r="C67" s="263" t="s">
        <v>349</v>
      </c>
      <c r="D67" s="173" t="s">
        <v>350</v>
      </c>
      <c r="E67" s="205" t="s">
        <v>283</v>
      </c>
      <c r="F67" s="264" t="s">
        <v>578</v>
      </c>
      <c r="G67" s="264" t="s">
        <v>577</v>
      </c>
      <c r="H67" s="205"/>
      <c r="I67" s="205"/>
      <c r="J67" s="174" t="s">
        <v>356</v>
      </c>
      <c r="K67" s="174" t="s">
        <v>357</v>
      </c>
      <c r="L67" s="174" t="s">
        <v>358</v>
      </c>
      <c r="M67" s="201" t="s">
        <v>359</v>
      </c>
      <c r="N67" s="174" t="s">
        <v>360</v>
      </c>
      <c r="O67" s="188"/>
      <c r="P67" s="188"/>
      <c r="Q67" s="188" t="s">
        <v>361</v>
      </c>
      <c r="R67" s="7"/>
      <c r="S67" s="37"/>
      <c r="T67" s="37"/>
      <c r="U67" s="252">
        <v>1.42</v>
      </c>
      <c r="V67" s="252"/>
      <c r="W67" s="252"/>
      <c r="X67" s="268"/>
      <c r="Y67" s="252"/>
      <c r="Z67" s="268"/>
      <c r="AA67" s="252">
        <v>1.42</v>
      </c>
      <c r="AB67" s="252"/>
      <c r="AC67" s="252"/>
      <c r="AD67" s="268"/>
      <c r="AE67" s="252"/>
      <c r="AF67" s="268"/>
      <c r="AG67" s="83">
        <f>AI67+AJ67+AK67+AM67</f>
        <v>1.42</v>
      </c>
      <c r="AH67" s="83">
        <f>Tabla1[[#This Row],[FONDOS GOES
(Millones US$)
(A)]]+Tabla1[[#This Row],[FONDOS PROPIOS 
(Millones US$)
(B)]]</f>
        <v>0</v>
      </c>
      <c r="AI67" s="83"/>
      <c r="AJ67" s="83"/>
      <c r="AK67" s="159">
        <v>1.42</v>
      </c>
      <c r="AL67" s="83" t="s">
        <v>362</v>
      </c>
      <c r="AM67" s="83"/>
      <c r="AN67" s="83"/>
      <c r="AO67" s="87"/>
      <c r="AP67" s="8"/>
      <c r="AQ67" s="8"/>
      <c r="AR67" s="8"/>
      <c r="AS67" s="27" t="s">
        <v>283</v>
      </c>
      <c r="AT67" s="23">
        <v>60</v>
      </c>
      <c r="AV67" s="97"/>
    </row>
    <row r="68" spans="1:48" s="160" customFormat="1" ht="45.95" customHeight="1" x14ac:dyDescent="0.2">
      <c r="A68" s="39" t="s">
        <v>54</v>
      </c>
      <c r="B68" s="68" t="s">
        <v>249</v>
      </c>
      <c r="C68" s="64" t="s">
        <v>250</v>
      </c>
      <c r="D68" s="40" t="s">
        <v>251</v>
      </c>
      <c r="E68" s="41"/>
      <c r="F68" s="41"/>
      <c r="G68" s="41"/>
      <c r="H68" s="41"/>
      <c r="I68" s="41"/>
      <c r="J68" s="42"/>
      <c r="K68" s="42"/>
      <c r="L68" s="42"/>
      <c r="M68" s="43"/>
      <c r="N68" s="42"/>
      <c r="O68" s="44"/>
      <c r="P68" s="44"/>
      <c r="Q68" s="44"/>
      <c r="R68" s="44"/>
      <c r="S68" s="45"/>
      <c r="T68" s="45"/>
      <c r="U68" s="259"/>
      <c r="V68" s="259"/>
      <c r="W68" s="259"/>
      <c r="X68" s="270"/>
      <c r="Y68" s="259"/>
      <c r="Z68" s="270"/>
      <c r="AA68" s="259"/>
      <c r="AB68" s="259"/>
      <c r="AC68" s="259"/>
      <c r="AD68" s="270"/>
      <c r="AE68" s="259"/>
      <c r="AF68" s="270"/>
      <c r="AG68" s="84"/>
      <c r="AH68" s="84">
        <f>Tabla1[[#This Row],[FONDOS GOES
(Millones US$)
(A)]]+Tabla1[[#This Row],[FONDOS PROPIOS 
(Millones US$)
(B)]]</f>
        <v>0</v>
      </c>
      <c r="AI68" s="84"/>
      <c r="AJ68" s="84"/>
      <c r="AK68" s="84"/>
      <c r="AL68" s="84"/>
      <c r="AM68" s="84"/>
      <c r="AN68" s="84"/>
      <c r="AO68" s="88"/>
      <c r="AP68" s="46"/>
      <c r="AQ68" s="46"/>
      <c r="AR68" s="46"/>
      <c r="AS68" s="41"/>
      <c r="AT68" s="23">
        <v>61</v>
      </c>
      <c r="AV68" s="97"/>
    </row>
    <row r="69" spans="1:48" s="160" customFormat="1" ht="45.95" customHeight="1" x14ac:dyDescent="0.2">
      <c r="A69" s="21" t="s">
        <v>54</v>
      </c>
      <c r="B69" s="67" t="s">
        <v>249</v>
      </c>
      <c r="C69" s="63" t="s">
        <v>250</v>
      </c>
      <c r="D69" s="29" t="s">
        <v>251</v>
      </c>
      <c r="E69" s="152" t="s">
        <v>252</v>
      </c>
      <c r="F69" s="27" t="s">
        <v>96</v>
      </c>
      <c r="G69" s="27" t="s">
        <v>253</v>
      </c>
      <c r="H69" s="27" t="s">
        <v>254</v>
      </c>
      <c r="I69" s="152"/>
      <c r="J69" s="22" t="s">
        <v>255</v>
      </c>
      <c r="K69" s="22" t="s">
        <v>256</v>
      </c>
      <c r="L69" s="22" t="s">
        <v>172</v>
      </c>
      <c r="M69" s="30" t="s">
        <v>257</v>
      </c>
      <c r="N69" s="22" t="s">
        <v>258</v>
      </c>
      <c r="O69" s="24">
        <v>0.85</v>
      </c>
      <c r="P69" s="24">
        <v>0.88</v>
      </c>
      <c r="Q69" s="24">
        <v>0.9</v>
      </c>
      <c r="R69" s="7">
        <v>3600</v>
      </c>
      <c r="S69" s="37" t="s">
        <v>21</v>
      </c>
      <c r="T69" s="37"/>
      <c r="U69" s="252">
        <v>8.2286438099999994</v>
      </c>
      <c r="V69" s="252">
        <v>2E-3</v>
      </c>
      <c r="W69" s="252"/>
      <c r="X69" s="268"/>
      <c r="Y69" s="252"/>
      <c r="Z69" s="268"/>
      <c r="AA69" s="252">
        <v>8.2286438099999994</v>
      </c>
      <c r="AB69" s="252">
        <v>2E-3</v>
      </c>
      <c r="AC69" s="252"/>
      <c r="AD69" s="268"/>
      <c r="AE69" s="252"/>
      <c r="AF69" s="268"/>
      <c r="AG69" s="83">
        <f>AI69+AJ69+AK69+AM69</f>
        <v>8.2286438099999994</v>
      </c>
      <c r="AH69" s="83">
        <f>Tabla1[[#This Row],[FONDOS GOES
(Millones US$)
(A)]]+Tabla1[[#This Row],[FONDOS PROPIOS 
(Millones US$)
(B)]]</f>
        <v>7.6866438099999996</v>
      </c>
      <c r="AI69" s="83">
        <v>7.6866438099999996</v>
      </c>
      <c r="AJ69" s="83"/>
      <c r="AK69" s="83">
        <v>0.17200000000000001</v>
      </c>
      <c r="AL69" s="83" t="s">
        <v>259</v>
      </c>
      <c r="AM69" s="83">
        <v>0.37</v>
      </c>
      <c r="AN69" s="83" t="s">
        <v>260</v>
      </c>
      <c r="AO69" s="87"/>
      <c r="AP69" s="8">
        <v>68.42</v>
      </c>
      <c r="AQ69" s="8">
        <v>28.42</v>
      </c>
      <c r="AR69" s="8">
        <v>40</v>
      </c>
      <c r="AS69" s="27" t="s">
        <v>252</v>
      </c>
      <c r="AT69" s="23">
        <v>62</v>
      </c>
      <c r="AV69" s="97"/>
    </row>
    <row r="70" spans="1:48" s="160" customFormat="1" ht="45.95" customHeight="1" x14ac:dyDescent="0.2">
      <c r="A70" s="39" t="s">
        <v>54</v>
      </c>
      <c r="B70" s="68" t="s">
        <v>249</v>
      </c>
      <c r="C70" s="64" t="s">
        <v>261</v>
      </c>
      <c r="D70" s="40" t="s">
        <v>262</v>
      </c>
      <c r="E70" s="41"/>
      <c r="F70" s="41"/>
      <c r="G70" s="41"/>
      <c r="H70" s="41"/>
      <c r="I70" s="41"/>
      <c r="J70" s="42"/>
      <c r="K70" s="42"/>
      <c r="L70" s="42"/>
      <c r="M70" s="43"/>
      <c r="N70" s="42"/>
      <c r="O70" s="44"/>
      <c r="P70" s="44"/>
      <c r="Q70" s="44"/>
      <c r="R70" s="44"/>
      <c r="S70" s="45"/>
      <c r="T70" s="45"/>
      <c r="U70" s="259"/>
      <c r="V70" s="259"/>
      <c r="W70" s="259"/>
      <c r="X70" s="270"/>
      <c r="Y70" s="259"/>
      <c r="Z70" s="270"/>
      <c r="AA70" s="259"/>
      <c r="AB70" s="259"/>
      <c r="AC70" s="259"/>
      <c r="AD70" s="270"/>
      <c r="AE70" s="259"/>
      <c r="AF70" s="270"/>
      <c r="AG70" s="84"/>
      <c r="AH70" s="84">
        <f>Tabla1[[#This Row],[FONDOS GOES
(Millones US$)
(A)]]+Tabla1[[#This Row],[FONDOS PROPIOS 
(Millones US$)
(B)]]</f>
        <v>0</v>
      </c>
      <c r="AI70" s="84"/>
      <c r="AJ70" s="84"/>
      <c r="AK70" s="84"/>
      <c r="AL70" s="84"/>
      <c r="AM70" s="84"/>
      <c r="AN70" s="84"/>
      <c r="AO70" s="88"/>
      <c r="AP70" s="46"/>
      <c r="AQ70" s="46"/>
      <c r="AR70" s="46"/>
      <c r="AS70" s="41"/>
      <c r="AT70" s="23">
        <v>63</v>
      </c>
      <c r="AV70" s="97"/>
    </row>
    <row r="71" spans="1:48" s="160" customFormat="1" ht="45.95" customHeight="1" x14ac:dyDescent="0.2">
      <c r="A71" s="21" t="s">
        <v>54</v>
      </c>
      <c r="B71" s="67" t="s">
        <v>249</v>
      </c>
      <c r="C71" s="63" t="s">
        <v>261</v>
      </c>
      <c r="D71" s="29" t="s">
        <v>262</v>
      </c>
      <c r="E71" s="152" t="s">
        <v>252</v>
      </c>
      <c r="F71" s="27" t="s">
        <v>374</v>
      </c>
      <c r="G71" s="27" t="s">
        <v>263</v>
      </c>
      <c r="H71" s="27"/>
      <c r="I71" s="152"/>
      <c r="J71" s="22" t="s">
        <v>264</v>
      </c>
      <c r="K71" s="22" t="s">
        <v>265</v>
      </c>
      <c r="L71" s="22" t="s">
        <v>172</v>
      </c>
      <c r="M71" s="30" t="s">
        <v>257</v>
      </c>
      <c r="N71" s="22" t="s">
        <v>266</v>
      </c>
      <c r="O71" s="24" t="s">
        <v>267</v>
      </c>
      <c r="P71" s="24" t="s">
        <v>268</v>
      </c>
      <c r="Q71" s="24" t="s">
        <v>269</v>
      </c>
      <c r="R71" s="7">
        <v>3600</v>
      </c>
      <c r="S71" s="37" t="s">
        <v>21</v>
      </c>
      <c r="T71" s="37"/>
      <c r="U71" s="252">
        <v>12.49</v>
      </c>
      <c r="V71" s="252">
        <v>2E-3</v>
      </c>
      <c r="W71" s="252"/>
      <c r="X71" s="268"/>
      <c r="Y71" s="252"/>
      <c r="Z71" s="268"/>
      <c r="AA71" s="252">
        <v>12.49</v>
      </c>
      <c r="AB71" s="252">
        <v>2E-3</v>
      </c>
      <c r="AC71" s="252"/>
      <c r="AD71" s="268"/>
      <c r="AE71" s="252"/>
      <c r="AF71" s="268"/>
      <c r="AG71" s="83">
        <f t="shared" ref="AG71:AG77" si="7">AI71+AJ71+AK71+AM71</f>
        <v>12.49</v>
      </c>
      <c r="AH71" s="83">
        <f>Tabla1[[#This Row],[FONDOS GOES
(Millones US$)
(A)]]+Tabla1[[#This Row],[FONDOS PROPIOS 
(Millones US$)
(B)]]</f>
        <v>0</v>
      </c>
      <c r="AI71" s="83"/>
      <c r="AJ71" s="83"/>
      <c r="AK71" s="83">
        <v>12</v>
      </c>
      <c r="AL71" s="83" t="s">
        <v>259</v>
      </c>
      <c r="AM71" s="83">
        <v>0.49</v>
      </c>
      <c r="AN71" s="83" t="s">
        <v>260</v>
      </c>
      <c r="AO71" s="87"/>
      <c r="AP71" s="8">
        <v>68.42</v>
      </c>
      <c r="AQ71" s="8">
        <v>28.42</v>
      </c>
      <c r="AR71" s="8">
        <v>40</v>
      </c>
      <c r="AS71" s="27" t="s">
        <v>252</v>
      </c>
      <c r="AT71" s="23">
        <v>64</v>
      </c>
      <c r="AV71" s="97"/>
    </row>
    <row r="72" spans="1:48" s="160" customFormat="1" ht="45.95" customHeight="1" x14ac:dyDescent="0.2">
      <c r="A72" s="21" t="s">
        <v>54</v>
      </c>
      <c r="B72" s="67" t="s">
        <v>249</v>
      </c>
      <c r="C72" s="63" t="s">
        <v>261</v>
      </c>
      <c r="D72" s="29" t="s">
        <v>262</v>
      </c>
      <c r="E72" s="152" t="s">
        <v>252</v>
      </c>
      <c r="F72" s="27"/>
      <c r="G72" s="27"/>
      <c r="H72" s="27"/>
      <c r="I72" s="27" t="s">
        <v>540</v>
      </c>
      <c r="J72" s="22" t="s">
        <v>546</v>
      </c>
      <c r="K72" s="22"/>
      <c r="L72" s="22"/>
      <c r="M72" s="30"/>
      <c r="N72" s="22"/>
      <c r="O72" s="163"/>
      <c r="P72" s="163"/>
      <c r="Q72" s="163"/>
      <c r="R72" s="7"/>
      <c r="S72" s="37"/>
      <c r="T72" s="37"/>
      <c r="U72" s="252">
        <v>1</v>
      </c>
      <c r="V72" s="252">
        <v>2E-3</v>
      </c>
      <c r="W72" s="252"/>
      <c r="X72" s="268"/>
      <c r="Y72" s="252"/>
      <c r="Z72" s="268"/>
      <c r="AA72" s="252">
        <v>1</v>
      </c>
      <c r="AB72" s="252">
        <v>2E-3</v>
      </c>
      <c r="AC72" s="252"/>
      <c r="AD72" s="268"/>
      <c r="AE72" s="252"/>
      <c r="AF72" s="268"/>
      <c r="AG72" s="83">
        <f t="shared" si="7"/>
        <v>1</v>
      </c>
      <c r="AH72" s="83"/>
      <c r="AI72" s="83"/>
      <c r="AJ72" s="83"/>
      <c r="AK72" s="159">
        <v>1</v>
      </c>
      <c r="AL72" s="83" t="s">
        <v>89</v>
      </c>
      <c r="AM72" s="83"/>
      <c r="AN72" s="83"/>
      <c r="AO72" s="87"/>
      <c r="AP72" s="8"/>
      <c r="AQ72" s="8"/>
      <c r="AR72" s="8"/>
      <c r="AS72" s="27" t="s">
        <v>252</v>
      </c>
      <c r="AT72" s="23">
        <v>65</v>
      </c>
      <c r="AV72" s="97"/>
    </row>
    <row r="73" spans="1:48" s="160" customFormat="1" ht="45.95" customHeight="1" x14ac:dyDescent="0.2">
      <c r="A73" s="21" t="s">
        <v>54</v>
      </c>
      <c r="B73" s="67" t="s">
        <v>249</v>
      </c>
      <c r="C73" s="63" t="s">
        <v>261</v>
      </c>
      <c r="D73" s="29" t="s">
        <v>262</v>
      </c>
      <c r="E73" s="152" t="s">
        <v>252</v>
      </c>
      <c r="F73" s="27"/>
      <c r="G73" s="27"/>
      <c r="H73" s="27"/>
      <c r="I73" s="27" t="s">
        <v>541</v>
      </c>
      <c r="J73" s="22" t="s">
        <v>547</v>
      </c>
      <c r="K73" s="22"/>
      <c r="L73" s="22"/>
      <c r="M73" s="30"/>
      <c r="N73" s="22"/>
      <c r="O73" s="163"/>
      <c r="P73" s="163"/>
      <c r="Q73" s="163"/>
      <c r="R73" s="7"/>
      <c r="S73" s="37"/>
      <c r="T73" s="37"/>
      <c r="U73" s="252">
        <v>2.5299999999999998</v>
      </c>
      <c r="V73" s="252">
        <v>2E-3</v>
      </c>
      <c r="W73" s="252"/>
      <c r="X73" s="268"/>
      <c r="Y73" s="252"/>
      <c r="Z73" s="268"/>
      <c r="AA73" s="252">
        <v>2.5299999999999998</v>
      </c>
      <c r="AB73" s="252">
        <v>2E-3</v>
      </c>
      <c r="AC73" s="252"/>
      <c r="AD73" s="268"/>
      <c r="AE73" s="252"/>
      <c r="AF73" s="268"/>
      <c r="AG73" s="83">
        <f t="shared" si="7"/>
        <v>2.5299999999999998</v>
      </c>
      <c r="AH73" s="83"/>
      <c r="AI73" s="83"/>
      <c r="AJ73" s="83"/>
      <c r="AK73" s="159">
        <v>2.5299999999999998</v>
      </c>
      <c r="AL73" s="83" t="s">
        <v>90</v>
      </c>
      <c r="AM73" s="83"/>
      <c r="AN73" s="83"/>
      <c r="AO73" s="87"/>
      <c r="AP73" s="8"/>
      <c r="AQ73" s="8"/>
      <c r="AR73" s="8"/>
      <c r="AS73" s="27" t="s">
        <v>252</v>
      </c>
      <c r="AT73" s="23">
        <v>66</v>
      </c>
      <c r="AV73" s="97"/>
    </row>
    <row r="74" spans="1:48" s="160" customFormat="1" ht="45.95" customHeight="1" x14ac:dyDescent="0.2">
      <c r="A74" s="21" t="s">
        <v>54</v>
      </c>
      <c r="B74" s="67" t="s">
        <v>249</v>
      </c>
      <c r="C74" s="63" t="s">
        <v>261</v>
      </c>
      <c r="D74" s="29" t="s">
        <v>262</v>
      </c>
      <c r="E74" s="152" t="s">
        <v>252</v>
      </c>
      <c r="F74" s="27"/>
      <c r="G74" s="27"/>
      <c r="H74" s="27"/>
      <c r="I74" s="27" t="s">
        <v>542</v>
      </c>
      <c r="J74" s="22" t="s">
        <v>548</v>
      </c>
      <c r="K74" s="22"/>
      <c r="L74" s="22"/>
      <c r="M74" s="30"/>
      <c r="N74" s="22"/>
      <c r="O74" s="163"/>
      <c r="P74" s="163"/>
      <c r="Q74" s="163"/>
      <c r="R74" s="7"/>
      <c r="S74" s="37"/>
      <c r="T74" s="37"/>
      <c r="U74" s="252">
        <v>20.270254999999999</v>
      </c>
      <c r="V74" s="252">
        <v>2E-3</v>
      </c>
      <c r="W74" s="252"/>
      <c r="X74" s="268"/>
      <c r="Y74" s="252"/>
      <c r="Z74" s="268"/>
      <c r="AA74" s="252">
        <v>20.270254999999999</v>
      </c>
      <c r="AB74" s="252">
        <v>2E-3</v>
      </c>
      <c r="AC74" s="252"/>
      <c r="AD74" s="268"/>
      <c r="AE74" s="252"/>
      <c r="AF74" s="268"/>
      <c r="AG74" s="83">
        <f t="shared" si="7"/>
        <v>20.270254999999999</v>
      </c>
      <c r="AH74" s="83"/>
      <c r="AI74" s="83"/>
      <c r="AJ74" s="83"/>
      <c r="AK74" s="159">
        <v>20.270254999999999</v>
      </c>
      <c r="AL74" s="83" t="s">
        <v>362</v>
      </c>
      <c r="AM74" s="83"/>
      <c r="AN74" s="83"/>
      <c r="AO74" s="87"/>
      <c r="AP74" s="8"/>
      <c r="AQ74" s="8"/>
      <c r="AR74" s="8"/>
      <c r="AS74" s="27" t="s">
        <v>252</v>
      </c>
      <c r="AT74" s="23">
        <v>67</v>
      </c>
      <c r="AV74" s="97"/>
    </row>
    <row r="75" spans="1:48" s="160" customFormat="1" ht="45.95" customHeight="1" x14ac:dyDescent="0.2">
      <c r="A75" s="21" t="s">
        <v>54</v>
      </c>
      <c r="B75" s="67" t="s">
        <v>249</v>
      </c>
      <c r="C75" s="63" t="s">
        <v>261</v>
      </c>
      <c r="D75" s="29" t="s">
        <v>262</v>
      </c>
      <c r="E75" s="152" t="s">
        <v>252</v>
      </c>
      <c r="F75" s="27"/>
      <c r="G75" s="27"/>
      <c r="H75" s="27"/>
      <c r="I75" s="27" t="s">
        <v>543</v>
      </c>
      <c r="J75" s="22" t="s">
        <v>549</v>
      </c>
      <c r="K75" s="22"/>
      <c r="L75" s="22"/>
      <c r="M75" s="30"/>
      <c r="N75" s="22"/>
      <c r="O75" s="163"/>
      <c r="P75" s="163"/>
      <c r="Q75" s="163"/>
      <c r="R75" s="7"/>
      <c r="S75" s="37"/>
      <c r="T75" s="37"/>
      <c r="U75" s="252">
        <v>2.0527500000000001</v>
      </c>
      <c r="V75" s="252">
        <v>2E-3</v>
      </c>
      <c r="W75" s="252"/>
      <c r="X75" s="268"/>
      <c r="Y75" s="252"/>
      <c r="Z75" s="268"/>
      <c r="AA75" s="252">
        <v>2.0527500000000001</v>
      </c>
      <c r="AB75" s="252">
        <v>2E-3</v>
      </c>
      <c r="AC75" s="252"/>
      <c r="AD75" s="268"/>
      <c r="AE75" s="252"/>
      <c r="AF75" s="268"/>
      <c r="AG75" s="83">
        <f t="shared" si="7"/>
        <v>2.0527500000000001</v>
      </c>
      <c r="AH75" s="83"/>
      <c r="AI75" s="83"/>
      <c r="AJ75" s="83"/>
      <c r="AK75" s="159"/>
      <c r="AL75" s="83"/>
      <c r="AM75" s="83">
        <v>2.0527500000000001</v>
      </c>
      <c r="AN75" s="83" t="s">
        <v>89</v>
      </c>
      <c r="AO75" s="87"/>
      <c r="AP75" s="8"/>
      <c r="AQ75" s="8"/>
      <c r="AR75" s="8"/>
      <c r="AS75" s="27" t="s">
        <v>252</v>
      </c>
      <c r="AT75" s="23">
        <v>68</v>
      </c>
      <c r="AV75" s="97"/>
    </row>
    <row r="76" spans="1:48" s="160" customFormat="1" ht="45.95" customHeight="1" x14ac:dyDescent="0.2">
      <c r="A76" s="21" t="s">
        <v>54</v>
      </c>
      <c r="B76" s="67" t="s">
        <v>249</v>
      </c>
      <c r="C76" s="63" t="s">
        <v>261</v>
      </c>
      <c r="D76" s="29" t="s">
        <v>262</v>
      </c>
      <c r="E76" s="152" t="s">
        <v>252</v>
      </c>
      <c r="F76" s="27"/>
      <c r="G76" s="27"/>
      <c r="H76" s="27"/>
      <c r="I76" s="27" t="s">
        <v>544</v>
      </c>
      <c r="J76" s="22" t="s">
        <v>550</v>
      </c>
      <c r="K76" s="22"/>
      <c r="L76" s="22"/>
      <c r="M76" s="30"/>
      <c r="N76" s="22"/>
      <c r="O76" s="163"/>
      <c r="P76" s="163"/>
      <c r="Q76" s="163"/>
      <c r="R76" s="7"/>
      <c r="S76" s="37"/>
      <c r="T76" s="37"/>
      <c r="U76" s="252">
        <v>0.17499999999999999</v>
      </c>
      <c r="V76" s="252">
        <v>2E-3</v>
      </c>
      <c r="W76" s="252"/>
      <c r="X76" s="268"/>
      <c r="Y76" s="252"/>
      <c r="Z76" s="268"/>
      <c r="AA76" s="252">
        <v>0.17499999999999999</v>
      </c>
      <c r="AB76" s="252">
        <v>2E-3</v>
      </c>
      <c r="AC76" s="252"/>
      <c r="AD76" s="268"/>
      <c r="AE76" s="252"/>
      <c r="AF76" s="268"/>
      <c r="AG76" s="83">
        <f t="shared" si="7"/>
        <v>0.17499999999999999</v>
      </c>
      <c r="AH76" s="83"/>
      <c r="AI76" s="83"/>
      <c r="AJ76" s="83"/>
      <c r="AK76" s="159"/>
      <c r="AL76" s="83"/>
      <c r="AM76" s="83">
        <f>(175000)/1000000</f>
        <v>0.17499999999999999</v>
      </c>
      <c r="AN76" s="83" t="s">
        <v>500</v>
      </c>
      <c r="AO76" s="87"/>
      <c r="AP76" s="8"/>
      <c r="AQ76" s="8"/>
      <c r="AR76" s="8"/>
      <c r="AS76" s="27" t="s">
        <v>252</v>
      </c>
      <c r="AT76" s="23">
        <v>69</v>
      </c>
      <c r="AV76" s="97"/>
    </row>
    <row r="77" spans="1:48" s="160" customFormat="1" ht="45.95" customHeight="1" x14ac:dyDescent="0.2">
      <c r="A77" s="21" t="s">
        <v>54</v>
      </c>
      <c r="B77" s="67" t="s">
        <v>249</v>
      </c>
      <c r="C77" s="63" t="s">
        <v>261</v>
      </c>
      <c r="D77" s="29" t="s">
        <v>262</v>
      </c>
      <c r="E77" s="152" t="s">
        <v>252</v>
      </c>
      <c r="F77" s="27"/>
      <c r="G77" s="27"/>
      <c r="H77" s="27"/>
      <c r="I77" s="27" t="s">
        <v>545</v>
      </c>
      <c r="J77" s="22" t="s">
        <v>551</v>
      </c>
      <c r="K77" s="22"/>
      <c r="L77" s="22"/>
      <c r="M77" s="30"/>
      <c r="N77" s="22"/>
      <c r="O77" s="163"/>
      <c r="P77" s="163"/>
      <c r="Q77" s="163"/>
      <c r="R77" s="7"/>
      <c r="S77" s="37"/>
      <c r="T77" s="37"/>
      <c r="U77" s="252">
        <v>0.2</v>
      </c>
      <c r="V77" s="252">
        <v>2E-3</v>
      </c>
      <c r="W77" s="252"/>
      <c r="X77" s="268"/>
      <c r="Y77" s="252"/>
      <c r="Z77" s="268"/>
      <c r="AA77" s="252">
        <v>0.2</v>
      </c>
      <c r="AB77" s="252">
        <v>2E-3</v>
      </c>
      <c r="AC77" s="252"/>
      <c r="AD77" s="268"/>
      <c r="AE77" s="252"/>
      <c r="AF77" s="268"/>
      <c r="AG77" s="83">
        <f t="shared" si="7"/>
        <v>0.2</v>
      </c>
      <c r="AH77" s="83"/>
      <c r="AI77" s="83"/>
      <c r="AJ77" s="83"/>
      <c r="AK77" s="159"/>
      <c r="AL77" s="83"/>
      <c r="AM77" s="83">
        <f>(200000)/1000000</f>
        <v>0.2</v>
      </c>
      <c r="AN77" s="83" t="s">
        <v>500</v>
      </c>
      <c r="AO77" s="87"/>
      <c r="AP77" s="8"/>
      <c r="AQ77" s="8"/>
      <c r="AR77" s="8"/>
      <c r="AS77" s="27" t="s">
        <v>252</v>
      </c>
      <c r="AT77" s="23">
        <v>70</v>
      </c>
      <c r="AV77" s="97"/>
    </row>
    <row r="78" spans="1:48" s="160" customFormat="1" ht="45.95" customHeight="1" x14ac:dyDescent="0.2">
      <c r="A78" s="39" t="s">
        <v>54</v>
      </c>
      <c r="B78" s="68" t="s">
        <v>249</v>
      </c>
      <c r="C78" s="64" t="s">
        <v>270</v>
      </c>
      <c r="D78" s="40" t="s">
        <v>271</v>
      </c>
      <c r="E78" s="41"/>
      <c r="F78" s="41"/>
      <c r="G78" s="41"/>
      <c r="H78" s="41"/>
      <c r="I78" s="41"/>
      <c r="J78" s="42"/>
      <c r="K78" s="42"/>
      <c r="L78" s="42"/>
      <c r="M78" s="43"/>
      <c r="N78" s="42"/>
      <c r="O78" s="44"/>
      <c r="P78" s="44"/>
      <c r="Q78" s="44"/>
      <c r="R78" s="44"/>
      <c r="S78" s="45"/>
      <c r="T78" s="45"/>
      <c r="U78" s="259"/>
      <c r="V78" s="259"/>
      <c r="W78" s="259"/>
      <c r="X78" s="270"/>
      <c r="Y78" s="259"/>
      <c r="Z78" s="270"/>
      <c r="AA78" s="259"/>
      <c r="AB78" s="259"/>
      <c r="AC78" s="259"/>
      <c r="AD78" s="270"/>
      <c r="AE78" s="259"/>
      <c r="AF78" s="270"/>
      <c r="AG78" s="84"/>
      <c r="AH78" s="84">
        <f>Tabla1[[#This Row],[FONDOS GOES
(Millones US$)
(A)]]+Tabla1[[#This Row],[FONDOS PROPIOS 
(Millones US$)
(B)]]</f>
        <v>0</v>
      </c>
      <c r="AI78" s="84"/>
      <c r="AJ78" s="84"/>
      <c r="AK78" s="84"/>
      <c r="AL78" s="84"/>
      <c r="AM78" s="84"/>
      <c r="AN78" s="84"/>
      <c r="AO78" s="88"/>
      <c r="AP78" s="46"/>
      <c r="AQ78" s="46"/>
      <c r="AR78" s="46"/>
      <c r="AS78" s="41"/>
      <c r="AT78" s="23">
        <v>71</v>
      </c>
      <c r="AV78" s="97"/>
    </row>
    <row r="79" spans="1:48" s="160" customFormat="1" ht="45.95" customHeight="1" x14ac:dyDescent="0.2">
      <c r="A79" s="21" t="s">
        <v>54</v>
      </c>
      <c r="B79" s="67" t="s">
        <v>249</v>
      </c>
      <c r="C79" s="239" t="s">
        <v>270</v>
      </c>
      <c r="D79" s="29" t="s">
        <v>271</v>
      </c>
      <c r="E79" s="152" t="s">
        <v>252</v>
      </c>
      <c r="F79" s="27" t="s">
        <v>375</v>
      </c>
      <c r="G79" s="27" t="s">
        <v>272</v>
      </c>
      <c r="H79" s="27" t="s">
        <v>254</v>
      </c>
      <c r="I79" s="152"/>
      <c r="J79" s="22" t="s">
        <v>273</v>
      </c>
      <c r="K79" s="22" t="s">
        <v>386</v>
      </c>
      <c r="L79" s="22" t="s">
        <v>217</v>
      </c>
      <c r="M79" s="30" t="s">
        <v>274</v>
      </c>
      <c r="N79" s="22" t="s">
        <v>275</v>
      </c>
      <c r="O79" s="24" t="s">
        <v>276</v>
      </c>
      <c r="P79" s="24" t="s">
        <v>277</v>
      </c>
      <c r="Q79" s="24" t="s">
        <v>278</v>
      </c>
      <c r="R79" s="7">
        <v>3600</v>
      </c>
      <c r="S79" s="37" t="s">
        <v>21</v>
      </c>
      <c r="T79" s="37"/>
      <c r="U79" s="252"/>
      <c r="V79" s="252">
        <v>2E-3</v>
      </c>
      <c r="W79" s="252"/>
      <c r="X79" s="268"/>
      <c r="Y79" s="252"/>
      <c r="Z79" s="268"/>
      <c r="AA79" s="252"/>
      <c r="AB79" s="252">
        <v>2E-3</v>
      </c>
      <c r="AC79" s="252"/>
      <c r="AD79" s="268"/>
      <c r="AE79" s="252"/>
      <c r="AF79" s="268"/>
      <c r="AG79" s="83">
        <f>AI79+AJ79+AK79+AM79</f>
        <v>98.687973830000004</v>
      </c>
      <c r="AH79" s="83">
        <f>Tabla1[[#This Row],[FONDOS GOES
(Millones US$)
(A)]]+Tabla1[[#This Row],[FONDOS PROPIOS 
(Millones US$)
(B)]]</f>
        <v>98.362973830000001</v>
      </c>
      <c r="AI79" s="83">
        <v>98.362973830000001</v>
      </c>
      <c r="AJ79" s="83"/>
      <c r="AK79" s="83">
        <v>0.15</v>
      </c>
      <c r="AL79" s="83" t="s">
        <v>259</v>
      </c>
      <c r="AM79" s="83">
        <v>0.17500000000000002</v>
      </c>
      <c r="AN79" s="83" t="s">
        <v>260</v>
      </c>
      <c r="AO79" s="87"/>
      <c r="AP79" s="8">
        <v>68.42</v>
      </c>
      <c r="AQ79" s="8">
        <v>28.42</v>
      </c>
      <c r="AR79" s="8">
        <v>40</v>
      </c>
      <c r="AS79" s="27" t="s">
        <v>252</v>
      </c>
      <c r="AT79" s="23">
        <v>72</v>
      </c>
      <c r="AV79" s="97"/>
    </row>
    <row r="80" spans="1:48" s="160" customFormat="1" ht="45.95" customHeight="1" x14ac:dyDescent="0.2">
      <c r="A80" s="39" t="s">
        <v>54</v>
      </c>
      <c r="B80" s="68" t="s">
        <v>249</v>
      </c>
      <c r="C80" s="64" t="s">
        <v>279</v>
      </c>
      <c r="D80" s="40" t="s">
        <v>280</v>
      </c>
      <c r="E80" s="41"/>
      <c r="F80" s="41"/>
      <c r="G80" s="41"/>
      <c r="H80" s="41"/>
      <c r="I80" s="41"/>
      <c r="J80" s="42"/>
      <c r="K80" s="42"/>
      <c r="L80" s="42"/>
      <c r="M80" s="43"/>
      <c r="N80" s="42"/>
      <c r="O80" s="44"/>
      <c r="P80" s="44"/>
      <c r="Q80" s="44"/>
      <c r="R80" s="44"/>
      <c r="S80" s="45"/>
      <c r="T80" s="45"/>
      <c r="U80" s="259"/>
      <c r="V80" s="259"/>
      <c r="W80" s="259"/>
      <c r="X80" s="270"/>
      <c r="Y80" s="259"/>
      <c r="Z80" s="270"/>
      <c r="AA80" s="259"/>
      <c r="AB80" s="259"/>
      <c r="AC80" s="259"/>
      <c r="AD80" s="270"/>
      <c r="AE80" s="259"/>
      <c r="AF80" s="270"/>
      <c r="AG80" s="84"/>
      <c r="AH80" s="84">
        <f>Tabla1[[#This Row],[FONDOS GOES
(Millones US$)
(A)]]+Tabla1[[#This Row],[FONDOS PROPIOS 
(Millones US$)
(B)]]</f>
        <v>0</v>
      </c>
      <c r="AI80" s="84"/>
      <c r="AJ80" s="84"/>
      <c r="AK80" s="84"/>
      <c r="AL80" s="84"/>
      <c r="AM80" s="84"/>
      <c r="AN80" s="84"/>
      <c r="AO80" s="88"/>
      <c r="AP80" s="46"/>
      <c r="AQ80" s="46"/>
      <c r="AR80" s="46"/>
      <c r="AS80" s="41"/>
      <c r="AT80" s="23">
        <v>73</v>
      </c>
      <c r="AV80" s="97"/>
    </row>
    <row r="81" spans="1:48" s="9" customFormat="1" ht="45.95" customHeight="1" x14ac:dyDescent="0.2">
      <c r="A81" s="21" t="s">
        <v>54</v>
      </c>
      <c r="B81" s="67" t="s">
        <v>249</v>
      </c>
      <c r="C81" s="256" t="s">
        <v>279</v>
      </c>
      <c r="D81" s="29" t="s">
        <v>280</v>
      </c>
      <c r="E81" s="27" t="s">
        <v>283</v>
      </c>
      <c r="F81" s="27" t="s">
        <v>114</v>
      </c>
      <c r="G81" s="27" t="s">
        <v>120</v>
      </c>
      <c r="H81" s="27" t="s">
        <v>341</v>
      </c>
      <c r="I81" s="27"/>
      <c r="J81" s="22" t="s">
        <v>363</v>
      </c>
      <c r="K81" s="22" t="s">
        <v>364</v>
      </c>
      <c r="L81" s="22" t="s">
        <v>365</v>
      </c>
      <c r="M81" s="30" t="s">
        <v>366</v>
      </c>
      <c r="N81" s="22" t="s">
        <v>367</v>
      </c>
      <c r="O81" s="163">
        <v>10389</v>
      </c>
      <c r="P81" s="163"/>
      <c r="Q81" s="163">
        <v>10389</v>
      </c>
      <c r="R81" s="7"/>
      <c r="S81" s="37"/>
      <c r="T81" s="37"/>
      <c r="U81" s="252"/>
      <c r="V81" s="252"/>
      <c r="W81" s="252"/>
      <c r="X81" s="268"/>
      <c r="Y81" s="252"/>
      <c r="Z81" s="268"/>
      <c r="AA81" s="252"/>
      <c r="AB81" s="252"/>
      <c r="AC81" s="252"/>
      <c r="AD81" s="268"/>
      <c r="AE81" s="252"/>
      <c r="AF81" s="268"/>
      <c r="AG81" s="83">
        <f>AI81+AJ81+AK81+AM81</f>
        <v>1.1419999999999999</v>
      </c>
      <c r="AH81" s="83">
        <f>Tabla1[[#This Row],[FONDOS GOES
(Millones US$)
(A)]]+Tabla1[[#This Row],[FONDOS PROPIOS 
(Millones US$)
(B)]]</f>
        <v>1.1419999999999999</v>
      </c>
      <c r="AI81" s="83">
        <v>1.1419999999999999</v>
      </c>
      <c r="AJ81" s="83"/>
      <c r="AK81" s="159"/>
      <c r="AL81" s="83"/>
      <c r="AM81" s="83"/>
      <c r="AN81" s="83"/>
      <c r="AO81" s="87"/>
      <c r="AP81" s="8"/>
      <c r="AQ81" s="8"/>
      <c r="AR81" s="8"/>
      <c r="AS81" s="27" t="s">
        <v>283</v>
      </c>
      <c r="AT81" s="23">
        <v>74</v>
      </c>
      <c r="AV81" s="97"/>
    </row>
    <row r="82" spans="1:48" s="9" customFormat="1" ht="45.95" customHeight="1" x14ac:dyDescent="0.2">
      <c r="A82" s="21" t="s">
        <v>54</v>
      </c>
      <c r="B82" s="67" t="s">
        <v>249</v>
      </c>
      <c r="C82" s="256" t="s">
        <v>279</v>
      </c>
      <c r="D82" s="29" t="s">
        <v>280</v>
      </c>
      <c r="E82" s="27" t="s">
        <v>283</v>
      </c>
      <c r="F82" s="27" t="s">
        <v>114</v>
      </c>
      <c r="G82" s="27" t="s">
        <v>120</v>
      </c>
      <c r="H82" s="27" t="s">
        <v>341</v>
      </c>
      <c r="I82" s="27"/>
      <c r="J82" s="22" t="s">
        <v>368</v>
      </c>
      <c r="K82" s="22" t="s">
        <v>369</v>
      </c>
      <c r="L82" s="22" t="s">
        <v>370</v>
      </c>
      <c r="M82" s="30" t="s">
        <v>371</v>
      </c>
      <c r="N82" s="22" t="s">
        <v>372</v>
      </c>
      <c r="O82" s="163">
        <v>9332</v>
      </c>
      <c r="P82" s="163"/>
      <c r="Q82" s="163">
        <v>9332</v>
      </c>
      <c r="R82" s="7"/>
      <c r="S82" s="37"/>
      <c r="T82" s="37"/>
      <c r="U82" s="252"/>
      <c r="V82" s="252"/>
      <c r="W82" s="252"/>
      <c r="X82" s="268"/>
      <c r="Y82" s="252"/>
      <c r="Z82" s="268"/>
      <c r="AA82" s="252"/>
      <c r="AB82" s="252"/>
      <c r="AC82" s="252"/>
      <c r="AD82" s="268"/>
      <c r="AE82" s="252"/>
      <c r="AF82" s="268"/>
      <c r="AG82" s="83">
        <f>AI82+AJ82+AK82+AM82</f>
        <v>1.8380000000000001</v>
      </c>
      <c r="AH82" s="83">
        <f>Tabla1[[#This Row],[FONDOS GOES
(Millones US$)
(A)]]+Tabla1[[#This Row],[FONDOS PROPIOS 
(Millones US$)
(B)]]</f>
        <v>1.8380000000000001</v>
      </c>
      <c r="AI82" s="83">
        <v>1.8380000000000001</v>
      </c>
      <c r="AJ82" s="83"/>
      <c r="AK82" s="159"/>
      <c r="AL82" s="83"/>
      <c r="AM82" s="83"/>
      <c r="AN82" s="83"/>
      <c r="AO82" s="87"/>
      <c r="AP82" s="8"/>
      <c r="AQ82" s="8"/>
      <c r="AR82" s="8"/>
      <c r="AS82" s="27" t="s">
        <v>283</v>
      </c>
      <c r="AT82" s="23">
        <v>75</v>
      </c>
      <c r="AV82" s="97"/>
    </row>
    <row r="83" spans="1:48" s="9" customFormat="1" ht="45.95" customHeight="1" x14ac:dyDescent="0.2">
      <c r="A83" s="39" t="s">
        <v>54</v>
      </c>
      <c r="B83" s="68" t="s">
        <v>142</v>
      </c>
      <c r="C83" s="64" t="s">
        <v>143</v>
      </c>
      <c r="D83" s="40" t="s">
        <v>144</v>
      </c>
      <c r="E83" s="41"/>
      <c r="F83" s="41"/>
      <c r="G83" s="41"/>
      <c r="H83" s="41"/>
      <c r="I83" s="41"/>
      <c r="J83" s="42"/>
      <c r="K83" s="42"/>
      <c r="L83" s="42"/>
      <c r="M83" s="43"/>
      <c r="N83" s="42"/>
      <c r="O83" s="44"/>
      <c r="P83" s="44"/>
      <c r="Q83" s="44"/>
      <c r="R83" s="44"/>
      <c r="S83" s="45"/>
      <c r="T83" s="45"/>
      <c r="U83" s="259"/>
      <c r="V83" s="259"/>
      <c r="W83" s="259"/>
      <c r="X83" s="270"/>
      <c r="Y83" s="259"/>
      <c r="Z83" s="270"/>
      <c r="AA83" s="259"/>
      <c r="AB83" s="259"/>
      <c r="AC83" s="259"/>
      <c r="AD83" s="270"/>
      <c r="AE83" s="259"/>
      <c r="AF83" s="270"/>
      <c r="AG83" s="84"/>
      <c r="AH83" s="84">
        <f>Tabla1[[#This Row],[FONDOS GOES
(Millones US$)
(A)]]+Tabla1[[#This Row],[FONDOS PROPIOS 
(Millones US$)
(B)]]</f>
        <v>0</v>
      </c>
      <c r="AI83" s="84"/>
      <c r="AJ83" s="84"/>
      <c r="AK83" s="84"/>
      <c r="AL83" s="84"/>
      <c r="AM83" s="84"/>
      <c r="AN83" s="84"/>
      <c r="AO83" s="88"/>
      <c r="AP83" s="46"/>
      <c r="AQ83" s="46"/>
      <c r="AR83" s="46"/>
      <c r="AS83" s="41"/>
      <c r="AT83" s="23">
        <v>76</v>
      </c>
      <c r="AV83" s="97"/>
    </row>
    <row r="84" spans="1:48" s="9" customFormat="1" ht="45.95" customHeight="1" x14ac:dyDescent="0.2">
      <c r="A84" s="21" t="s">
        <v>54</v>
      </c>
      <c r="B84" s="67" t="s">
        <v>142</v>
      </c>
      <c r="C84" s="239" t="s">
        <v>143</v>
      </c>
      <c r="D84" s="29" t="s">
        <v>144</v>
      </c>
      <c r="E84" s="27" t="s">
        <v>532</v>
      </c>
      <c r="F84" s="27" t="s">
        <v>140</v>
      </c>
      <c r="G84" s="27" t="s">
        <v>140</v>
      </c>
      <c r="H84" s="27" t="s">
        <v>145</v>
      </c>
      <c r="I84" s="152" t="s">
        <v>146</v>
      </c>
      <c r="J84" s="22" t="s">
        <v>147</v>
      </c>
      <c r="K84" s="22" t="s">
        <v>148</v>
      </c>
      <c r="L84" s="22" t="s">
        <v>149</v>
      </c>
      <c r="M84" s="30" t="s">
        <v>150</v>
      </c>
      <c r="N84" s="22" t="s">
        <v>151</v>
      </c>
      <c r="O84" s="7"/>
      <c r="P84" s="7">
        <v>600</v>
      </c>
      <c r="Q84" s="7">
        <v>1200</v>
      </c>
      <c r="R84" s="7">
        <v>3600</v>
      </c>
      <c r="S84" s="37" t="s">
        <v>21</v>
      </c>
      <c r="T84" s="37"/>
      <c r="U84" s="252">
        <v>0.40679999999999999</v>
      </c>
      <c r="V84" s="252"/>
      <c r="W84" s="252"/>
      <c r="X84" s="268"/>
      <c r="Y84" s="252"/>
      <c r="Z84" s="268"/>
      <c r="AA84" s="252">
        <v>0.40679999999999999</v>
      </c>
      <c r="AB84" s="252"/>
      <c r="AC84" s="252"/>
      <c r="AD84" s="268"/>
      <c r="AE84" s="252"/>
      <c r="AF84" s="268"/>
      <c r="AG84" s="83">
        <v>1.7062999999999999</v>
      </c>
      <c r="AH84" s="83">
        <f>Tabla1[[#This Row],[FONDOS GOES
(Millones US$)
(A)]]+Tabla1[[#This Row],[FONDOS PROPIOS 
(Millones US$)
(B)]]</f>
        <v>0.1963</v>
      </c>
      <c r="AI84" s="83">
        <v>0.1963</v>
      </c>
      <c r="AJ84" s="83"/>
      <c r="AK84" s="83">
        <v>1.51</v>
      </c>
      <c r="AL84" s="83" t="s">
        <v>90</v>
      </c>
      <c r="AM84" s="83"/>
      <c r="AN84" s="83"/>
      <c r="AO84" s="87"/>
      <c r="AP84" s="8">
        <v>68.42</v>
      </c>
      <c r="AQ84" s="8">
        <v>28.42</v>
      </c>
      <c r="AR84" s="8">
        <v>40</v>
      </c>
      <c r="AS84" s="27" t="s">
        <v>560</v>
      </c>
      <c r="AT84" s="23">
        <v>77</v>
      </c>
      <c r="AV84" s="97"/>
    </row>
    <row r="85" spans="1:48" s="9" customFormat="1" ht="45.95" customHeight="1" x14ac:dyDescent="0.2">
      <c r="A85" s="39" t="s">
        <v>54</v>
      </c>
      <c r="B85" s="68" t="s">
        <v>142</v>
      </c>
      <c r="C85" s="64" t="s">
        <v>152</v>
      </c>
      <c r="D85" s="40" t="s">
        <v>153</v>
      </c>
      <c r="E85" s="41"/>
      <c r="F85" s="41"/>
      <c r="G85" s="41"/>
      <c r="H85" s="41"/>
      <c r="I85" s="41"/>
      <c r="J85" s="42"/>
      <c r="K85" s="42"/>
      <c r="L85" s="42"/>
      <c r="M85" s="43"/>
      <c r="N85" s="42"/>
      <c r="O85" s="44"/>
      <c r="P85" s="44"/>
      <c r="Q85" s="44"/>
      <c r="R85" s="44"/>
      <c r="S85" s="45"/>
      <c r="T85" s="45"/>
      <c r="U85" s="259"/>
      <c r="V85" s="259"/>
      <c r="W85" s="259"/>
      <c r="X85" s="270"/>
      <c r="Y85" s="259"/>
      <c r="Z85" s="270"/>
      <c r="AA85" s="259"/>
      <c r="AB85" s="259"/>
      <c r="AC85" s="259"/>
      <c r="AD85" s="270"/>
      <c r="AE85" s="259"/>
      <c r="AF85" s="270"/>
      <c r="AG85" s="84"/>
      <c r="AH85" s="84">
        <f>Tabla1[[#This Row],[FONDOS GOES
(Millones US$)
(A)]]+Tabla1[[#This Row],[FONDOS PROPIOS 
(Millones US$)
(B)]]</f>
        <v>0</v>
      </c>
      <c r="AI85" s="84"/>
      <c r="AJ85" s="84"/>
      <c r="AK85" s="84"/>
      <c r="AL85" s="84"/>
      <c r="AM85" s="84"/>
      <c r="AN85" s="84"/>
      <c r="AO85" s="88"/>
      <c r="AP85" s="46"/>
      <c r="AQ85" s="46"/>
      <c r="AR85" s="46"/>
      <c r="AS85" s="41"/>
      <c r="AT85" s="23">
        <v>78</v>
      </c>
      <c r="AV85" s="97"/>
    </row>
    <row r="86" spans="1:48" s="9" customFormat="1" ht="45.95" customHeight="1" x14ac:dyDescent="0.2">
      <c r="A86" s="21" t="s">
        <v>54</v>
      </c>
      <c r="B86" s="126" t="s">
        <v>142</v>
      </c>
      <c r="C86" s="257" t="s">
        <v>152</v>
      </c>
      <c r="D86" s="128" t="s">
        <v>153</v>
      </c>
      <c r="E86" s="27" t="s">
        <v>532</v>
      </c>
      <c r="F86" s="27" t="s">
        <v>140</v>
      </c>
      <c r="G86" s="27" t="s">
        <v>140</v>
      </c>
      <c r="H86" s="27" t="s">
        <v>145</v>
      </c>
      <c r="I86" s="27" t="s">
        <v>154</v>
      </c>
      <c r="J86" s="22" t="s">
        <v>155</v>
      </c>
      <c r="K86" s="22" t="s">
        <v>156</v>
      </c>
      <c r="L86" s="22" t="s">
        <v>157</v>
      </c>
      <c r="M86" s="30" t="s">
        <v>158</v>
      </c>
      <c r="N86" s="22" t="s">
        <v>159</v>
      </c>
      <c r="O86" s="7">
        <v>6920</v>
      </c>
      <c r="P86" s="7">
        <v>11720</v>
      </c>
      <c r="Q86" s="7">
        <v>18520</v>
      </c>
      <c r="R86" s="7">
        <v>46920</v>
      </c>
      <c r="S86" s="37" t="s">
        <v>21</v>
      </c>
      <c r="T86" s="37"/>
      <c r="U86" s="252">
        <v>4.2</v>
      </c>
      <c r="V86" s="252"/>
      <c r="W86" s="252"/>
      <c r="X86" s="268"/>
      <c r="Y86" s="252"/>
      <c r="Z86" s="268"/>
      <c r="AA86" s="252">
        <v>4.2</v>
      </c>
      <c r="AB86" s="252"/>
      <c r="AC86" s="252"/>
      <c r="AD86" s="268"/>
      <c r="AE86" s="252"/>
      <c r="AF86" s="268"/>
      <c r="AG86" s="83">
        <v>4.2</v>
      </c>
      <c r="AH86" s="83">
        <f>Tabla1[[#This Row],[FONDOS GOES
(Millones US$)
(A)]]+Tabla1[[#This Row],[FONDOS PROPIOS 
(Millones US$)
(B)]]</f>
        <v>0</v>
      </c>
      <c r="AI86" s="83"/>
      <c r="AJ86" s="83"/>
      <c r="AK86" s="83">
        <v>4.2</v>
      </c>
      <c r="AL86" s="161" t="s">
        <v>89</v>
      </c>
      <c r="AM86" s="83"/>
      <c r="AN86" s="83"/>
      <c r="AO86" s="87"/>
      <c r="AP86" s="8">
        <v>141.19999999999999</v>
      </c>
      <c r="AQ86" s="8">
        <v>71.2</v>
      </c>
      <c r="AR86" s="8">
        <v>70</v>
      </c>
      <c r="AS86" s="27" t="s">
        <v>560</v>
      </c>
      <c r="AT86" s="23">
        <v>79</v>
      </c>
      <c r="AV86" s="97"/>
    </row>
    <row r="87" spans="1:48" s="9" customFormat="1" ht="45.95" customHeight="1" x14ac:dyDescent="0.2">
      <c r="A87" s="21" t="s">
        <v>54</v>
      </c>
      <c r="B87" s="126" t="s">
        <v>142</v>
      </c>
      <c r="C87" s="257" t="s">
        <v>152</v>
      </c>
      <c r="D87" s="128" t="s">
        <v>153</v>
      </c>
      <c r="E87" s="27" t="s">
        <v>532</v>
      </c>
      <c r="F87" s="27" t="s">
        <v>140</v>
      </c>
      <c r="G87" s="27" t="s">
        <v>140</v>
      </c>
      <c r="H87" s="27" t="s">
        <v>145</v>
      </c>
      <c r="I87" s="27" t="s">
        <v>160</v>
      </c>
      <c r="J87" s="22" t="s">
        <v>161</v>
      </c>
      <c r="K87" s="22" t="s">
        <v>156</v>
      </c>
      <c r="L87" s="22" t="s">
        <v>162</v>
      </c>
      <c r="M87" s="30" t="s">
        <v>158</v>
      </c>
      <c r="N87" s="22" t="s">
        <v>159</v>
      </c>
      <c r="O87" s="7"/>
      <c r="P87" s="7"/>
      <c r="Q87" s="7"/>
      <c r="R87" s="7"/>
      <c r="S87" s="37"/>
      <c r="T87" s="37"/>
      <c r="U87" s="252">
        <v>5.5</v>
      </c>
      <c r="V87" s="252"/>
      <c r="W87" s="252"/>
      <c r="X87" s="268"/>
      <c r="Y87" s="252"/>
      <c r="Z87" s="268"/>
      <c r="AA87" s="252">
        <v>5.5</v>
      </c>
      <c r="AB87" s="252"/>
      <c r="AC87" s="252"/>
      <c r="AD87" s="268"/>
      <c r="AE87" s="252"/>
      <c r="AF87" s="268"/>
      <c r="AG87" s="83">
        <v>5.5</v>
      </c>
      <c r="AH87" s="83">
        <f>Tabla1[[#This Row],[FONDOS GOES
(Millones US$)
(A)]]+Tabla1[[#This Row],[FONDOS PROPIOS 
(Millones US$)
(B)]]</f>
        <v>0</v>
      </c>
      <c r="AI87" s="83"/>
      <c r="AJ87" s="83"/>
      <c r="AK87" s="83">
        <v>5.5</v>
      </c>
      <c r="AL87" s="161" t="s">
        <v>373</v>
      </c>
      <c r="AM87" s="83"/>
      <c r="AN87" s="83"/>
      <c r="AO87" s="87"/>
      <c r="AP87" s="8"/>
      <c r="AQ87" s="8"/>
      <c r="AR87" s="8"/>
      <c r="AS87" s="27" t="s">
        <v>560</v>
      </c>
      <c r="AT87" s="23">
        <v>80</v>
      </c>
      <c r="AV87" s="97"/>
    </row>
    <row r="88" spans="1:48" s="9" customFormat="1" ht="45.95" customHeight="1" x14ac:dyDescent="0.2">
      <c r="A88" s="21" t="s">
        <v>54</v>
      </c>
      <c r="B88" s="126" t="s">
        <v>142</v>
      </c>
      <c r="C88" s="158" t="s">
        <v>152</v>
      </c>
      <c r="D88" s="29" t="s">
        <v>153</v>
      </c>
      <c r="E88" s="27" t="s">
        <v>165</v>
      </c>
      <c r="F88" s="27" t="s">
        <v>184</v>
      </c>
      <c r="G88" s="27" t="s">
        <v>185</v>
      </c>
      <c r="H88" s="27" t="s">
        <v>186</v>
      </c>
      <c r="I88" s="27" t="s">
        <v>187</v>
      </c>
      <c r="J88" s="22" t="s">
        <v>188</v>
      </c>
      <c r="K88" s="22" t="s">
        <v>189</v>
      </c>
      <c r="L88" s="22" t="s">
        <v>190</v>
      </c>
      <c r="M88" s="30" t="s">
        <v>191</v>
      </c>
      <c r="N88" s="22" t="s">
        <v>192</v>
      </c>
      <c r="O88" s="7" t="s">
        <v>193</v>
      </c>
      <c r="P88" s="7" t="s">
        <v>193</v>
      </c>
      <c r="Q88" s="7">
        <v>2125</v>
      </c>
      <c r="R88" s="7">
        <v>8500</v>
      </c>
      <c r="S88" s="37" t="s">
        <v>21</v>
      </c>
      <c r="T88" s="37" t="s">
        <v>21</v>
      </c>
      <c r="U88" s="252">
        <v>6.4961500000000001</v>
      </c>
      <c r="V88" s="252">
        <v>2E-3</v>
      </c>
      <c r="W88" s="252">
        <v>6.4941500000000003</v>
      </c>
      <c r="X88" s="268"/>
      <c r="Y88" s="252"/>
      <c r="Z88" s="268"/>
      <c r="AA88" s="252">
        <v>6.4961500000000001</v>
      </c>
      <c r="AB88" s="252">
        <v>2E-3</v>
      </c>
      <c r="AC88" s="252">
        <v>6.4941500000000003</v>
      </c>
      <c r="AD88" s="268"/>
      <c r="AE88" s="252"/>
      <c r="AF88" s="268"/>
      <c r="AG88" s="83">
        <v>4.3</v>
      </c>
      <c r="AH88" s="83">
        <f>Tabla1[[#This Row],[FONDOS GOES
(Millones US$)
(A)]]+Tabla1[[#This Row],[FONDOS PROPIOS 
(Millones US$)
(B)]]</f>
        <v>2</v>
      </c>
      <c r="AI88" s="83">
        <v>2</v>
      </c>
      <c r="AJ88" s="83"/>
      <c r="AK88" s="83">
        <v>1.4</v>
      </c>
      <c r="AL88" s="83" t="s">
        <v>89</v>
      </c>
      <c r="AM88" s="83">
        <v>0.9</v>
      </c>
      <c r="AN88" s="83" t="s">
        <v>376</v>
      </c>
      <c r="AO88" s="87"/>
      <c r="AP88" s="8"/>
      <c r="AQ88" s="8"/>
      <c r="AR88" s="8"/>
      <c r="AS88" s="27" t="s">
        <v>165</v>
      </c>
      <c r="AT88" s="23">
        <v>81</v>
      </c>
      <c r="AV88" s="97"/>
    </row>
    <row r="89" spans="1:48" s="9" customFormat="1" ht="45.95" customHeight="1" x14ac:dyDescent="0.2">
      <c r="A89" s="21" t="s">
        <v>54</v>
      </c>
      <c r="B89" s="126" t="s">
        <v>142</v>
      </c>
      <c r="C89" s="158" t="s">
        <v>152</v>
      </c>
      <c r="D89" s="29" t="s">
        <v>153</v>
      </c>
      <c r="E89" s="27" t="s">
        <v>165</v>
      </c>
      <c r="F89" s="27" t="s">
        <v>184</v>
      </c>
      <c r="G89" s="27" t="s">
        <v>185</v>
      </c>
      <c r="H89" s="27" t="s">
        <v>186</v>
      </c>
      <c r="I89" s="27" t="s">
        <v>194</v>
      </c>
      <c r="J89" s="22" t="s">
        <v>195</v>
      </c>
      <c r="K89" s="22" t="s">
        <v>196</v>
      </c>
      <c r="L89" s="22" t="s">
        <v>190</v>
      </c>
      <c r="M89" s="30" t="s">
        <v>191</v>
      </c>
      <c r="N89" s="22" t="s">
        <v>192</v>
      </c>
      <c r="O89" s="7" t="s">
        <v>193</v>
      </c>
      <c r="P89" s="7" t="s">
        <v>193</v>
      </c>
      <c r="Q89" s="7">
        <v>1350</v>
      </c>
      <c r="R89" s="7">
        <v>5400</v>
      </c>
      <c r="S89" s="37" t="s">
        <v>21</v>
      </c>
      <c r="T89" s="37" t="s">
        <v>21</v>
      </c>
      <c r="U89" s="252"/>
      <c r="V89" s="252">
        <v>2E-3</v>
      </c>
      <c r="W89" s="252"/>
      <c r="X89" s="268"/>
      <c r="Y89" s="252"/>
      <c r="Z89" s="268"/>
      <c r="AA89" s="252"/>
      <c r="AB89" s="252">
        <v>2E-3</v>
      </c>
      <c r="AC89" s="252"/>
      <c r="AD89" s="268"/>
      <c r="AE89" s="252"/>
      <c r="AF89" s="268"/>
      <c r="AG89" s="83">
        <v>3</v>
      </c>
      <c r="AH89" s="83">
        <f>Tabla1[[#This Row],[FONDOS GOES
(Millones US$)
(A)]]+Tabla1[[#This Row],[FONDOS PROPIOS 
(Millones US$)
(B)]]</f>
        <v>3</v>
      </c>
      <c r="AI89" s="83">
        <v>3</v>
      </c>
      <c r="AJ89" s="83"/>
      <c r="AK89" s="159"/>
      <c r="AL89" s="83"/>
      <c r="AM89" s="83"/>
      <c r="AN89" s="83"/>
      <c r="AO89" s="87"/>
      <c r="AP89" s="8"/>
      <c r="AQ89" s="8"/>
      <c r="AR89" s="8"/>
      <c r="AS89" s="27" t="s">
        <v>165</v>
      </c>
      <c r="AT89" s="23">
        <v>82</v>
      </c>
      <c r="AV89" s="97"/>
    </row>
    <row r="90" spans="1:48" s="9" customFormat="1" ht="45.95" customHeight="1" x14ac:dyDescent="0.2">
      <c r="A90" s="21" t="s">
        <v>54</v>
      </c>
      <c r="B90" s="126" t="s">
        <v>142</v>
      </c>
      <c r="C90" s="235" t="s">
        <v>152</v>
      </c>
      <c r="D90" s="29" t="s">
        <v>153</v>
      </c>
      <c r="E90" s="27" t="s">
        <v>408</v>
      </c>
      <c r="F90" s="27"/>
      <c r="G90" s="27"/>
      <c r="H90" s="27"/>
      <c r="I90" s="27"/>
      <c r="J90" s="22" t="s">
        <v>409</v>
      </c>
      <c r="K90" s="22" t="s">
        <v>539</v>
      </c>
      <c r="L90" s="22" t="s">
        <v>410</v>
      </c>
      <c r="M90" s="30" t="s">
        <v>411</v>
      </c>
      <c r="N90" s="22" t="s">
        <v>412</v>
      </c>
      <c r="O90" s="7" t="s">
        <v>413</v>
      </c>
      <c r="P90" s="7"/>
      <c r="Q90" s="24">
        <v>1.5</v>
      </c>
      <c r="R90" s="7"/>
      <c r="S90" s="37"/>
      <c r="T90" s="37"/>
      <c r="U90" s="252">
        <v>175.10000000000002</v>
      </c>
      <c r="V90" s="252">
        <f>85.7</f>
        <v>85.7</v>
      </c>
      <c r="W90" s="252">
        <v>89.4</v>
      </c>
      <c r="X90" s="268" t="s">
        <v>590</v>
      </c>
      <c r="Y90" s="252"/>
      <c r="Z90" s="268"/>
      <c r="AA90" s="252">
        <v>175.10000000000002</v>
      </c>
      <c r="AB90" s="252">
        <f>85.7</f>
        <v>85.7</v>
      </c>
      <c r="AC90" s="252">
        <v>89.4</v>
      </c>
      <c r="AD90" s="268" t="s">
        <v>590</v>
      </c>
      <c r="AE90" s="252"/>
      <c r="AF90" s="268"/>
      <c r="AG90" s="83">
        <v>70</v>
      </c>
      <c r="AH90" s="83">
        <f>Tabla1[[#This Row],[FONDOS GOES
(Millones US$)
(A)]]+Tabla1[[#This Row],[FONDOS PROPIOS 
(Millones US$)
(B)]]</f>
        <v>70</v>
      </c>
      <c r="AI90" s="83"/>
      <c r="AJ90" s="83">
        <v>70</v>
      </c>
      <c r="AK90" s="159"/>
      <c r="AL90" s="83"/>
      <c r="AM90" s="83"/>
      <c r="AN90" s="83"/>
      <c r="AO90" s="87"/>
      <c r="AP90" s="8"/>
      <c r="AQ90" s="8"/>
      <c r="AR90" s="8"/>
      <c r="AS90" s="27" t="s">
        <v>408</v>
      </c>
      <c r="AT90" s="23">
        <v>83</v>
      </c>
      <c r="AV90" s="97"/>
    </row>
    <row r="91" spans="1:48" s="9" customFormat="1" ht="45.95" customHeight="1" x14ac:dyDescent="0.2">
      <c r="A91" s="39" t="s">
        <v>54</v>
      </c>
      <c r="B91" s="68" t="s">
        <v>40</v>
      </c>
      <c r="C91" s="64" t="s">
        <v>203</v>
      </c>
      <c r="D91" s="40" t="s">
        <v>26</v>
      </c>
      <c r="E91" s="41"/>
      <c r="F91" s="41"/>
      <c r="G91" s="41"/>
      <c r="H91" s="41"/>
      <c r="I91" s="41"/>
      <c r="J91" s="42"/>
      <c r="K91" s="42"/>
      <c r="L91" s="42"/>
      <c r="M91" s="43"/>
      <c r="N91" s="42"/>
      <c r="O91" s="44"/>
      <c r="P91" s="44"/>
      <c r="Q91" s="44"/>
      <c r="R91" s="44"/>
      <c r="S91" s="45"/>
      <c r="T91" s="45"/>
      <c r="U91" s="259"/>
      <c r="V91" s="259"/>
      <c r="W91" s="259"/>
      <c r="X91" s="270"/>
      <c r="Y91" s="259"/>
      <c r="Z91" s="270"/>
      <c r="AA91" s="259"/>
      <c r="AB91" s="259"/>
      <c r="AC91" s="259"/>
      <c r="AD91" s="270"/>
      <c r="AE91" s="259"/>
      <c r="AF91" s="270"/>
      <c r="AG91" s="84"/>
      <c r="AH91" s="84">
        <f>Tabla1[[#This Row],[FONDOS GOES
(Millones US$)
(A)]]+Tabla1[[#This Row],[FONDOS PROPIOS 
(Millones US$)
(B)]]</f>
        <v>0</v>
      </c>
      <c r="AI91" s="84"/>
      <c r="AJ91" s="84"/>
      <c r="AK91" s="84"/>
      <c r="AL91" s="84"/>
      <c r="AM91" s="84"/>
      <c r="AN91" s="84"/>
      <c r="AO91" s="88"/>
      <c r="AP91" s="46"/>
      <c r="AQ91" s="46"/>
      <c r="AR91" s="46"/>
      <c r="AS91" s="41"/>
      <c r="AT91" s="23">
        <v>84</v>
      </c>
      <c r="AV91" s="97"/>
    </row>
    <row r="92" spans="1:48" s="20" customFormat="1" ht="56.25" customHeight="1" x14ac:dyDescent="0.2">
      <c r="A92" s="21" t="s">
        <v>54</v>
      </c>
      <c r="B92" s="126" t="s">
        <v>40</v>
      </c>
      <c r="C92" s="125" t="s">
        <v>203</v>
      </c>
      <c r="D92" s="128" t="s">
        <v>26</v>
      </c>
      <c r="E92" s="27" t="s">
        <v>165</v>
      </c>
      <c r="F92" s="27" t="s">
        <v>167</v>
      </c>
      <c r="G92" s="27" t="s">
        <v>168</v>
      </c>
      <c r="H92" s="27" t="s">
        <v>169</v>
      </c>
      <c r="I92" s="27" t="s">
        <v>166</v>
      </c>
      <c r="J92" s="22" t="s">
        <v>204</v>
      </c>
      <c r="K92" s="22" t="s">
        <v>205</v>
      </c>
      <c r="L92" s="22" t="s">
        <v>206</v>
      </c>
      <c r="M92" s="30" t="s">
        <v>207</v>
      </c>
      <c r="N92" s="22" t="s">
        <v>208</v>
      </c>
      <c r="O92" s="7">
        <v>0</v>
      </c>
      <c r="P92" s="7">
        <v>0</v>
      </c>
      <c r="Q92" s="7">
        <v>700</v>
      </c>
      <c r="R92" s="7">
        <v>2100</v>
      </c>
      <c r="S92" s="37" t="s">
        <v>21</v>
      </c>
      <c r="T92" s="37"/>
      <c r="U92" s="252">
        <v>1.002</v>
      </c>
      <c r="V92" s="252">
        <v>2E-3</v>
      </c>
      <c r="W92" s="252">
        <v>1</v>
      </c>
      <c r="X92" s="268"/>
      <c r="Y92" s="252"/>
      <c r="Z92" s="268"/>
      <c r="AA92" s="252">
        <v>1.002</v>
      </c>
      <c r="AB92" s="252">
        <v>2E-3</v>
      </c>
      <c r="AC92" s="252">
        <v>1</v>
      </c>
      <c r="AD92" s="268"/>
      <c r="AE92" s="252"/>
      <c r="AF92" s="268"/>
      <c r="AG92" s="83">
        <v>1</v>
      </c>
      <c r="AH92" s="83">
        <f>Tabla1[[#This Row],[FONDOS GOES
(Millones US$)
(A)]]+Tabla1[[#This Row],[FONDOS PROPIOS 
(Millones US$)
(B)]]</f>
        <v>0</v>
      </c>
      <c r="AI92" s="83"/>
      <c r="AJ92" s="83"/>
      <c r="AK92" s="223">
        <v>1</v>
      </c>
      <c r="AL92" s="83" t="s">
        <v>89</v>
      </c>
      <c r="AM92" s="83"/>
      <c r="AN92" s="83"/>
      <c r="AO92" s="87"/>
      <c r="AP92" s="8">
        <v>141.19999999999999</v>
      </c>
      <c r="AQ92" s="8">
        <v>71.2</v>
      </c>
      <c r="AR92" s="8">
        <v>70</v>
      </c>
      <c r="AS92" s="27" t="s">
        <v>165</v>
      </c>
      <c r="AT92" s="23">
        <v>85</v>
      </c>
      <c r="AV92" s="97"/>
    </row>
    <row r="93" spans="1:48" s="20" customFormat="1" ht="56.25" customHeight="1" x14ac:dyDescent="0.2">
      <c r="A93" s="54" t="s">
        <v>45</v>
      </c>
      <c r="B93" s="69" t="s">
        <v>41</v>
      </c>
      <c r="C93" s="65" t="s">
        <v>34</v>
      </c>
      <c r="D93" s="55" t="s">
        <v>22</v>
      </c>
      <c r="E93" s="56"/>
      <c r="F93" s="56"/>
      <c r="G93" s="56"/>
      <c r="H93" s="56"/>
      <c r="I93" s="56"/>
      <c r="J93" s="57"/>
      <c r="K93" s="57"/>
      <c r="L93" s="57"/>
      <c r="M93" s="58"/>
      <c r="N93" s="57"/>
      <c r="O93" s="59"/>
      <c r="P93" s="59"/>
      <c r="Q93" s="59"/>
      <c r="R93" s="59"/>
      <c r="S93" s="60"/>
      <c r="T93" s="60"/>
      <c r="U93" s="260"/>
      <c r="V93" s="260"/>
      <c r="W93" s="260"/>
      <c r="X93" s="271"/>
      <c r="Y93" s="260"/>
      <c r="Z93" s="271"/>
      <c r="AA93" s="260"/>
      <c r="AB93" s="260"/>
      <c r="AC93" s="260"/>
      <c r="AD93" s="271"/>
      <c r="AE93" s="260"/>
      <c r="AF93" s="271"/>
      <c r="AG93" s="85"/>
      <c r="AH93" s="85">
        <f>Tabla1[[#This Row],[FONDOS GOES
(Millones US$)
(A)]]+Tabla1[[#This Row],[FONDOS PROPIOS 
(Millones US$)
(B)]]</f>
        <v>0</v>
      </c>
      <c r="AI93" s="85"/>
      <c r="AJ93" s="85"/>
      <c r="AK93" s="85"/>
      <c r="AL93" s="85"/>
      <c r="AM93" s="85"/>
      <c r="AN93" s="85"/>
      <c r="AO93" s="89"/>
      <c r="AP93" s="61"/>
      <c r="AQ93" s="61"/>
      <c r="AR93" s="61"/>
      <c r="AS93" s="56"/>
      <c r="AT93" s="23">
        <v>86</v>
      </c>
      <c r="AV93" s="97"/>
    </row>
    <row r="94" spans="1:48" s="20" customFormat="1" ht="56.25" customHeight="1" x14ac:dyDescent="0.2">
      <c r="A94" s="21" t="s">
        <v>45</v>
      </c>
      <c r="B94" s="67" t="s">
        <v>41</v>
      </c>
      <c r="C94" s="125" t="s">
        <v>34</v>
      </c>
      <c r="D94" s="126" t="s">
        <v>22</v>
      </c>
      <c r="E94" s="27" t="s">
        <v>533</v>
      </c>
      <c r="F94" s="27" t="s">
        <v>78</v>
      </c>
      <c r="G94" s="22" t="s">
        <v>79</v>
      </c>
      <c r="H94" s="27" t="s">
        <v>80</v>
      </c>
      <c r="I94" s="27" t="s">
        <v>480</v>
      </c>
      <c r="J94" s="22" t="s">
        <v>481</v>
      </c>
      <c r="K94" s="22" t="s">
        <v>75</v>
      </c>
      <c r="L94" s="22" t="s">
        <v>76</v>
      </c>
      <c r="M94" s="127">
        <v>1093579</v>
      </c>
      <c r="N94" s="22" t="s">
        <v>77</v>
      </c>
      <c r="O94" s="7">
        <v>0</v>
      </c>
      <c r="P94" s="7"/>
      <c r="Q94" s="7">
        <v>12</v>
      </c>
      <c r="R94" s="7"/>
      <c r="S94" s="37"/>
      <c r="T94" s="37"/>
      <c r="U94" s="252">
        <v>2.2076099999999999</v>
      </c>
      <c r="V94" s="252">
        <v>2.2076099999999999</v>
      </c>
      <c r="W94" s="252"/>
      <c r="X94" s="268"/>
      <c r="Y94" s="252"/>
      <c r="Z94" s="268"/>
      <c r="AA94" s="252">
        <v>2.2076099999999999</v>
      </c>
      <c r="AB94" s="252">
        <v>2.2076099999999999</v>
      </c>
      <c r="AC94" s="252"/>
      <c r="AD94" s="268"/>
      <c r="AE94" s="252"/>
      <c r="AF94" s="268"/>
      <c r="AG94" s="83">
        <f>Tabla1[[#This Row],[FONDOS GOES
(Millones US$)
(A)]]+Tabla1[[#This Row],[FONDOS PROPIOS 
(Millones US$)
(B)]]+Tabla1[[#This Row],[MONTO PRÉSTAMO
(Millones US$)
(C) ]]+Tabla1[[#This Row],[MONTO COOPERACIÓN NO REEMBOLSABLE  
(Millones US$)
(D)]]</f>
        <v>2.2076099999999999</v>
      </c>
      <c r="AH94" s="83">
        <f>Tabla1[[#This Row],[FONDOS GOES
(Millones US$)
(A)]]+Tabla1[[#This Row],[FONDOS PROPIOS 
(Millones US$)
(B)]]</f>
        <v>0</v>
      </c>
      <c r="AI94" s="83"/>
      <c r="AJ94" s="83"/>
      <c r="AK94" s="223">
        <f>2207610/1000000</f>
        <v>2.2076099999999999</v>
      </c>
      <c r="AL94" s="129" t="s">
        <v>89</v>
      </c>
      <c r="AM94" s="83"/>
      <c r="AN94" s="83"/>
      <c r="AO94" s="87"/>
      <c r="AP94" s="8"/>
      <c r="AQ94" s="8"/>
      <c r="AR94" s="8"/>
      <c r="AS94" s="28" t="s">
        <v>14</v>
      </c>
      <c r="AT94" s="23">
        <v>87</v>
      </c>
      <c r="AV94" s="97"/>
    </row>
    <row r="95" spans="1:48" s="20" customFormat="1" ht="56.25" customHeight="1" x14ac:dyDescent="0.2">
      <c r="A95" s="21" t="s">
        <v>45</v>
      </c>
      <c r="B95" s="67" t="s">
        <v>41</v>
      </c>
      <c r="C95" s="125" t="s">
        <v>34</v>
      </c>
      <c r="D95" s="126" t="s">
        <v>22</v>
      </c>
      <c r="E95" s="27" t="s">
        <v>165</v>
      </c>
      <c r="F95" s="27" t="s">
        <v>197</v>
      </c>
      <c r="G95" s="27" t="s">
        <v>198</v>
      </c>
      <c r="H95" s="27" t="s">
        <v>199</v>
      </c>
      <c r="I95" s="27" t="s">
        <v>200</v>
      </c>
      <c r="J95" s="22" t="s">
        <v>201</v>
      </c>
      <c r="K95" s="22" t="s">
        <v>202</v>
      </c>
      <c r="L95" s="22"/>
      <c r="M95" s="30"/>
      <c r="N95" s="22"/>
      <c r="O95" s="7"/>
      <c r="P95" s="7"/>
      <c r="Q95" s="7"/>
      <c r="R95" s="7"/>
      <c r="S95" s="37"/>
      <c r="T95" s="37"/>
      <c r="U95" s="252"/>
      <c r="V95" s="252"/>
      <c r="W95" s="252"/>
      <c r="X95" s="268"/>
      <c r="Y95" s="252"/>
      <c r="Z95" s="268"/>
      <c r="AA95" s="252"/>
      <c r="AB95" s="252"/>
      <c r="AC95" s="252"/>
      <c r="AD95" s="268"/>
      <c r="AE95" s="252"/>
      <c r="AF95" s="268"/>
      <c r="AG95" s="83">
        <v>1</v>
      </c>
      <c r="AH95" s="83">
        <f>Tabla1[[#This Row],[FONDOS GOES
(Millones US$)
(A)]]+Tabla1[[#This Row],[FONDOS PROPIOS 
(Millones US$)
(B)]]</f>
        <v>0</v>
      </c>
      <c r="AI95" s="83"/>
      <c r="AJ95" s="83"/>
      <c r="AK95" s="223">
        <v>1</v>
      </c>
      <c r="AL95" s="83" t="s">
        <v>89</v>
      </c>
      <c r="AM95" s="83"/>
      <c r="AN95" s="83"/>
      <c r="AO95" s="87"/>
      <c r="AP95" s="8"/>
      <c r="AQ95" s="8"/>
      <c r="AR95" s="157"/>
      <c r="AS95" s="27" t="s">
        <v>165</v>
      </c>
      <c r="AT95" s="23">
        <v>88</v>
      </c>
      <c r="AV95" s="97"/>
    </row>
    <row r="96" spans="1:48" s="9" customFormat="1" ht="45.95" customHeight="1" x14ac:dyDescent="0.2">
      <c r="A96" s="21" t="s">
        <v>45</v>
      </c>
      <c r="B96" s="67" t="s">
        <v>41</v>
      </c>
      <c r="C96" s="125" t="s">
        <v>34</v>
      </c>
      <c r="D96" s="126" t="s">
        <v>22</v>
      </c>
      <c r="E96" s="27" t="s">
        <v>534</v>
      </c>
      <c r="F96" s="27"/>
      <c r="G96" s="27"/>
      <c r="H96" s="27"/>
      <c r="I96" s="27" t="s">
        <v>496</v>
      </c>
      <c r="J96" s="22" t="s">
        <v>391</v>
      </c>
      <c r="K96" s="22" t="s">
        <v>392</v>
      </c>
      <c r="L96" s="22" t="s">
        <v>393</v>
      </c>
      <c r="M96" s="30" t="s">
        <v>394</v>
      </c>
      <c r="N96" s="22" t="s">
        <v>395</v>
      </c>
      <c r="O96" s="7"/>
      <c r="P96" s="7"/>
      <c r="Q96" s="24">
        <v>1</v>
      </c>
      <c r="R96" s="7"/>
      <c r="S96" s="37"/>
      <c r="T96" s="37"/>
      <c r="U96" s="252">
        <v>2</v>
      </c>
      <c r="V96" s="252">
        <v>2</v>
      </c>
      <c r="W96" s="252"/>
      <c r="X96" s="268"/>
      <c r="Y96" s="252"/>
      <c r="Z96" s="268"/>
      <c r="AA96" s="252">
        <v>2</v>
      </c>
      <c r="AB96" s="252">
        <v>2</v>
      </c>
      <c r="AC96" s="252"/>
      <c r="AD96" s="268"/>
      <c r="AE96" s="252"/>
      <c r="AF96" s="268"/>
      <c r="AG96" s="83">
        <v>2</v>
      </c>
      <c r="AH96" s="83">
        <f>Tabla1[[#This Row],[FONDOS GOES
(Millones US$)
(A)]]+Tabla1[[#This Row],[FONDOS PROPIOS 
(Millones US$)
(B)]]</f>
        <v>2</v>
      </c>
      <c r="AI96" s="83">
        <v>2</v>
      </c>
      <c r="AJ96" s="83"/>
      <c r="AK96" s="83"/>
      <c r="AL96" s="213"/>
      <c r="AM96" s="83"/>
      <c r="AN96" s="83"/>
      <c r="AO96" s="87"/>
      <c r="AP96" s="8"/>
      <c r="AQ96" s="8"/>
      <c r="AR96" s="8"/>
      <c r="AS96" s="27" t="s">
        <v>14</v>
      </c>
      <c r="AT96" s="23">
        <v>89</v>
      </c>
      <c r="AV96" s="97"/>
    </row>
    <row r="97" spans="1:48" s="20" customFormat="1" ht="45.95" customHeight="1" x14ac:dyDescent="0.2">
      <c r="A97" s="21" t="s">
        <v>45</v>
      </c>
      <c r="B97" s="67" t="s">
        <v>41</v>
      </c>
      <c r="C97" s="125" t="s">
        <v>34</v>
      </c>
      <c r="D97" s="126" t="s">
        <v>22</v>
      </c>
      <c r="E97" s="27" t="s">
        <v>534</v>
      </c>
      <c r="F97" s="27"/>
      <c r="G97" s="27"/>
      <c r="H97" s="27"/>
      <c r="I97" s="27" t="s">
        <v>497</v>
      </c>
      <c r="J97" s="22" t="s">
        <v>396</v>
      </c>
      <c r="K97" s="22" t="s">
        <v>397</v>
      </c>
      <c r="L97" s="22" t="s">
        <v>398</v>
      </c>
      <c r="M97" s="30" t="s">
        <v>399</v>
      </c>
      <c r="N97" s="22" t="s">
        <v>400</v>
      </c>
      <c r="O97" s="7"/>
      <c r="P97" s="7"/>
      <c r="Q97" s="24">
        <v>1</v>
      </c>
      <c r="R97" s="7"/>
      <c r="S97" s="37"/>
      <c r="T97" s="37"/>
      <c r="U97" s="252">
        <v>1.2</v>
      </c>
      <c r="V97" s="252">
        <v>1.2</v>
      </c>
      <c r="W97" s="252"/>
      <c r="X97" s="268"/>
      <c r="Y97" s="252"/>
      <c r="Z97" s="268"/>
      <c r="AA97" s="252">
        <v>1.2</v>
      </c>
      <c r="AB97" s="252">
        <v>1.2</v>
      </c>
      <c r="AC97" s="252"/>
      <c r="AD97" s="268"/>
      <c r="AE97" s="252"/>
      <c r="AF97" s="268"/>
      <c r="AG97" s="83">
        <v>1.2</v>
      </c>
      <c r="AH97" s="83">
        <f>Tabla1[[#This Row],[FONDOS GOES
(Millones US$)
(A)]]+Tabla1[[#This Row],[FONDOS PROPIOS 
(Millones US$)
(B)]]</f>
        <v>1.2</v>
      </c>
      <c r="AI97" s="83">
        <v>1.2</v>
      </c>
      <c r="AJ97" s="83"/>
      <c r="AK97" s="83"/>
      <c r="AL97" s="213"/>
      <c r="AM97" s="83"/>
      <c r="AN97" s="83"/>
      <c r="AO97" s="87"/>
      <c r="AP97" s="8"/>
      <c r="AQ97" s="8"/>
      <c r="AR97" s="8"/>
      <c r="AS97" s="27" t="s">
        <v>14</v>
      </c>
      <c r="AT97" s="23">
        <v>90</v>
      </c>
      <c r="AV97" s="97"/>
    </row>
    <row r="98" spans="1:48" s="20" customFormat="1" ht="57.75" customHeight="1" x14ac:dyDescent="0.2">
      <c r="A98" s="21" t="s">
        <v>45</v>
      </c>
      <c r="B98" s="67" t="s">
        <v>41</v>
      </c>
      <c r="C98" s="125" t="s">
        <v>34</v>
      </c>
      <c r="D98" s="126" t="s">
        <v>22</v>
      </c>
      <c r="E98" s="27" t="s">
        <v>534</v>
      </c>
      <c r="F98" s="27"/>
      <c r="G98" s="27"/>
      <c r="H98" s="27"/>
      <c r="I98" s="27" t="s">
        <v>498</v>
      </c>
      <c r="J98" s="22" t="s">
        <v>499</v>
      </c>
      <c r="K98" s="22"/>
      <c r="L98" s="22"/>
      <c r="M98" s="30"/>
      <c r="N98" s="22"/>
      <c r="O98" s="7"/>
      <c r="P98" s="7"/>
      <c r="Q98" s="7"/>
      <c r="R98" s="7"/>
      <c r="S98" s="37"/>
      <c r="T98" s="37"/>
      <c r="U98" s="252">
        <v>4.2</v>
      </c>
      <c r="V98" s="252">
        <v>4.2</v>
      </c>
      <c r="W98" s="252"/>
      <c r="X98" s="268"/>
      <c r="Y98" s="252"/>
      <c r="Z98" s="268"/>
      <c r="AA98" s="252">
        <v>4.2</v>
      </c>
      <c r="AB98" s="252">
        <v>4.2</v>
      </c>
      <c r="AC98" s="252"/>
      <c r="AD98" s="268"/>
      <c r="AE98" s="252"/>
      <c r="AF98" s="268"/>
      <c r="AG98" s="83">
        <v>4.2</v>
      </c>
      <c r="AH98" s="83">
        <f>Tabla1[[#This Row],[FONDOS GOES
(Millones US$)
(A)]]+Tabla1[[#This Row],[FONDOS PROPIOS 
(Millones US$)
(B)]]</f>
        <v>4.2</v>
      </c>
      <c r="AI98" s="83">
        <v>4.2</v>
      </c>
      <c r="AJ98" s="83"/>
      <c r="AK98" s="159"/>
      <c r="AL98" s="83"/>
      <c r="AM98" s="83"/>
      <c r="AN98" s="83"/>
      <c r="AO98" s="87"/>
      <c r="AP98" s="8"/>
      <c r="AQ98" s="8"/>
      <c r="AR98" s="8"/>
      <c r="AS98" s="27" t="s">
        <v>14</v>
      </c>
      <c r="AT98" s="23">
        <v>91</v>
      </c>
      <c r="AV98" s="97"/>
    </row>
    <row r="99" spans="1:48" s="20" customFormat="1" ht="45.95" customHeight="1" x14ac:dyDescent="0.2">
      <c r="A99" s="54" t="s">
        <v>45</v>
      </c>
      <c r="B99" s="69" t="s">
        <v>42</v>
      </c>
      <c r="C99" s="65" t="s">
        <v>35</v>
      </c>
      <c r="D99" s="55" t="s">
        <v>27</v>
      </c>
      <c r="E99" s="56"/>
      <c r="F99" s="56"/>
      <c r="G99" s="56"/>
      <c r="H99" s="56"/>
      <c r="I99" s="56"/>
      <c r="J99" s="57"/>
      <c r="K99" s="57"/>
      <c r="L99" s="57"/>
      <c r="M99" s="58"/>
      <c r="N99" s="57"/>
      <c r="O99" s="59"/>
      <c r="P99" s="59"/>
      <c r="Q99" s="59"/>
      <c r="R99" s="59"/>
      <c r="S99" s="60"/>
      <c r="T99" s="60"/>
      <c r="U99" s="260"/>
      <c r="V99" s="260"/>
      <c r="W99" s="260"/>
      <c r="X99" s="271"/>
      <c r="Y99" s="260"/>
      <c r="Z99" s="271"/>
      <c r="AA99" s="260"/>
      <c r="AB99" s="260"/>
      <c r="AC99" s="260"/>
      <c r="AD99" s="271"/>
      <c r="AE99" s="260"/>
      <c r="AF99" s="271"/>
      <c r="AG99" s="85"/>
      <c r="AH99" s="85">
        <f>Tabla1[[#This Row],[FONDOS GOES
(Millones US$)
(A)]]+Tabla1[[#This Row],[FONDOS PROPIOS 
(Millones US$)
(B)]]</f>
        <v>0</v>
      </c>
      <c r="AI99" s="85"/>
      <c r="AJ99" s="85"/>
      <c r="AK99" s="85"/>
      <c r="AL99" s="85"/>
      <c r="AM99" s="85"/>
      <c r="AN99" s="85"/>
      <c r="AO99" s="89"/>
      <c r="AP99" s="61"/>
      <c r="AQ99" s="61"/>
      <c r="AR99" s="61"/>
      <c r="AS99" s="56"/>
      <c r="AT99" s="23">
        <v>92</v>
      </c>
      <c r="AV99" s="97"/>
    </row>
    <row r="100" spans="1:48" s="20" customFormat="1" ht="57.75" customHeight="1" x14ac:dyDescent="0.2">
      <c r="A100" s="21" t="s">
        <v>45</v>
      </c>
      <c r="B100" s="67" t="s">
        <v>42</v>
      </c>
      <c r="C100" s="63" t="s">
        <v>35</v>
      </c>
      <c r="D100" s="29" t="s">
        <v>27</v>
      </c>
      <c r="E100" s="27" t="s">
        <v>535</v>
      </c>
      <c r="F100" s="27" t="s">
        <v>78</v>
      </c>
      <c r="G100" s="22" t="s">
        <v>79</v>
      </c>
      <c r="H100" s="27" t="s">
        <v>80</v>
      </c>
      <c r="I100" s="27" t="s">
        <v>480</v>
      </c>
      <c r="J100" s="22" t="s">
        <v>482</v>
      </c>
      <c r="K100" s="22" t="s">
        <v>81</v>
      </c>
      <c r="L100" s="22" t="s">
        <v>76</v>
      </c>
      <c r="M100" s="127" t="s">
        <v>82</v>
      </c>
      <c r="N100" s="22" t="s">
        <v>83</v>
      </c>
      <c r="O100" s="7">
        <v>0</v>
      </c>
      <c r="P100" s="7"/>
      <c r="Q100" s="7" t="s">
        <v>86</v>
      </c>
      <c r="R100" s="7"/>
      <c r="S100" s="37"/>
      <c r="T100" s="37"/>
      <c r="U100" s="252">
        <v>2.0957499999999998</v>
      </c>
      <c r="V100" s="252">
        <v>2.0957499999999998</v>
      </c>
      <c r="W100" s="252"/>
      <c r="X100" s="268"/>
      <c r="Y100" s="252"/>
      <c r="Z100" s="268"/>
      <c r="AA100" s="252">
        <v>2.0957499999999998</v>
      </c>
      <c r="AB100" s="252">
        <v>2.0957499999999998</v>
      </c>
      <c r="AC100" s="252"/>
      <c r="AD100" s="268"/>
      <c r="AE100" s="252"/>
      <c r="AF100" s="268"/>
      <c r="AG100" s="83">
        <f>Tabla1[[#This Row],[FONDOS GOES
(Millones US$)
(A)]]+Tabla1[[#This Row],[FONDOS PROPIOS 
(Millones US$)
(B)]]+Tabla1[[#This Row],[MONTO PRÉSTAMO
(Millones US$)
(C) ]]+Tabla1[[#This Row],[MONTO COOPERACIÓN NO REEMBOLSABLE  
(Millones US$)
(D)]]</f>
        <v>2.0957499999999998</v>
      </c>
      <c r="AH100" s="83">
        <f>Tabla1[[#This Row],[FONDOS GOES
(Millones US$)
(A)]]+Tabla1[[#This Row],[FONDOS PROPIOS 
(Millones US$)
(B)]]</f>
        <v>0</v>
      </c>
      <c r="AI100" s="83"/>
      <c r="AJ100" s="83"/>
      <c r="AK100" s="223">
        <f>2095750/1000000</f>
        <v>2.0957499999999998</v>
      </c>
      <c r="AL100" s="129" t="s">
        <v>89</v>
      </c>
      <c r="AM100" s="83"/>
      <c r="AN100" s="83"/>
      <c r="AO100" s="87"/>
      <c r="AP100" s="8"/>
      <c r="AQ100" s="8"/>
      <c r="AR100" s="8"/>
      <c r="AS100" s="28" t="s">
        <v>14</v>
      </c>
      <c r="AT100" s="23">
        <v>93</v>
      </c>
      <c r="AV100" s="97"/>
    </row>
    <row r="101" spans="1:48" s="20" customFormat="1" ht="57.75" customHeight="1" x14ac:dyDescent="0.2">
      <c r="A101" s="54" t="s">
        <v>45</v>
      </c>
      <c r="B101" s="69" t="s">
        <v>42</v>
      </c>
      <c r="C101" s="65" t="s">
        <v>509</v>
      </c>
      <c r="D101" s="55" t="s">
        <v>28</v>
      </c>
      <c r="E101" s="56"/>
      <c r="F101" s="56"/>
      <c r="G101" s="56"/>
      <c r="H101" s="56"/>
      <c r="I101" s="56"/>
      <c r="J101" s="57"/>
      <c r="K101" s="57"/>
      <c r="L101" s="57"/>
      <c r="M101" s="58"/>
      <c r="N101" s="57"/>
      <c r="O101" s="59"/>
      <c r="P101" s="59"/>
      <c r="Q101" s="59"/>
      <c r="R101" s="59"/>
      <c r="S101" s="60"/>
      <c r="T101" s="60"/>
      <c r="U101" s="260"/>
      <c r="V101" s="260"/>
      <c r="W101" s="260"/>
      <c r="X101" s="271"/>
      <c r="Y101" s="260"/>
      <c r="Z101" s="271"/>
      <c r="AA101" s="260"/>
      <c r="AB101" s="260"/>
      <c r="AC101" s="260"/>
      <c r="AD101" s="271"/>
      <c r="AE101" s="260"/>
      <c r="AF101" s="271"/>
      <c r="AG101" s="85"/>
      <c r="AH101" s="85">
        <f>Tabla1[[#This Row],[FONDOS GOES
(Millones US$)
(A)]]+Tabla1[[#This Row],[FONDOS PROPIOS 
(Millones US$)
(B)]]</f>
        <v>0</v>
      </c>
      <c r="AI101" s="85"/>
      <c r="AJ101" s="85"/>
      <c r="AK101" s="85"/>
      <c r="AL101" s="85"/>
      <c r="AM101" s="85"/>
      <c r="AN101" s="85"/>
      <c r="AO101" s="89"/>
      <c r="AP101" s="61"/>
      <c r="AQ101" s="61"/>
      <c r="AR101" s="61"/>
      <c r="AS101" s="56"/>
      <c r="AT101" s="23">
        <v>94</v>
      </c>
      <c r="AV101" s="97"/>
    </row>
    <row r="102" spans="1:48" s="20" customFormat="1" ht="57.75" customHeight="1" x14ac:dyDescent="0.2">
      <c r="A102" s="21" t="s">
        <v>45</v>
      </c>
      <c r="B102" s="126" t="s">
        <v>42</v>
      </c>
      <c r="C102" s="158" t="s">
        <v>509</v>
      </c>
      <c r="D102" s="29" t="s">
        <v>28</v>
      </c>
      <c r="E102" s="27" t="s">
        <v>510</v>
      </c>
      <c r="F102" s="27"/>
      <c r="G102" s="27"/>
      <c r="H102" s="27"/>
      <c r="I102" s="27" t="s">
        <v>513</v>
      </c>
      <c r="J102" s="22" t="s">
        <v>511</v>
      </c>
      <c r="K102" s="22" t="s">
        <v>512</v>
      </c>
      <c r="L102" s="22"/>
      <c r="M102" s="30"/>
      <c r="N102" s="22"/>
      <c r="O102" s="7"/>
      <c r="P102" s="7"/>
      <c r="Q102" s="7"/>
      <c r="R102" s="7"/>
      <c r="S102" s="37"/>
      <c r="T102" s="37"/>
      <c r="U102" s="252">
        <v>17.7</v>
      </c>
      <c r="V102" s="252">
        <v>2E-3</v>
      </c>
      <c r="W102" s="252">
        <v>17.7</v>
      </c>
      <c r="X102" s="268"/>
      <c r="Y102" s="252"/>
      <c r="Z102" s="268"/>
      <c r="AA102" s="252">
        <v>17.7</v>
      </c>
      <c r="AB102" s="252">
        <v>2E-3</v>
      </c>
      <c r="AC102" s="252">
        <v>17.7</v>
      </c>
      <c r="AD102" s="268"/>
      <c r="AE102" s="252"/>
      <c r="AF102" s="268"/>
      <c r="AG102" s="83">
        <v>17.7</v>
      </c>
      <c r="AH102" s="83">
        <f>Tabla1[[#This Row],[FONDOS GOES
(Millones US$)
(A)]]+Tabla1[[#This Row],[FONDOS PROPIOS 
(Millones US$)
(B)]]</f>
        <v>0</v>
      </c>
      <c r="AI102" s="83"/>
      <c r="AJ102" s="83"/>
      <c r="AK102" s="83">
        <v>17.7</v>
      </c>
      <c r="AL102" s="83" t="s">
        <v>90</v>
      </c>
      <c r="AM102" s="83"/>
      <c r="AN102" s="83"/>
      <c r="AO102" s="87"/>
      <c r="AP102" s="8"/>
      <c r="AQ102" s="8"/>
      <c r="AR102" s="8"/>
      <c r="AS102" s="27" t="s">
        <v>510</v>
      </c>
      <c r="AT102" s="23">
        <v>95</v>
      </c>
      <c r="AV102" s="97"/>
    </row>
    <row r="103" spans="1:48" s="20" customFormat="1" ht="57.75" customHeight="1" x14ac:dyDescent="0.2">
      <c r="A103" s="21" t="s">
        <v>45</v>
      </c>
      <c r="B103" s="126" t="s">
        <v>42</v>
      </c>
      <c r="C103" s="158" t="s">
        <v>509</v>
      </c>
      <c r="D103" s="29" t="s">
        <v>28</v>
      </c>
      <c r="E103" s="27" t="s">
        <v>510</v>
      </c>
      <c r="F103" s="27"/>
      <c r="G103" s="27"/>
      <c r="H103" s="27"/>
      <c r="I103" s="27" t="s">
        <v>514</v>
      </c>
      <c r="J103" s="22" t="s">
        <v>515</v>
      </c>
      <c r="K103" s="22"/>
      <c r="L103" s="22"/>
      <c r="M103" s="30"/>
      <c r="N103" s="22"/>
      <c r="O103" s="7"/>
      <c r="P103" s="7"/>
      <c r="Q103" s="7"/>
      <c r="R103" s="7"/>
      <c r="S103" s="37"/>
      <c r="T103" s="37"/>
      <c r="U103" s="252">
        <v>5.6000000000000001E-2</v>
      </c>
      <c r="V103" s="252">
        <v>2E-3</v>
      </c>
      <c r="W103" s="252">
        <v>5.6000000000000001E-2</v>
      </c>
      <c r="X103" s="268"/>
      <c r="Y103" s="252"/>
      <c r="Z103" s="268"/>
      <c r="AA103" s="252">
        <v>5.6000000000000001E-2</v>
      </c>
      <c r="AB103" s="252">
        <v>2E-3</v>
      </c>
      <c r="AC103" s="252">
        <v>5.6000000000000001E-2</v>
      </c>
      <c r="AD103" s="268"/>
      <c r="AE103" s="252"/>
      <c r="AF103" s="268"/>
      <c r="AG103" s="83">
        <f>56000/1000000</f>
        <v>5.6000000000000001E-2</v>
      </c>
      <c r="AH103" s="83">
        <f>Tabla1[[#This Row],[FONDOS GOES
(Millones US$)
(A)]]+Tabla1[[#This Row],[FONDOS PROPIOS 
(Millones US$)
(B)]]</f>
        <v>0</v>
      </c>
      <c r="AI103" s="83"/>
      <c r="AJ103" s="83"/>
      <c r="AK103" s="83">
        <f>56000/1000000</f>
        <v>5.6000000000000001E-2</v>
      </c>
      <c r="AL103" s="83" t="s">
        <v>90</v>
      </c>
      <c r="AM103" s="83"/>
      <c r="AN103" s="83"/>
      <c r="AO103" s="87"/>
      <c r="AP103" s="8"/>
      <c r="AQ103" s="8"/>
      <c r="AR103" s="8"/>
      <c r="AS103" s="27" t="s">
        <v>510</v>
      </c>
      <c r="AT103" s="23">
        <v>96</v>
      </c>
      <c r="AV103" s="97"/>
    </row>
    <row r="104" spans="1:48" s="20" customFormat="1" ht="57.75" customHeight="1" x14ac:dyDescent="0.2">
      <c r="A104" s="54" t="s">
        <v>45</v>
      </c>
      <c r="B104" s="69" t="s">
        <v>42</v>
      </c>
      <c r="C104" s="65" t="s">
        <v>516</v>
      </c>
      <c r="D104" s="55" t="s">
        <v>517</v>
      </c>
      <c r="E104" s="56"/>
      <c r="F104" s="56"/>
      <c r="G104" s="56"/>
      <c r="H104" s="56"/>
      <c r="I104" s="56"/>
      <c r="J104" s="57"/>
      <c r="K104" s="57"/>
      <c r="L104" s="57"/>
      <c r="M104" s="58"/>
      <c r="N104" s="57"/>
      <c r="O104" s="59"/>
      <c r="P104" s="59"/>
      <c r="Q104" s="59"/>
      <c r="R104" s="59"/>
      <c r="S104" s="60"/>
      <c r="T104" s="60"/>
      <c r="U104" s="260"/>
      <c r="V104" s="260"/>
      <c r="W104" s="260"/>
      <c r="X104" s="271"/>
      <c r="Y104" s="260"/>
      <c r="Z104" s="271"/>
      <c r="AA104" s="260"/>
      <c r="AB104" s="260"/>
      <c r="AC104" s="260"/>
      <c r="AD104" s="271"/>
      <c r="AE104" s="260"/>
      <c r="AF104" s="271"/>
      <c r="AG104" s="85"/>
      <c r="AH104" s="85">
        <f>Tabla1[[#This Row],[FONDOS GOES
(Millones US$)
(A)]]+Tabla1[[#This Row],[FONDOS PROPIOS 
(Millones US$)
(B)]]</f>
        <v>0</v>
      </c>
      <c r="AI104" s="85"/>
      <c r="AJ104" s="85"/>
      <c r="AK104" s="85"/>
      <c r="AL104" s="85"/>
      <c r="AM104" s="85"/>
      <c r="AN104" s="85"/>
      <c r="AO104" s="89"/>
      <c r="AP104" s="61"/>
      <c r="AQ104" s="61"/>
      <c r="AR104" s="61"/>
      <c r="AS104" s="56"/>
      <c r="AT104" s="23">
        <v>97</v>
      </c>
      <c r="AV104" s="97"/>
    </row>
    <row r="105" spans="1:48" s="20" customFormat="1" ht="57.75" customHeight="1" x14ac:dyDescent="0.2">
      <c r="A105" s="21" t="s">
        <v>45</v>
      </c>
      <c r="B105" s="67" t="s">
        <v>42</v>
      </c>
      <c r="C105" s="63" t="s">
        <v>516</v>
      </c>
      <c r="D105" s="29" t="s">
        <v>517</v>
      </c>
      <c r="E105" s="27" t="s">
        <v>507</v>
      </c>
      <c r="F105" s="27"/>
      <c r="G105" s="22"/>
      <c r="H105" s="27"/>
      <c r="I105" s="27" t="s">
        <v>519</v>
      </c>
      <c r="J105" s="22" t="s">
        <v>518</v>
      </c>
      <c r="K105" s="22"/>
      <c r="L105" s="22"/>
      <c r="M105" s="127"/>
      <c r="N105" s="22"/>
      <c r="O105" s="7"/>
      <c r="P105" s="7"/>
      <c r="Q105" s="7"/>
      <c r="R105" s="7"/>
      <c r="S105" s="37"/>
      <c r="T105" s="37"/>
      <c r="U105" s="252">
        <v>9.5</v>
      </c>
      <c r="V105" s="252">
        <v>9.5</v>
      </c>
      <c r="W105" s="252"/>
      <c r="X105" s="268"/>
      <c r="Y105" s="252"/>
      <c r="Z105" s="268"/>
      <c r="AA105" s="252">
        <v>9.5</v>
      </c>
      <c r="AB105" s="252">
        <v>9.5</v>
      </c>
      <c r="AC105" s="252"/>
      <c r="AD105" s="268"/>
      <c r="AE105" s="252"/>
      <c r="AF105" s="268"/>
      <c r="AG105" s="83">
        <f>2.5+6+2</f>
        <v>10.5</v>
      </c>
      <c r="AH105" s="83">
        <f>Tabla1[[#This Row],[FONDOS GOES
(Millones US$)
(A)]]+Tabla1[[#This Row],[FONDOS PROPIOS 
(Millones US$)
(B)]]</f>
        <v>10.5</v>
      </c>
      <c r="AI105" s="83">
        <f>2.5+6+2</f>
        <v>10.5</v>
      </c>
      <c r="AJ105" s="83"/>
      <c r="AK105" s="223"/>
      <c r="AL105" s="129"/>
      <c r="AM105" s="83"/>
      <c r="AN105" s="83"/>
      <c r="AO105" s="87"/>
      <c r="AP105" s="8"/>
      <c r="AQ105" s="8"/>
      <c r="AR105" s="8"/>
      <c r="AS105" s="28" t="s">
        <v>507</v>
      </c>
      <c r="AT105" s="23">
        <v>98</v>
      </c>
      <c r="AV105" s="97"/>
    </row>
    <row r="106" spans="1:48" s="19" customFormat="1" ht="59.25" customHeight="1" x14ac:dyDescent="0.2">
      <c r="A106" s="54" t="s">
        <v>45</v>
      </c>
      <c r="B106" s="69" t="s">
        <v>43</v>
      </c>
      <c r="C106" s="65" t="s">
        <v>36</v>
      </c>
      <c r="D106" s="55" t="s">
        <v>30</v>
      </c>
      <c r="E106" s="56"/>
      <c r="F106" s="56"/>
      <c r="G106" s="56"/>
      <c r="H106" s="56"/>
      <c r="I106" s="56"/>
      <c r="J106" s="57"/>
      <c r="K106" s="57"/>
      <c r="L106" s="57"/>
      <c r="M106" s="58"/>
      <c r="N106" s="57"/>
      <c r="O106" s="59"/>
      <c r="P106" s="59"/>
      <c r="Q106" s="59"/>
      <c r="R106" s="59"/>
      <c r="S106" s="60"/>
      <c r="T106" s="60"/>
      <c r="U106" s="260"/>
      <c r="V106" s="260"/>
      <c r="W106" s="260"/>
      <c r="X106" s="271"/>
      <c r="Y106" s="260"/>
      <c r="Z106" s="271"/>
      <c r="AA106" s="260"/>
      <c r="AB106" s="260"/>
      <c r="AC106" s="260"/>
      <c r="AD106" s="271"/>
      <c r="AE106" s="260"/>
      <c r="AF106" s="271"/>
      <c r="AG106" s="85"/>
      <c r="AH106" s="85">
        <f>Tabla1[[#This Row],[FONDOS GOES
(Millones US$)
(A)]]+Tabla1[[#This Row],[FONDOS PROPIOS 
(Millones US$)
(B)]]</f>
        <v>0</v>
      </c>
      <c r="AI106" s="85"/>
      <c r="AJ106" s="85"/>
      <c r="AK106" s="85"/>
      <c r="AL106" s="85"/>
      <c r="AM106" s="85"/>
      <c r="AN106" s="85"/>
      <c r="AO106" s="89"/>
      <c r="AP106" s="61"/>
      <c r="AQ106" s="61"/>
      <c r="AR106" s="61"/>
      <c r="AS106" s="56"/>
      <c r="AT106" s="23">
        <v>99</v>
      </c>
      <c r="AV106" s="97"/>
    </row>
    <row r="107" spans="1:48" s="20" customFormat="1" ht="59.25" customHeight="1" x14ac:dyDescent="0.2">
      <c r="A107" s="21" t="s">
        <v>45</v>
      </c>
      <c r="B107" s="67" t="s">
        <v>43</v>
      </c>
      <c r="C107" s="63" t="s">
        <v>36</v>
      </c>
      <c r="D107" s="29" t="s">
        <v>30</v>
      </c>
      <c r="E107" s="27" t="s">
        <v>535</v>
      </c>
      <c r="F107" s="27" t="s">
        <v>78</v>
      </c>
      <c r="G107" s="22" t="s">
        <v>79</v>
      </c>
      <c r="H107" s="27" t="s">
        <v>80</v>
      </c>
      <c r="I107" s="27" t="s">
        <v>480</v>
      </c>
      <c r="J107" s="22" t="s">
        <v>483</v>
      </c>
      <c r="K107" s="22" t="s">
        <v>84</v>
      </c>
      <c r="L107" s="22" t="s">
        <v>85</v>
      </c>
      <c r="M107" s="127" t="s">
        <v>91</v>
      </c>
      <c r="N107" s="22" t="s">
        <v>83</v>
      </c>
      <c r="O107" s="7">
        <v>0</v>
      </c>
      <c r="P107" s="7"/>
      <c r="Q107" s="7">
        <v>10</v>
      </c>
      <c r="R107" s="7"/>
      <c r="S107" s="37"/>
      <c r="T107" s="37"/>
      <c r="U107" s="252">
        <v>15.74939</v>
      </c>
      <c r="V107" s="252">
        <v>2E-3</v>
      </c>
      <c r="W107" s="252">
        <v>15.74939</v>
      </c>
      <c r="X107" s="268"/>
      <c r="Y107" s="252"/>
      <c r="Z107" s="268"/>
      <c r="AA107" s="252">
        <v>15.74939</v>
      </c>
      <c r="AB107" s="252">
        <v>2E-3</v>
      </c>
      <c r="AC107" s="252">
        <v>15.74939</v>
      </c>
      <c r="AD107" s="268"/>
      <c r="AE107" s="252"/>
      <c r="AF107" s="268"/>
      <c r="AG107" s="83">
        <f>Tabla1[[#This Row],[FONDOS GOES
(Millones US$)
(A)]]+Tabla1[[#This Row],[FONDOS PROPIOS 
(Millones US$)
(B)]]+Tabla1[[#This Row],[MONTO PRÉSTAMO
(Millones US$)
(C) ]]+Tabla1[[#This Row],[MONTO COOPERACIÓN NO REEMBOLSABLE  
(Millones US$)
(D)]]</f>
        <v>11.44603</v>
      </c>
      <c r="AH107" s="83">
        <f>Tabla1[[#This Row],[FONDOS GOES
(Millones US$)
(A)]]+Tabla1[[#This Row],[FONDOS PROPIOS 
(Millones US$)
(B)]]</f>
        <v>0</v>
      </c>
      <c r="AI107" s="83"/>
      <c r="AJ107" s="83"/>
      <c r="AK107" s="223">
        <f>11446030/1000000</f>
        <v>11.44603</v>
      </c>
      <c r="AL107" s="129" t="s">
        <v>89</v>
      </c>
      <c r="AM107" s="83"/>
      <c r="AN107" s="83"/>
      <c r="AO107" s="87"/>
      <c r="AP107" s="8"/>
      <c r="AQ107" s="8"/>
      <c r="AR107" s="8"/>
      <c r="AS107" s="28" t="s">
        <v>14</v>
      </c>
      <c r="AT107" s="23">
        <v>100</v>
      </c>
      <c r="AV107" s="218"/>
    </row>
    <row r="108" spans="1:48" s="20" customFormat="1" ht="59.25" customHeight="1" x14ac:dyDescent="0.2">
      <c r="A108" s="133" t="s">
        <v>45</v>
      </c>
      <c r="B108" s="134" t="s">
        <v>43</v>
      </c>
      <c r="C108" s="206" t="s">
        <v>36</v>
      </c>
      <c r="D108" s="135" t="s">
        <v>30</v>
      </c>
      <c r="E108" s="136" t="s">
        <v>536</v>
      </c>
      <c r="F108" s="136" t="s">
        <v>88</v>
      </c>
      <c r="G108" s="136" t="s">
        <v>87</v>
      </c>
      <c r="H108" s="136" t="s">
        <v>80</v>
      </c>
      <c r="I108" s="136" t="s">
        <v>484</v>
      </c>
      <c r="J108" s="207" t="s">
        <v>55</v>
      </c>
      <c r="K108" s="137" t="s">
        <v>485</v>
      </c>
      <c r="L108" s="137" t="s">
        <v>12</v>
      </c>
      <c r="M108" s="208" t="s">
        <v>17</v>
      </c>
      <c r="N108" s="137" t="s">
        <v>80</v>
      </c>
      <c r="O108" s="209">
        <v>0</v>
      </c>
      <c r="P108" s="209"/>
      <c r="Q108" s="209">
        <v>6</v>
      </c>
      <c r="R108" s="210"/>
      <c r="S108" s="211"/>
      <c r="T108" s="211"/>
      <c r="U108" s="253">
        <v>22.825270000000003</v>
      </c>
      <c r="V108" s="253">
        <v>2E-3</v>
      </c>
      <c r="W108" s="253">
        <v>22.825270000000003</v>
      </c>
      <c r="X108" s="269" t="s">
        <v>586</v>
      </c>
      <c r="Y108" s="253"/>
      <c r="Z108" s="269"/>
      <c r="AA108" s="253">
        <v>22.825270000000003</v>
      </c>
      <c r="AB108" s="253">
        <v>2E-3</v>
      </c>
      <c r="AC108" s="253">
        <v>22.825270000000003</v>
      </c>
      <c r="AD108" s="269" t="s">
        <v>586</v>
      </c>
      <c r="AE108" s="253"/>
      <c r="AF108" s="269"/>
      <c r="AG108" s="213">
        <f>Tabla1[[#This Row],[FONDOS GOES
(Millones US$)
(A)]]+Tabla1[[#This Row],[FONDOS PROPIOS 
(Millones US$)
(B)]]+Tabla1[[#This Row],[MONTO PRÉSTAMO
(Millones US$)
(C) ]]+Tabla1[[#This Row],[MONTO COOPERACIÓN NO REEMBOLSABLE  
(Millones US$)
(D)]]</f>
        <v>32.108125000000001</v>
      </c>
      <c r="AH108" s="213">
        <f>Tabla1[[#This Row],[FONDOS GOES
(Millones US$)
(A)]]+Tabla1[[#This Row],[FONDOS PROPIOS 
(Millones US$)
(B)]]</f>
        <v>0</v>
      </c>
      <c r="AI108" s="213"/>
      <c r="AJ108" s="213"/>
      <c r="AK108" s="224">
        <f>5.25893+5.654+6.050935+4.87397+6.641435+3.628855</f>
        <v>32.108125000000001</v>
      </c>
      <c r="AL108" s="213" t="s">
        <v>90</v>
      </c>
      <c r="AM108" s="213"/>
      <c r="AN108" s="213"/>
      <c r="AO108" s="212"/>
      <c r="AP108" s="214"/>
      <c r="AQ108" s="214"/>
      <c r="AR108" s="214"/>
      <c r="AS108" s="215" t="s">
        <v>14</v>
      </c>
      <c r="AT108" s="23">
        <v>101</v>
      </c>
      <c r="AV108" s="218"/>
    </row>
    <row r="109" spans="1:48" s="20" customFormat="1" ht="59.25" customHeight="1" x14ac:dyDescent="0.2">
      <c r="A109" s="54" t="s">
        <v>45</v>
      </c>
      <c r="B109" s="69" t="s">
        <v>43</v>
      </c>
      <c r="C109" s="65" t="s">
        <v>493</v>
      </c>
      <c r="D109" s="55" t="s">
        <v>430</v>
      </c>
      <c r="E109" s="56"/>
      <c r="F109" s="56"/>
      <c r="G109" s="56"/>
      <c r="H109" s="56"/>
      <c r="I109" s="56"/>
      <c r="J109" s="57"/>
      <c r="K109" s="57"/>
      <c r="L109" s="57"/>
      <c r="M109" s="58"/>
      <c r="N109" s="57"/>
      <c r="O109" s="59"/>
      <c r="P109" s="59"/>
      <c r="Q109" s="59"/>
      <c r="R109" s="59"/>
      <c r="S109" s="60"/>
      <c r="T109" s="60"/>
      <c r="U109" s="260"/>
      <c r="V109" s="260"/>
      <c r="W109" s="260"/>
      <c r="X109" s="271"/>
      <c r="Y109" s="260"/>
      <c r="Z109" s="271"/>
      <c r="AA109" s="260"/>
      <c r="AB109" s="260"/>
      <c r="AC109" s="260"/>
      <c r="AD109" s="271"/>
      <c r="AE109" s="260"/>
      <c r="AF109" s="271"/>
      <c r="AG109" s="85"/>
      <c r="AH109" s="85">
        <f>Tabla1[[#This Row],[FONDOS GOES
(Millones US$)
(A)]]+Tabla1[[#This Row],[FONDOS PROPIOS 
(Millones US$)
(B)]]</f>
        <v>0</v>
      </c>
      <c r="AI109" s="85"/>
      <c r="AJ109" s="85"/>
      <c r="AK109" s="85"/>
      <c r="AL109" s="85"/>
      <c r="AM109" s="85"/>
      <c r="AN109" s="85"/>
      <c r="AO109" s="89"/>
      <c r="AP109" s="61"/>
      <c r="AQ109" s="61"/>
      <c r="AR109" s="61"/>
      <c r="AS109" s="56"/>
      <c r="AT109" s="23">
        <v>102</v>
      </c>
      <c r="AV109" s="218"/>
    </row>
    <row r="110" spans="1:48" s="20" customFormat="1" ht="59.25" customHeight="1" x14ac:dyDescent="0.2">
      <c r="A110" s="21" t="s">
        <v>45</v>
      </c>
      <c r="B110" s="67" t="s">
        <v>43</v>
      </c>
      <c r="C110" s="63" t="s">
        <v>493</v>
      </c>
      <c r="D110" s="29" t="s">
        <v>430</v>
      </c>
      <c r="E110" s="136" t="s">
        <v>536</v>
      </c>
      <c r="F110" s="27"/>
      <c r="G110" s="27"/>
      <c r="H110" s="27"/>
      <c r="I110" s="27" t="s">
        <v>529</v>
      </c>
      <c r="J110" s="207" t="s">
        <v>494</v>
      </c>
      <c r="K110" s="137"/>
      <c r="L110" s="137"/>
      <c r="M110" s="139"/>
      <c r="N110" s="137"/>
      <c r="O110" s="209"/>
      <c r="P110" s="209"/>
      <c r="Q110" s="209"/>
      <c r="R110" s="209"/>
      <c r="S110" s="37"/>
      <c r="T110" s="37"/>
      <c r="U110" s="253"/>
      <c r="V110" s="253">
        <v>2E-3</v>
      </c>
      <c r="W110" s="253"/>
      <c r="X110" s="269"/>
      <c r="Y110" s="253"/>
      <c r="Z110" s="269"/>
      <c r="AA110" s="253"/>
      <c r="AB110" s="253">
        <v>2E-3</v>
      </c>
      <c r="AC110" s="253"/>
      <c r="AD110" s="269"/>
      <c r="AE110" s="253"/>
      <c r="AF110" s="269"/>
      <c r="AG110" s="213">
        <f>Tabla1[[#This Row],[FONDOS GOES
(Millones US$)
(A)]]+Tabla1[[#This Row],[FONDOS PROPIOS 
(Millones US$)
(B)]]+Tabla1[[#This Row],[MONTO PRÉSTAMO
(Millones US$)
(C) ]]+Tabla1[[#This Row],[MONTO COOPERACIÓN NO REEMBOLSABLE  
(Millones US$)
(D)]]</f>
        <v>1.5</v>
      </c>
      <c r="AH110" s="213">
        <f>Tabla1[[#This Row],[FONDOS GOES
(Millones US$)
(A)]]+Tabla1[[#This Row],[FONDOS PROPIOS 
(Millones US$)
(B)]]</f>
        <v>0</v>
      </c>
      <c r="AI110" s="83"/>
      <c r="AJ110" s="83"/>
      <c r="AK110" s="159"/>
      <c r="AL110" s="83"/>
      <c r="AM110" s="83">
        <v>1.5</v>
      </c>
      <c r="AN110" s="83" t="s">
        <v>495</v>
      </c>
      <c r="AO110" s="87"/>
      <c r="AP110" s="8"/>
      <c r="AQ110" s="8"/>
      <c r="AR110" s="144"/>
      <c r="AS110" s="27" t="s">
        <v>14</v>
      </c>
      <c r="AT110" s="23">
        <v>103</v>
      </c>
      <c r="AV110" s="218"/>
    </row>
    <row r="111" spans="1:48" s="20" customFormat="1" ht="59.25" customHeight="1" x14ac:dyDescent="0.2">
      <c r="A111" s="216" t="s">
        <v>377</v>
      </c>
      <c r="B111" s="219" t="s">
        <v>378</v>
      </c>
      <c r="C111" s="220" t="s">
        <v>379</v>
      </c>
      <c r="D111" s="221" t="s">
        <v>380</v>
      </c>
      <c r="E111" s="217"/>
      <c r="F111" s="217"/>
      <c r="G111" s="217"/>
      <c r="H111" s="217"/>
      <c r="I111" s="217"/>
      <c r="J111" s="217"/>
      <c r="K111" s="217"/>
      <c r="L111" s="217"/>
      <c r="M111" s="217"/>
      <c r="N111" s="217"/>
      <c r="O111" s="217"/>
      <c r="P111" s="217"/>
      <c r="Q111" s="217"/>
      <c r="R111" s="217"/>
      <c r="S111" s="217"/>
      <c r="T111" s="217"/>
      <c r="U111" s="261"/>
      <c r="V111" s="261"/>
      <c r="W111" s="261"/>
      <c r="X111" s="272"/>
      <c r="Y111" s="261"/>
      <c r="Z111" s="272"/>
      <c r="AA111" s="261"/>
      <c r="AB111" s="261"/>
      <c r="AC111" s="261"/>
      <c r="AD111" s="272"/>
      <c r="AE111" s="261"/>
      <c r="AF111" s="272"/>
      <c r="AG111" s="217"/>
      <c r="AH111" s="238">
        <f>Tabla1[[#This Row],[FONDOS GOES
(Millones US$)
(A)]]+Tabla1[[#This Row],[FONDOS PROPIOS 
(Millones US$)
(B)]]</f>
        <v>0</v>
      </c>
      <c r="AI111" s="217"/>
      <c r="AJ111" s="217"/>
      <c r="AK111" s="217"/>
      <c r="AL111" s="217"/>
      <c r="AM111" s="217"/>
      <c r="AN111" s="217"/>
      <c r="AO111" s="217"/>
      <c r="AP111" s="217"/>
      <c r="AQ111" s="217"/>
      <c r="AR111" s="217"/>
      <c r="AS111" s="217"/>
      <c r="AT111" s="23">
        <v>104</v>
      </c>
      <c r="AV111" s="218"/>
    </row>
    <row r="112" spans="1:48" s="20" customFormat="1" ht="59.25" customHeight="1" x14ac:dyDescent="0.2">
      <c r="A112" s="21" t="s">
        <v>377</v>
      </c>
      <c r="B112" s="126" t="s">
        <v>378</v>
      </c>
      <c r="C112" s="257" t="s">
        <v>379</v>
      </c>
      <c r="D112" s="128" t="s">
        <v>380</v>
      </c>
      <c r="E112" s="27" t="s">
        <v>381</v>
      </c>
      <c r="F112" s="27" t="s">
        <v>502</v>
      </c>
      <c r="G112" s="27" t="s">
        <v>126</v>
      </c>
      <c r="H112" s="27"/>
      <c r="I112" s="27" t="s">
        <v>503</v>
      </c>
      <c r="J112" s="22" t="s">
        <v>570</v>
      </c>
      <c r="K112" s="22" t="s">
        <v>573</v>
      </c>
      <c r="L112" s="22"/>
      <c r="M112" s="30"/>
      <c r="N112" s="22"/>
      <c r="O112" s="7"/>
      <c r="P112" s="7"/>
      <c r="Q112" s="7"/>
      <c r="R112" s="7"/>
      <c r="S112" s="37"/>
      <c r="T112" s="37"/>
      <c r="U112" s="252">
        <v>2</v>
      </c>
      <c r="V112" s="252"/>
      <c r="W112" s="159">
        <v>2</v>
      </c>
      <c r="X112" s="83" t="s">
        <v>90</v>
      </c>
      <c r="Y112" s="252"/>
      <c r="Z112" s="268"/>
      <c r="AA112" s="252">
        <v>2</v>
      </c>
      <c r="AB112" s="252"/>
      <c r="AC112" s="159">
        <v>2</v>
      </c>
      <c r="AD112" s="83" t="s">
        <v>90</v>
      </c>
      <c r="AE112" s="252"/>
      <c r="AF112" s="268"/>
      <c r="AG112" s="83">
        <v>2</v>
      </c>
      <c r="AH112" s="83">
        <f>Tabla1[[#This Row],[FONDOS GOES
(Millones US$)
(A)]]+Tabla1[[#This Row],[FONDOS PROPIOS 
(Millones US$)
(B)]]</f>
        <v>0</v>
      </c>
      <c r="AI112" s="83"/>
      <c r="AJ112" s="83"/>
      <c r="AK112" s="159">
        <v>2</v>
      </c>
      <c r="AL112" s="83" t="s">
        <v>90</v>
      </c>
      <c r="AM112" s="83"/>
      <c r="AN112" s="83"/>
      <c r="AO112" s="87"/>
      <c r="AP112" s="8"/>
      <c r="AQ112" s="8"/>
      <c r="AR112" s="8"/>
      <c r="AS112" s="27" t="s">
        <v>381</v>
      </c>
      <c r="AT112" s="23">
        <v>105</v>
      </c>
      <c r="AV112" s="218"/>
    </row>
    <row r="113" spans="1:51" s="20" customFormat="1" ht="59.25" customHeight="1" x14ac:dyDescent="0.2">
      <c r="A113" s="216" t="s">
        <v>377</v>
      </c>
      <c r="B113" s="219" t="s">
        <v>378</v>
      </c>
      <c r="C113" s="220" t="s">
        <v>501</v>
      </c>
      <c r="D113" s="221" t="s">
        <v>433</v>
      </c>
      <c r="E113" s="217"/>
      <c r="F113" s="217"/>
      <c r="G113" s="217"/>
      <c r="H113" s="217"/>
      <c r="I113" s="217"/>
      <c r="J113" s="217"/>
      <c r="K113" s="217"/>
      <c r="L113" s="217"/>
      <c r="M113" s="217"/>
      <c r="N113" s="217"/>
      <c r="O113" s="217"/>
      <c r="P113" s="217"/>
      <c r="Q113" s="217"/>
      <c r="R113" s="217"/>
      <c r="S113" s="217"/>
      <c r="T113" s="217"/>
      <c r="U113" s="261"/>
      <c r="V113" s="261"/>
      <c r="W113" s="261"/>
      <c r="X113" s="272"/>
      <c r="Y113" s="261"/>
      <c r="Z113" s="272"/>
      <c r="AA113" s="261"/>
      <c r="AB113" s="261"/>
      <c r="AC113" s="261"/>
      <c r="AD113" s="272"/>
      <c r="AE113" s="261"/>
      <c r="AF113" s="272"/>
      <c r="AG113" s="217"/>
      <c r="AH113" s="238">
        <f>Tabla1[[#This Row],[FONDOS GOES
(Millones US$)
(A)]]+Tabla1[[#This Row],[FONDOS PROPIOS 
(Millones US$)
(B)]]</f>
        <v>0</v>
      </c>
      <c r="AI113" s="217"/>
      <c r="AJ113" s="217"/>
      <c r="AK113" s="217"/>
      <c r="AL113" s="217"/>
      <c r="AM113" s="217"/>
      <c r="AN113" s="217"/>
      <c r="AO113" s="217"/>
      <c r="AP113" s="217"/>
      <c r="AQ113" s="217"/>
      <c r="AR113" s="217"/>
      <c r="AS113" s="217"/>
      <c r="AT113" s="23">
        <v>106</v>
      </c>
      <c r="AV113" s="218"/>
    </row>
    <row r="114" spans="1:51" s="20" customFormat="1" ht="59.25" customHeight="1" x14ac:dyDescent="0.2">
      <c r="A114" s="21" t="s">
        <v>377</v>
      </c>
      <c r="B114" s="126" t="s">
        <v>378</v>
      </c>
      <c r="C114" s="235" t="s">
        <v>501</v>
      </c>
      <c r="D114" s="29" t="s">
        <v>433</v>
      </c>
      <c r="E114" s="27" t="s">
        <v>381</v>
      </c>
      <c r="F114" s="27" t="s">
        <v>504</v>
      </c>
      <c r="G114" s="251" t="s">
        <v>572</v>
      </c>
      <c r="H114" s="27"/>
      <c r="I114" s="27" t="s">
        <v>505</v>
      </c>
      <c r="J114" s="22" t="s">
        <v>571</v>
      </c>
      <c r="K114" s="22" t="s">
        <v>574</v>
      </c>
      <c r="L114" s="22"/>
      <c r="M114" s="30"/>
      <c r="N114" s="22"/>
      <c r="O114" s="7"/>
      <c r="P114" s="7"/>
      <c r="Q114" s="7"/>
      <c r="R114" s="7"/>
      <c r="S114" s="37"/>
      <c r="T114" s="37"/>
      <c r="U114" s="252">
        <v>9.4</v>
      </c>
      <c r="V114" s="252"/>
      <c r="W114" s="159">
        <v>9.4</v>
      </c>
      <c r="X114" s="83" t="s">
        <v>362</v>
      </c>
      <c r="Y114" s="252"/>
      <c r="Z114" s="268"/>
      <c r="AA114" s="252">
        <v>9.4</v>
      </c>
      <c r="AB114" s="252"/>
      <c r="AC114" s="159">
        <v>9.4</v>
      </c>
      <c r="AD114" s="83" t="s">
        <v>362</v>
      </c>
      <c r="AE114" s="252"/>
      <c r="AF114" s="268"/>
      <c r="AG114" s="83">
        <v>9.4</v>
      </c>
      <c r="AH114" s="83">
        <f>Tabla1[[#This Row],[FONDOS GOES
(Millones US$)
(A)]]+Tabla1[[#This Row],[FONDOS PROPIOS 
(Millones US$)
(B)]]</f>
        <v>0</v>
      </c>
      <c r="AI114" s="83"/>
      <c r="AJ114" s="83"/>
      <c r="AK114" s="159">
        <v>9.4</v>
      </c>
      <c r="AL114" s="83" t="s">
        <v>362</v>
      </c>
      <c r="AM114" s="83"/>
      <c r="AN114" s="83"/>
      <c r="AO114" s="87"/>
      <c r="AP114" s="8"/>
      <c r="AQ114" s="8"/>
      <c r="AR114" s="8"/>
      <c r="AS114" s="27" t="s">
        <v>381</v>
      </c>
      <c r="AT114" s="23">
        <v>107</v>
      </c>
      <c r="AV114" s="218"/>
    </row>
    <row r="115" spans="1:51" s="20" customFormat="1" ht="59.25" customHeight="1" x14ac:dyDescent="0.2">
      <c r="A115" s="216" t="s">
        <v>377</v>
      </c>
      <c r="B115" s="219" t="s">
        <v>378</v>
      </c>
      <c r="C115" s="220" t="s">
        <v>382</v>
      </c>
      <c r="D115" s="221" t="s">
        <v>383</v>
      </c>
      <c r="E115" s="217"/>
      <c r="F115" s="217"/>
      <c r="G115" s="217"/>
      <c r="H115" s="217"/>
      <c r="I115" s="217"/>
      <c r="J115" s="217"/>
      <c r="K115" s="217"/>
      <c r="L115" s="217"/>
      <c r="M115" s="217"/>
      <c r="N115" s="217"/>
      <c r="O115" s="217"/>
      <c r="P115" s="217"/>
      <c r="Q115" s="217"/>
      <c r="R115" s="217"/>
      <c r="S115" s="217"/>
      <c r="T115" s="217"/>
      <c r="U115" s="261"/>
      <c r="V115" s="261"/>
      <c r="W115" s="261"/>
      <c r="X115" s="272"/>
      <c r="Y115" s="261"/>
      <c r="Z115" s="272"/>
      <c r="AA115" s="261"/>
      <c r="AB115" s="261"/>
      <c r="AC115" s="261"/>
      <c r="AD115" s="272"/>
      <c r="AE115" s="261"/>
      <c r="AF115" s="272"/>
      <c r="AG115" s="217"/>
      <c r="AH115" s="238">
        <f>Tabla1[[#This Row],[FONDOS GOES
(Millones US$)
(A)]]+Tabla1[[#This Row],[FONDOS PROPIOS 
(Millones US$)
(B)]]</f>
        <v>0</v>
      </c>
      <c r="AI115" s="217"/>
      <c r="AJ115" s="217"/>
      <c r="AK115" s="217"/>
      <c r="AL115" s="217"/>
      <c r="AM115" s="217"/>
      <c r="AN115" s="217"/>
      <c r="AO115" s="217"/>
      <c r="AP115" s="217"/>
      <c r="AQ115" s="217"/>
      <c r="AR115" s="217"/>
      <c r="AS115" s="217"/>
      <c r="AT115" s="23">
        <v>108</v>
      </c>
      <c r="AV115" s="218"/>
    </row>
    <row r="116" spans="1:51" s="20" customFormat="1" ht="59.25" customHeight="1" x14ac:dyDescent="0.2">
      <c r="A116" s="21" t="s">
        <v>377</v>
      </c>
      <c r="B116" s="126" t="s">
        <v>378</v>
      </c>
      <c r="C116" s="158" t="s">
        <v>382</v>
      </c>
      <c r="D116" s="29" t="s">
        <v>383</v>
      </c>
      <c r="E116" s="27"/>
      <c r="F116" s="27"/>
      <c r="G116" s="27"/>
      <c r="H116" s="27"/>
      <c r="I116" s="27"/>
      <c r="J116" s="22"/>
      <c r="K116" s="22"/>
      <c r="L116" s="22"/>
      <c r="M116" s="30"/>
      <c r="N116" s="22"/>
      <c r="O116" s="7"/>
      <c r="P116" s="7"/>
      <c r="Q116" s="7"/>
      <c r="R116" s="7"/>
      <c r="S116" s="37"/>
      <c r="T116" s="37"/>
      <c r="U116" s="252"/>
      <c r="V116" s="252"/>
      <c r="W116" s="159"/>
      <c r="X116" s="83"/>
      <c r="Y116" s="252"/>
      <c r="Z116" s="268"/>
      <c r="AA116" s="252"/>
      <c r="AB116" s="252"/>
      <c r="AC116" s="159"/>
      <c r="AD116" s="83"/>
      <c r="AE116" s="252"/>
      <c r="AF116" s="268"/>
      <c r="AG116" s="83"/>
      <c r="AH116" s="83"/>
      <c r="AI116" s="83"/>
      <c r="AJ116" s="83"/>
      <c r="AK116" s="159"/>
      <c r="AL116" s="83"/>
      <c r="AM116" s="83"/>
      <c r="AN116" s="83"/>
      <c r="AO116" s="87"/>
      <c r="AP116" s="8"/>
      <c r="AQ116" s="8"/>
      <c r="AR116" s="8"/>
      <c r="AS116" s="27"/>
      <c r="AT116" s="23">
        <v>109</v>
      </c>
      <c r="AV116" s="218"/>
    </row>
    <row r="117" spans="1:51" s="19" customFormat="1" ht="21.95" customHeight="1" x14ac:dyDescent="0.2">
      <c r="A117" s="123" t="s">
        <v>16</v>
      </c>
      <c r="B117" s="123"/>
      <c r="C117" s="124"/>
      <c r="D117" s="115"/>
      <c r="E117" s="116"/>
      <c r="F117" s="116"/>
      <c r="G117" s="116"/>
      <c r="H117" s="116"/>
      <c r="I117" s="116"/>
      <c r="J117" s="116">
        <f>SUBTOTAL(103,Tabla1[PROYECTOS])</f>
        <v>82</v>
      </c>
      <c r="K117" s="117"/>
      <c r="L117" s="118"/>
      <c r="M117" s="117"/>
      <c r="N117" s="117"/>
      <c r="O117" s="116"/>
      <c r="P117" s="116"/>
      <c r="Q117" s="116"/>
      <c r="R117" s="119"/>
      <c r="S117" s="119">
        <f>SUBTOTAL(103,Tabla1[INICIA EN 2016])</f>
        <v>12</v>
      </c>
      <c r="T117" s="119">
        <f>SUBTOTAL(103,Tabla1[EJECUCIÓN 2016])</f>
        <v>6</v>
      </c>
      <c r="U117" s="255">
        <f>SUBTOTAL(109,Tabla1[PRESUPUESTO 2016 
(APROBADO)])</f>
        <v>965.06362237000019</v>
      </c>
      <c r="V117" s="255">
        <f>SUBTOTAL(109,Tabla1[FONDOS PROPIOS / 
FONDO GENERAL])</f>
        <v>519.46963000000005</v>
      </c>
      <c r="W117" s="255">
        <f>SUBTOTAL(109,Tabla1[PRÉSTAMOS EXTERNOS
(MONTO)])</f>
        <v>330.45540999999992</v>
      </c>
      <c r="X117" s="255"/>
      <c r="Y117" s="255">
        <f>SUBTOTAL(109,Tabla1[DONACIONES
(MONTO)])</f>
        <v>5.3179499999999997</v>
      </c>
      <c r="Z117" s="255"/>
      <c r="AA117" s="255">
        <f>SUBTOTAL(109,Tabla1[PRESUPUESTO 2016 
(APROBADO)2])</f>
        <v>965.06362237000019</v>
      </c>
      <c r="AB117" s="255">
        <f>SUBTOTAL(109,Tabla1[FONDOS PROPIOS / 
FONDO GENERAL2])</f>
        <v>519.46963000000005</v>
      </c>
      <c r="AC117" s="255">
        <f>SUBTOTAL(109,Tabla1[PRÉSTAMOS EXTERNOS
(MONTO)2])</f>
        <v>330.45540999999992</v>
      </c>
      <c r="AD117" s="255"/>
      <c r="AE117" s="255">
        <f>SUBTOTAL(109,Tabla1[DONACIONES
(MONTO)2])</f>
        <v>5.3179499999999997</v>
      </c>
      <c r="AF117" s="255"/>
      <c r="AG117" s="244">
        <f>SUBTOTAL(109,Tabla1[PRESUPUESTO 2016
MONTO TOTAL
(Millones US$)
A + B + C + D])</f>
        <v>1014.2621830500001</v>
      </c>
      <c r="AH117" s="244">
        <f>SUBTOTAL(109,Tabla1[FONDOS GOES + FONDOS PROPIOS])</f>
        <v>685.24343305000014</v>
      </c>
      <c r="AI117" s="244">
        <f>SUBTOTAL(109,Tabla1[FONDOS GOES
(Millones US$)
(A)])</f>
        <v>483.58738420000014</v>
      </c>
      <c r="AJ117" s="244">
        <f>SUBTOTAL(109,Tabla1[FONDOS PROPIOS 
(Millones US$)
(B)])</f>
        <v>201.65604884999999</v>
      </c>
      <c r="AK117" s="244">
        <f>SUBTOTAL(109,Tabla1[MONTO PRÉSTAMO
(Millones US$)
(C) ])</f>
        <v>296.23748499999999</v>
      </c>
      <c r="AL117" s="244"/>
      <c r="AM117" s="244">
        <f>SUBTOTAL(109,Tabla1[MONTO COOPERACIÓN NO REEMBOLSABLE  
(Millones US$)
(D)])</f>
        <v>32.777264999999993</v>
      </c>
      <c r="AN117" s="244"/>
      <c r="AO117" s="122">
        <f>SUBTOTAL(109,Tabla1[TOTAL PROYECTO])</f>
        <v>0.93185006000000004</v>
      </c>
      <c r="AP117" s="122">
        <f>SUBTOTAL(109,Tabla1[INVERSIÓN TOTAL          (Millones US$)])</f>
        <v>942.92000000000007</v>
      </c>
      <c r="AQ117" s="122">
        <f>SUBTOTAL(109,Tabla1[RECURSOS NACIONALES        (Millones US$)])</f>
        <v>452.92000000000007</v>
      </c>
      <c r="AR117" s="122">
        <f>SUBTOTAL(109,Tabla1[APOYO SOCIOS PAPTN       (Millones US$)])</f>
        <v>490</v>
      </c>
      <c r="AS117" s="119">
        <f>SUBTOTAL(103,Tabla1[INSTITUCIÓN QUE ENVÍA])</f>
        <v>82</v>
      </c>
      <c r="AT117" s="120"/>
      <c r="AV117" s="100"/>
    </row>
    <row r="118" spans="1:51" s="19" customFormat="1" ht="15.75" x14ac:dyDescent="0.2">
      <c r="A118" s="11"/>
      <c r="B118" s="11"/>
      <c r="C118" s="12"/>
      <c r="D118" s="18"/>
      <c r="E118" s="13"/>
      <c r="F118" s="13"/>
      <c r="G118" s="13"/>
      <c r="H118" s="13"/>
      <c r="I118" s="13"/>
      <c r="J118" s="14"/>
      <c r="K118" s="14"/>
      <c r="L118" s="14"/>
      <c r="M118" s="15"/>
      <c r="N118" s="14"/>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0"/>
      <c r="AQ118" s="17"/>
      <c r="AR118" s="10"/>
      <c r="AS118" s="14"/>
      <c r="AY118" s="100"/>
    </row>
    <row r="119" spans="1:51" ht="15.75" x14ac:dyDescent="0.25">
      <c r="A119" s="11"/>
      <c r="B119" s="11"/>
      <c r="C119" s="12"/>
      <c r="D119" s="18"/>
      <c r="E119" s="13"/>
      <c r="F119" s="13"/>
      <c r="G119" s="13"/>
      <c r="H119" s="13"/>
      <c r="I119" s="13"/>
      <c r="J119" s="14"/>
      <c r="K119" s="14"/>
      <c r="L119" s="14"/>
      <c r="M119" s="15"/>
      <c r="N119" s="14"/>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c r="AL119" s="16"/>
      <c r="AM119" s="16"/>
      <c r="AN119" s="16"/>
      <c r="AO119" s="16"/>
      <c r="AP119" s="10"/>
      <c r="AQ119" s="17"/>
      <c r="AR119" s="10"/>
      <c r="AS119" s="14"/>
      <c r="AT119" s="19"/>
      <c r="AU119" s="19"/>
      <c r="AV119" s="19"/>
      <c r="AW119" s="19"/>
    </row>
    <row r="120" spans="1:51" ht="15.75" x14ac:dyDescent="0.2">
      <c r="A120" s="32"/>
      <c r="B120" s="32"/>
      <c r="C120" s="12"/>
      <c r="D120" s="18"/>
      <c r="E120" s="13"/>
      <c r="F120" s="13"/>
      <c r="G120" s="13"/>
      <c r="H120" s="13"/>
      <c r="I120" s="13"/>
      <c r="J120" s="14"/>
      <c r="K120" s="14"/>
      <c r="L120" s="14"/>
      <c r="M120" s="15"/>
      <c r="N120" s="14"/>
      <c r="O120" s="16"/>
      <c r="P120" s="16"/>
      <c r="Q120" s="16"/>
      <c r="R120" s="16"/>
      <c r="S120" s="16"/>
      <c r="T120" s="16"/>
      <c r="U120" s="16"/>
      <c r="V120" s="16"/>
      <c r="W120" s="16"/>
      <c r="X120" s="16"/>
      <c r="Y120" s="16"/>
      <c r="Z120" s="16"/>
      <c r="AA120" s="16"/>
      <c r="AB120" s="16"/>
      <c r="AC120" s="16"/>
      <c r="AD120" s="16"/>
      <c r="AE120" s="16"/>
      <c r="AF120" s="16"/>
      <c r="AI120" s="16"/>
      <c r="AJ120" s="16"/>
      <c r="AK120" s="16"/>
      <c r="AL120" s="16"/>
      <c r="AM120" s="16"/>
      <c r="AN120" s="16"/>
      <c r="AO120" s="16"/>
      <c r="AP120" s="10"/>
      <c r="AQ120" s="17"/>
      <c r="AR120" s="10"/>
      <c r="AS120" s="14"/>
      <c r="AT120" s="19"/>
      <c r="AU120" s="19"/>
      <c r="AV120" s="19"/>
      <c r="AW120" s="19"/>
    </row>
    <row r="121" spans="1:51" ht="27.95" customHeight="1" x14ac:dyDescent="0.2">
      <c r="A121" s="31"/>
      <c r="B121" s="31"/>
      <c r="C121" s="12"/>
      <c r="D121" s="18"/>
      <c r="E121" s="13"/>
      <c r="F121" s="13"/>
      <c r="G121" s="13"/>
      <c r="H121" s="13"/>
      <c r="I121" s="13"/>
      <c r="J121" s="14"/>
      <c r="K121" s="111"/>
      <c r="L121" s="14"/>
      <c r="M121" s="15"/>
      <c r="N121" s="14"/>
      <c r="O121" s="16"/>
      <c r="P121" s="16"/>
      <c r="Q121" s="16"/>
      <c r="R121" s="16"/>
      <c r="S121" s="16"/>
      <c r="T121" s="16"/>
      <c r="U121" s="16"/>
      <c r="V121" s="16"/>
      <c r="W121" s="16"/>
      <c r="X121" s="16"/>
      <c r="Y121" s="16"/>
      <c r="Z121" s="16"/>
      <c r="AA121" s="16"/>
      <c r="AB121" s="16"/>
      <c r="AC121" s="16"/>
      <c r="AD121" s="16"/>
      <c r="AE121" s="16"/>
      <c r="AF121" s="16"/>
      <c r="AI121" s="16"/>
      <c r="AJ121" s="16"/>
      <c r="AK121" s="16"/>
      <c r="AL121" s="16"/>
      <c r="AM121" s="16"/>
      <c r="AN121" s="16"/>
      <c r="AO121" s="16"/>
      <c r="AP121" s="10"/>
      <c r="AQ121" s="17"/>
      <c r="AR121" s="10"/>
      <c r="AS121" s="14"/>
      <c r="AT121" s="19"/>
      <c r="AU121" s="19"/>
      <c r="AV121" s="19"/>
      <c r="AW121" s="19"/>
    </row>
    <row r="122" spans="1:51" x14ac:dyDescent="0.25">
      <c r="A122" s="3"/>
      <c r="B122" s="3"/>
      <c r="C122" s="3"/>
      <c r="K122" s="233"/>
      <c r="AI122" s="80"/>
      <c r="AQ122" s="5"/>
      <c r="AR122" s="5"/>
      <c r="AS122" s="3"/>
    </row>
    <row r="123" spans="1:51" x14ac:dyDescent="0.25">
      <c r="A123" s="3"/>
      <c r="B123" s="3"/>
      <c r="C123" s="3"/>
      <c r="J123" s="111"/>
      <c r="K123" s="111"/>
      <c r="L123" s="9"/>
    </row>
    <row r="124" spans="1:51" ht="25.5" x14ac:dyDescent="0.25">
      <c r="A124" s="3"/>
      <c r="B124" s="3"/>
      <c r="C124" s="3"/>
      <c r="J124" s="9"/>
      <c r="K124" s="9"/>
      <c r="L124" s="9"/>
      <c r="AG124" s="233"/>
      <c r="AH124" s="233"/>
      <c r="AP124" s="94" t="s">
        <v>56</v>
      </c>
      <c r="AS124" s="98"/>
    </row>
    <row r="125" spans="1:51" ht="16.5" x14ac:dyDescent="0.25">
      <c r="J125" s="9"/>
      <c r="K125" s="9"/>
      <c r="L125" s="112"/>
      <c r="AG125" s="2" t="s">
        <v>506</v>
      </c>
    </row>
    <row r="126" spans="1:51" x14ac:dyDescent="0.25">
      <c r="J126" s="1"/>
      <c r="K126" s="1"/>
      <c r="L126" s="9"/>
      <c r="AG126" s="234" t="s">
        <v>507</v>
      </c>
      <c r="AH126" s="234"/>
    </row>
    <row r="127" spans="1:51" x14ac:dyDescent="0.25">
      <c r="A127" s="3"/>
      <c r="B127" s="3"/>
      <c r="C127" s="3"/>
      <c r="J127" s="1"/>
      <c r="K127" s="1"/>
      <c r="L127" s="9"/>
      <c r="AG127" s="2" t="s">
        <v>381</v>
      </c>
      <c r="AQ127" s="92"/>
      <c r="AR127" s="92"/>
    </row>
    <row r="128" spans="1:51" x14ac:dyDescent="0.25">
      <c r="J128" s="1"/>
      <c r="K128" s="1"/>
      <c r="L128" s="9"/>
      <c r="AG128" s="2" t="s">
        <v>508</v>
      </c>
    </row>
    <row r="129" spans="10:12" x14ac:dyDescent="0.25">
      <c r="J129" s="1"/>
      <c r="K129" s="1"/>
      <c r="L129" s="9"/>
    </row>
    <row r="130" spans="10:12" x14ac:dyDescent="0.25">
      <c r="J130" s="1"/>
      <c r="K130" s="1"/>
      <c r="L130" s="1"/>
    </row>
    <row r="131" spans="10:12" x14ac:dyDescent="0.25">
      <c r="J131" s="1"/>
      <c r="K131" s="1"/>
      <c r="L131" s="1"/>
    </row>
    <row r="132" spans="10:12" x14ac:dyDescent="0.25">
      <c r="J132" s="1"/>
      <c r="K132" s="1"/>
      <c r="L132" s="1"/>
    </row>
    <row r="133" spans="10:12" x14ac:dyDescent="0.25">
      <c r="J133" s="1"/>
      <c r="K133" s="1"/>
      <c r="L133" s="1"/>
    </row>
  </sheetData>
  <mergeCells count="12">
    <mergeCell ref="A2:E2"/>
    <mergeCell ref="AG4:AO4"/>
    <mergeCell ref="AP4:AR4"/>
    <mergeCell ref="M4:Q4"/>
    <mergeCell ref="AK3:AL3"/>
    <mergeCell ref="AM3:AN3"/>
    <mergeCell ref="Y4:Z4"/>
    <mergeCell ref="W4:X4"/>
    <mergeCell ref="AC4:AD4"/>
    <mergeCell ref="AE4:AF4"/>
    <mergeCell ref="U3:Z3"/>
    <mergeCell ref="AA3:AF3"/>
  </mergeCells>
  <pageMargins left="0.7" right="0.7" top="0.75" bottom="0.75" header="0.3" footer="0.3"/>
  <pageSetup orientation="portrait"/>
  <legacyDrawing r:id="rId1"/>
  <tableParts count="1">
    <tablePart r:id="rId2"/>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Hoja1</vt:lpstr>
      <vt:lpstr>lineas de acción</vt:lpstr>
      <vt:lpstr>EJES POR FUENTE DE FINAN.</vt:lpstr>
      <vt:lpstr>INSTITUCIONES POR EJE</vt:lpstr>
      <vt:lpstr>INSTITUCIONES POR FUENTE DE FIN</vt:lpstr>
      <vt:lpstr>LÍNEAS DE ACCIÓN POR FUENTE</vt:lpstr>
      <vt:lpstr>MATRIZ PAPTN (presupuesto 2016)</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magaly.guzman</dc:creator>
  <cp:lastModifiedBy>Usuario</cp:lastModifiedBy>
  <cp:lastPrinted>2016-01-11T14:18:20Z</cp:lastPrinted>
  <dcterms:created xsi:type="dcterms:W3CDTF">2015-03-10T19:05:04Z</dcterms:created>
  <dcterms:modified xsi:type="dcterms:W3CDTF">2017-04-18T04:18:16Z</dcterms:modified>
</cp:coreProperties>
</file>