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90" windowWidth="9165" windowHeight="4995" tabRatio="601" activeTab="4"/>
  </bookViews>
  <sheets>
    <sheet name="FALLECIDOS POR SEXO 2014 " sheetId="1" r:id="rId1"/>
    <sheet name="FALLECIDOS POR SEGURO 2014 " sheetId="5" r:id="rId2"/>
    <sheet name="SEGUROS PAGADOS AÑO 2014" sheetId="3" r:id="rId3"/>
    <sheet name="Valores de Rescate pagados 2014" sheetId="2" r:id="rId4"/>
    <sheet name="Pago SVD Venc. de póliza 2014" sheetId="4" r:id="rId5"/>
  </sheets>
  <definedNames>
    <definedName name="_xlnm.Print_Area" localSheetId="1">'FALLECIDOS POR SEGURO 2014 '!$A$1:$P$23</definedName>
    <definedName name="_xlnm.Print_Area" localSheetId="0">'FALLECIDOS POR SEXO 2014 '!$A$1:$E$28</definedName>
    <definedName name="_xlnm.Print_Area" localSheetId="4">'Pago SVD Venc. de póliza 2014'!$A$1:$E$26</definedName>
    <definedName name="_xlnm.Print_Area" localSheetId="2">'SEGUROS PAGADOS AÑO 2014'!$A$1:$N$24</definedName>
    <definedName name="_xlnm.Print_Area" localSheetId="3">'Valores de Rescate pagados 2014'!$A$1:$E$26</definedName>
  </definedNames>
  <calcPr calcId="145621"/>
</workbook>
</file>

<file path=xl/calcChain.xml><?xml version="1.0" encoding="utf-8"?>
<calcChain xmlns="http://schemas.openxmlformats.org/spreadsheetml/2006/main">
  <c r="E21" i="4" l="1"/>
  <c r="D21" i="4"/>
  <c r="C21" i="4"/>
  <c r="E20" i="4"/>
  <c r="D20" i="4"/>
  <c r="C20" i="4"/>
  <c r="E19" i="4"/>
  <c r="D19" i="4"/>
  <c r="C19" i="4"/>
  <c r="E21" i="2" l="1"/>
  <c r="D21" i="2"/>
  <c r="C21" i="2"/>
  <c r="E20" i="2"/>
  <c r="D20" i="2"/>
  <c r="C20" i="2"/>
  <c r="E19" i="2"/>
  <c r="D19" i="2"/>
  <c r="C19" i="2"/>
  <c r="K19" i="3" l="1"/>
  <c r="J19" i="3"/>
  <c r="H19" i="3"/>
  <c r="G19" i="3"/>
  <c r="F19" i="3"/>
  <c r="E19" i="3"/>
  <c r="D19" i="3"/>
  <c r="B19" i="3"/>
  <c r="K18" i="3"/>
  <c r="J18" i="3"/>
  <c r="H18" i="3"/>
  <c r="G18" i="3"/>
  <c r="E18" i="3"/>
  <c r="D18" i="3"/>
  <c r="B18" i="3"/>
  <c r="M17" i="3"/>
  <c r="L17" i="3"/>
  <c r="K17" i="3"/>
  <c r="J17" i="3"/>
  <c r="I17" i="3"/>
  <c r="H17" i="3"/>
  <c r="G17" i="3"/>
  <c r="F17" i="3"/>
  <c r="E17" i="3"/>
  <c r="D17" i="3"/>
  <c r="C17" i="3"/>
  <c r="B17" i="3"/>
  <c r="N21" i="5" l="1"/>
  <c r="N20" i="5"/>
  <c r="N19" i="5"/>
  <c r="N18" i="5"/>
  <c r="N17" i="5"/>
  <c r="N16" i="5"/>
  <c r="N15" i="5"/>
  <c r="N14" i="5"/>
  <c r="N13" i="5"/>
  <c r="N12" i="5"/>
  <c r="H21" i="5"/>
  <c r="H20" i="5"/>
  <c r="H19" i="5"/>
  <c r="H18" i="5"/>
  <c r="H17" i="5"/>
  <c r="H16" i="5"/>
  <c r="H15" i="5"/>
  <c r="H14" i="5"/>
  <c r="H13" i="5"/>
  <c r="H12" i="5"/>
  <c r="M22" i="5"/>
  <c r="L22" i="5"/>
  <c r="K22" i="5"/>
  <c r="J22" i="5"/>
  <c r="I22" i="5"/>
  <c r="G22" i="5"/>
  <c r="F22" i="5"/>
  <c r="E22" i="5"/>
  <c r="D22" i="5"/>
  <c r="C22" i="5"/>
  <c r="O21" i="5"/>
  <c r="P21" i="5"/>
  <c r="O20" i="5"/>
  <c r="P20" i="5"/>
  <c r="O19" i="5"/>
  <c r="P19" i="5"/>
  <c r="O18" i="5"/>
  <c r="P18" i="5"/>
  <c r="O17" i="5"/>
  <c r="P17" i="5"/>
  <c r="O16" i="5"/>
  <c r="P16" i="5"/>
  <c r="O15" i="5"/>
  <c r="P15" i="5"/>
  <c r="O14" i="5"/>
  <c r="P14" i="5"/>
  <c r="O13" i="5"/>
  <c r="P13" i="5"/>
  <c r="O12" i="5"/>
  <c r="P12" i="5"/>
  <c r="O11" i="5"/>
  <c r="N11" i="5"/>
  <c r="P11" i="5" s="1"/>
  <c r="H11" i="5"/>
  <c r="O10" i="5"/>
  <c r="O22" i="5" s="1"/>
  <c r="N10" i="5"/>
  <c r="N22" i="5" s="1"/>
  <c r="H10" i="5"/>
  <c r="H22" i="5" s="1"/>
  <c r="P10" i="5" l="1"/>
  <c r="P22" i="5" s="1"/>
  <c r="E18" i="4" l="1"/>
  <c r="D18" i="4"/>
  <c r="C18" i="4"/>
  <c r="E17" i="4"/>
  <c r="D17" i="4"/>
  <c r="C17" i="4"/>
  <c r="E16" i="4"/>
  <c r="D16" i="4"/>
  <c r="C16" i="4"/>
  <c r="E18" i="2" l="1"/>
  <c r="D18" i="2"/>
  <c r="C18" i="2"/>
  <c r="E17" i="2"/>
  <c r="D17" i="2"/>
  <c r="C17" i="2"/>
  <c r="E16" i="2"/>
  <c r="D16" i="2"/>
  <c r="C16" i="2"/>
  <c r="K16" i="3" l="1"/>
  <c r="J16" i="3"/>
  <c r="H16" i="3"/>
  <c r="G16" i="3"/>
  <c r="F16" i="3"/>
  <c r="E16" i="3"/>
  <c r="D16" i="3"/>
  <c r="C16" i="3"/>
  <c r="B16" i="3"/>
  <c r="K15" i="3"/>
  <c r="J15" i="3"/>
  <c r="H15" i="3"/>
  <c r="G15" i="3"/>
  <c r="F15" i="3"/>
  <c r="E15" i="3"/>
  <c r="D15" i="3"/>
  <c r="C15" i="3"/>
  <c r="B15" i="3"/>
  <c r="K14" i="3"/>
  <c r="J14" i="3"/>
  <c r="H14" i="3"/>
  <c r="G14" i="3"/>
  <c r="E14" i="3"/>
  <c r="D14" i="3"/>
  <c r="B14" i="3"/>
  <c r="E15" i="4" l="1"/>
  <c r="D15" i="4"/>
  <c r="C15" i="4"/>
  <c r="E14" i="4"/>
  <c r="D14" i="4"/>
  <c r="C14" i="4"/>
  <c r="E13" i="4"/>
  <c r="D13" i="4"/>
  <c r="C13" i="4"/>
  <c r="E15" i="2" l="1"/>
  <c r="E14" i="2"/>
  <c r="E13" i="2"/>
  <c r="D15" i="2"/>
  <c r="C15" i="2"/>
  <c r="D14" i="2"/>
  <c r="C14" i="2"/>
  <c r="D13" i="2"/>
  <c r="C13" i="2"/>
  <c r="M20" i="3" l="1"/>
  <c r="K13" i="3"/>
  <c r="J13" i="3"/>
  <c r="H13" i="3"/>
  <c r="G13" i="3"/>
  <c r="F13" i="3"/>
  <c r="E13" i="3"/>
  <c r="D13" i="3"/>
  <c r="C13" i="3"/>
  <c r="B13" i="3"/>
  <c r="K12" i="3"/>
  <c r="J12" i="3"/>
  <c r="H12" i="3"/>
  <c r="G12" i="3"/>
  <c r="D12" i="3"/>
  <c r="C12" i="3"/>
  <c r="B12" i="3"/>
  <c r="K11" i="3"/>
  <c r="J11" i="3"/>
  <c r="H11" i="3"/>
  <c r="G11" i="3"/>
  <c r="F11" i="3"/>
  <c r="E11" i="3"/>
  <c r="D11" i="3"/>
  <c r="C11" i="3"/>
  <c r="B11" i="3"/>
  <c r="L20" i="3" l="1"/>
  <c r="K20" i="3"/>
  <c r="J20" i="3"/>
  <c r="I20" i="3"/>
  <c r="H20" i="3"/>
  <c r="G20" i="3"/>
  <c r="F20" i="3"/>
  <c r="E20" i="3"/>
  <c r="D20" i="3"/>
  <c r="C20" i="3"/>
  <c r="B20" i="3"/>
  <c r="E12" i="4"/>
  <c r="D12" i="4"/>
  <c r="C12" i="4"/>
  <c r="E11" i="4"/>
  <c r="D11" i="4"/>
  <c r="C11" i="4"/>
  <c r="E10" i="4"/>
  <c r="D10" i="4"/>
  <c r="C10" i="4"/>
  <c r="E22" i="4"/>
  <c r="D22" i="4"/>
  <c r="C22" i="4"/>
  <c r="E12" i="2" l="1"/>
  <c r="D12" i="2"/>
  <c r="C12" i="2"/>
  <c r="E11" i="2"/>
  <c r="D11" i="2"/>
  <c r="C11" i="2"/>
  <c r="E10" i="2"/>
  <c r="E22" i="2" s="1"/>
  <c r="D10" i="2"/>
  <c r="D22" i="2" s="1"/>
  <c r="C10" i="2"/>
  <c r="C22" i="2" s="1"/>
  <c r="N19" i="3" l="1"/>
  <c r="N18" i="3"/>
  <c r="N17" i="3"/>
  <c r="N16" i="3"/>
  <c r="N15" i="3"/>
  <c r="N14" i="3"/>
  <c r="N13" i="3"/>
  <c r="N12" i="3"/>
  <c r="N11" i="3"/>
  <c r="L10" i="3"/>
  <c r="K10" i="3"/>
  <c r="J10" i="3"/>
  <c r="H10" i="3"/>
  <c r="G10" i="3"/>
  <c r="N10" i="3" s="1"/>
  <c r="N20" i="3" s="1"/>
  <c r="F10" i="3"/>
  <c r="E10" i="3"/>
  <c r="D10" i="3"/>
  <c r="C10" i="3"/>
  <c r="B10" i="3"/>
  <c r="L9" i="3"/>
  <c r="K9" i="3"/>
  <c r="J9" i="3"/>
  <c r="H9" i="3"/>
  <c r="G9" i="3"/>
  <c r="N9" i="3" s="1"/>
  <c r="F9" i="3"/>
  <c r="E9" i="3"/>
  <c r="D9" i="3"/>
  <c r="C9" i="3"/>
  <c r="B9" i="3"/>
  <c r="L8" i="3"/>
  <c r="K8" i="3"/>
  <c r="J8" i="3"/>
  <c r="H8" i="3"/>
  <c r="G8" i="3"/>
  <c r="N8" i="3" l="1"/>
  <c r="E11" i="1" l="1"/>
  <c r="E12" i="1"/>
  <c r="E13" i="1"/>
  <c r="E14" i="1"/>
  <c r="E15" i="1"/>
  <c r="E22" i="1"/>
  <c r="E21" i="1"/>
  <c r="E20" i="1"/>
  <c r="E19" i="1"/>
  <c r="E18" i="1"/>
  <c r="E17" i="1"/>
  <c r="E16" i="1"/>
  <c r="E23" i="1"/>
  <c r="D23" i="1"/>
  <c r="C23" i="1"/>
</calcChain>
</file>

<file path=xl/sharedStrings.xml><?xml version="1.0" encoding="utf-8"?>
<sst xmlns="http://schemas.openxmlformats.org/spreadsheetml/2006/main" count="140" uniqueCount="80">
  <si>
    <t>TOTAL</t>
  </si>
  <si>
    <t>HOMBRES</t>
  </si>
  <si>
    <t>MUJERES</t>
  </si>
  <si>
    <t>ENERO</t>
  </si>
  <si>
    <t>TOTALES</t>
  </si>
  <si>
    <t>FEBRERO</t>
  </si>
  <si>
    <t>MARZO</t>
  </si>
  <si>
    <t>ABRIL</t>
  </si>
  <si>
    <t>MAYO</t>
  </si>
  <si>
    <t>JUNIO</t>
  </si>
  <si>
    <t>JULIO</t>
  </si>
  <si>
    <t>AGOSTO</t>
  </si>
  <si>
    <t>.</t>
  </si>
  <si>
    <t xml:space="preserve"> </t>
  </si>
  <si>
    <t>SEPTIEMBRE</t>
  </si>
  <si>
    <t>ASEGURADOS REPORTADOS FALLECIDOS EN SEGURO</t>
  </si>
  <si>
    <t>OCTUBRE</t>
  </si>
  <si>
    <t>NOVIEMBRE</t>
  </si>
  <si>
    <t>DICIEMBRE</t>
  </si>
  <si>
    <t>DE VIDA BÁSICO, OPCIONAL, DOTAL Y SEGURO POR SEPELIO</t>
  </si>
  <si>
    <t>MES</t>
  </si>
  <si>
    <t>Unidad de Trámite de Reclamos</t>
  </si>
  <si>
    <t>RESUMEN DE SEGUROS DE VIDA APROBADOS POR EL CONSEJO DIRECTIVO</t>
  </si>
  <si>
    <t xml:space="preserve">MES   </t>
  </si>
  <si>
    <t>ASEGURADOS FALLECIDOS DEL AÑO 2014 DE QUIENES HAN RECLAMADO PAGOS</t>
  </si>
  <si>
    <t>CASOS DE SEGUROS PEND.DE PAGO DE OTROS AÑOS, PAGADOS EN EL 2014</t>
  </si>
  <si>
    <t>Nº DE BENEF. A LOS QUE SE LES HA PAGADO</t>
  </si>
  <si>
    <t>FALLECI-DOS MUJERES</t>
  </si>
  <si>
    <t>FALLECI-DOS HOMBRES</t>
  </si>
  <si>
    <t>PAGADO EN                      SEGURO  DE  VIDA BÁSICO</t>
  </si>
  <si>
    <t>PAGADO EN                       SEGURO DE VIDA OPCIONAL</t>
  </si>
  <si>
    <t>PAGADO EN                       SEGURO DE VIDA DOTAL</t>
  </si>
  <si>
    <t>PAGADO EN                    SEGURO   POR   SEPELIO</t>
  </si>
  <si>
    <t xml:space="preserve">PAGO DEL 10% DE GASTOS FUNERARIOS </t>
  </si>
  <si>
    <t>DOBLE PAGO POR MUERTE ACCIDENTAL</t>
  </si>
  <si>
    <t>BENEFICIO DEL PAGO DEL 100% DEL SEGURO DE VIDA OPCIONAL AL ASEGURADO (EN VIDA) POR INCAPACIDAD TOTAL Y PERMANENTE</t>
  </si>
  <si>
    <t>TOTAL GENERAL PAGADO EN SEGUROS</t>
  </si>
  <si>
    <t>Abril</t>
  </si>
  <si>
    <t>Mayo</t>
  </si>
  <si>
    <t>Junio</t>
  </si>
  <si>
    <t>Julio</t>
  </si>
  <si>
    <t>Agosto</t>
  </si>
  <si>
    <t>Octubre</t>
  </si>
  <si>
    <t xml:space="preserve">RESUMEN SOBRE VALORES DE RESCATE </t>
  </si>
  <si>
    <t>DE SEGURO DE VIDA DOTAL PAGADOS AÑO 2014</t>
  </si>
  <si>
    <t>Nº DE VALORES DE RESCATE RECLAMADOS</t>
  </si>
  <si>
    <t>RENTA RETENIDA 10%</t>
  </si>
  <si>
    <t>CANTIDAD PAGADA</t>
  </si>
  <si>
    <t xml:space="preserve">RESUMEN MENSUAL SOBRE PAGO DE SEGURO  </t>
  </si>
  <si>
    <t>DE VIDA DOTAL POR VENCIMIENTO DE PÓLIZA  AÑO 2014</t>
  </si>
  <si>
    <t>NUMERO DE SEGUROS RECLAMADOS</t>
  </si>
  <si>
    <t>CANTIDAD LIQUIDA PAGADA</t>
  </si>
  <si>
    <t>Enero</t>
  </si>
  <si>
    <t>Febrero</t>
  </si>
  <si>
    <t>Marzo</t>
  </si>
  <si>
    <t>Septiembre</t>
  </si>
  <si>
    <t>Noviembre</t>
  </si>
  <si>
    <t>Diciembre</t>
  </si>
  <si>
    <t>DEL 01 DE ENERO AL 31 DE DICIEMBRE DEL AÑO 2014</t>
  </si>
  <si>
    <t>ASEGURADOS REPORTADOS FALLECIDOS EN SEGUROS DE VIDA BÁSICO,</t>
  </si>
  <si>
    <t>OPCIONAL,  DOTAL Y SEGURO POR SEPELIO.</t>
  </si>
  <si>
    <t>TAMBIÉN SEGUROS RECLAMADOS POR TIPO DE SEGURO</t>
  </si>
  <si>
    <t xml:space="preserve">        TIPOS DE SEGUROS RECLAMADOS</t>
  </si>
  <si>
    <t xml:space="preserve">TOTAL </t>
  </si>
  <si>
    <t xml:space="preserve">         TIPOS DE SEGUROS RECLAMADOS</t>
  </si>
  <si>
    <t>MESES</t>
  </si>
  <si>
    <t>HOMBRES FALLECIDOS</t>
  </si>
  <si>
    <t>BASICO</t>
  </si>
  <si>
    <t>OPCIONAL</t>
  </si>
  <si>
    <t>DOTAL</t>
  </si>
  <si>
    <t>SEPELIO</t>
  </si>
  <si>
    <t>SEGUROS RECLAMA-DOS HOMBRES</t>
  </si>
  <si>
    <t>MUJERES FALLECIDAS</t>
  </si>
  <si>
    <t>SEGUROS RECLAMADOS MUJERES</t>
  </si>
  <si>
    <t xml:space="preserve"> GENERAL FALLECIDOS</t>
  </si>
  <si>
    <t>GENERAL SEGUROS RECLAMADOS</t>
  </si>
  <si>
    <t>SEPTIEM</t>
  </si>
  <si>
    <t>NOVIEM</t>
  </si>
  <si>
    <t>DICIEM</t>
  </si>
  <si>
    <t>PAGADOS POR FALLECIMIENTOS DEL 01 DE ENERO AL 31 DE DICIEMBRE DEL AÑO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</si>
</sst>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[$$-C09]* #,##0.00_-;\-[$$-C09]* #,##0.00_-;_-[$$-C09]* &quot;-&quot;??_-;_-@_-"/>
  </numFmts>
  <fonts count="3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i/>
      <sz val="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8"/>
      <name val="Tahoma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5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i/>
      <sz val="5"/>
      <name val="Arial"/>
      <family val="2"/>
    </font>
    <font>
      <sz val="9"/>
      <color indexed="63"/>
      <name val="Arial"/>
      <family val="2"/>
    </font>
    <font>
      <sz val="7"/>
      <color indexed="63"/>
      <name val="Arial"/>
      <family val="2"/>
    </font>
    <font>
      <sz val="7"/>
      <name val="Arial"/>
      <family val="2"/>
    </font>
    <font>
      <sz val="4"/>
      <name val="Arial"/>
      <family val="2"/>
    </font>
    <font>
      <b/>
      <sz val="9"/>
      <name val="Bookman Old Style"/>
      <family val="1"/>
    </font>
    <font>
      <sz val="10"/>
      <name val="Tahoma"/>
      <family val="2"/>
    </font>
    <font>
      <sz val="9"/>
      <color indexed="8"/>
      <name val="Arial"/>
      <family val="2"/>
    </font>
    <font>
      <b/>
      <sz val="7"/>
      <name val="Arial"/>
      <family val="2"/>
    </font>
    <font>
      <b/>
      <sz val="10"/>
      <color indexed="8"/>
      <name val="Calibri"/>
      <family val="2"/>
      <scheme val="minor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A21"/>
        <bgColor indexed="64"/>
      </patternFill>
    </fill>
  </fills>
  <borders count="10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3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</borders>
  <cellStyleXfs count="4">
    <xf numFmtId="0" fontId="0" fillId="0" borderId="0"/>
    <xf numFmtId="44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7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8" fontId="0" fillId="0" borderId="0" xfId="0" applyNumberFormat="1" applyBorder="1" applyAlignment="1">
      <alignment horizontal="center"/>
    </xf>
    <xf numFmtId="8" fontId="0" fillId="0" borderId="0" xfId="0" applyNumberForma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10" fillId="0" borderId="0" xfId="0" applyFont="1"/>
    <xf numFmtId="0" fontId="13" fillId="0" borderId="0" xfId="0" applyFont="1"/>
    <xf numFmtId="0" fontId="2" fillId="0" borderId="0" xfId="0" applyFont="1"/>
    <xf numFmtId="0" fontId="1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17" fontId="14" fillId="0" borderId="3" xfId="0" applyNumberFormat="1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17" fontId="14" fillId="0" borderId="5" xfId="0" applyNumberFormat="1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4" fillId="0" borderId="13" xfId="0" applyNumberFormat="1" applyFont="1" applyBorder="1" applyAlignment="1">
      <alignment horizontal="left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/>
    <xf numFmtId="0" fontId="11" fillId="0" borderId="14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7" fontId="19" fillId="0" borderId="20" xfId="0" applyNumberFormat="1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164" fontId="19" fillId="0" borderId="21" xfId="0" applyNumberFormat="1" applyFont="1" applyBorder="1" applyAlignment="1">
      <alignment horizontal="center"/>
    </xf>
    <xf numFmtId="44" fontId="19" fillId="0" borderId="23" xfId="1" applyFont="1" applyBorder="1" applyAlignment="1">
      <alignment horizontal="center"/>
    </xf>
    <xf numFmtId="17" fontId="19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8" fontId="19" fillId="0" borderId="6" xfId="0" applyNumberFormat="1" applyFont="1" applyBorder="1" applyAlignment="1">
      <alignment horizontal="center"/>
    </xf>
    <xf numFmtId="164" fontId="19" fillId="0" borderId="6" xfId="0" applyNumberFormat="1" applyFont="1" applyBorder="1" applyAlignment="1">
      <alignment horizontal="center"/>
    </xf>
    <xf numFmtId="8" fontId="19" fillId="0" borderId="25" xfId="0" applyNumberFormat="1" applyFont="1" applyBorder="1" applyAlignment="1">
      <alignment horizontal="center"/>
    </xf>
    <xf numFmtId="8" fontId="19" fillId="0" borderId="26" xfId="0" applyNumberFormat="1" applyFont="1" applyBorder="1" applyAlignment="1">
      <alignment horizontal="center"/>
    </xf>
    <xf numFmtId="44" fontId="19" fillId="0" borderId="26" xfId="1" applyFont="1" applyBorder="1" applyAlignment="1">
      <alignment horizontal="center"/>
    </xf>
    <xf numFmtId="0" fontId="18" fillId="0" borderId="0" xfId="0" applyFont="1"/>
    <xf numFmtId="17" fontId="19" fillId="0" borderId="27" xfId="0" applyNumberFormat="1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8" fontId="19" fillId="0" borderId="28" xfId="0" applyNumberFormat="1" applyFont="1" applyBorder="1" applyAlignment="1">
      <alignment horizontal="center"/>
    </xf>
    <xf numFmtId="164" fontId="19" fillId="0" borderId="28" xfId="0" applyNumberFormat="1" applyFont="1" applyBorder="1" applyAlignment="1">
      <alignment horizontal="center"/>
    </xf>
    <xf numFmtId="8" fontId="19" fillId="0" borderId="30" xfId="0" applyNumberFormat="1" applyFont="1" applyBorder="1" applyAlignment="1">
      <alignment horizontal="center"/>
    </xf>
    <xf numFmtId="17" fontId="19" fillId="0" borderId="31" xfId="0" applyNumberFormat="1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8" fontId="19" fillId="0" borderId="33" xfId="0" applyNumberFormat="1" applyFont="1" applyBorder="1" applyAlignment="1">
      <alignment horizontal="center"/>
    </xf>
    <xf numFmtId="164" fontId="19" fillId="0" borderId="33" xfId="0" applyNumberFormat="1" applyFont="1" applyBorder="1" applyAlignment="1">
      <alignment horizontal="center"/>
    </xf>
    <xf numFmtId="8" fontId="19" fillId="0" borderId="34" xfId="0" applyNumberFormat="1" applyFont="1" applyBorder="1" applyAlignment="1">
      <alignment horizontal="center"/>
    </xf>
    <xf numFmtId="17" fontId="19" fillId="0" borderId="35" xfId="0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8" fontId="19" fillId="0" borderId="36" xfId="0" applyNumberFormat="1" applyFont="1" applyBorder="1" applyAlignment="1">
      <alignment horizontal="center"/>
    </xf>
    <xf numFmtId="164" fontId="19" fillId="0" borderId="36" xfId="0" applyNumberFormat="1" applyFont="1" applyBorder="1" applyAlignment="1">
      <alignment horizontal="center"/>
    </xf>
    <xf numFmtId="8" fontId="0" fillId="0" borderId="0" xfId="0" applyNumberFormat="1"/>
    <xf numFmtId="0" fontId="19" fillId="0" borderId="34" xfId="0" applyFont="1" applyBorder="1" applyAlignment="1">
      <alignment horizontal="center"/>
    </xf>
    <xf numFmtId="164" fontId="19" fillId="0" borderId="34" xfId="0" applyNumberFormat="1" applyFont="1" applyBorder="1" applyAlignment="1">
      <alignment horizontal="center"/>
    </xf>
    <xf numFmtId="0" fontId="24" fillId="0" borderId="0" xfId="0" applyFont="1"/>
    <xf numFmtId="0" fontId="19" fillId="0" borderId="0" xfId="0" applyFont="1" applyAlignment="1">
      <alignment horizontal="left"/>
    </xf>
    <xf numFmtId="0" fontId="22" fillId="0" borderId="0" xfId="0" applyFont="1"/>
    <xf numFmtId="9" fontId="19" fillId="0" borderId="0" xfId="2" applyFont="1"/>
    <xf numFmtId="0" fontId="25" fillId="0" borderId="0" xfId="0" applyFont="1"/>
    <xf numFmtId="9" fontId="11" fillId="0" borderId="0" xfId="2" applyFont="1"/>
    <xf numFmtId="8" fontId="25" fillId="0" borderId="0" xfId="0" applyNumberFormat="1" applyFont="1"/>
    <xf numFmtId="9" fontId="0" fillId="0" borderId="0" xfId="2" applyFont="1"/>
    <xf numFmtId="0" fontId="2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7" fillId="0" borderId="0" xfId="0" applyFont="1"/>
    <xf numFmtId="0" fontId="0" fillId="0" borderId="0" xfId="0" applyBorder="1"/>
    <xf numFmtId="8" fontId="22" fillId="0" borderId="40" xfId="0" applyNumberFormat="1" applyFont="1" applyBorder="1" applyAlignment="1">
      <alignment horizontal="center"/>
    </xf>
    <xf numFmtId="44" fontId="22" fillId="0" borderId="40" xfId="1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164" fontId="22" fillId="0" borderId="40" xfId="0" applyNumberFormat="1" applyFont="1" applyBorder="1" applyAlignment="1">
      <alignment horizontal="center"/>
    </xf>
    <xf numFmtId="8" fontId="22" fillId="0" borderId="41" xfId="0" applyNumberFormat="1" applyFont="1" applyBorder="1" applyAlignment="1">
      <alignment horizontal="center"/>
    </xf>
    <xf numFmtId="0" fontId="28" fillId="0" borderId="0" xfId="0" applyFont="1"/>
    <xf numFmtId="0" fontId="1" fillId="0" borderId="0" xfId="0" applyFont="1" applyBorder="1"/>
    <xf numFmtId="17" fontId="30" fillId="0" borderId="42" xfId="0" applyNumberFormat="1" applyFont="1" applyBorder="1" applyAlignment="1">
      <alignment horizontal="left"/>
    </xf>
    <xf numFmtId="0" fontId="1" fillId="0" borderId="47" xfId="0" applyFont="1" applyBorder="1" applyAlignment="1">
      <alignment horizontal="center"/>
    </xf>
    <xf numFmtId="164" fontId="1" fillId="0" borderId="47" xfId="0" applyNumberFormat="1" applyFont="1" applyBorder="1" applyAlignment="1">
      <alignment horizontal="center"/>
    </xf>
    <xf numFmtId="164" fontId="1" fillId="0" borderId="49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164" fontId="31" fillId="0" borderId="47" xfId="0" applyNumberFormat="1" applyFont="1" applyBorder="1" applyProtection="1">
      <protection locked="0"/>
    </xf>
    <xf numFmtId="0" fontId="1" fillId="0" borderId="49" xfId="0" applyFont="1" applyBorder="1" applyAlignment="1">
      <alignment horizontal="center"/>
    </xf>
    <xf numFmtId="164" fontId="1" fillId="0" borderId="50" xfId="0" applyNumberFormat="1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44" fontId="0" fillId="0" borderId="51" xfId="1" applyFont="1" applyBorder="1"/>
    <xf numFmtId="0" fontId="2" fillId="0" borderId="47" xfId="0" applyFont="1" applyBorder="1"/>
    <xf numFmtId="0" fontId="2" fillId="0" borderId="47" xfId="0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164" fontId="1" fillId="0" borderId="48" xfId="0" applyNumberFormat="1" applyFont="1" applyBorder="1" applyAlignment="1">
      <alignment horizontal="center"/>
    </xf>
    <xf numFmtId="17" fontId="16" fillId="0" borderId="52" xfId="0" applyNumberFormat="1" applyFont="1" applyBorder="1" applyAlignment="1">
      <alignment horizontal="center"/>
    </xf>
    <xf numFmtId="0" fontId="17" fillId="0" borderId="53" xfId="0" applyFont="1" applyBorder="1" applyAlignment="1">
      <alignment horizontal="center"/>
    </xf>
    <xf numFmtId="0" fontId="17" fillId="0" borderId="54" xfId="0" applyFont="1" applyBorder="1" applyAlignment="1">
      <alignment horizontal="center"/>
    </xf>
    <xf numFmtId="8" fontId="19" fillId="0" borderId="21" xfId="0" applyNumberFormat="1" applyFont="1" applyBorder="1" applyAlignment="1">
      <alignment horizontal="right"/>
    </xf>
    <xf numFmtId="8" fontId="19" fillId="0" borderId="6" xfId="0" applyNumberFormat="1" applyFont="1" applyBorder="1" applyAlignment="1">
      <alignment horizontal="right"/>
    </xf>
    <xf numFmtId="44" fontId="19" fillId="0" borderId="6" xfId="1" applyFont="1" applyBorder="1" applyAlignment="1">
      <alignment horizontal="right"/>
    </xf>
    <xf numFmtId="8" fontId="19" fillId="0" borderId="22" xfId="0" applyNumberFormat="1" applyFont="1" applyBorder="1" applyAlignment="1">
      <alignment horizontal="right"/>
    </xf>
    <xf numFmtId="8" fontId="19" fillId="0" borderId="23" xfId="0" applyNumberFormat="1" applyFont="1" applyBorder="1" applyAlignment="1">
      <alignment horizontal="right"/>
    </xf>
    <xf numFmtId="8" fontId="19" fillId="0" borderId="25" xfId="0" applyNumberFormat="1" applyFont="1" applyBorder="1" applyAlignment="1">
      <alignment horizontal="right"/>
    </xf>
    <xf numFmtId="8" fontId="19" fillId="0" borderId="26" xfId="0" applyNumberFormat="1" applyFont="1" applyBorder="1" applyAlignment="1">
      <alignment horizontal="right"/>
    </xf>
    <xf numFmtId="8" fontId="19" fillId="0" borderId="39" xfId="0" applyNumberFormat="1" applyFont="1" applyBorder="1" applyAlignment="1">
      <alignment horizontal="right"/>
    </xf>
    <xf numFmtId="8" fontId="19" fillId="0" borderId="24" xfId="0" applyNumberFormat="1" applyFont="1" applyBorder="1" applyAlignment="1">
      <alignment horizontal="right"/>
    </xf>
    <xf numFmtId="8" fontId="19" fillId="0" borderId="37" xfId="0" applyNumberFormat="1" applyFont="1" applyBorder="1" applyAlignment="1">
      <alignment horizontal="right"/>
    </xf>
    <xf numFmtId="164" fontId="1" fillId="0" borderId="55" xfId="0" applyNumberFormat="1" applyFont="1" applyBorder="1" applyAlignment="1">
      <alignment horizontal="center"/>
    </xf>
    <xf numFmtId="44" fontId="0" fillId="0" borderId="26" xfId="1" applyFont="1" applyBorder="1"/>
    <xf numFmtId="44" fontId="1" fillId="0" borderId="46" xfId="1" applyFont="1" applyBorder="1" applyAlignment="1">
      <alignment horizontal="center"/>
    </xf>
    <xf numFmtId="44" fontId="0" fillId="0" borderId="23" xfId="1" applyFont="1" applyBorder="1"/>
    <xf numFmtId="0" fontId="1" fillId="0" borderId="56" xfId="0" applyFont="1" applyBorder="1" applyAlignment="1">
      <alignment horizontal="center"/>
    </xf>
    <xf numFmtId="164" fontId="0" fillId="0" borderId="50" xfId="0" applyNumberFormat="1" applyBorder="1" applyAlignment="1">
      <alignment horizontal="center"/>
    </xf>
    <xf numFmtId="164" fontId="0" fillId="0" borderId="46" xfId="0" applyNumberFormat="1" applyFont="1" applyBorder="1" applyAlignment="1">
      <alignment horizontal="center"/>
    </xf>
    <xf numFmtId="0" fontId="3" fillId="0" borderId="0" xfId="3" applyFont="1" applyAlignment="1">
      <alignment horizontal="center"/>
    </xf>
    <xf numFmtId="0" fontId="1" fillId="0" borderId="0" xfId="3"/>
    <xf numFmtId="0" fontId="1" fillId="0" borderId="0" xfId="3" applyFont="1" applyBorder="1"/>
    <xf numFmtId="0" fontId="1" fillId="0" borderId="0" xfId="3" applyFont="1"/>
    <xf numFmtId="0" fontId="4" fillId="0" borderId="0" xfId="3" applyFont="1" applyBorder="1" applyAlignment="1">
      <alignment horizontal="center" vertical="center" wrapText="1"/>
    </xf>
    <xf numFmtId="17" fontId="14" fillId="0" borderId="3" xfId="3" applyNumberFormat="1" applyFont="1" applyBorder="1" applyAlignment="1">
      <alignment horizontal="left"/>
    </xf>
    <xf numFmtId="0" fontId="17" fillId="0" borderId="4" xfId="3" applyFont="1" applyBorder="1" applyAlignment="1">
      <alignment horizontal="center"/>
    </xf>
    <xf numFmtId="0" fontId="15" fillId="0" borderId="4" xfId="3" applyFont="1" applyBorder="1" applyAlignment="1">
      <alignment horizontal="center"/>
    </xf>
    <xf numFmtId="0" fontId="15" fillId="0" borderId="68" xfId="3" applyFont="1" applyBorder="1" applyAlignment="1">
      <alignment horizontal="center"/>
    </xf>
    <xf numFmtId="0" fontId="15" fillId="0" borderId="15" xfId="3" applyFont="1" applyBorder="1" applyAlignment="1">
      <alignment horizontal="center"/>
    </xf>
    <xf numFmtId="0" fontId="17" fillId="0" borderId="69" xfId="3" applyFont="1" applyBorder="1" applyAlignment="1">
      <alignment horizontal="center"/>
    </xf>
    <xf numFmtId="0" fontId="17" fillId="0" borderId="0" xfId="3" applyFont="1" applyBorder="1" applyAlignment="1">
      <alignment horizontal="center"/>
    </xf>
    <xf numFmtId="0" fontId="33" fillId="0" borderId="70" xfId="3" applyFont="1" applyBorder="1" applyAlignment="1">
      <alignment horizontal="center"/>
    </xf>
    <xf numFmtId="0" fontId="7" fillId="0" borderId="0" xfId="3" applyFont="1" applyBorder="1" applyAlignment="1">
      <alignment horizontal="center" vertical="center" wrapText="1"/>
    </xf>
    <xf numFmtId="8" fontId="1" fillId="0" borderId="0" xfId="3" applyNumberFormat="1" applyBorder="1" applyAlignment="1">
      <alignment horizontal="center"/>
    </xf>
    <xf numFmtId="17" fontId="14" fillId="0" borderId="5" xfId="3" applyNumberFormat="1" applyFont="1" applyBorder="1" applyAlignment="1">
      <alignment horizontal="left"/>
    </xf>
    <xf numFmtId="0" fontId="17" fillId="0" borderId="6" xfId="3" applyFont="1" applyBorder="1" applyAlignment="1">
      <alignment horizontal="center"/>
    </xf>
    <xf numFmtId="0" fontId="15" fillId="0" borderId="6" xfId="3" applyFont="1" applyBorder="1" applyAlignment="1">
      <alignment horizontal="center"/>
    </xf>
    <xf numFmtId="0" fontId="15" fillId="0" borderId="71" xfId="3" applyFont="1" applyBorder="1" applyAlignment="1">
      <alignment horizontal="center"/>
    </xf>
    <xf numFmtId="0" fontId="15" fillId="0" borderId="72" xfId="3" applyFont="1" applyBorder="1" applyAlignment="1">
      <alignment horizontal="center"/>
    </xf>
    <xf numFmtId="0" fontId="17" fillId="0" borderId="73" xfId="3" applyFont="1" applyBorder="1" applyAlignment="1">
      <alignment horizontal="center"/>
    </xf>
    <xf numFmtId="0" fontId="15" fillId="0" borderId="74" xfId="3" applyFont="1" applyBorder="1" applyAlignment="1">
      <alignment horizontal="center"/>
    </xf>
    <xf numFmtId="0" fontId="17" fillId="0" borderId="75" xfId="3" applyFont="1" applyBorder="1" applyAlignment="1">
      <alignment horizontal="center"/>
    </xf>
    <xf numFmtId="8" fontId="1" fillId="0" borderId="0" xfId="3" applyNumberFormat="1" applyBorder="1" applyAlignment="1">
      <alignment horizontal="right"/>
    </xf>
    <xf numFmtId="0" fontId="17" fillId="0" borderId="9" xfId="3" applyFont="1" applyBorder="1" applyAlignment="1">
      <alignment horizontal="center"/>
    </xf>
    <xf numFmtId="0" fontId="15" fillId="0" borderId="9" xfId="3" applyFont="1" applyBorder="1" applyAlignment="1">
      <alignment horizontal="center"/>
    </xf>
    <xf numFmtId="0" fontId="15" fillId="0" borderId="11" xfId="3" applyFont="1" applyBorder="1" applyAlignment="1">
      <alignment horizontal="center"/>
    </xf>
    <xf numFmtId="0" fontId="17" fillId="0" borderId="76" xfId="3" applyFont="1" applyBorder="1" applyAlignment="1">
      <alignment horizontal="center"/>
    </xf>
    <xf numFmtId="0" fontId="17" fillId="0" borderId="77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1" fillId="0" borderId="6" xfId="3" applyFont="1" applyBorder="1" applyAlignment="1">
      <alignment horizontal="center"/>
    </xf>
    <xf numFmtId="0" fontId="1" fillId="0" borderId="71" xfId="3" applyFont="1" applyBorder="1" applyAlignment="1">
      <alignment horizontal="center"/>
    </xf>
    <xf numFmtId="0" fontId="2" fillId="0" borderId="73" xfId="3" applyFont="1" applyBorder="1" applyAlignment="1">
      <alignment horizontal="center"/>
    </xf>
    <xf numFmtId="0" fontId="1" fillId="0" borderId="25" xfId="3" applyFont="1" applyBorder="1" applyAlignment="1">
      <alignment horizontal="center"/>
    </xf>
    <xf numFmtId="0" fontId="2" fillId="0" borderId="78" xfId="3" applyFont="1" applyBorder="1" applyAlignment="1">
      <alignment horizontal="center"/>
    </xf>
    <xf numFmtId="0" fontId="33" fillId="0" borderId="79" xfId="3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17" fontId="14" fillId="0" borderId="13" xfId="3" applyNumberFormat="1" applyFont="1" applyBorder="1" applyAlignment="1">
      <alignment horizontal="left"/>
    </xf>
    <xf numFmtId="17" fontId="14" fillId="0" borderId="80" xfId="3" applyNumberFormat="1" applyFont="1" applyBorder="1" applyAlignment="1">
      <alignment horizontal="left"/>
    </xf>
    <xf numFmtId="0" fontId="17" fillId="0" borderId="81" xfId="3" applyFont="1" applyBorder="1" applyAlignment="1">
      <alignment horizontal="center"/>
    </xf>
    <xf numFmtId="0" fontId="15" fillId="0" borderId="81" xfId="3" applyFont="1" applyBorder="1" applyAlignment="1">
      <alignment horizontal="center"/>
    </xf>
    <xf numFmtId="0" fontId="15" fillId="0" borderId="82" xfId="3" applyFont="1" applyBorder="1" applyAlignment="1">
      <alignment horizontal="center"/>
    </xf>
    <xf numFmtId="0" fontId="17" fillId="0" borderId="83" xfId="3" applyFont="1" applyBorder="1" applyAlignment="1">
      <alignment horizontal="center"/>
    </xf>
    <xf numFmtId="0" fontId="15" fillId="0" borderId="84" xfId="3" applyFont="1" applyBorder="1" applyAlignment="1">
      <alignment horizontal="center"/>
    </xf>
    <xf numFmtId="0" fontId="17" fillId="0" borderId="85" xfId="3" applyFont="1" applyBorder="1" applyAlignment="1">
      <alignment horizontal="center"/>
    </xf>
    <xf numFmtId="0" fontId="17" fillId="0" borderId="86" xfId="3" applyFont="1" applyBorder="1" applyAlignment="1">
      <alignment horizontal="center"/>
    </xf>
    <xf numFmtId="17" fontId="14" fillId="0" borderId="87" xfId="3" applyNumberFormat="1" applyFont="1" applyBorder="1" applyAlignment="1">
      <alignment horizontal="left"/>
    </xf>
    <xf numFmtId="0" fontId="17" fillId="0" borderId="88" xfId="3" applyFont="1" applyBorder="1" applyAlignment="1">
      <alignment horizontal="center"/>
    </xf>
    <xf numFmtId="0" fontId="15" fillId="0" borderId="88" xfId="3" applyFont="1" applyBorder="1" applyAlignment="1">
      <alignment horizontal="center"/>
    </xf>
    <xf numFmtId="0" fontId="15" fillId="0" borderId="14" xfId="3" applyFont="1" applyBorder="1" applyAlignment="1">
      <alignment horizontal="center"/>
    </xf>
    <xf numFmtId="0" fontId="17" fillId="0" borderId="89" xfId="3" applyFont="1" applyBorder="1" applyAlignment="1">
      <alignment horizontal="center"/>
    </xf>
    <xf numFmtId="0" fontId="15" fillId="0" borderId="90" xfId="3" applyFont="1" applyBorder="1" applyAlignment="1">
      <alignment horizontal="center"/>
    </xf>
    <xf numFmtId="17" fontId="14" fillId="0" borderId="91" xfId="3" applyNumberFormat="1" applyFont="1" applyBorder="1" applyAlignment="1">
      <alignment horizontal="left"/>
    </xf>
    <xf numFmtId="0" fontId="17" fillId="0" borderId="92" xfId="3" applyFont="1" applyBorder="1" applyAlignment="1">
      <alignment horizontal="center"/>
    </xf>
    <xf numFmtId="0" fontId="15" fillId="0" borderId="92" xfId="3" applyFont="1" applyBorder="1" applyAlignment="1">
      <alignment horizontal="center"/>
    </xf>
    <xf numFmtId="0" fontId="15" fillId="0" borderId="93" xfId="3" applyFont="1" applyBorder="1" applyAlignment="1">
      <alignment horizontal="center"/>
    </xf>
    <xf numFmtId="0" fontId="17" fillId="0" borderId="94" xfId="3" applyFont="1" applyBorder="1" applyAlignment="1">
      <alignment horizontal="center"/>
    </xf>
    <xf numFmtId="0" fontId="15" fillId="0" borderId="95" xfId="3" applyFont="1" applyBorder="1" applyAlignment="1">
      <alignment horizontal="center"/>
    </xf>
    <xf numFmtId="0" fontId="17" fillId="0" borderId="96" xfId="3" applyFont="1" applyBorder="1" applyAlignment="1">
      <alignment horizontal="center"/>
    </xf>
    <xf numFmtId="17" fontId="14" fillId="0" borderId="97" xfId="3" applyNumberFormat="1" applyFont="1" applyBorder="1" applyAlignment="1">
      <alignment horizontal="left"/>
    </xf>
    <xf numFmtId="0" fontId="17" fillId="0" borderId="98" xfId="3" applyFont="1" applyBorder="1" applyAlignment="1">
      <alignment horizontal="center"/>
    </xf>
    <xf numFmtId="0" fontId="15" fillId="0" borderId="98" xfId="3" applyFont="1" applyBorder="1" applyAlignment="1">
      <alignment horizontal="center"/>
    </xf>
    <xf numFmtId="0" fontId="15" fillId="0" borderId="99" xfId="3" applyFont="1" applyBorder="1" applyAlignment="1">
      <alignment horizontal="center"/>
    </xf>
    <xf numFmtId="0" fontId="17" fillId="0" borderId="101" xfId="3" applyFont="1" applyBorder="1" applyAlignment="1">
      <alignment horizontal="center"/>
    </xf>
    <xf numFmtId="0" fontId="15" fillId="0" borderId="102" xfId="3" applyFont="1" applyBorder="1" applyAlignment="1">
      <alignment horizontal="center"/>
    </xf>
    <xf numFmtId="0" fontId="17" fillId="0" borderId="103" xfId="3" applyFont="1" applyBorder="1" applyAlignment="1">
      <alignment horizontal="center"/>
    </xf>
    <xf numFmtId="0" fontId="17" fillId="0" borderId="100" xfId="3" applyFont="1" applyBorder="1" applyAlignment="1">
      <alignment horizontal="center"/>
    </xf>
    <xf numFmtId="17" fontId="34" fillId="0" borderId="52" xfId="3" applyNumberFormat="1" applyFont="1" applyBorder="1" applyAlignment="1">
      <alignment horizontal="center"/>
    </xf>
    <xf numFmtId="0" fontId="17" fillId="0" borderId="53" xfId="3" applyFont="1" applyBorder="1" applyAlignment="1">
      <alignment horizontal="center"/>
    </xf>
    <xf numFmtId="0" fontId="17" fillId="0" borderId="54" xfId="3" applyFont="1" applyBorder="1" applyAlignment="1">
      <alignment horizontal="center"/>
    </xf>
    <xf numFmtId="0" fontId="17" fillId="0" borderId="57" xfId="3" applyFont="1" applyBorder="1" applyAlignment="1">
      <alignment horizontal="center"/>
    </xf>
    <xf numFmtId="0" fontId="17" fillId="0" borderId="104" xfId="3" applyFont="1" applyBorder="1" applyAlignment="1">
      <alignment horizontal="center"/>
    </xf>
    <xf numFmtId="0" fontId="17" fillId="0" borderId="105" xfId="3" applyFont="1" applyBorder="1" applyAlignment="1">
      <alignment horizontal="center"/>
    </xf>
    <xf numFmtId="0" fontId="35" fillId="0" borderId="105" xfId="3" applyFont="1" applyBorder="1" applyAlignment="1">
      <alignment horizontal="center"/>
    </xf>
    <xf numFmtId="0" fontId="35" fillId="0" borderId="57" xfId="3" applyFont="1" applyBorder="1" applyAlignment="1">
      <alignment horizontal="center"/>
    </xf>
    <xf numFmtId="0" fontId="9" fillId="0" borderId="0" xfId="3" applyFont="1"/>
    <xf numFmtId="0" fontId="11" fillId="0" borderId="0" xfId="3" applyFont="1" applyAlignment="1">
      <alignment horizontal="left"/>
    </xf>
    <xf numFmtId="0" fontId="11" fillId="0" borderId="0" xfId="3" applyFont="1" applyAlignment="1">
      <alignment horizontal="right"/>
    </xf>
    <xf numFmtId="0" fontId="11" fillId="0" borderId="0" xfId="3" applyFont="1"/>
    <xf numFmtId="0" fontId="2" fillId="0" borderId="0" xfId="3" applyFont="1"/>
    <xf numFmtId="0" fontId="8" fillId="0" borderId="0" xfId="3" applyFont="1"/>
    <xf numFmtId="0" fontId="11" fillId="0" borderId="0" xfId="3" applyFont="1" applyAlignment="1">
      <alignment horizontal="center"/>
    </xf>
    <xf numFmtId="0" fontId="11" fillId="0" borderId="0" xfId="3" applyFont="1" applyAlignment="1"/>
    <xf numFmtId="0" fontId="2" fillId="0" borderId="0" xfId="3" applyFont="1" applyBorder="1" applyAlignment="1">
      <alignment horizontal="center" vertical="center" wrapText="1"/>
    </xf>
    <xf numFmtId="0" fontId="22" fillId="0" borderId="0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wrapText="1"/>
    </xf>
    <xf numFmtId="0" fontId="32" fillId="0" borderId="0" xfId="3" applyFont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 wrapText="1"/>
    </xf>
    <xf numFmtId="0" fontId="21" fillId="0" borderId="0" xfId="3" applyFont="1" applyBorder="1" applyAlignment="1">
      <alignment horizontal="center" vertical="center" wrapText="1"/>
    </xf>
    <xf numFmtId="0" fontId="21" fillId="0" borderId="0" xfId="3" applyFont="1" applyBorder="1" applyAlignment="1">
      <alignment horizontal="center" vertical="top" wrapText="1"/>
    </xf>
    <xf numFmtId="17" fontId="14" fillId="0" borderId="0" xfId="3" applyNumberFormat="1" applyFont="1" applyBorder="1" applyAlignment="1">
      <alignment horizontal="left"/>
    </xf>
    <xf numFmtId="0" fontId="15" fillId="0" borderId="0" xfId="3" applyFont="1" applyBorder="1" applyAlignment="1">
      <alignment horizontal="center"/>
    </xf>
    <xf numFmtId="0" fontId="36" fillId="0" borderId="0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1" fillId="0" borderId="0" xfId="3" applyFont="1" applyBorder="1" applyAlignment="1">
      <alignment horizontal="center"/>
    </xf>
    <xf numFmtId="17" fontId="34" fillId="0" borderId="0" xfId="3" applyNumberFormat="1" applyFont="1" applyBorder="1" applyAlignment="1">
      <alignment horizontal="center"/>
    </xf>
    <xf numFmtId="0" fontId="35" fillId="0" borderId="0" xfId="3" applyFont="1" applyBorder="1" applyAlignment="1">
      <alignment horizontal="center"/>
    </xf>
    <xf numFmtId="0" fontId="9" fillId="0" borderId="0" xfId="3" applyFont="1" applyBorder="1"/>
    <xf numFmtId="0" fontId="11" fillId="0" borderId="0" xfId="3" applyFont="1" applyBorder="1" applyAlignment="1">
      <alignment horizontal="left"/>
    </xf>
    <xf numFmtId="0" fontId="1" fillId="0" borderId="0" xfId="3" applyBorder="1"/>
    <xf numFmtId="0" fontId="11" fillId="0" borderId="0" xfId="3" applyFont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2" fillId="2" borderId="59" xfId="3" applyFont="1" applyFill="1" applyBorder="1" applyAlignment="1">
      <alignment horizontal="center" vertical="center" wrapText="1"/>
    </xf>
    <xf numFmtId="0" fontId="2" fillId="2" borderId="60" xfId="3" applyFont="1" applyFill="1" applyBorder="1" applyAlignment="1">
      <alignment horizontal="center" vertical="center" wrapText="1"/>
    </xf>
    <xf numFmtId="0" fontId="4" fillId="2" borderId="63" xfId="3" applyFont="1" applyFill="1" applyBorder="1" applyAlignment="1">
      <alignment horizontal="center" wrapText="1"/>
    </xf>
    <xf numFmtId="0" fontId="4" fillId="2" borderId="64" xfId="3" applyFont="1" applyFill="1" applyBorder="1" applyAlignment="1">
      <alignment horizontal="center" wrapText="1"/>
    </xf>
    <xf numFmtId="0" fontId="32" fillId="2" borderId="1" xfId="3" applyFont="1" applyFill="1" applyBorder="1" applyAlignment="1">
      <alignment horizontal="center" vertical="center" wrapText="1"/>
    </xf>
    <xf numFmtId="0" fontId="32" fillId="2" borderId="65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4" fillId="2" borderId="57" xfId="3" applyFont="1" applyFill="1" applyBorder="1" applyAlignment="1">
      <alignment horizontal="center" vertical="center" wrapText="1"/>
    </xf>
    <xf numFmtId="0" fontId="12" fillId="2" borderId="57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21" fillId="2" borderId="57" xfId="3" applyFont="1" applyFill="1" applyBorder="1" applyAlignment="1">
      <alignment horizontal="center" vertical="center" wrapText="1"/>
    </xf>
    <xf numFmtId="0" fontId="12" fillId="2" borderId="58" xfId="3" applyFont="1" applyFill="1" applyBorder="1" applyAlignment="1">
      <alignment horizontal="center" vertical="center" wrapText="1"/>
    </xf>
    <xf numFmtId="0" fontId="21" fillId="2" borderId="66" xfId="3" applyFont="1" applyFill="1" applyBorder="1" applyAlignment="1">
      <alignment horizontal="center" vertical="top" wrapText="1"/>
    </xf>
    <xf numFmtId="0" fontId="32" fillId="2" borderId="67" xfId="3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3" applyFont="1" applyAlignment="1">
      <alignment horizontal="center"/>
    </xf>
    <xf numFmtId="0" fontId="2" fillId="0" borderId="0" xfId="3" applyFont="1" applyBorder="1" applyAlignment="1">
      <alignment horizontal="center" vertical="center" wrapText="1"/>
    </xf>
    <xf numFmtId="0" fontId="22" fillId="0" borderId="0" xfId="3" applyFont="1" applyBorder="1" applyAlignment="1">
      <alignment horizontal="center" vertical="center" wrapText="1"/>
    </xf>
    <xf numFmtId="0" fontId="2" fillId="2" borderId="57" xfId="3" applyFont="1" applyFill="1" applyBorder="1" applyAlignment="1">
      <alignment horizontal="center" vertical="center" wrapText="1"/>
    </xf>
    <xf numFmtId="0" fontId="2" fillId="2" borderId="58" xfId="3" applyFont="1" applyFill="1" applyBorder="1" applyAlignment="1">
      <alignment horizontal="center" vertical="center" wrapText="1"/>
    </xf>
    <xf numFmtId="0" fontId="22" fillId="2" borderId="58" xfId="3" applyFont="1" applyFill="1" applyBorder="1" applyAlignment="1">
      <alignment horizontal="center" vertical="center" wrapText="1"/>
    </xf>
    <xf numFmtId="0" fontId="22" fillId="2" borderId="61" xfId="3" applyFont="1" applyFill="1" applyBorder="1" applyAlignment="1">
      <alignment horizontal="center" vertical="center" wrapText="1"/>
    </xf>
    <xf numFmtId="0" fontId="22" fillId="2" borderId="62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12" fillId="2" borderId="16" xfId="0" applyFont="1" applyFill="1" applyBorder="1" applyAlignment="1">
      <alignment horizontal="center" wrapText="1" shrinkToFit="1"/>
    </xf>
    <xf numFmtId="0" fontId="21" fillId="2" borderId="16" xfId="0" applyFont="1" applyFill="1" applyBorder="1" applyAlignment="1">
      <alignment horizontal="center" wrapText="1" shrinkToFit="1"/>
    </xf>
    <xf numFmtId="0" fontId="12" fillId="2" borderId="17" xfId="0" applyFont="1" applyFill="1" applyBorder="1" applyAlignment="1">
      <alignment horizontal="center" wrapText="1" shrinkToFit="1"/>
    </xf>
    <xf numFmtId="0" fontId="4" fillId="2" borderId="18" xfId="0" applyFont="1" applyFill="1" applyBorder="1" applyAlignment="1">
      <alignment horizontal="center" wrapText="1" shrinkToFit="1"/>
    </xf>
    <xf numFmtId="0" fontId="4" fillId="2" borderId="19" xfId="0" applyFont="1" applyFill="1" applyBorder="1" applyAlignment="1">
      <alignment horizontal="center" wrapText="1" shrinkToFit="1"/>
    </xf>
    <xf numFmtId="0" fontId="21" fillId="2" borderId="38" xfId="0" applyFont="1" applyFill="1" applyBorder="1" applyAlignment="1">
      <alignment horizontal="center" wrapText="1" shrinkToFit="1"/>
    </xf>
    <xf numFmtId="0" fontId="1" fillId="2" borderId="42" xfId="0" applyFont="1" applyFill="1" applyBorder="1"/>
    <xf numFmtId="0" fontId="22" fillId="2" borderId="43" xfId="0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center" vertical="center"/>
    </xf>
    <xf numFmtId="0" fontId="22" fillId="2" borderId="45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 wrapText="1"/>
    </xf>
    <xf numFmtId="0" fontId="32" fillId="2" borderId="47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44" fontId="0" fillId="0" borderId="106" xfId="1" applyFont="1" applyBorder="1"/>
    <xf numFmtId="0" fontId="32" fillId="2" borderId="48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/>
    <cellStyle name="Porcentaje 2" xfId="2"/>
  </cellStyles>
  <dxfs count="0"/>
  <tableStyles count="0" defaultTableStyle="TableStyleMedium9" defaultPivotStyle="PivotStyleLight16"/>
  <colors>
    <mruColors>
      <color rgb="FFFFCA2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6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28575</xdr:rowOff>
    </xdr:from>
    <xdr:to>
      <xdr:col>1</xdr:col>
      <xdr:colOff>676275</xdr:colOff>
      <xdr:row>5</xdr:row>
      <xdr:rowOff>19050</xdr:rowOff>
    </xdr:to>
    <xdr:pic>
      <xdr:nvPicPr>
        <xdr:cNvPr id="1961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7524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0</xdr:row>
      <xdr:rowOff>0</xdr:rowOff>
    </xdr:from>
    <xdr:to>
      <xdr:col>3</xdr:col>
      <xdr:colOff>9525</xdr:colOff>
      <xdr:row>5</xdr:row>
      <xdr:rowOff>57150</xdr:rowOff>
    </xdr:to>
    <xdr:pic>
      <xdr:nvPicPr>
        <xdr:cNvPr id="4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0096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1</xdr:col>
      <xdr:colOff>342900</xdr:colOff>
      <xdr:row>5</xdr:row>
      <xdr:rowOff>46355</xdr:rowOff>
    </xdr:to>
    <xdr:pic>
      <xdr:nvPicPr>
        <xdr:cNvPr id="2" name="1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800100" cy="827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1</xdr:col>
      <xdr:colOff>676275</xdr:colOff>
      <xdr:row>4</xdr:row>
      <xdr:rowOff>179705</xdr:rowOff>
    </xdr:to>
    <xdr:pic>
      <xdr:nvPicPr>
        <xdr:cNvPr id="3" name="2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800100" cy="827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495300</xdr:colOff>
      <xdr:row>4</xdr:row>
      <xdr:rowOff>179705</xdr:rowOff>
    </xdr:to>
    <xdr:pic>
      <xdr:nvPicPr>
        <xdr:cNvPr id="2" name="1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800100" cy="827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workbookViewId="0">
      <selection activeCell="B9" sqref="B9"/>
    </sheetView>
  </sheetViews>
  <sheetFormatPr baseColWidth="10" defaultRowHeight="12.75" x14ac:dyDescent="0.2"/>
  <cols>
    <col min="1" max="1" width="3.28515625" customWidth="1"/>
    <col min="2" max="2" width="17.7109375" customWidth="1"/>
    <col min="3" max="5" width="15.7109375" customWidth="1"/>
    <col min="6" max="6" width="13" customWidth="1"/>
    <col min="7" max="7" width="10.5703125" customWidth="1"/>
    <col min="8" max="8" width="11.5703125" customWidth="1"/>
    <col min="9" max="9" width="10.42578125" customWidth="1"/>
    <col min="10" max="10" width="11.5703125" customWidth="1"/>
  </cols>
  <sheetData>
    <row r="2" spans="2:10" x14ac:dyDescent="0.2">
      <c r="B2" s="1"/>
      <c r="C2" s="1"/>
      <c r="D2" s="1"/>
    </row>
    <row r="3" spans="2:10" x14ac:dyDescent="0.2">
      <c r="B3" s="1"/>
      <c r="C3" s="1"/>
      <c r="D3" s="1"/>
    </row>
    <row r="4" spans="2:10" x14ac:dyDescent="0.2">
      <c r="B4" s="1"/>
      <c r="C4" s="1"/>
      <c r="D4" s="1"/>
    </row>
    <row r="5" spans="2:10" x14ac:dyDescent="0.2">
      <c r="B5" s="1"/>
      <c r="C5" s="1"/>
      <c r="D5" s="1"/>
    </row>
    <row r="6" spans="2:10" ht="20.100000000000001" customHeight="1" x14ac:dyDescent="0.2">
      <c r="B6" s="246" t="s">
        <v>15</v>
      </c>
      <c r="C6" s="246"/>
      <c r="D6" s="246"/>
      <c r="E6" s="246"/>
      <c r="F6" s="11"/>
    </row>
    <row r="7" spans="2:10" ht="20.100000000000001" customHeight="1" x14ac:dyDescent="0.2">
      <c r="B7" s="246" t="s">
        <v>19</v>
      </c>
      <c r="C7" s="246"/>
      <c r="D7" s="246"/>
      <c r="E7" s="246"/>
      <c r="F7" s="11"/>
    </row>
    <row r="8" spans="2:10" ht="13.5" thickBot="1" x14ac:dyDescent="0.25">
      <c r="B8" s="9"/>
      <c r="C8" s="9"/>
      <c r="D8" s="10"/>
      <c r="E8" s="10"/>
      <c r="F8" s="11"/>
    </row>
    <row r="9" spans="2:10" ht="24.95" customHeight="1" x14ac:dyDescent="0.2">
      <c r="B9" s="225"/>
      <c r="C9" s="245" t="s">
        <v>58</v>
      </c>
      <c r="D9" s="245"/>
      <c r="E9" s="245"/>
      <c r="F9" s="15"/>
      <c r="G9" s="2"/>
      <c r="H9" s="2"/>
      <c r="I9" s="2"/>
      <c r="J9" s="2"/>
    </row>
    <row r="10" spans="2:10" ht="24.95" customHeight="1" thickBot="1" x14ac:dyDescent="0.25">
      <c r="B10" s="226" t="s">
        <v>20</v>
      </c>
      <c r="C10" s="227" t="s">
        <v>1</v>
      </c>
      <c r="D10" s="228" t="s">
        <v>2</v>
      </c>
      <c r="E10" s="229" t="s">
        <v>0</v>
      </c>
      <c r="F10" s="15"/>
      <c r="G10" s="2"/>
      <c r="H10" s="2"/>
      <c r="I10" s="2"/>
      <c r="J10" s="2"/>
    </row>
    <row r="11" spans="2:10" ht="21.95" customHeight="1" x14ac:dyDescent="0.2">
      <c r="B11" s="22" t="s">
        <v>3</v>
      </c>
      <c r="C11" s="23">
        <v>6</v>
      </c>
      <c r="D11" s="23">
        <v>12</v>
      </c>
      <c r="E11" s="36">
        <f t="shared" ref="E11:E18" si="0">SUM(C11:D11)</f>
        <v>18</v>
      </c>
      <c r="F11" s="32"/>
      <c r="G11" s="32"/>
      <c r="H11" s="7"/>
      <c r="I11" s="3"/>
      <c r="J11" s="3"/>
    </row>
    <row r="12" spans="2:10" ht="21.95" customHeight="1" x14ac:dyDescent="0.2">
      <c r="B12" s="24" t="s">
        <v>5</v>
      </c>
      <c r="C12" s="25">
        <v>8</v>
      </c>
      <c r="D12" s="25">
        <v>14</v>
      </c>
      <c r="E12" s="27">
        <f t="shared" si="0"/>
        <v>22</v>
      </c>
      <c r="F12" s="16"/>
      <c r="G12" s="4"/>
      <c r="H12" s="3"/>
      <c r="I12" s="3"/>
      <c r="J12" s="3"/>
    </row>
    <row r="13" spans="2:10" ht="21.95" customHeight="1" x14ac:dyDescent="0.2">
      <c r="B13" s="24" t="s">
        <v>6</v>
      </c>
      <c r="C13" s="26">
        <v>6</v>
      </c>
      <c r="D13" s="26">
        <v>5</v>
      </c>
      <c r="E13" s="27">
        <f t="shared" si="0"/>
        <v>11</v>
      </c>
      <c r="F13" s="16"/>
      <c r="G13" s="4"/>
      <c r="H13" s="3"/>
      <c r="I13" s="3" t="s">
        <v>12</v>
      </c>
      <c r="J13" s="3"/>
    </row>
    <row r="14" spans="2:10" ht="21.95" customHeight="1" x14ac:dyDescent="0.2">
      <c r="B14" s="24" t="s">
        <v>7</v>
      </c>
      <c r="C14" s="29">
        <v>10</v>
      </c>
      <c r="D14" s="29">
        <v>10</v>
      </c>
      <c r="E14" s="30">
        <f t="shared" si="0"/>
        <v>20</v>
      </c>
      <c r="F14" s="16"/>
      <c r="G14" s="4"/>
      <c r="H14" s="3"/>
      <c r="I14" s="3"/>
      <c r="J14" s="3"/>
    </row>
    <row r="15" spans="2:10" ht="21.95" customHeight="1" x14ac:dyDescent="0.2">
      <c r="B15" s="24" t="s">
        <v>8</v>
      </c>
      <c r="C15" s="29">
        <v>11</v>
      </c>
      <c r="D15" s="29">
        <v>16</v>
      </c>
      <c r="E15" s="30">
        <f t="shared" si="0"/>
        <v>27</v>
      </c>
      <c r="F15" s="16"/>
      <c r="G15" s="4"/>
      <c r="H15" s="3"/>
      <c r="I15" s="3"/>
      <c r="J15" s="3"/>
    </row>
    <row r="16" spans="2:10" ht="21.95" customHeight="1" x14ac:dyDescent="0.2">
      <c r="B16" s="24" t="s">
        <v>9</v>
      </c>
      <c r="C16" s="25">
        <v>9</v>
      </c>
      <c r="D16" s="25">
        <v>9</v>
      </c>
      <c r="E16" s="30">
        <f t="shared" si="0"/>
        <v>18</v>
      </c>
      <c r="F16" s="16"/>
      <c r="G16" s="4"/>
      <c r="H16" s="3"/>
      <c r="I16" s="3"/>
      <c r="J16" s="3"/>
    </row>
    <row r="17" spans="1:10" ht="21.95" customHeight="1" x14ac:dyDescent="0.2">
      <c r="B17" s="24" t="s">
        <v>10</v>
      </c>
      <c r="C17" s="25">
        <v>14</v>
      </c>
      <c r="D17" s="25">
        <v>11</v>
      </c>
      <c r="E17" s="27">
        <f t="shared" si="0"/>
        <v>25</v>
      </c>
      <c r="F17" s="17"/>
      <c r="G17" s="8"/>
      <c r="H17" s="8"/>
      <c r="I17" s="3"/>
      <c r="J17" s="3"/>
    </row>
    <row r="18" spans="1:10" ht="21.95" customHeight="1" x14ac:dyDescent="0.2">
      <c r="B18" s="24" t="s">
        <v>11</v>
      </c>
      <c r="C18" s="25">
        <v>8</v>
      </c>
      <c r="D18" s="25">
        <v>9</v>
      </c>
      <c r="E18" s="27">
        <f t="shared" si="0"/>
        <v>17</v>
      </c>
      <c r="F18" s="17"/>
      <c r="G18" s="8"/>
      <c r="H18" s="8"/>
      <c r="I18" s="3"/>
      <c r="J18" s="3"/>
    </row>
    <row r="19" spans="1:10" ht="21.95" customHeight="1" x14ac:dyDescent="0.2">
      <c r="B19" s="31" t="s">
        <v>14</v>
      </c>
      <c r="C19" s="26">
        <v>4</v>
      </c>
      <c r="D19" s="26">
        <v>15</v>
      </c>
      <c r="E19" s="27">
        <f>SUM(C19:D19)</f>
        <v>19</v>
      </c>
      <c r="F19" s="17"/>
      <c r="G19" s="8" t="s">
        <v>13</v>
      </c>
      <c r="H19" s="8"/>
      <c r="I19" s="3"/>
      <c r="J19" s="3"/>
    </row>
    <row r="20" spans="1:10" ht="21.95" customHeight="1" x14ac:dyDescent="0.2">
      <c r="B20" s="31" t="s">
        <v>16</v>
      </c>
      <c r="C20" s="26">
        <v>9</v>
      </c>
      <c r="D20" s="26">
        <v>13</v>
      </c>
      <c r="E20" s="27">
        <f>SUM(C20:D20)</f>
        <v>22</v>
      </c>
      <c r="F20" s="17"/>
      <c r="G20" s="8"/>
      <c r="H20" s="8"/>
      <c r="I20" s="3"/>
      <c r="J20" s="3"/>
    </row>
    <row r="21" spans="1:10" ht="21.95" customHeight="1" x14ac:dyDescent="0.2">
      <c r="B21" s="31" t="s">
        <v>17</v>
      </c>
      <c r="C21" s="26">
        <v>11</v>
      </c>
      <c r="D21" s="26">
        <v>13</v>
      </c>
      <c r="E21" s="27">
        <f>SUM(C21:D21)</f>
        <v>24</v>
      </c>
      <c r="F21" s="17"/>
      <c r="G21" s="8"/>
      <c r="H21" s="8"/>
      <c r="I21" s="3"/>
      <c r="J21" s="3"/>
    </row>
    <row r="22" spans="1:10" ht="21.95" customHeight="1" thickBot="1" x14ac:dyDescent="0.25">
      <c r="B22" s="31" t="s">
        <v>18</v>
      </c>
      <c r="C22" s="26">
        <v>5</v>
      </c>
      <c r="D22" s="26">
        <v>9</v>
      </c>
      <c r="E22" s="27">
        <f>SUM(C22:D22)</f>
        <v>14</v>
      </c>
      <c r="F22" s="17"/>
      <c r="G22" s="8" t="s">
        <v>13</v>
      </c>
      <c r="H22" s="8"/>
      <c r="I22" s="3"/>
      <c r="J22" s="3"/>
    </row>
    <row r="23" spans="1:10" ht="22.5" customHeight="1" thickBot="1" x14ac:dyDescent="0.25">
      <c r="B23" s="104" t="s">
        <v>4</v>
      </c>
      <c r="C23" s="105">
        <f>SUM(C11:C22)</f>
        <v>101</v>
      </c>
      <c r="D23" s="105">
        <f>SUM(D11:D22)</f>
        <v>136</v>
      </c>
      <c r="E23" s="106">
        <f>SUM(E11:E22)</f>
        <v>237</v>
      </c>
      <c r="F23" s="17"/>
      <c r="G23" s="8"/>
      <c r="H23" s="8"/>
      <c r="I23" s="3"/>
      <c r="J23" s="3"/>
    </row>
    <row r="24" spans="1:10" ht="14.25" customHeight="1" x14ac:dyDescent="0.2">
      <c r="C24" s="11"/>
      <c r="D24" s="18"/>
      <c r="E24" s="28"/>
      <c r="F24" s="12"/>
    </row>
    <row r="25" spans="1:10" x14ac:dyDescent="0.2">
      <c r="B25" s="6"/>
      <c r="C25" s="12"/>
      <c r="D25" s="12"/>
      <c r="E25" s="12"/>
      <c r="F25" s="12"/>
    </row>
    <row r="26" spans="1:10" x14ac:dyDescent="0.2">
      <c r="B26" s="12"/>
      <c r="C26" s="12"/>
      <c r="D26" s="12"/>
      <c r="E26" s="12"/>
      <c r="F26" s="12"/>
    </row>
    <row r="27" spans="1:10" x14ac:dyDescent="0.2">
      <c r="B27" s="35" t="s">
        <v>21</v>
      </c>
      <c r="C27" s="10"/>
      <c r="D27" s="10"/>
      <c r="E27" s="10"/>
      <c r="F27" s="10"/>
      <c r="G27" s="5"/>
    </row>
    <row r="28" spans="1:10" x14ac:dyDescent="0.2">
      <c r="B28" s="20" t="s">
        <v>13</v>
      </c>
      <c r="C28" s="13"/>
      <c r="D28" s="10"/>
      <c r="E28" s="10"/>
      <c r="F28" s="10"/>
      <c r="G28" s="5"/>
    </row>
    <row r="29" spans="1:10" x14ac:dyDescent="0.2">
      <c r="B29" s="19"/>
      <c r="C29" s="10"/>
      <c r="D29" s="10"/>
      <c r="E29" s="10"/>
      <c r="F29" s="10"/>
      <c r="G29" s="5"/>
    </row>
    <row r="30" spans="1:10" x14ac:dyDescent="0.2">
      <c r="A30" s="10"/>
      <c r="B30" s="10"/>
      <c r="C30" s="10"/>
      <c r="F30" s="10"/>
      <c r="G30" s="5"/>
    </row>
    <row r="31" spans="1:10" x14ac:dyDescent="0.2">
      <c r="A31" s="35"/>
      <c r="B31" s="14"/>
      <c r="C31" s="10"/>
      <c r="F31" s="10"/>
      <c r="G31" s="5"/>
    </row>
    <row r="32" spans="1:10" x14ac:dyDescent="0.2">
      <c r="A32" s="14"/>
      <c r="C32" s="10"/>
      <c r="D32" s="19"/>
      <c r="F32" s="14"/>
      <c r="G32" s="5"/>
    </row>
    <row r="33" spans="2:7" x14ac:dyDescent="0.2">
      <c r="B33" s="19"/>
      <c r="C33" s="10"/>
      <c r="D33" s="10"/>
      <c r="F33" s="14"/>
      <c r="G33" s="5"/>
    </row>
    <row r="34" spans="2:7" x14ac:dyDescent="0.2">
      <c r="C34" s="10"/>
      <c r="D34" s="10"/>
      <c r="E34" s="10"/>
      <c r="F34" s="14"/>
      <c r="G34" s="5"/>
    </row>
    <row r="35" spans="2:7" x14ac:dyDescent="0.2">
      <c r="B35" s="10"/>
      <c r="C35" s="10"/>
      <c r="D35" s="10"/>
      <c r="E35" s="10"/>
      <c r="F35" s="21"/>
      <c r="G35" s="5"/>
    </row>
    <row r="36" spans="2:7" x14ac:dyDescent="0.2">
      <c r="B36" s="10"/>
      <c r="C36" s="33"/>
      <c r="D36" s="33"/>
      <c r="E36" s="10"/>
      <c r="F36" s="10"/>
      <c r="G36" s="5"/>
    </row>
    <row r="37" spans="2:7" x14ac:dyDescent="0.2">
      <c r="B37" s="33"/>
      <c r="C37" s="33"/>
      <c r="D37" s="34"/>
      <c r="E37" s="10"/>
      <c r="F37" s="10"/>
      <c r="G37" s="5"/>
    </row>
    <row r="38" spans="2:7" x14ac:dyDescent="0.2">
      <c r="B38" s="10"/>
      <c r="C38" s="19"/>
      <c r="D38" s="33"/>
      <c r="E38" s="11"/>
      <c r="F38" s="11"/>
    </row>
    <row r="39" spans="2:7" x14ac:dyDescent="0.2">
      <c r="B39" s="11"/>
      <c r="C39" s="11"/>
      <c r="D39" s="11"/>
      <c r="E39" s="11"/>
      <c r="F39" s="11"/>
    </row>
    <row r="40" spans="2:7" x14ac:dyDescent="0.2">
      <c r="B40" s="11"/>
      <c r="C40" s="11"/>
      <c r="D40" s="11"/>
      <c r="E40" s="11"/>
      <c r="F40" s="11"/>
    </row>
    <row r="41" spans="2:7" x14ac:dyDescent="0.2">
      <c r="B41" s="11"/>
      <c r="C41" s="11"/>
      <c r="D41" s="11"/>
      <c r="E41" s="11"/>
      <c r="F41" s="11"/>
    </row>
    <row r="42" spans="2:7" x14ac:dyDescent="0.2">
      <c r="B42" s="11"/>
      <c r="C42" s="11"/>
      <c r="D42" s="11"/>
      <c r="E42" s="11"/>
      <c r="F42" s="11"/>
    </row>
    <row r="43" spans="2:7" x14ac:dyDescent="0.2">
      <c r="B43" s="11"/>
      <c r="C43" s="11"/>
      <c r="D43" s="11"/>
      <c r="E43" s="11"/>
      <c r="F43" s="11"/>
    </row>
    <row r="44" spans="2:7" x14ac:dyDescent="0.2">
      <c r="B44" s="11"/>
      <c r="C44" s="11"/>
      <c r="D44" s="11"/>
      <c r="E44" s="11"/>
      <c r="F44" s="11"/>
    </row>
    <row r="45" spans="2:7" x14ac:dyDescent="0.2">
      <c r="B45" s="11"/>
      <c r="C45" s="11"/>
      <c r="D45" s="11"/>
      <c r="E45" s="11"/>
      <c r="F45" s="11"/>
    </row>
    <row r="46" spans="2:7" x14ac:dyDescent="0.2">
      <c r="B46" s="11"/>
      <c r="C46" s="11"/>
      <c r="D46" s="11"/>
      <c r="E46" s="11"/>
      <c r="F46" s="11"/>
    </row>
    <row r="47" spans="2:7" x14ac:dyDescent="0.2">
      <c r="B47" s="11"/>
      <c r="C47" s="11"/>
      <c r="D47" s="11"/>
      <c r="E47" s="11"/>
      <c r="F47" s="11"/>
    </row>
    <row r="48" spans="2:7" x14ac:dyDescent="0.2">
      <c r="B48" s="11"/>
      <c r="C48" s="11"/>
      <c r="D48" s="11"/>
      <c r="E48" s="11"/>
      <c r="F48" s="11"/>
    </row>
    <row r="49" spans="1:6" x14ac:dyDescent="0.2">
      <c r="A49" t="s">
        <v>12</v>
      </c>
      <c r="B49" s="11"/>
      <c r="C49" s="11"/>
      <c r="D49" s="11"/>
      <c r="E49" s="11"/>
      <c r="F49" s="11"/>
    </row>
    <row r="50" spans="1:6" x14ac:dyDescent="0.2">
      <c r="B50" s="11"/>
      <c r="C50" s="11"/>
      <c r="D50" s="11"/>
      <c r="E50" s="11"/>
      <c r="F50" s="11"/>
    </row>
    <row r="51" spans="1:6" x14ac:dyDescent="0.2">
      <c r="B51" s="11"/>
      <c r="C51" s="11"/>
      <c r="D51" s="11"/>
      <c r="E51" s="11"/>
      <c r="F51" s="11"/>
    </row>
    <row r="52" spans="1:6" x14ac:dyDescent="0.2">
      <c r="B52" s="11"/>
      <c r="C52" s="11"/>
      <c r="D52" s="11"/>
      <c r="E52" s="11"/>
      <c r="F52" s="11"/>
    </row>
    <row r="53" spans="1:6" x14ac:dyDescent="0.2">
      <c r="B53" s="11"/>
      <c r="C53" s="11"/>
      <c r="D53" s="11"/>
      <c r="E53" s="11"/>
      <c r="F53" s="11"/>
    </row>
    <row r="54" spans="1:6" x14ac:dyDescent="0.2">
      <c r="B54" s="11"/>
      <c r="C54" s="11"/>
      <c r="D54" s="11"/>
      <c r="E54" s="11"/>
      <c r="F54" s="11"/>
    </row>
    <row r="55" spans="1:6" x14ac:dyDescent="0.2">
      <c r="B55" s="11"/>
      <c r="C55" s="11"/>
      <c r="D55" s="11"/>
      <c r="E55" s="11"/>
      <c r="F55" s="11"/>
    </row>
    <row r="56" spans="1:6" x14ac:dyDescent="0.2">
      <c r="B56" s="11"/>
      <c r="C56" s="11"/>
      <c r="D56" s="11"/>
      <c r="E56" s="11"/>
      <c r="F56" s="11"/>
    </row>
    <row r="57" spans="1:6" x14ac:dyDescent="0.2">
      <c r="B57" s="11"/>
      <c r="C57" s="11"/>
      <c r="D57" s="11"/>
      <c r="E57" s="11"/>
      <c r="F57" s="11"/>
    </row>
    <row r="58" spans="1:6" x14ac:dyDescent="0.2">
      <c r="B58" s="11"/>
      <c r="C58" s="11"/>
      <c r="D58" s="11"/>
      <c r="E58" s="11"/>
      <c r="F58" s="11"/>
    </row>
    <row r="59" spans="1:6" x14ac:dyDescent="0.2">
      <c r="B59" s="11"/>
      <c r="C59" s="11"/>
      <c r="D59" s="11"/>
      <c r="E59" s="11"/>
      <c r="F59" s="11"/>
    </row>
    <row r="60" spans="1:6" x14ac:dyDescent="0.2">
      <c r="B60" s="11"/>
      <c r="C60" s="11"/>
      <c r="D60" s="11"/>
      <c r="E60" s="11"/>
      <c r="F60" s="11"/>
    </row>
    <row r="61" spans="1:6" x14ac:dyDescent="0.2">
      <c r="B61" s="11"/>
      <c r="C61" s="11"/>
      <c r="D61" s="11"/>
      <c r="E61" s="11"/>
      <c r="F61" s="11"/>
    </row>
    <row r="62" spans="1:6" x14ac:dyDescent="0.2">
      <c r="B62" s="11"/>
      <c r="C62" s="11"/>
      <c r="D62" s="11"/>
      <c r="E62" s="11"/>
      <c r="F62" s="11"/>
    </row>
    <row r="63" spans="1:6" x14ac:dyDescent="0.2">
      <c r="B63" s="11"/>
      <c r="C63" s="11"/>
      <c r="D63" s="11"/>
      <c r="E63" s="11"/>
      <c r="F63" s="11"/>
    </row>
    <row r="64" spans="1:6" x14ac:dyDescent="0.2">
      <c r="B64" s="11"/>
      <c r="C64" s="11"/>
      <c r="D64" s="11"/>
      <c r="E64" s="11"/>
      <c r="F64" s="11"/>
    </row>
    <row r="65" spans="2:6" x14ac:dyDescent="0.2">
      <c r="B65" s="11"/>
      <c r="C65" s="11"/>
      <c r="D65" s="11"/>
      <c r="E65" s="11"/>
      <c r="F65" s="11"/>
    </row>
    <row r="66" spans="2:6" x14ac:dyDescent="0.2">
      <c r="B66" s="11"/>
      <c r="C66" s="11"/>
      <c r="D66" s="11"/>
      <c r="E66" s="11"/>
      <c r="F66" s="11"/>
    </row>
    <row r="67" spans="2:6" x14ac:dyDescent="0.2">
      <c r="B67" s="11"/>
      <c r="C67" s="11"/>
      <c r="D67" s="11"/>
      <c r="E67" s="11"/>
      <c r="F67" s="11"/>
    </row>
    <row r="68" spans="2:6" x14ac:dyDescent="0.2">
      <c r="B68" s="11"/>
      <c r="C68" s="11"/>
      <c r="D68" s="11"/>
      <c r="E68" s="11"/>
      <c r="F68" s="11"/>
    </row>
    <row r="69" spans="2:6" x14ac:dyDescent="0.2">
      <c r="B69" s="11"/>
      <c r="C69" s="11"/>
      <c r="D69" s="11"/>
      <c r="E69" s="11"/>
      <c r="F69" s="11"/>
    </row>
    <row r="70" spans="2:6" x14ac:dyDescent="0.2">
      <c r="B70" s="11"/>
      <c r="C70" s="11"/>
      <c r="D70" s="11"/>
      <c r="E70" s="11"/>
      <c r="F70" s="11"/>
    </row>
    <row r="71" spans="2:6" x14ac:dyDescent="0.2">
      <c r="B71" s="11"/>
      <c r="C71" s="11"/>
      <c r="D71" s="11"/>
      <c r="E71" s="11"/>
      <c r="F71" s="11"/>
    </row>
    <row r="72" spans="2:6" x14ac:dyDescent="0.2">
      <c r="B72" s="11"/>
      <c r="C72" s="11"/>
      <c r="D72" s="11"/>
      <c r="E72" s="11"/>
      <c r="F72" s="11"/>
    </row>
    <row r="73" spans="2:6" x14ac:dyDescent="0.2">
      <c r="B73" s="11"/>
      <c r="C73" s="11"/>
      <c r="D73" s="11"/>
      <c r="E73" s="11"/>
      <c r="F73" s="11"/>
    </row>
    <row r="74" spans="2:6" x14ac:dyDescent="0.2">
      <c r="B74" s="11"/>
      <c r="C74" s="11"/>
      <c r="D74" s="11"/>
      <c r="E74" s="11"/>
      <c r="F74" s="11"/>
    </row>
    <row r="75" spans="2:6" x14ac:dyDescent="0.2">
      <c r="B75" s="11"/>
      <c r="C75" s="11"/>
      <c r="D75" s="11"/>
      <c r="E75" s="11"/>
      <c r="F75" s="11"/>
    </row>
    <row r="76" spans="2:6" x14ac:dyDescent="0.2">
      <c r="B76" s="11"/>
      <c r="C76" s="11"/>
      <c r="D76" s="11"/>
      <c r="E76" s="11"/>
      <c r="F76" s="11"/>
    </row>
    <row r="77" spans="2:6" x14ac:dyDescent="0.2">
      <c r="B77" s="11"/>
      <c r="C77" s="11"/>
      <c r="D77" s="11"/>
      <c r="E77" s="11"/>
      <c r="F77" s="11"/>
    </row>
    <row r="78" spans="2:6" x14ac:dyDescent="0.2">
      <c r="B78" s="11"/>
      <c r="C78" s="11"/>
      <c r="D78" s="11"/>
      <c r="E78" s="11"/>
      <c r="F78" s="11"/>
    </row>
    <row r="79" spans="2:6" x14ac:dyDescent="0.2">
      <c r="B79" s="11"/>
      <c r="C79" s="11"/>
      <c r="D79" s="11"/>
      <c r="E79" s="11"/>
      <c r="F79" s="11"/>
    </row>
    <row r="80" spans="2:6" x14ac:dyDescent="0.2">
      <c r="B80" s="11"/>
      <c r="C80" s="11"/>
      <c r="D80" s="11"/>
      <c r="E80" s="11"/>
      <c r="F80" s="11"/>
    </row>
    <row r="81" spans="2:6" x14ac:dyDescent="0.2">
      <c r="B81" s="11"/>
      <c r="C81" s="11"/>
      <c r="D81" s="11"/>
      <c r="E81" s="11"/>
      <c r="F81" s="11"/>
    </row>
    <row r="82" spans="2:6" x14ac:dyDescent="0.2">
      <c r="B82" s="11"/>
      <c r="C82" s="11"/>
      <c r="D82" s="11"/>
      <c r="E82" s="11"/>
      <c r="F82" s="11"/>
    </row>
    <row r="83" spans="2:6" x14ac:dyDescent="0.2">
      <c r="B83" s="11"/>
      <c r="C83" s="11"/>
      <c r="D83" s="11"/>
      <c r="E83" s="11"/>
      <c r="F83" s="11"/>
    </row>
    <row r="84" spans="2:6" x14ac:dyDescent="0.2">
      <c r="B84" s="11"/>
      <c r="C84" s="11"/>
      <c r="D84" s="11"/>
      <c r="E84" s="11"/>
      <c r="F84" s="11"/>
    </row>
    <row r="85" spans="2:6" x14ac:dyDescent="0.2">
      <c r="B85" s="11"/>
      <c r="C85" s="11"/>
      <c r="D85" s="11"/>
      <c r="E85" s="11"/>
      <c r="F85" s="11"/>
    </row>
    <row r="86" spans="2:6" x14ac:dyDescent="0.2">
      <c r="B86" s="11"/>
      <c r="C86" s="11"/>
      <c r="D86" s="11"/>
      <c r="E86" s="11"/>
      <c r="F86" s="11"/>
    </row>
    <row r="87" spans="2:6" x14ac:dyDescent="0.2">
      <c r="B87" s="11"/>
      <c r="C87" s="11"/>
      <c r="D87" s="11"/>
      <c r="E87" s="11"/>
      <c r="F87" s="11"/>
    </row>
    <row r="88" spans="2:6" x14ac:dyDescent="0.2">
      <c r="B88" s="11"/>
      <c r="C88" s="11"/>
      <c r="D88" s="11"/>
      <c r="E88" s="11"/>
      <c r="F88" s="11"/>
    </row>
    <row r="89" spans="2:6" x14ac:dyDescent="0.2">
      <c r="B89" s="11"/>
    </row>
  </sheetData>
  <mergeCells count="3">
    <mergeCell ref="C9:E9"/>
    <mergeCell ref="B6:E6"/>
    <mergeCell ref="B7:E7"/>
  </mergeCells>
  <phoneticPr fontId="0" type="noConversion"/>
  <printOptions horizontalCentered="1"/>
  <pageMargins left="0.59055118110236227" right="0.39370078740157483" top="0.98425196850393704" bottom="0.59055118110236227" header="0" footer="0"/>
  <pageSetup scale="12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workbookViewId="0">
      <selection activeCell="H16" sqref="H16"/>
    </sheetView>
  </sheetViews>
  <sheetFormatPr baseColWidth="10" defaultRowHeight="12.75" x14ac:dyDescent="0.2"/>
  <cols>
    <col min="1" max="1" width="4" style="125" customWidth="1"/>
    <col min="2" max="2" width="8.7109375" style="125" customWidth="1"/>
    <col min="3" max="3" width="9.7109375" style="125" customWidth="1"/>
    <col min="4" max="4" width="6.7109375" style="125" customWidth="1"/>
    <col min="5" max="5" width="8.85546875" style="125" customWidth="1"/>
    <col min="6" max="6" width="6.140625" style="125" customWidth="1"/>
    <col min="7" max="7" width="7.28515625" style="125" customWidth="1"/>
    <col min="8" max="8" width="10" style="125" customWidth="1"/>
    <col min="9" max="9" width="8.85546875" style="125" customWidth="1"/>
    <col min="10" max="10" width="6.7109375" style="125" customWidth="1"/>
    <col min="11" max="11" width="8.85546875" style="125" customWidth="1"/>
    <col min="12" max="12" width="6.140625" style="125" customWidth="1"/>
    <col min="13" max="13" width="7.140625" style="125" customWidth="1"/>
    <col min="14" max="14" width="10.5703125" style="125" customWidth="1"/>
    <col min="15" max="15" width="8.7109375" style="125" customWidth="1"/>
    <col min="16" max="16" width="13" style="125" customWidth="1"/>
    <col min="17" max="17" width="10.5703125" style="125" customWidth="1"/>
    <col min="18" max="18" width="11.5703125" style="125" customWidth="1"/>
    <col min="19" max="19" width="10.42578125" style="125" customWidth="1"/>
    <col min="20" max="20" width="11.5703125" style="125" customWidth="1"/>
    <col min="21" max="16384" width="11.42578125" style="125"/>
  </cols>
  <sheetData>
    <row r="1" spans="2:20" x14ac:dyDescent="0.2"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2:20" x14ac:dyDescent="0.2"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2:20" x14ac:dyDescent="0.2">
      <c r="B3" s="247" t="s">
        <v>59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</row>
    <row r="4" spans="2:20" x14ac:dyDescent="0.2">
      <c r="B4" s="247" t="s">
        <v>60</v>
      </c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</row>
    <row r="5" spans="2:20" x14ac:dyDescent="0.2">
      <c r="B5" s="247" t="s">
        <v>61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</row>
    <row r="6" spans="2:20" ht="13.5" thickBot="1" x14ac:dyDescent="0.25"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  <c r="M6" s="127"/>
      <c r="N6" s="127"/>
      <c r="O6" s="127"/>
      <c r="P6" s="127"/>
      <c r="Q6" s="127" t="s">
        <v>13</v>
      </c>
    </row>
    <row r="7" spans="2:20" ht="16.5" customHeight="1" thickBot="1" x14ac:dyDescent="0.25">
      <c r="B7" s="230"/>
      <c r="C7" s="250" t="s">
        <v>58</v>
      </c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1"/>
      <c r="P7" s="231"/>
      <c r="Q7" s="128"/>
      <c r="R7" s="128"/>
      <c r="S7" s="128"/>
      <c r="T7" s="128"/>
    </row>
    <row r="8" spans="2:20" ht="15" customHeight="1" thickBot="1" x14ac:dyDescent="0.25">
      <c r="B8" s="232"/>
      <c r="C8" s="252" t="s">
        <v>62</v>
      </c>
      <c r="D8" s="253"/>
      <c r="E8" s="253"/>
      <c r="F8" s="253"/>
      <c r="G8" s="254"/>
      <c r="H8" s="233" t="s">
        <v>63</v>
      </c>
      <c r="I8" s="252" t="s">
        <v>64</v>
      </c>
      <c r="J8" s="253"/>
      <c r="K8" s="253"/>
      <c r="L8" s="253"/>
      <c r="M8" s="254"/>
      <c r="N8" s="234" t="s">
        <v>63</v>
      </c>
      <c r="O8" s="235" t="s">
        <v>63</v>
      </c>
      <c r="P8" s="236" t="s">
        <v>0</v>
      </c>
      <c r="Q8" s="128"/>
      <c r="R8" s="128"/>
      <c r="S8" s="128"/>
      <c r="T8" s="128"/>
    </row>
    <row r="9" spans="2:20" ht="35.25" customHeight="1" thickBot="1" x14ac:dyDescent="0.25">
      <c r="B9" s="237" t="s">
        <v>65</v>
      </c>
      <c r="C9" s="238" t="s">
        <v>66</v>
      </c>
      <c r="D9" s="239" t="s">
        <v>67</v>
      </c>
      <c r="E9" s="239" t="s">
        <v>68</v>
      </c>
      <c r="F9" s="239" t="s">
        <v>69</v>
      </c>
      <c r="G9" s="239" t="s">
        <v>70</v>
      </c>
      <c r="H9" s="240" t="s">
        <v>71</v>
      </c>
      <c r="I9" s="241" t="s">
        <v>72</v>
      </c>
      <c r="J9" s="239" t="s">
        <v>67</v>
      </c>
      <c r="K9" s="239" t="s">
        <v>68</v>
      </c>
      <c r="L9" s="239" t="s">
        <v>69</v>
      </c>
      <c r="M9" s="242" t="s">
        <v>70</v>
      </c>
      <c r="N9" s="240" t="s">
        <v>73</v>
      </c>
      <c r="O9" s="243" t="s">
        <v>74</v>
      </c>
      <c r="P9" s="244" t="s">
        <v>75</v>
      </c>
      <c r="Q9" s="128"/>
      <c r="R9" s="128"/>
      <c r="S9" s="128"/>
      <c r="T9" s="128"/>
    </row>
    <row r="10" spans="2:20" ht="21.95" customHeight="1" x14ac:dyDescent="0.2">
      <c r="B10" s="129" t="s">
        <v>3</v>
      </c>
      <c r="C10" s="130">
        <v>6</v>
      </c>
      <c r="D10" s="131">
        <v>2</v>
      </c>
      <c r="E10" s="131">
        <v>3</v>
      </c>
      <c r="F10" s="131">
        <v>0</v>
      </c>
      <c r="G10" s="132">
        <v>2</v>
      </c>
      <c r="H10" s="133">
        <f>+D10+E10+F10+G10</f>
        <v>7</v>
      </c>
      <c r="I10" s="134">
        <v>12</v>
      </c>
      <c r="J10" s="131">
        <v>3</v>
      </c>
      <c r="K10" s="131">
        <v>9</v>
      </c>
      <c r="L10" s="131">
        <v>0</v>
      </c>
      <c r="M10" s="131">
        <v>2</v>
      </c>
      <c r="N10" s="133">
        <f>+M10+L10+K10+J10</f>
        <v>14</v>
      </c>
      <c r="O10" s="135">
        <f t="shared" ref="O10:O21" si="0">+I10+C10</f>
        <v>18</v>
      </c>
      <c r="P10" s="136">
        <f t="shared" ref="P10:P21" si="1">+N10+H10</f>
        <v>21</v>
      </c>
      <c r="Q10" s="137"/>
      <c r="R10" s="137"/>
      <c r="S10" s="138"/>
      <c r="T10" s="138"/>
    </row>
    <row r="11" spans="2:20" ht="21.95" customHeight="1" x14ac:dyDescent="0.2">
      <c r="B11" s="139" t="s">
        <v>5</v>
      </c>
      <c r="C11" s="140">
        <v>8</v>
      </c>
      <c r="D11" s="141">
        <v>1</v>
      </c>
      <c r="E11" s="141">
        <v>7</v>
      </c>
      <c r="F11" s="141">
        <v>0</v>
      </c>
      <c r="G11" s="142">
        <v>0</v>
      </c>
      <c r="H11" s="143">
        <f>+D11+E11+F11+G11</f>
        <v>8</v>
      </c>
      <c r="I11" s="144">
        <v>14</v>
      </c>
      <c r="J11" s="145">
        <v>4</v>
      </c>
      <c r="K11" s="145">
        <v>11</v>
      </c>
      <c r="L11" s="145">
        <v>1</v>
      </c>
      <c r="M11" s="145">
        <v>4</v>
      </c>
      <c r="N11" s="143">
        <f>+M11+L11+K11+J11</f>
        <v>20</v>
      </c>
      <c r="O11" s="146">
        <f t="shared" si="0"/>
        <v>22</v>
      </c>
      <c r="P11" s="136">
        <f t="shared" si="1"/>
        <v>28</v>
      </c>
      <c r="Q11" s="147"/>
      <c r="R11" s="138"/>
      <c r="S11" s="138"/>
      <c r="T11" s="138"/>
    </row>
    <row r="12" spans="2:20" ht="21.95" customHeight="1" x14ac:dyDescent="0.2">
      <c r="B12" s="139" t="s">
        <v>6</v>
      </c>
      <c r="C12" s="148">
        <v>6</v>
      </c>
      <c r="D12" s="149">
        <v>2</v>
      </c>
      <c r="E12" s="149">
        <v>6</v>
      </c>
      <c r="F12" s="149">
        <v>0</v>
      </c>
      <c r="G12" s="150">
        <v>2</v>
      </c>
      <c r="H12" s="143">
        <f t="shared" ref="H12:H19" si="2">+D12+E12+F12+G12</f>
        <v>10</v>
      </c>
      <c r="I12" s="151">
        <v>5</v>
      </c>
      <c r="J12" s="145">
        <v>3</v>
      </c>
      <c r="K12" s="145">
        <v>3</v>
      </c>
      <c r="L12" s="145">
        <v>0</v>
      </c>
      <c r="M12" s="145">
        <v>0</v>
      </c>
      <c r="N12" s="143">
        <f t="shared" ref="N12:N21" si="3">+M12+L12+K12+J12</f>
        <v>6</v>
      </c>
      <c r="O12" s="152">
        <f t="shared" si="0"/>
        <v>11</v>
      </c>
      <c r="P12" s="136">
        <f t="shared" si="1"/>
        <v>16</v>
      </c>
      <c r="Q12" s="147"/>
      <c r="R12" s="138"/>
      <c r="S12" s="138" t="s">
        <v>12</v>
      </c>
      <c r="T12" s="138"/>
    </row>
    <row r="13" spans="2:20" ht="21.95" customHeight="1" x14ac:dyDescent="0.2">
      <c r="B13" s="139" t="s">
        <v>7</v>
      </c>
      <c r="C13" s="153">
        <v>10</v>
      </c>
      <c r="D13" s="154">
        <v>4</v>
      </c>
      <c r="E13" s="154">
        <v>8</v>
      </c>
      <c r="F13" s="154">
        <v>6</v>
      </c>
      <c r="G13" s="155">
        <v>3</v>
      </c>
      <c r="H13" s="143">
        <f t="shared" si="2"/>
        <v>21</v>
      </c>
      <c r="I13" s="156">
        <v>10</v>
      </c>
      <c r="J13" s="157">
        <v>4</v>
      </c>
      <c r="K13" s="157">
        <v>9</v>
      </c>
      <c r="L13" s="157">
        <v>0</v>
      </c>
      <c r="M13" s="157">
        <v>4</v>
      </c>
      <c r="N13" s="143">
        <f t="shared" si="3"/>
        <v>17</v>
      </c>
      <c r="O13" s="158">
        <f t="shared" si="0"/>
        <v>20</v>
      </c>
      <c r="P13" s="136">
        <f t="shared" si="1"/>
        <v>38</v>
      </c>
      <c r="Q13" s="147"/>
      <c r="R13" s="138"/>
      <c r="S13" s="138"/>
      <c r="T13" s="138"/>
    </row>
    <row r="14" spans="2:20" ht="21.95" customHeight="1" x14ac:dyDescent="0.2">
      <c r="B14" s="139" t="s">
        <v>8</v>
      </c>
      <c r="C14" s="153">
        <v>11</v>
      </c>
      <c r="D14" s="154">
        <v>4</v>
      </c>
      <c r="E14" s="154">
        <v>10</v>
      </c>
      <c r="F14" s="154">
        <v>0</v>
      </c>
      <c r="G14" s="155">
        <v>4</v>
      </c>
      <c r="H14" s="143">
        <f t="shared" si="2"/>
        <v>18</v>
      </c>
      <c r="I14" s="156">
        <v>16</v>
      </c>
      <c r="J14" s="157">
        <v>1</v>
      </c>
      <c r="K14" s="157">
        <v>16</v>
      </c>
      <c r="L14" s="157">
        <v>0</v>
      </c>
      <c r="M14" s="157">
        <v>2</v>
      </c>
      <c r="N14" s="143">
        <f t="shared" si="3"/>
        <v>19</v>
      </c>
      <c r="O14" s="158">
        <f t="shared" si="0"/>
        <v>27</v>
      </c>
      <c r="P14" s="159">
        <f t="shared" si="1"/>
        <v>37</v>
      </c>
      <c r="Q14" s="147"/>
      <c r="R14" s="138"/>
      <c r="S14" s="138"/>
      <c r="T14" s="138"/>
    </row>
    <row r="15" spans="2:20" ht="21.95" customHeight="1" x14ac:dyDescent="0.2">
      <c r="B15" s="139" t="s">
        <v>9</v>
      </c>
      <c r="C15" s="140">
        <v>9</v>
      </c>
      <c r="D15" s="141">
        <v>4</v>
      </c>
      <c r="E15" s="141">
        <v>7</v>
      </c>
      <c r="F15" s="141">
        <v>1</v>
      </c>
      <c r="G15" s="142">
        <v>5</v>
      </c>
      <c r="H15" s="143">
        <f t="shared" si="2"/>
        <v>17</v>
      </c>
      <c r="I15" s="144">
        <v>9</v>
      </c>
      <c r="J15" s="145">
        <v>5</v>
      </c>
      <c r="K15" s="145">
        <v>9</v>
      </c>
      <c r="L15" s="145">
        <v>0</v>
      </c>
      <c r="M15" s="145">
        <v>5</v>
      </c>
      <c r="N15" s="143">
        <f t="shared" si="3"/>
        <v>19</v>
      </c>
      <c r="O15" s="158">
        <f t="shared" si="0"/>
        <v>18</v>
      </c>
      <c r="P15" s="159">
        <f t="shared" si="1"/>
        <v>36</v>
      </c>
      <c r="Q15" s="147"/>
      <c r="R15" s="138"/>
      <c r="S15" s="138"/>
      <c r="T15" s="138"/>
    </row>
    <row r="16" spans="2:20" ht="21.95" customHeight="1" x14ac:dyDescent="0.2">
      <c r="B16" s="139" t="s">
        <v>10</v>
      </c>
      <c r="C16" s="140">
        <v>14</v>
      </c>
      <c r="D16" s="141">
        <v>8</v>
      </c>
      <c r="E16" s="141">
        <v>9</v>
      </c>
      <c r="F16" s="141">
        <v>0</v>
      </c>
      <c r="G16" s="142">
        <v>5</v>
      </c>
      <c r="H16" s="143">
        <f t="shared" si="2"/>
        <v>22</v>
      </c>
      <c r="I16" s="144">
        <v>11</v>
      </c>
      <c r="J16" s="145">
        <v>8</v>
      </c>
      <c r="K16" s="145">
        <v>8</v>
      </c>
      <c r="L16" s="145">
        <v>0</v>
      </c>
      <c r="M16" s="145">
        <v>3</v>
      </c>
      <c r="N16" s="143">
        <f t="shared" si="3"/>
        <v>19</v>
      </c>
      <c r="O16" s="152">
        <f t="shared" si="0"/>
        <v>25</v>
      </c>
      <c r="P16" s="159">
        <f t="shared" si="1"/>
        <v>41</v>
      </c>
      <c r="Q16" s="160"/>
      <c r="R16" s="160"/>
      <c r="S16" s="138"/>
      <c r="T16" s="138"/>
    </row>
    <row r="17" spans="2:20" ht="21.95" customHeight="1" x14ac:dyDescent="0.2">
      <c r="B17" s="161" t="s">
        <v>11</v>
      </c>
      <c r="C17" s="148">
        <v>8</v>
      </c>
      <c r="D17" s="149">
        <v>3</v>
      </c>
      <c r="E17" s="149">
        <v>6</v>
      </c>
      <c r="F17" s="149">
        <v>0</v>
      </c>
      <c r="G17" s="150">
        <v>1</v>
      </c>
      <c r="H17" s="143">
        <f t="shared" si="2"/>
        <v>10</v>
      </c>
      <c r="I17" s="151">
        <v>9</v>
      </c>
      <c r="J17" s="145">
        <v>3</v>
      </c>
      <c r="K17" s="145">
        <v>8</v>
      </c>
      <c r="L17" s="145">
        <v>1</v>
      </c>
      <c r="M17" s="145">
        <v>1</v>
      </c>
      <c r="N17" s="143">
        <f t="shared" si="3"/>
        <v>13</v>
      </c>
      <c r="O17" s="152">
        <f t="shared" si="0"/>
        <v>17</v>
      </c>
      <c r="P17" s="159">
        <f t="shared" si="1"/>
        <v>23</v>
      </c>
      <c r="Q17" s="160"/>
      <c r="R17" s="160"/>
      <c r="S17" s="138"/>
      <c r="T17" s="138"/>
    </row>
    <row r="18" spans="2:20" ht="21.95" customHeight="1" x14ac:dyDescent="0.2">
      <c r="B18" s="162" t="s">
        <v>76</v>
      </c>
      <c r="C18" s="163">
        <v>4</v>
      </c>
      <c r="D18" s="164">
        <v>3</v>
      </c>
      <c r="E18" s="164">
        <v>2</v>
      </c>
      <c r="F18" s="164">
        <v>0</v>
      </c>
      <c r="G18" s="165">
        <v>2</v>
      </c>
      <c r="H18" s="143">
        <f t="shared" si="2"/>
        <v>7</v>
      </c>
      <c r="I18" s="166">
        <v>15</v>
      </c>
      <c r="J18" s="167">
        <v>4</v>
      </c>
      <c r="K18" s="167">
        <v>13</v>
      </c>
      <c r="L18" s="167">
        <v>1</v>
      </c>
      <c r="M18" s="167">
        <v>5</v>
      </c>
      <c r="N18" s="143">
        <f t="shared" si="3"/>
        <v>23</v>
      </c>
      <c r="O18" s="168">
        <f t="shared" si="0"/>
        <v>19</v>
      </c>
      <c r="P18" s="169">
        <f t="shared" si="1"/>
        <v>30</v>
      </c>
      <c r="Q18" s="160"/>
      <c r="R18" s="160"/>
      <c r="S18" s="138"/>
      <c r="T18" s="138"/>
    </row>
    <row r="19" spans="2:20" ht="21.95" customHeight="1" x14ac:dyDescent="0.2">
      <c r="B19" s="170" t="s">
        <v>16</v>
      </c>
      <c r="C19" s="171">
        <v>9</v>
      </c>
      <c r="D19" s="172">
        <v>3</v>
      </c>
      <c r="E19" s="172">
        <v>8</v>
      </c>
      <c r="F19" s="172">
        <v>0</v>
      </c>
      <c r="G19" s="173">
        <v>3</v>
      </c>
      <c r="H19" s="143">
        <f t="shared" si="2"/>
        <v>14</v>
      </c>
      <c r="I19" s="174">
        <v>13</v>
      </c>
      <c r="J19" s="175">
        <v>5</v>
      </c>
      <c r="K19" s="175">
        <v>10</v>
      </c>
      <c r="L19" s="175">
        <v>1</v>
      </c>
      <c r="M19" s="175">
        <v>2</v>
      </c>
      <c r="N19" s="143">
        <f t="shared" si="3"/>
        <v>18</v>
      </c>
      <c r="O19" s="135">
        <f t="shared" si="0"/>
        <v>22</v>
      </c>
      <c r="P19" s="169">
        <f t="shared" si="1"/>
        <v>32</v>
      </c>
      <c r="Q19" s="160"/>
      <c r="R19" s="160"/>
      <c r="S19" s="138"/>
      <c r="T19" s="138"/>
    </row>
    <row r="20" spans="2:20" ht="21.95" customHeight="1" x14ac:dyDescent="0.2">
      <c r="B20" s="176" t="s">
        <v>77</v>
      </c>
      <c r="C20" s="177">
        <v>11</v>
      </c>
      <c r="D20" s="178">
        <v>3</v>
      </c>
      <c r="E20" s="178">
        <v>10</v>
      </c>
      <c r="F20" s="178">
        <v>0</v>
      </c>
      <c r="G20" s="179">
        <v>1</v>
      </c>
      <c r="H20" s="143">
        <f>+D20+E20+F20+G20</f>
        <v>14</v>
      </c>
      <c r="I20" s="180">
        <v>13</v>
      </c>
      <c r="J20" s="181">
        <v>2</v>
      </c>
      <c r="K20" s="181">
        <v>12</v>
      </c>
      <c r="L20" s="181">
        <v>0</v>
      </c>
      <c r="M20" s="181">
        <v>3</v>
      </c>
      <c r="N20" s="143">
        <f t="shared" si="3"/>
        <v>17</v>
      </c>
      <c r="O20" s="182">
        <f t="shared" si="0"/>
        <v>24</v>
      </c>
      <c r="P20" s="169">
        <f t="shared" si="1"/>
        <v>31</v>
      </c>
      <c r="Q20" s="160"/>
      <c r="R20" s="160"/>
      <c r="S20" s="138"/>
      <c r="T20" s="138"/>
    </row>
    <row r="21" spans="2:20" ht="21.95" customHeight="1" thickBot="1" x14ac:dyDescent="0.25">
      <c r="B21" s="183" t="s">
        <v>78</v>
      </c>
      <c r="C21" s="184">
        <v>5</v>
      </c>
      <c r="D21" s="185">
        <v>3</v>
      </c>
      <c r="E21" s="185">
        <v>4</v>
      </c>
      <c r="F21" s="185">
        <v>0</v>
      </c>
      <c r="G21" s="186">
        <v>2</v>
      </c>
      <c r="H21" s="143">
        <f>+D21+E21+F21+G21</f>
        <v>9</v>
      </c>
      <c r="I21" s="187">
        <v>9</v>
      </c>
      <c r="J21" s="188">
        <v>3</v>
      </c>
      <c r="K21" s="188">
        <v>8</v>
      </c>
      <c r="L21" s="188">
        <v>0</v>
      </c>
      <c r="M21" s="188">
        <v>2</v>
      </c>
      <c r="N21" s="143">
        <f t="shared" si="3"/>
        <v>13</v>
      </c>
      <c r="O21" s="189">
        <f t="shared" si="0"/>
        <v>14</v>
      </c>
      <c r="P21" s="190">
        <f t="shared" si="1"/>
        <v>22</v>
      </c>
      <c r="Q21" s="160"/>
      <c r="R21" s="160"/>
      <c r="S21" s="138"/>
      <c r="T21" s="138"/>
    </row>
    <row r="22" spans="2:20" ht="17.25" customHeight="1" thickBot="1" x14ac:dyDescent="0.3">
      <c r="B22" s="191" t="s">
        <v>4</v>
      </c>
      <c r="C22" s="192">
        <f t="shared" ref="C22:P22" si="4">SUM(C10:C21)</f>
        <v>101</v>
      </c>
      <c r="D22" s="192">
        <f t="shared" si="4"/>
        <v>40</v>
      </c>
      <c r="E22" s="192">
        <f t="shared" si="4"/>
        <v>80</v>
      </c>
      <c r="F22" s="192">
        <f t="shared" si="4"/>
        <v>7</v>
      </c>
      <c r="G22" s="193">
        <f t="shared" si="4"/>
        <v>30</v>
      </c>
      <c r="H22" s="194">
        <f t="shared" si="4"/>
        <v>157</v>
      </c>
      <c r="I22" s="195">
        <f t="shared" si="4"/>
        <v>136</v>
      </c>
      <c r="J22" s="196">
        <f t="shared" si="4"/>
        <v>45</v>
      </c>
      <c r="K22" s="196">
        <f t="shared" si="4"/>
        <v>116</v>
      </c>
      <c r="L22" s="196">
        <f t="shared" si="4"/>
        <v>4</v>
      </c>
      <c r="M22" s="196">
        <f t="shared" si="4"/>
        <v>33</v>
      </c>
      <c r="N22" s="194">
        <f t="shared" si="4"/>
        <v>198</v>
      </c>
      <c r="O22" s="197">
        <f t="shared" si="4"/>
        <v>237</v>
      </c>
      <c r="P22" s="198">
        <f t="shared" si="4"/>
        <v>355</v>
      </c>
      <c r="Q22" s="160"/>
      <c r="R22" s="160"/>
      <c r="S22" s="138"/>
      <c r="T22" s="138"/>
    </row>
    <row r="23" spans="2:20" ht="14.25" customHeight="1" x14ac:dyDescent="0.2">
      <c r="B23" s="199"/>
      <c r="C23" s="127"/>
      <c r="D23" s="127"/>
      <c r="E23" s="127"/>
      <c r="F23" s="127"/>
      <c r="G23" s="127"/>
      <c r="H23" s="127"/>
      <c r="I23" s="200"/>
      <c r="J23" s="200"/>
      <c r="K23" s="200"/>
      <c r="L23" s="200"/>
      <c r="M23" s="200"/>
      <c r="N23" s="200"/>
      <c r="P23" s="201"/>
    </row>
    <row r="24" spans="2:20" x14ac:dyDescent="0.2"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</row>
    <row r="25" spans="2:20" x14ac:dyDescent="0.2">
      <c r="B25" s="202"/>
      <c r="C25" s="203"/>
      <c r="D25" s="203"/>
      <c r="E25" s="203"/>
      <c r="F25" s="203"/>
      <c r="G25" s="203"/>
      <c r="H25" s="203"/>
      <c r="I25" s="127"/>
      <c r="J25" s="127"/>
      <c r="K25" s="127"/>
      <c r="L25" s="127"/>
      <c r="M25" s="127"/>
      <c r="N25" s="127"/>
      <c r="O25" s="127"/>
      <c r="P25" s="127"/>
      <c r="Q25" s="204"/>
    </row>
    <row r="26" spans="2:20" x14ac:dyDescent="0.2">
      <c r="B26" s="127"/>
      <c r="C26" s="205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204"/>
    </row>
    <row r="27" spans="2:20" x14ac:dyDescent="0.2">
      <c r="B27" s="127"/>
      <c r="C27" s="205"/>
      <c r="F27" s="127"/>
      <c r="G27" s="127"/>
      <c r="H27" s="127"/>
      <c r="L27" s="127"/>
      <c r="M27" s="127"/>
      <c r="N27" s="127"/>
      <c r="O27" s="127"/>
      <c r="P27" s="127"/>
      <c r="Q27" s="127"/>
    </row>
    <row r="28" spans="2:20" x14ac:dyDescent="0.2">
      <c r="B28" s="206"/>
      <c r="C28" s="206"/>
      <c r="D28" s="206"/>
      <c r="F28" s="127"/>
      <c r="G28" s="127"/>
      <c r="H28" s="202"/>
      <c r="I28" s="202"/>
      <c r="J28" s="202"/>
      <c r="K28" s="202"/>
      <c r="L28" s="202"/>
      <c r="M28" s="127"/>
      <c r="N28" s="202"/>
      <c r="O28" s="202"/>
      <c r="P28" s="202"/>
      <c r="Q28" s="202"/>
    </row>
    <row r="29" spans="2:20" x14ac:dyDescent="0.2">
      <c r="C29" s="205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P29" s="205"/>
      <c r="Q29" s="204"/>
    </row>
    <row r="30" spans="2:20" x14ac:dyDescent="0.2">
      <c r="C30" s="205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P30" s="205"/>
      <c r="Q30" s="204"/>
    </row>
    <row r="31" spans="2:20" ht="15.95" customHeight="1" x14ac:dyDescent="0.2"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Q31" s="204"/>
    </row>
    <row r="32" spans="2:20" ht="15.95" customHeight="1" x14ac:dyDescent="0.2"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04"/>
    </row>
    <row r="33" spans="1:17" ht="15.95" customHeight="1" x14ac:dyDescent="0.2">
      <c r="B33" s="247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04"/>
    </row>
    <row r="34" spans="1:17" ht="15.95" customHeight="1" x14ac:dyDescent="0.2"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</row>
    <row r="35" spans="1:17" ht="15.95" customHeight="1" x14ac:dyDescent="0.2">
      <c r="B35" s="126"/>
      <c r="C35" s="126"/>
      <c r="D35" s="126"/>
      <c r="E35" s="126"/>
      <c r="F35" s="126"/>
      <c r="G35" s="126"/>
      <c r="H35" s="126"/>
      <c r="I35" s="127"/>
      <c r="J35" s="127"/>
      <c r="K35" s="127"/>
      <c r="L35" s="127"/>
      <c r="M35" s="127"/>
      <c r="N35" s="127"/>
      <c r="O35" s="127"/>
      <c r="P35" s="127"/>
    </row>
    <row r="36" spans="1:17" ht="21.95" customHeight="1" x14ac:dyDescent="0.2">
      <c r="B36" s="207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08"/>
    </row>
    <row r="37" spans="1:17" ht="21.95" customHeight="1" x14ac:dyDescent="0.2">
      <c r="B37" s="207"/>
      <c r="C37" s="249"/>
      <c r="D37" s="249"/>
      <c r="E37" s="249"/>
      <c r="F37" s="249"/>
      <c r="G37" s="249"/>
      <c r="H37" s="209"/>
      <c r="I37" s="249"/>
      <c r="J37" s="249"/>
      <c r="K37" s="249"/>
      <c r="L37" s="249"/>
      <c r="M37" s="249"/>
      <c r="N37" s="209"/>
      <c r="O37" s="210"/>
      <c r="P37" s="210"/>
    </row>
    <row r="38" spans="1:17" ht="34.5" customHeight="1" x14ac:dyDescent="0.2">
      <c r="B38" s="207"/>
      <c r="C38" s="128"/>
      <c r="D38" s="211"/>
      <c r="E38" s="211"/>
      <c r="F38" s="211"/>
      <c r="G38" s="211"/>
      <c r="H38" s="128"/>
      <c r="I38" s="212"/>
      <c r="J38" s="211"/>
      <c r="K38" s="211"/>
      <c r="L38" s="211"/>
      <c r="M38" s="211"/>
      <c r="N38" s="128"/>
      <c r="O38" s="213"/>
      <c r="P38" s="210"/>
    </row>
    <row r="39" spans="1:17" ht="21.95" customHeight="1" x14ac:dyDescent="0.2">
      <c r="B39" s="214"/>
      <c r="C39" s="135"/>
      <c r="D39" s="215"/>
      <c r="E39" s="215"/>
      <c r="F39" s="215"/>
      <c r="G39" s="215"/>
      <c r="H39" s="215"/>
      <c r="I39" s="135"/>
      <c r="J39" s="215"/>
      <c r="K39" s="215"/>
      <c r="L39" s="215"/>
      <c r="M39" s="215"/>
      <c r="N39" s="215"/>
      <c r="O39" s="135"/>
      <c r="P39" s="216"/>
    </row>
    <row r="40" spans="1:17" ht="21.95" customHeight="1" x14ac:dyDescent="0.2">
      <c r="B40" s="214"/>
      <c r="C40" s="135"/>
      <c r="D40" s="215"/>
      <c r="E40" s="215"/>
      <c r="F40" s="215"/>
      <c r="G40" s="215"/>
      <c r="H40" s="215"/>
      <c r="I40" s="135"/>
      <c r="J40" s="215"/>
      <c r="K40" s="215"/>
      <c r="L40" s="215"/>
      <c r="M40" s="215"/>
      <c r="N40" s="215"/>
      <c r="O40" s="135"/>
      <c r="P40" s="216"/>
    </row>
    <row r="41" spans="1:17" ht="21.95" customHeight="1" x14ac:dyDescent="0.2">
      <c r="B41" s="214"/>
      <c r="C41" s="135"/>
      <c r="D41" s="215"/>
      <c r="E41" s="215"/>
      <c r="F41" s="215"/>
      <c r="G41" s="215"/>
      <c r="H41" s="215"/>
      <c r="I41" s="135"/>
      <c r="J41" s="215"/>
      <c r="K41" s="215"/>
      <c r="L41" s="215"/>
      <c r="M41" s="215"/>
      <c r="N41" s="215"/>
      <c r="O41" s="135"/>
      <c r="P41" s="216"/>
    </row>
    <row r="42" spans="1:17" ht="21.95" customHeight="1" x14ac:dyDescent="0.2">
      <c r="B42" s="214"/>
      <c r="C42" s="217"/>
      <c r="D42" s="218"/>
      <c r="E42" s="218"/>
      <c r="F42" s="218"/>
      <c r="G42" s="218"/>
      <c r="H42" s="215"/>
      <c r="I42" s="217"/>
      <c r="J42" s="218"/>
      <c r="K42" s="218"/>
      <c r="L42" s="218"/>
      <c r="M42" s="218"/>
      <c r="N42" s="215"/>
      <c r="O42" s="217"/>
      <c r="P42" s="216"/>
    </row>
    <row r="43" spans="1:17" ht="21.95" customHeight="1" x14ac:dyDescent="0.2">
      <c r="B43" s="214"/>
      <c r="C43" s="217"/>
      <c r="D43" s="218"/>
      <c r="E43" s="218"/>
      <c r="F43" s="218"/>
      <c r="G43" s="218"/>
      <c r="H43" s="215"/>
      <c r="I43" s="217"/>
      <c r="J43" s="218"/>
      <c r="K43" s="218"/>
      <c r="L43" s="218"/>
      <c r="M43" s="218"/>
      <c r="N43" s="215"/>
      <c r="O43" s="217"/>
      <c r="P43" s="216"/>
    </row>
    <row r="44" spans="1:17" ht="21.95" customHeight="1" x14ac:dyDescent="0.2">
      <c r="B44" s="214"/>
      <c r="C44" s="135"/>
      <c r="D44" s="215"/>
      <c r="E44" s="215"/>
      <c r="F44" s="215"/>
      <c r="G44" s="215"/>
      <c r="H44" s="215"/>
      <c r="I44" s="135"/>
      <c r="J44" s="215"/>
      <c r="K44" s="215"/>
      <c r="L44" s="215"/>
      <c r="M44" s="215"/>
      <c r="N44" s="215"/>
      <c r="O44" s="217"/>
      <c r="P44" s="216"/>
    </row>
    <row r="45" spans="1:17" ht="21.95" customHeight="1" x14ac:dyDescent="0.2">
      <c r="A45" s="125" t="s">
        <v>12</v>
      </c>
      <c r="B45" s="214"/>
      <c r="C45" s="135"/>
      <c r="D45" s="215"/>
      <c r="E45" s="215"/>
      <c r="F45" s="215"/>
      <c r="G45" s="215"/>
      <c r="H45" s="215"/>
      <c r="I45" s="135"/>
      <c r="J45" s="215"/>
      <c r="K45" s="215"/>
      <c r="L45" s="215"/>
      <c r="M45" s="215"/>
      <c r="N45" s="215"/>
      <c r="O45" s="135"/>
      <c r="P45" s="216"/>
    </row>
    <row r="46" spans="1:17" ht="21.95" customHeight="1" x14ac:dyDescent="0.2">
      <c r="B46" s="214"/>
      <c r="C46" s="135"/>
      <c r="D46" s="215"/>
      <c r="E46" s="215"/>
      <c r="F46" s="215"/>
      <c r="G46" s="215"/>
      <c r="H46" s="215"/>
      <c r="I46" s="135"/>
      <c r="J46" s="215"/>
      <c r="K46" s="215"/>
      <c r="L46" s="215"/>
      <c r="M46" s="215"/>
      <c r="N46" s="215"/>
      <c r="O46" s="135"/>
      <c r="P46" s="216"/>
    </row>
    <row r="47" spans="1:17" ht="21.95" customHeight="1" x14ac:dyDescent="0.2">
      <c r="B47" s="214"/>
      <c r="C47" s="135"/>
      <c r="D47" s="215"/>
      <c r="E47" s="215"/>
      <c r="F47" s="215"/>
      <c r="G47" s="215"/>
      <c r="H47" s="215"/>
      <c r="I47" s="135"/>
      <c r="J47" s="215"/>
      <c r="K47" s="215"/>
      <c r="L47" s="215"/>
      <c r="M47" s="215"/>
      <c r="N47" s="215"/>
      <c r="O47" s="135"/>
      <c r="P47" s="215"/>
    </row>
    <row r="48" spans="1:17" ht="21.95" customHeight="1" x14ac:dyDescent="0.2">
      <c r="B48" s="214"/>
      <c r="C48" s="135"/>
      <c r="D48" s="215"/>
      <c r="E48" s="215"/>
      <c r="F48" s="215"/>
      <c r="G48" s="215"/>
      <c r="H48" s="215"/>
      <c r="I48" s="135"/>
      <c r="J48" s="215"/>
      <c r="K48" s="215"/>
      <c r="L48" s="215"/>
      <c r="M48" s="215"/>
      <c r="N48" s="215"/>
      <c r="O48" s="135"/>
      <c r="P48" s="215"/>
    </row>
    <row r="49" spans="2:16" ht="21.95" customHeight="1" x14ac:dyDescent="0.2">
      <c r="B49" s="214"/>
      <c r="C49" s="135"/>
      <c r="D49" s="215"/>
      <c r="E49" s="215"/>
      <c r="F49" s="215"/>
      <c r="G49" s="215"/>
      <c r="H49" s="215"/>
      <c r="I49" s="135"/>
      <c r="J49" s="215"/>
      <c r="K49" s="215"/>
      <c r="L49" s="215"/>
      <c r="M49" s="215"/>
      <c r="N49" s="215"/>
      <c r="O49" s="135"/>
      <c r="P49" s="215"/>
    </row>
    <row r="50" spans="2:16" ht="21.95" customHeight="1" x14ac:dyDescent="0.2">
      <c r="B50" s="214"/>
      <c r="C50" s="135"/>
      <c r="D50" s="215"/>
      <c r="E50" s="215"/>
      <c r="F50" s="215"/>
      <c r="G50" s="215"/>
      <c r="H50" s="218"/>
      <c r="I50" s="135"/>
      <c r="J50" s="215"/>
      <c r="K50" s="215"/>
      <c r="L50" s="215"/>
      <c r="M50" s="215"/>
      <c r="N50" s="218"/>
      <c r="O50" s="135"/>
      <c r="P50" s="215"/>
    </row>
    <row r="51" spans="2:16" ht="21.95" customHeight="1" x14ac:dyDescent="0.25">
      <c r="B51" s="219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220"/>
      <c r="P51" s="220"/>
    </row>
    <row r="52" spans="2:16" x14ac:dyDescent="0.2">
      <c r="B52" s="221"/>
      <c r="C52" s="126"/>
      <c r="D52" s="126"/>
      <c r="E52" s="126"/>
      <c r="F52" s="126"/>
      <c r="G52" s="126"/>
      <c r="H52" s="126"/>
      <c r="I52" s="222"/>
      <c r="J52" s="222"/>
      <c r="K52" s="222"/>
      <c r="L52" s="222"/>
      <c r="M52" s="222"/>
      <c r="N52" s="222"/>
      <c r="O52" s="223"/>
      <c r="P52" s="224"/>
    </row>
    <row r="53" spans="2:16" x14ac:dyDescent="0.2"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</row>
    <row r="54" spans="2:16" x14ac:dyDescent="0.2">
      <c r="B54" s="202"/>
      <c r="C54" s="203"/>
      <c r="D54" s="203"/>
      <c r="E54" s="203"/>
      <c r="F54" s="203"/>
      <c r="G54" s="203"/>
      <c r="H54" s="203"/>
      <c r="I54" s="127"/>
      <c r="J54" s="127"/>
      <c r="K54" s="127"/>
      <c r="L54" s="127"/>
      <c r="M54" s="127"/>
      <c r="N54" s="127"/>
      <c r="O54" s="127"/>
      <c r="P54" s="127"/>
    </row>
    <row r="55" spans="2:16" x14ac:dyDescent="0.2">
      <c r="B55" s="127"/>
      <c r="C55" s="205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</row>
    <row r="56" spans="2:16" x14ac:dyDescent="0.2">
      <c r="B56" s="127"/>
      <c r="C56" s="205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</row>
    <row r="57" spans="2:16" x14ac:dyDescent="0.2">
      <c r="B57" s="206"/>
      <c r="C57" s="206"/>
      <c r="D57" s="206"/>
      <c r="F57" s="127"/>
      <c r="G57" s="127"/>
      <c r="H57" s="127"/>
      <c r="I57" s="127"/>
      <c r="J57" s="127"/>
      <c r="K57" s="127"/>
      <c r="L57" s="127"/>
      <c r="M57" s="127"/>
      <c r="N57" s="127"/>
      <c r="O57" s="205"/>
      <c r="P57" s="127"/>
    </row>
    <row r="58" spans="2:16" x14ac:dyDescent="0.2">
      <c r="C58" s="205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P58" s="205"/>
    </row>
    <row r="59" spans="2:16" x14ac:dyDescent="0.2">
      <c r="C59" s="205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P59" s="205"/>
    </row>
    <row r="60" spans="2:16" x14ac:dyDescent="0.2"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</row>
    <row r="61" spans="2:16" x14ac:dyDescent="0.2"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</row>
    <row r="62" spans="2:16" x14ac:dyDescent="0.2"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</row>
    <row r="63" spans="2:16" x14ac:dyDescent="0.2"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</row>
    <row r="64" spans="2:16" x14ac:dyDescent="0.2"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</row>
    <row r="65" spans="2:16" x14ac:dyDescent="0.2"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</row>
    <row r="66" spans="2:16" x14ac:dyDescent="0.2"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</row>
    <row r="67" spans="2:16" x14ac:dyDescent="0.2"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</row>
    <row r="68" spans="2:16" x14ac:dyDescent="0.2"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</row>
    <row r="69" spans="2:16" x14ac:dyDescent="0.2"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</row>
    <row r="70" spans="2:16" x14ac:dyDescent="0.2"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</row>
    <row r="71" spans="2:16" x14ac:dyDescent="0.2"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</row>
    <row r="72" spans="2:16" x14ac:dyDescent="0.2"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</row>
    <row r="73" spans="2:16" x14ac:dyDescent="0.2"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</row>
    <row r="74" spans="2:16" x14ac:dyDescent="0.2"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</row>
    <row r="75" spans="2:16" x14ac:dyDescent="0.2"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</row>
    <row r="76" spans="2:16" x14ac:dyDescent="0.2"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</row>
    <row r="77" spans="2:16" x14ac:dyDescent="0.2"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</row>
    <row r="78" spans="2:16" x14ac:dyDescent="0.2"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</row>
    <row r="79" spans="2:16" x14ac:dyDescent="0.2"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</row>
    <row r="80" spans="2:16" x14ac:dyDescent="0.2"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</row>
    <row r="81" spans="2:16" x14ac:dyDescent="0.2"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</row>
    <row r="82" spans="2:16" x14ac:dyDescent="0.2"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</row>
    <row r="83" spans="2:16" x14ac:dyDescent="0.2"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</row>
    <row r="84" spans="2:16" x14ac:dyDescent="0.2"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</row>
  </sheetData>
  <mergeCells count="12">
    <mergeCell ref="B3:P3"/>
    <mergeCell ref="B4:P4"/>
    <mergeCell ref="B5:P5"/>
    <mergeCell ref="C7:O7"/>
    <mergeCell ref="C8:G8"/>
    <mergeCell ref="I8:M8"/>
    <mergeCell ref="B32:P32"/>
    <mergeCell ref="B33:P33"/>
    <mergeCell ref="B34:P34"/>
    <mergeCell ref="C36:O36"/>
    <mergeCell ref="C37:G37"/>
    <mergeCell ref="I37:M37"/>
  </mergeCells>
  <printOptions verticalCentered="1"/>
  <pageMargins left="0.39370078740157483" right="0.19685039370078741" top="0.59055118110236227" bottom="0.7874015748031496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50"/>
  <sheetViews>
    <sheetView zoomScaleNormal="100" workbookViewId="0">
      <selection activeCell="I15" sqref="I15"/>
    </sheetView>
  </sheetViews>
  <sheetFormatPr baseColWidth="10" defaultRowHeight="12.75" x14ac:dyDescent="0.2"/>
  <cols>
    <col min="1" max="1" width="9.42578125" customWidth="1"/>
    <col min="2" max="2" width="9.7109375" customWidth="1"/>
    <col min="3" max="3" width="8.140625" customWidth="1"/>
    <col min="4" max="4" width="6.140625" customWidth="1"/>
    <col min="5" max="5" width="6.85546875" customWidth="1"/>
    <col min="6" max="6" width="7" customWidth="1"/>
    <col min="7" max="7" width="11.42578125" customWidth="1"/>
    <col min="8" max="8" width="12.42578125" customWidth="1"/>
    <col min="9" max="9" width="11.42578125" customWidth="1"/>
    <col min="10" max="11" width="10.5703125" customWidth="1"/>
    <col min="12" max="12" width="10.42578125" customWidth="1"/>
    <col min="13" max="13" width="17.140625" customWidth="1"/>
    <col min="14" max="14" width="13" customWidth="1"/>
  </cols>
  <sheetData>
    <row r="4" spans="1:17" x14ac:dyDescent="0.2">
      <c r="A4" s="255" t="s">
        <v>22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7" x14ac:dyDescent="0.2">
      <c r="A5" s="255" t="s">
        <v>79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</row>
    <row r="6" spans="1:17" ht="12.75" customHeight="1" thickBo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ht="73.5" customHeight="1" thickBot="1" x14ac:dyDescent="0.25">
      <c r="A7" s="257" t="s">
        <v>23</v>
      </c>
      <c r="B7" s="258" t="s">
        <v>24</v>
      </c>
      <c r="C7" s="258" t="s">
        <v>25</v>
      </c>
      <c r="D7" s="258" t="s">
        <v>26</v>
      </c>
      <c r="E7" s="258" t="s">
        <v>27</v>
      </c>
      <c r="F7" s="258" t="s">
        <v>28</v>
      </c>
      <c r="G7" s="258" t="s">
        <v>29</v>
      </c>
      <c r="H7" s="258" t="s">
        <v>30</v>
      </c>
      <c r="I7" s="258" t="s">
        <v>31</v>
      </c>
      <c r="J7" s="258" t="s">
        <v>32</v>
      </c>
      <c r="K7" s="259" t="s">
        <v>33</v>
      </c>
      <c r="L7" s="260" t="s">
        <v>34</v>
      </c>
      <c r="M7" s="261" t="s">
        <v>35</v>
      </c>
      <c r="N7" s="262" t="s">
        <v>36</v>
      </c>
      <c r="O7" s="37"/>
      <c r="P7" s="37"/>
    </row>
    <row r="8" spans="1:17" ht="23.1" customHeight="1" x14ac:dyDescent="0.2">
      <c r="A8" s="38" t="s">
        <v>52</v>
      </c>
      <c r="B8" s="39">
        <v>4</v>
      </c>
      <c r="C8" s="39">
        <v>21</v>
      </c>
      <c r="D8" s="39">
        <v>54</v>
      </c>
      <c r="E8" s="39">
        <v>16</v>
      </c>
      <c r="F8" s="39">
        <v>9</v>
      </c>
      <c r="G8" s="107">
        <f>6342.86+10285.7+15428.56</f>
        <v>32057.120000000003</v>
      </c>
      <c r="H8" s="107">
        <f>13714.31+9714.28+28857.13+34857.13</f>
        <v>87142.85</v>
      </c>
      <c r="I8" s="40">
        <v>0</v>
      </c>
      <c r="J8" s="107">
        <f>1142.86*4</f>
        <v>4571.4399999999996</v>
      </c>
      <c r="K8" s="110">
        <f>571.44+285.72+1942.89+2285.7</f>
        <v>5085.75</v>
      </c>
      <c r="L8" s="111">
        <f>2857.15+8000.01</f>
        <v>10857.16</v>
      </c>
      <c r="M8" s="41">
        <v>0</v>
      </c>
      <c r="N8" s="114">
        <f t="shared" ref="N8:N19" si="0">SUM(G8:L8)</f>
        <v>139714.32</v>
      </c>
    </row>
    <row r="9" spans="1:17" ht="23.1" customHeight="1" x14ac:dyDescent="0.2">
      <c r="A9" s="42" t="s">
        <v>53</v>
      </c>
      <c r="B9" s="43">
        <f>1+2+3+5</f>
        <v>11</v>
      </c>
      <c r="C9" s="43">
        <f>3+1+5</f>
        <v>9</v>
      </c>
      <c r="D9" s="43">
        <f>12+5+17+13</f>
        <v>47</v>
      </c>
      <c r="E9" s="43">
        <f>5+2+3+2</f>
        <v>12</v>
      </c>
      <c r="F9" s="43">
        <f>3+1+1+3</f>
        <v>8</v>
      </c>
      <c r="G9" s="108">
        <f>6857.13+685.71+7714.27</f>
        <v>15257.11</v>
      </c>
      <c r="H9" s="108">
        <f>21428.58+3714.28+20000.02+21028.56</f>
        <v>66171.44</v>
      </c>
      <c r="I9" s="45">
        <v>1142.8599999999999</v>
      </c>
      <c r="J9" s="108">
        <f>1142.86*6</f>
        <v>6857.16</v>
      </c>
      <c r="K9" s="112">
        <f>1142.86+1142.86+1142.88</f>
        <v>3428.6</v>
      </c>
      <c r="L9" s="113">
        <f>11428.57+1142.86</f>
        <v>12571.43</v>
      </c>
      <c r="M9" s="48">
        <v>0</v>
      </c>
      <c r="N9" s="115">
        <f t="shared" si="0"/>
        <v>105428.6</v>
      </c>
    </row>
    <row r="10" spans="1:17" ht="23.1" customHeight="1" x14ac:dyDescent="0.2">
      <c r="A10" s="42" t="s">
        <v>54</v>
      </c>
      <c r="B10" s="43">
        <f>2+6+6+5</f>
        <v>19</v>
      </c>
      <c r="C10" s="43">
        <f>1+1</f>
        <v>2</v>
      </c>
      <c r="D10" s="43">
        <f>6+8+15+11</f>
        <v>40</v>
      </c>
      <c r="E10" s="43">
        <f>2+2+3+2</f>
        <v>9</v>
      </c>
      <c r="F10" s="43">
        <f>1+4+4+3</f>
        <v>12</v>
      </c>
      <c r="G10" s="108">
        <f>3428.57+6857.14+6000</f>
        <v>16285.710000000001</v>
      </c>
      <c r="H10" s="108">
        <f>5714.29+12571.43+37142.85+13355.22</f>
        <v>68783.789999999994</v>
      </c>
      <c r="I10" s="45">
        <v>0</v>
      </c>
      <c r="J10" s="109">
        <f>1142.86*3</f>
        <v>3428.58</v>
      </c>
      <c r="K10" s="112">
        <f>2800.03+457.16</f>
        <v>3257.19</v>
      </c>
      <c r="L10" s="113">
        <f>3428.58</f>
        <v>3428.58</v>
      </c>
      <c r="M10" s="48">
        <v>11428.57</v>
      </c>
      <c r="N10" s="115">
        <f>SUM(G10:M10)</f>
        <v>106612.42000000001</v>
      </c>
      <c r="O10" s="49"/>
      <c r="P10" s="49"/>
      <c r="Q10" s="49"/>
    </row>
    <row r="11" spans="1:17" ht="23.1" customHeight="1" x14ac:dyDescent="0.2">
      <c r="A11" s="42" t="s">
        <v>37</v>
      </c>
      <c r="B11" s="43">
        <f>6+3+1+1</f>
        <v>11</v>
      </c>
      <c r="C11" s="43">
        <f>2+3</f>
        <v>5</v>
      </c>
      <c r="D11" s="43">
        <f>13+16+5+3</f>
        <v>37</v>
      </c>
      <c r="E11" s="43">
        <f>6+4+1</f>
        <v>11</v>
      </c>
      <c r="F11" s="43">
        <f>1+3+1</f>
        <v>5</v>
      </c>
      <c r="G11" s="108">
        <f>10285.71+4457.12+685.71</f>
        <v>15428.539999999997</v>
      </c>
      <c r="H11" s="108">
        <f>17925.93+18742.81+4857.39+4571.43</f>
        <v>46097.560000000005</v>
      </c>
      <c r="I11" s="45">
        <v>0</v>
      </c>
      <c r="J11" s="108">
        <f>1142.86*6</f>
        <v>6857.16</v>
      </c>
      <c r="K11" s="112">
        <f>1142.85+1523.8</f>
        <v>2666.6499999999996</v>
      </c>
      <c r="L11" s="113">
        <v>0</v>
      </c>
      <c r="M11" s="48">
        <v>0</v>
      </c>
      <c r="N11" s="115">
        <f t="shared" si="0"/>
        <v>71049.91</v>
      </c>
    </row>
    <row r="12" spans="1:17" ht="23.1" customHeight="1" x14ac:dyDescent="0.2">
      <c r="A12" s="42" t="s">
        <v>38</v>
      </c>
      <c r="B12" s="43">
        <f>5+4+2+3</f>
        <v>14</v>
      </c>
      <c r="C12" s="34">
        <f>1+1+2+1</f>
        <v>5</v>
      </c>
      <c r="D12" s="43">
        <f>6+3+12+9+4+13</f>
        <v>47</v>
      </c>
      <c r="E12" s="43">
        <v>9</v>
      </c>
      <c r="F12" s="43">
        <v>10</v>
      </c>
      <c r="G12" s="108">
        <f>1028.57+3428.57+11314.3</f>
        <v>15771.439999999999</v>
      </c>
      <c r="H12" s="108">
        <f>33142.86+30000+14285.71+21142.84+15000+1142.86</f>
        <v>114714.27</v>
      </c>
      <c r="I12" s="45">
        <v>1142.8599999999999</v>
      </c>
      <c r="J12" s="108">
        <f>1142.86*10</f>
        <v>11428.599999999999</v>
      </c>
      <c r="K12" s="112">
        <f>114.29+1200+1714.32+571.44+1200+2628.58</f>
        <v>7428.6299999999992</v>
      </c>
      <c r="L12" s="113">
        <v>0</v>
      </c>
      <c r="M12" s="48">
        <v>0</v>
      </c>
      <c r="N12" s="115">
        <f t="shared" si="0"/>
        <v>150485.80000000002</v>
      </c>
    </row>
    <row r="13" spans="1:17" ht="23.1" customHeight="1" x14ac:dyDescent="0.2">
      <c r="A13" s="42" t="s">
        <v>39</v>
      </c>
      <c r="B13" s="43">
        <f>5+5+4+2</f>
        <v>16</v>
      </c>
      <c r="C13" s="43">
        <f>1+1</f>
        <v>2</v>
      </c>
      <c r="D13" s="43">
        <f>10+10+10+2</f>
        <v>32</v>
      </c>
      <c r="E13" s="43">
        <f>4+3+2+2</f>
        <v>11</v>
      </c>
      <c r="F13" s="43">
        <f>2+3+2</f>
        <v>7</v>
      </c>
      <c r="G13" s="108">
        <f>2742.85+5142.86+5828.57+685.71</f>
        <v>14399.989999999998</v>
      </c>
      <c r="H13" s="108">
        <f>14819.07+16388.58+3722.07+5714.28</f>
        <v>40644</v>
      </c>
      <c r="I13" s="45">
        <v>0</v>
      </c>
      <c r="J13" s="108">
        <f>1142.86*10</f>
        <v>11428.599999999999</v>
      </c>
      <c r="K13" s="112">
        <f>428.58+571.43+228.57</f>
        <v>1228.58</v>
      </c>
      <c r="L13" s="113">
        <v>0</v>
      </c>
      <c r="M13" s="48">
        <v>0</v>
      </c>
      <c r="N13" s="115">
        <f t="shared" si="0"/>
        <v>67701.17</v>
      </c>
    </row>
    <row r="14" spans="1:17" ht="23.1" customHeight="1" x14ac:dyDescent="0.2">
      <c r="A14" s="42" t="s">
        <v>40</v>
      </c>
      <c r="B14" s="43">
        <f>3+8+5+7</f>
        <v>23</v>
      </c>
      <c r="C14" s="43">
        <v>0</v>
      </c>
      <c r="D14" s="43">
        <f>8+17+19+18</f>
        <v>62</v>
      </c>
      <c r="E14" s="43">
        <f>3+3+3+4</f>
        <v>13</v>
      </c>
      <c r="F14" s="43">
        <v>10</v>
      </c>
      <c r="G14" s="44">
        <f>2400+6857.13+6857.13</f>
        <v>16114.260000000002</v>
      </c>
      <c r="H14" s="44">
        <f>9142.85+15346.74+21600.01+30857.16</f>
        <v>76946.759999999995</v>
      </c>
      <c r="I14" s="45">
        <v>3428.57</v>
      </c>
      <c r="J14" s="44">
        <f>1142.86*6</f>
        <v>6857.16</v>
      </c>
      <c r="K14" s="46">
        <f>1142.86+2476.23</f>
        <v>3619.09</v>
      </c>
      <c r="L14" s="47">
        <v>0</v>
      </c>
      <c r="M14" s="48">
        <v>0</v>
      </c>
      <c r="N14" s="115">
        <f t="shared" si="0"/>
        <v>106965.84</v>
      </c>
    </row>
    <row r="15" spans="1:17" ht="23.1" customHeight="1" x14ac:dyDescent="0.2">
      <c r="A15" s="42" t="s">
        <v>41</v>
      </c>
      <c r="B15" s="43">
        <f>9+4+4+2</f>
        <v>19</v>
      </c>
      <c r="C15" s="43">
        <f>1+1</f>
        <v>2</v>
      </c>
      <c r="D15" s="43">
        <f>19+9+11+2</f>
        <v>41</v>
      </c>
      <c r="E15" s="43">
        <f>5+3+2+1</f>
        <v>11</v>
      </c>
      <c r="F15" s="43">
        <f>4+2+3+1</f>
        <v>10</v>
      </c>
      <c r="G15" s="44">
        <f>13714.26+8571.41+5691.44+4285.71</f>
        <v>32262.819999999996</v>
      </c>
      <c r="H15" s="44">
        <f>43885.71+17428.55+11611.46+2285.71</f>
        <v>75211.430000000008</v>
      </c>
      <c r="I15" s="45">
        <v>0</v>
      </c>
      <c r="J15" s="44">
        <f>1142.86*5</f>
        <v>5714.2999999999993</v>
      </c>
      <c r="K15" s="46">
        <f>3238.08+1428.6+742.86</f>
        <v>5409.54</v>
      </c>
      <c r="L15" s="47">
        <v>2857.15</v>
      </c>
      <c r="M15" s="48">
        <v>0</v>
      </c>
      <c r="N15" s="115">
        <f t="shared" si="0"/>
        <v>121455.23999999999</v>
      </c>
    </row>
    <row r="16" spans="1:17" ht="23.1" customHeight="1" x14ac:dyDescent="0.2">
      <c r="A16" s="50" t="s">
        <v>55</v>
      </c>
      <c r="B16" s="51">
        <f>4+4+6+4</f>
        <v>18</v>
      </c>
      <c r="C16" s="52">
        <f>1+1</f>
        <v>2</v>
      </c>
      <c r="D16" s="51">
        <f>7+15+17+8</f>
        <v>47</v>
      </c>
      <c r="E16" s="51">
        <f>4+2+2</f>
        <v>8</v>
      </c>
      <c r="F16" s="51">
        <f>5+4+3</f>
        <v>12</v>
      </c>
      <c r="G16" s="53">
        <f>6857.16+13714.28+7131.41+11485.71</f>
        <v>39188.559999999998</v>
      </c>
      <c r="H16" s="53">
        <f>18285.73+1142.87+26856.68+4571.43</f>
        <v>50856.71</v>
      </c>
      <c r="I16" s="54">
        <v>0</v>
      </c>
      <c r="J16" s="53">
        <f>1142.86*3</f>
        <v>3428.58</v>
      </c>
      <c r="K16" s="55">
        <f>1142.86+1657.14</f>
        <v>2800</v>
      </c>
      <c r="L16" s="47">
        <v>21142.86</v>
      </c>
      <c r="M16" s="48">
        <v>0</v>
      </c>
      <c r="N16" s="115">
        <f t="shared" si="0"/>
        <v>117416.70999999999</v>
      </c>
    </row>
    <row r="17" spans="1:16" ht="23.1" customHeight="1" x14ac:dyDescent="0.2">
      <c r="A17" s="56" t="s">
        <v>42</v>
      </c>
      <c r="B17" s="57">
        <f>6+3+7+9</f>
        <v>25</v>
      </c>
      <c r="C17" s="58">
        <f>1+1</f>
        <v>2</v>
      </c>
      <c r="D17" s="58">
        <f>11+7+7+15</f>
        <v>40</v>
      </c>
      <c r="E17" s="58">
        <f>5+2+1+5</f>
        <v>13</v>
      </c>
      <c r="F17" s="58">
        <f>2+1+6+5</f>
        <v>14</v>
      </c>
      <c r="G17" s="59">
        <f>3428.57+18514.28+5142.87</f>
        <v>27085.719999999998</v>
      </c>
      <c r="H17" s="59">
        <f>15619.09+4571.45+27200+32902.86</f>
        <v>80293.399999999994</v>
      </c>
      <c r="I17" s="60">
        <f>114.29</f>
        <v>114.29</v>
      </c>
      <c r="J17" s="59">
        <f>8*1142.86</f>
        <v>9142.8799999999992</v>
      </c>
      <c r="K17" s="61">
        <f>2247.64+1142.86+1142.86+1142.86+1142.86+571.43+800+1142.86</f>
        <v>9333.369999999999</v>
      </c>
      <c r="L17" s="47">
        <f>8761.9</f>
        <v>8761.9</v>
      </c>
      <c r="M17" s="48">
        <f>0</f>
        <v>0</v>
      </c>
      <c r="N17" s="115">
        <f t="shared" si="0"/>
        <v>134731.56</v>
      </c>
    </row>
    <row r="18" spans="1:16" ht="23.1" customHeight="1" x14ac:dyDescent="0.2">
      <c r="A18" s="62" t="s">
        <v>56</v>
      </c>
      <c r="B18" s="63">
        <f>7+5+6+5</f>
        <v>23</v>
      </c>
      <c r="C18" s="63">
        <v>1</v>
      </c>
      <c r="D18" s="63">
        <f>12+1+13+8+14</f>
        <v>48</v>
      </c>
      <c r="E18" s="63">
        <f>5+5+5+3</f>
        <v>18</v>
      </c>
      <c r="F18" s="63">
        <v>5</v>
      </c>
      <c r="G18" s="64">
        <f>6857.14+3428.57+13714.28+8708.56</f>
        <v>32708.550000000003</v>
      </c>
      <c r="H18" s="64">
        <f>8000+20571.42+685.71+17371.43+19200</f>
        <v>65828.56</v>
      </c>
      <c r="I18" s="65">
        <v>571.42999999999995</v>
      </c>
      <c r="J18" s="64">
        <f>1142.86*4</f>
        <v>4571.4399999999996</v>
      </c>
      <c r="K18" s="64">
        <f>380.95+142.86+571.43+1142.86</f>
        <v>2238.0999999999995</v>
      </c>
      <c r="L18" s="47">
        <v>2285.71</v>
      </c>
      <c r="M18" s="48">
        <v>0</v>
      </c>
      <c r="N18" s="115">
        <f t="shared" si="0"/>
        <v>108203.79000000001</v>
      </c>
      <c r="O18" s="66"/>
    </row>
    <row r="19" spans="1:16" ht="23.1" customHeight="1" thickBot="1" x14ac:dyDescent="0.25">
      <c r="A19" s="62" t="s">
        <v>57</v>
      </c>
      <c r="B19" s="67">
        <f>5+5+5</f>
        <v>15</v>
      </c>
      <c r="C19" s="67">
        <v>1</v>
      </c>
      <c r="D19" s="67">
        <f>13+10+5+9</f>
        <v>37</v>
      </c>
      <c r="E19" s="67">
        <f>4+1+5</f>
        <v>10</v>
      </c>
      <c r="F19" s="67">
        <f>1+4+1</f>
        <v>6</v>
      </c>
      <c r="G19" s="61">
        <f>6857.14+2057.14+3428.57</f>
        <v>12342.85</v>
      </c>
      <c r="H19" s="61">
        <f>30400+10457.15+685.71+11428.56+761.92</f>
        <v>53733.34</v>
      </c>
      <c r="I19" s="68">
        <v>0</v>
      </c>
      <c r="J19" s="61">
        <f>1142.86*5</f>
        <v>5714.2999999999993</v>
      </c>
      <c r="K19" s="61">
        <f>761.9+914.27+571.43+800+857.14+571.43+571.43</f>
        <v>5047.6000000000004</v>
      </c>
      <c r="L19" s="47">
        <v>0</v>
      </c>
      <c r="M19" s="48">
        <v>0</v>
      </c>
      <c r="N19" s="116">
        <f t="shared" si="0"/>
        <v>76838.090000000011</v>
      </c>
      <c r="O19" s="66"/>
    </row>
    <row r="20" spans="1:16" ht="23.1" customHeight="1" thickBot="1" x14ac:dyDescent="0.25">
      <c r="A20" s="84" t="s">
        <v>0</v>
      </c>
      <c r="B20" s="85">
        <f t="shared" ref="B20:L20" si="1">SUM(B8:B19)</f>
        <v>198</v>
      </c>
      <c r="C20" s="85">
        <f t="shared" si="1"/>
        <v>52</v>
      </c>
      <c r="D20" s="85">
        <f t="shared" si="1"/>
        <v>532</v>
      </c>
      <c r="E20" s="85">
        <f t="shared" si="1"/>
        <v>141</v>
      </c>
      <c r="F20" s="85">
        <f t="shared" si="1"/>
        <v>108</v>
      </c>
      <c r="G20" s="82">
        <f t="shared" si="1"/>
        <v>268902.67</v>
      </c>
      <c r="H20" s="82">
        <f t="shared" si="1"/>
        <v>826424.11</v>
      </c>
      <c r="I20" s="86">
        <f t="shared" si="1"/>
        <v>6400.01</v>
      </c>
      <c r="J20" s="82">
        <f t="shared" si="1"/>
        <v>80000.200000000012</v>
      </c>
      <c r="K20" s="82">
        <f t="shared" si="1"/>
        <v>51543.099999999991</v>
      </c>
      <c r="L20" s="82">
        <f t="shared" si="1"/>
        <v>61904.79</v>
      </c>
      <c r="M20" s="83">
        <f>SUM(M8:M19)</f>
        <v>11428.57</v>
      </c>
      <c r="N20" s="87">
        <f>SUM(N8:N19)</f>
        <v>1306603.4500000002</v>
      </c>
    </row>
    <row r="21" spans="1:16" ht="13.5" customHeight="1" x14ac:dyDescent="0.2">
      <c r="A21" s="69"/>
      <c r="B21" s="35"/>
      <c r="C21" s="35"/>
      <c r="D21" s="35"/>
      <c r="E21" s="35"/>
      <c r="F21" s="35"/>
      <c r="G21" s="35"/>
      <c r="H21" s="70"/>
      <c r="I21" s="18"/>
      <c r="J21" s="33"/>
      <c r="K21" s="33"/>
      <c r="L21" s="33"/>
      <c r="M21" s="33"/>
      <c r="N21" s="28"/>
      <c r="O21" s="5"/>
      <c r="P21" s="35" t="s">
        <v>13</v>
      </c>
    </row>
    <row r="22" spans="1:16" x14ac:dyDescent="0.2">
      <c r="A22" s="20"/>
      <c r="B22" s="33"/>
      <c r="C22" s="71"/>
      <c r="D22" s="71"/>
      <c r="E22" s="71"/>
      <c r="F22" s="71"/>
      <c r="G22" s="33"/>
      <c r="H22" s="71"/>
      <c r="I22" s="33"/>
      <c r="J22" s="33"/>
      <c r="K22" s="33"/>
      <c r="L22" s="33"/>
      <c r="M22" s="33"/>
      <c r="N22" s="72"/>
      <c r="O22" s="73"/>
    </row>
    <row r="23" spans="1:16" x14ac:dyDescent="0.2">
      <c r="A23" s="20"/>
      <c r="B23" s="33"/>
      <c r="C23" s="71"/>
      <c r="D23" s="71"/>
      <c r="E23" s="71"/>
      <c r="F23" s="71"/>
      <c r="G23" s="33"/>
      <c r="H23" s="71"/>
      <c r="I23" s="33"/>
      <c r="J23" s="33"/>
      <c r="K23" s="33"/>
      <c r="L23" s="33"/>
      <c r="M23" s="33"/>
      <c r="N23" s="72"/>
      <c r="O23" s="73"/>
    </row>
    <row r="24" spans="1:16" x14ac:dyDescent="0.2">
      <c r="A24" s="20"/>
      <c r="B24" s="35" t="s">
        <v>21</v>
      </c>
      <c r="C24" s="71"/>
      <c r="D24" s="71"/>
      <c r="E24" s="71"/>
      <c r="F24" s="71"/>
      <c r="G24" s="33"/>
      <c r="H24" s="71"/>
      <c r="I24" s="33"/>
      <c r="J24" s="33"/>
      <c r="K24" s="33"/>
      <c r="L24" s="33"/>
      <c r="M24" s="33"/>
      <c r="N24" s="72"/>
      <c r="O24" s="73"/>
    </row>
    <row r="25" spans="1:16" x14ac:dyDescent="0.2">
      <c r="A25" s="20"/>
      <c r="B25" s="33"/>
      <c r="C25" s="71"/>
      <c r="D25" s="71"/>
      <c r="E25" s="71"/>
      <c r="F25" s="71"/>
      <c r="G25" s="33"/>
      <c r="H25" s="71"/>
      <c r="I25" s="33"/>
      <c r="J25" s="33"/>
      <c r="K25" s="33"/>
      <c r="L25" s="33"/>
      <c r="M25" s="33"/>
      <c r="N25" s="74"/>
      <c r="O25" s="75"/>
    </row>
    <row r="26" spans="1:16" x14ac:dyDescent="0.2">
      <c r="A26" s="20"/>
      <c r="B26" s="19"/>
      <c r="C26" s="20"/>
      <c r="D26" s="20"/>
      <c r="E26" s="20"/>
      <c r="F26" s="20"/>
      <c r="G26" s="19"/>
      <c r="H26" s="20"/>
      <c r="I26" s="19"/>
      <c r="J26" s="19"/>
      <c r="K26" s="19"/>
      <c r="L26" s="19"/>
      <c r="M26" s="19"/>
      <c r="N26" s="74"/>
      <c r="O26" s="5"/>
    </row>
    <row r="27" spans="1:16" x14ac:dyDescent="0.2">
      <c r="A27" s="20"/>
      <c r="B27" s="19"/>
      <c r="C27" s="20"/>
      <c r="D27" s="20"/>
      <c r="E27" s="20"/>
      <c r="F27" s="20"/>
      <c r="G27" s="19"/>
      <c r="H27" s="13"/>
      <c r="N27" s="76"/>
      <c r="O27" s="5"/>
    </row>
    <row r="28" spans="1:16" x14ac:dyDescent="0.2">
      <c r="A28" s="20"/>
      <c r="B28" s="33"/>
      <c r="C28" s="13"/>
      <c r="D28" s="13"/>
      <c r="E28" s="13"/>
      <c r="F28" s="13"/>
      <c r="G28" s="35"/>
      <c r="H28" s="13"/>
      <c r="N28" s="76"/>
      <c r="O28" s="5"/>
    </row>
    <row r="29" spans="1:16" x14ac:dyDescent="0.2">
      <c r="A29" s="20"/>
      <c r="B29" s="33"/>
      <c r="C29" s="71"/>
      <c r="D29" s="71"/>
      <c r="E29" s="71"/>
      <c r="F29" s="71"/>
      <c r="G29" s="33"/>
      <c r="H29" s="71"/>
      <c r="I29" s="33"/>
      <c r="J29" s="33"/>
      <c r="K29" s="33"/>
      <c r="N29" s="76"/>
      <c r="O29" s="5"/>
    </row>
    <row r="30" spans="1:16" x14ac:dyDescent="0.2">
      <c r="A30" s="20"/>
      <c r="B30" s="33"/>
      <c r="C30" s="13"/>
      <c r="D30" s="13"/>
      <c r="E30" s="13"/>
      <c r="F30" s="13"/>
      <c r="G30" s="35"/>
      <c r="H30" s="13"/>
      <c r="N30" s="76"/>
      <c r="O30" s="5"/>
    </row>
    <row r="31" spans="1:16" x14ac:dyDescent="0.2">
      <c r="A31" s="20"/>
      <c r="B31" s="33"/>
      <c r="C31" s="13"/>
      <c r="D31" s="13"/>
      <c r="E31" s="13"/>
      <c r="F31" s="13"/>
      <c r="G31" s="35"/>
      <c r="H31" s="13"/>
      <c r="N31" s="76"/>
      <c r="O31" s="5"/>
    </row>
    <row r="32" spans="1:16" x14ac:dyDescent="0.2">
      <c r="A32" s="20"/>
      <c r="B32" s="35"/>
      <c r="C32" s="13"/>
      <c r="D32" s="13"/>
      <c r="E32" s="13"/>
      <c r="F32" s="13"/>
      <c r="G32" s="35"/>
      <c r="H32" s="13"/>
      <c r="N32" s="76"/>
      <c r="O32" s="5"/>
    </row>
    <row r="33" spans="1:17" x14ac:dyDescent="0.2">
      <c r="A33" s="35"/>
      <c r="E33" s="77"/>
      <c r="J33" s="35"/>
      <c r="K33" s="35"/>
      <c r="L33" s="35"/>
      <c r="M33" s="35"/>
      <c r="N33" s="35"/>
      <c r="Q33" s="35"/>
    </row>
    <row r="34" spans="1:17" x14ac:dyDescent="0.2">
      <c r="A34" s="78"/>
      <c r="B34" s="79"/>
      <c r="C34" s="35"/>
      <c r="D34" s="35"/>
      <c r="E34" s="80"/>
      <c r="J34" s="35"/>
      <c r="K34" s="35"/>
    </row>
    <row r="35" spans="1:17" x14ac:dyDescent="0.2">
      <c r="A35" s="70"/>
      <c r="B35" s="33"/>
      <c r="C35" s="33"/>
      <c r="D35" s="33"/>
      <c r="E35" s="80"/>
      <c r="F35" s="33"/>
      <c r="G35" s="33"/>
      <c r="H35" s="33"/>
      <c r="J35" s="33"/>
      <c r="K35" s="33"/>
      <c r="L35" s="33"/>
      <c r="M35" s="33"/>
      <c r="N35" s="33"/>
    </row>
    <row r="36" spans="1:17" x14ac:dyDescent="0.2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1"/>
    </row>
    <row r="37" spans="1:17" x14ac:dyDescent="0.2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1"/>
    </row>
    <row r="38" spans="1:17" x14ac:dyDescent="0.2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1"/>
    </row>
    <row r="39" spans="1:17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</row>
    <row r="41" spans="1:17" x14ac:dyDescent="0.2">
      <c r="A41" s="80"/>
      <c r="F41" s="35"/>
      <c r="G41" s="5"/>
    </row>
    <row r="42" spans="1:17" x14ac:dyDescent="0.2">
      <c r="F42" s="33"/>
      <c r="G42" s="73"/>
      <c r="L42" s="33"/>
      <c r="M42" s="33"/>
      <c r="N42" s="33"/>
    </row>
    <row r="45" spans="1:17" x14ac:dyDescent="0.2">
      <c r="O45" s="33"/>
    </row>
    <row r="46" spans="1:17" x14ac:dyDescent="0.2">
      <c r="B46" s="70"/>
      <c r="C46" s="33"/>
      <c r="D46" s="33"/>
      <c r="E46" s="33"/>
      <c r="F46" s="33"/>
      <c r="J46" s="33"/>
      <c r="K46" s="33"/>
      <c r="L46" s="33"/>
      <c r="M46" s="33"/>
      <c r="N46" s="33"/>
      <c r="O46" s="33"/>
    </row>
    <row r="48" spans="1:17" x14ac:dyDescent="0.2">
      <c r="B48" s="35"/>
    </row>
    <row r="49" spans="2:2" x14ac:dyDescent="0.2">
      <c r="B49" s="35"/>
    </row>
    <row r="50" spans="2:2" x14ac:dyDescent="0.2">
      <c r="B50" s="35"/>
    </row>
  </sheetData>
  <mergeCells count="2">
    <mergeCell ref="A4:N4"/>
    <mergeCell ref="A5:N5"/>
  </mergeCells>
  <printOptions horizontalCentered="1"/>
  <pageMargins left="0.39370078740157483" right="0.39370078740157483" top="1.1811023622047245" bottom="0.39370078740157483" header="0" footer="0"/>
  <pageSetup scale="90" orientation="landscape" r:id="rId1"/>
  <headerFooter alignWithMargins="0"/>
  <ignoredErrors>
    <ignoredError sqref="N10 J1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5"/>
  <sheetViews>
    <sheetView topLeftCell="A7" workbookViewId="0">
      <selection activeCell="G13" sqref="G13"/>
    </sheetView>
  </sheetViews>
  <sheetFormatPr baseColWidth="10" defaultRowHeight="12.75" x14ac:dyDescent="0.2"/>
  <cols>
    <col min="1" max="1" width="6.7109375" customWidth="1"/>
    <col min="2" max="2" width="13.85546875" customWidth="1"/>
    <col min="3" max="5" width="15.7109375" customWidth="1"/>
  </cols>
  <sheetData>
    <row r="3" spans="2:5" x14ac:dyDescent="0.2">
      <c r="B3" s="88"/>
    </row>
    <row r="4" spans="2:5" x14ac:dyDescent="0.2">
      <c r="B4" s="1"/>
      <c r="C4" s="1"/>
      <c r="D4" s="1"/>
    </row>
    <row r="5" spans="2:5" ht="20.100000000000001" customHeight="1" x14ac:dyDescent="0.2">
      <c r="B5" s="256" t="s">
        <v>43</v>
      </c>
      <c r="C5" s="256"/>
      <c r="D5" s="256"/>
      <c r="E5" s="256"/>
    </row>
    <row r="6" spans="2:5" ht="20.100000000000001" customHeight="1" x14ac:dyDescent="0.2">
      <c r="B6" s="256" t="s">
        <v>44</v>
      </c>
      <c r="C6" s="256"/>
      <c r="D6" s="256"/>
      <c r="E6" s="256"/>
    </row>
    <row r="7" spans="2:5" x14ac:dyDescent="0.2">
      <c r="B7" s="89"/>
      <c r="C7" s="35"/>
      <c r="D7" s="35"/>
      <c r="E7" s="35"/>
    </row>
    <row r="8" spans="2:5" ht="21.95" customHeight="1" x14ac:dyDescent="0.2">
      <c r="B8" s="263"/>
      <c r="C8" s="264" t="s">
        <v>58</v>
      </c>
      <c r="D8" s="265"/>
      <c r="E8" s="266"/>
    </row>
    <row r="9" spans="2:5" ht="27" x14ac:dyDescent="0.2">
      <c r="B9" s="267" t="s">
        <v>20</v>
      </c>
      <c r="C9" s="268" t="s">
        <v>45</v>
      </c>
      <c r="D9" s="269" t="s">
        <v>46</v>
      </c>
      <c r="E9" s="270" t="s">
        <v>47</v>
      </c>
    </row>
    <row r="10" spans="2:5" ht="20.100000000000001" customHeight="1" x14ac:dyDescent="0.2">
      <c r="B10" s="90" t="s">
        <v>3</v>
      </c>
      <c r="C10" s="91">
        <f>7+46+30+17</f>
        <v>100</v>
      </c>
      <c r="D10" s="92">
        <f>11.88+5.22+23.49</f>
        <v>40.590000000000003</v>
      </c>
      <c r="E10" s="93">
        <f>2978.15+33907.48+28398.52+22641.99</f>
        <v>87926.140000000014</v>
      </c>
    </row>
    <row r="11" spans="2:5" ht="20.100000000000001" customHeight="1" x14ac:dyDescent="0.2">
      <c r="B11" s="90" t="s">
        <v>5</v>
      </c>
      <c r="C11" s="91">
        <f>18+25+36+21</f>
        <v>100</v>
      </c>
      <c r="D11" s="92">
        <f>6.39+10.94+33.22</f>
        <v>50.55</v>
      </c>
      <c r="E11" s="94">
        <f>11666.11+19219.7+28439.27+15881.03</f>
        <v>75206.11</v>
      </c>
    </row>
    <row r="12" spans="2:5" ht="20.100000000000001" customHeight="1" x14ac:dyDescent="0.2">
      <c r="B12" s="90" t="s">
        <v>6</v>
      </c>
      <c r="C12" s="91">
        <f>21+16+22+32</f>
        <v>91</v>
      </c>
      <c r="D12" s="95">
        <f>6.54+14.43+7.31</f>
        <v>28.279999999999998</v>
      </c>
      <c r="E12" s="94">
        <f>13476.39+12558.83+17460.14+20509.57</f>
        <v>64004.93</v>
      </c>
    </row>
    <row r="13" spans="2:5" ht="20.100000000000001" customHeight="1" x14ac:dyDescent="0.2">
      <c r="B13" s="90" t="s">
        <v>7</v>
      </c>
      <c r="C13" s="96">
        <f>13+14+31+26</f>
        <v>84</v>
      </c>
      <c r="D13" s="97">
        <f>9.42+2.62+4.69+3.27</f>
        <v>20</v>
      </c>
      <c r="E13" s="94">
        <f>6609.95+10700.32+18314.95+16041.93</f>
        <v>51667.15</v>
      </c>
    </row>
    <row r="14" spans="2:5" ht="20.100000000000001" customHeight="1" x14ac:dyDescent="0.2">
      <c r="B14" s="90" t="s">
        <v>8</v>
      </c>
      <c r="C14" s="91">
        <f>20+12+41+44</f>
        <v>117</v>
      </c>
      <c r="D14" s="94">
        <f>9.32+17.54+4.99</f>
        <v>31.85</v>
      </c>
      <c r="E14" s="94">
        <f>13505.53+7374.9+28965.42+32290.95</f>
        <v>82136.800000000003</v>
      </c>
    </row>
    <row r="15" spans="2:5" ht="20.100000000000001" customHeight="1" x14ac:dyDescent="0.2">
      <c r="B15" s="90" t="s">
        <v>9</v>
      </c>
      <c r="C15" s="91">
        <f>6+29+29+21</f>
        <v>85</v>
      </c>
      <c r="D15" s="99">
        <f>6.85+16.61+10.69</f>
        <v>34.15</v>
      </c>
      <c r="E15" s="94">
        <f>13604.54+22511.11+14754.32+5527.05</f>
        <v>56397.020000000004</v>
      </c>
    </row>
    <row r="16" spans="2:5" ht="20.100000000000001" customHeight="1" x14ac:dyDescent="0.2">
      <c r="B16" s="90" t="s">
        <v>10</v>
      </c>
      <c r="C16" s="91">
        <f>17+31+40+9</f>
        <v>97</v>
      </c>
      <c r="D16" s="119">
        <f>2.28+21.14+33.83+4.66</f>
        <v>61.91</v>
      </c>
      <c r="E16" s="94">
        <f>21135.09+26023.24+34344.32+5894.54</f>
        <v>87397.189999999988</v>
      </c>
    </row>
    <row r="17" spans="2:5" ht="20.100000000000001" customHeight="1" x14ac:dyDescent="0.2">
      <c r="B17" s="90" t="s">
        <v>11</v>
      </c>
      <c r="C17" s="98">
        <f>18+33+33+10</f>
        <v>94</v>
      </c>
      <c r="D17" s="119">
        <f>4.05+19.55+28.64</f>
        <v>52.24</v>
      </c>
      <c r="E17" s="94">
        <f>12397.61+22870.2+24416.53+9857.61</f>
        <v>69541.95</v>
      </c>
    </row>
    <row r="18" spans="2:5" ht="20.100000000000001" customHeight="1" x14ac:dyDescent="0.2">
      <c r="B18" s="90" t="s">
        <v>14</v>
      </c>
      <c r="C18" s="98">
        <f>21+19+38+8</f>
        <v>86</v>
      </c>
      <c r="D18" s="119">
        <f>8.76+4.97+7.83+15.52</f>
        <v>37.08</v>
      </c>
      <c r="E18" s="94">
        <f>12551.84+9883.51+27485.01+8524.05</f>
        <v>58444.41</v>
      </c>
    </row>
    <row r="19" spans="2:5" ht="20.100000000000001" customHeight="1" x14ac:dyDescent="0.2">
      <c r="B19" s="90" t="s">
        <v>16</v>
      </c>
      <c r="C19" s="98">
        <f>11+36+25+46</f>
        <v>118</v>
      </c>
      <c r="D19" s="119">
        <f>5.81+7.42+10.57</f>
        <v>23.8</v>
      </c>
      <c r="E19" s="94">
        <f>5424.4+19594.38+16444.15+38508.11</f>
        <v>79971.040000000008</v>
      </c>
    </row>
    <row r="20" spans="2:5" ht="20.100000000000001" customHeight="1" x14ac:dyDescent="0.2">
      <c r="B20" s="90" t="s">
        <v>17</v>
      </c>
      <c r="C20" s="98">
        <f>20+48+23+19</f>
        <v>110</v>
      </c>
      <c r="D20" s="99">
        <f>3.08+24.84+4.77+11.1</f>
        <v>43.79</v>
      </c>
      <c r="E20" s="94">
        <f>17203.45+40128.73+15592.54+12219.67</f>
        <v>85144.39</v>
      </c>
    </row>
    <row r="21" spans="2:5" ht="20.100000000000001" customHeight="1" x14ac:dyDescent="0.2">
      <c r="B21" s="90" t="s">
        <v>18</v>
      </c>
      <c r="C21" s="98">
        <f>17+68+9</f>
        <v>94</v>
      </c>
      <c r="D21" s="119">
        <f>11.13+19.77</f>
        <v>30.9</v>
      </c>
      <c r="E21" s="119">
        <f>14997.18+53032.06+5774.57</f>
        <v>73803.81</v>
      </c>
    </row>
    <row r="22" spans="2:5" ht="20.100000000000001" customHeight="1" x14ac:dyDescent="0.2">
      <c r="B22" s="100" t="s">
        <v>0</v>
      </c>
      <c r="C22" s="101">
        <f>SUM(C10:C21)</f>
        <v>1176</v>
      </c>
      <c r="D22" s="102">
        <f>SUM(D10:D21)</f>
        <v>455.14000000000004</v>
      </c>
      <c r="E22" s="102">
        <f>SUM(E10:E21)</f>
        <v>871640.94000000018</v>
      </c>
    </row>
    <row r="23" spans="2:5" x14ac:dyDescent="0.2">
      <c r="B23" s="69"/>
      <c r="C23" s="35"/>
      <c r="D23" s="35"/>
      <c r="E23" s="28"/>
    </row>
    <row r="24" spans="2:5" x14ac:dyDescent="0.2">
      <c r="B24" s="35"/>
      <c r="C24" s="35"/>
      <c r="D24" s="35"/>
      <c r="E24" s="35"/>
    </row>
    <row r="25" spans="2:5" x14ac:dyDescent="0.2">
      <c r="B25" s="35" t="s">
        <v>21</v>
      </c>
    </row>
  </sheetData>
  <mergeCells count="3">
    <mergeCell ref="B5:E5"/>
    <mergeCell ref="B6:E6"/>
    <mergeCell ref="C8:E8"/>
  </mergeCells>
  <printOptions horizontalCentered="1"/>
  <pageMargins left="0.70866141732283472" right="0.70866141732283472" top="0.94488188976377963" bottom="0.74803149606299213" header="0.31496062992125984" footer="0.31496062992125984"/>
  <pageSetup scale="120" orientation="portrait" r:id="rId1"/>
  <ignoredErrors>
    <ignoredError sqref="D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5"/>
  <sheetViews>
    <sheetView tabSelected="1" workbookViewId="0">
      <selection activeCell="B18" sqref="B18"/>
    </sheetView>
  </sheetViews>
  <sheetFormatPr baseColWidth="10" defaultRowHeight="12.75" x14ac:dyDescent="0.2"/>
  <cols>
    <col min="1" max="1" width="6.7109375" customWidth="1"/>
    <col min="2" max="2" width="13.85546875" customWidth="1"/>
    <col min="3" max="5" width="15.7109375" customWidth="1"/>
  </cols>
  <sheetData>
    <row r="3" spans="2:5" x14ac:dyDescent="0.2">
      <c r="B3" s="88"/>
    </row>
    <row r="4" spans="2:5" x14ac:dyDescent="0.2">
      <c r="B4" s="1"/>
      <c r="C4" s="1"/>
      <c r="D4" s="1"/>
    </row>
    <row r="5" spans="2:5" ht="20.100000000000001" customHeight="1" x14ac:dyDescent="0.2">
      <c r="B5" s="256" t="s">
        <v>48</v>
      </c>
      <c r="C5" s="256"/>
      <c r="D5" s="256"/>
      <c r="E5" s="256"/>
    </row>
    <row r="6" spans="2:5" ht="20.100000000000001" customHeight="1" x14ac:dyDescent="0.2">
      <c r="B6" s="256" t="s">
        <v>49</v>
      </c>
      <c r="C6" s="256"/>
      <c r="D6" s="256"/>
      <c r="E6" s="256"/>
    </row>
    <row r="7" spans="2:5" x14ac:dyDescent="0.2">
      <c r="B7" s="89"/>
      <c r="C7" s="35"/>
      <c r="D7" s="35"/>
      <c r="E7" s="35"/>
    </row>
    <row r="8" spans="2:5" ht="30" customHeight="1" x14ac:dyDescent="0.2">
      <c r="B8" s="263"/>
      <c r="C8" s="264" t="s">
        <v>58</v>
      </c>
      <c r="D8" s="265"/>
      <c r="E8" s="266"/>
    </row>
    <row r="9" spans="2:5" ht="30" customHeight="1" x14ac:dyDescent="0.2">
      <c r="B9" s="267" t="s">
        <v>20</v>
      </c>
      <c r="C9" s="272" t="s">
        <v>50</v>
      </c>
      <c r="D9" s="269" t="s">
        <v>46</v>
      </c>
      <c r="E9" s="273" t="s">
        <v>51</v>
      </c>
    </row>
    <row r="10" spans="2:5" ht="20.100000000000001" customHeight="1" x14ac:dyDescent="0.2">
      <c r="B10" s="90" t="s">
        <v>3</v>
      </c>
      <c r="C10" s="96">
        <f>4+10+5+4</f>
        <v>23</v>
      </c>
      <c r="D10" s="103">
        <f>34.2+64.25+35.31+26.87</f>
        <v>160.63</v>
      </c>
      <c r="E10" s="92">
        <f>7394.37+14792.91+9678.97+5687.42</f>
        <v>37553.67</v>
      </c>
    </row>
    <row r="11" spans="2:5" ht="20.100000000000001" customHeight="1" x14ac:dyDescent="0.2">
      <c r="B11" s="90" t="s">
        <v>5</v>
      </c>
      <c r="C11" s="96">
        <f>1+10+15+9</f>
        <v>35</v>
      </c>
      <c r="D11" s="97">
        <f>54.2+113.65+66.4+3.14</f>
        <v>237.39000000000001</v>
      </c>
      <c r="E11" s="94">
        <f>568.29+12505.05+23314.95+10802.96</f>
        <v>47191.25</v>
      </c>
    </row>
    <row r="12" spans="2:5" ht="20.100000000000001" customHeight="1" x14ac:dyDescent="0.2">
      <c r="B12" s="90" t="s">
        <v>6</v>
      </c>
      <c r="C12" s="96">
        <f>3+5+15+18</f>
        <v>41</v>
      </c>
      <c r="D12" s="97">
        <f>24.05+29.96+89.94+124.66</f>
        <v>268.61</v>
      </c>
      <c r="E12" s="94">
        <f>3975.96+7970.05+17052.95+33589.66</f>
        <v>62588.62</v>
      </c>
    </row>
    <row r="13" spans="2:5" ht="20.100000000000001" customHeight="1" x14ac:dyDescent="0.2">
      <c r="B13" s="90" t="s">
        <v>7</v>
      </c>
      <c r="C13" s="96">
        <f>3+3+8+30</f>
        <v>44</v>
      </c>
      <c r="D13" s="97">
        <f>9.06+16.7+122.34+313.99</f>
        <v>462.09000000000003</v>
      </c>
      <c r="E13" s="94">
        <f>58543.19+23306.25+3411.88+1705.23</f>
        <v>86966.55</v>
      </c>
    </row>
    <row r="14" spans="2:5" ht="20.100000000000001" customHeight="1" x14ac:dyDescent="0.2">
      <c r="B14" s="90" t="s">
        <v>8</v>
      </c>
      <c r="C14" s="96">
        <f>4+5+8+51</f>
        <v>68</v>
      </c>
      <c r="D14" s="117">
        <f>21.06+31.16+41.81+391.01</f>
        <v>485.03999999999996</v>
      </c>
      <c r="E14" s="97">
        <f>4550.37+6254.56+11958.2+87609.06</f>
        <v>110372.19</v>
      </c>
    </row>
    <row r="15" spans="2:5" ht="20.100000000000001" customHeight="1" x14ac:dyDescent="0.2">
      <c r="B15" s="90" t="s">
        <v>9</v>
      </c>
      <c r="C15" s="96">
        <f>4+15+28+15</f>
        <v>62</v>
      </c>
      <c r="D15" s="118">
        <f>75.07+152.36+211.68+212.78</f>
        <v>651.89</v>
      </c>
      <c r="E15" s="97">
        <f>40358.67+54645.5+28419.08+14782.08</f>
        <v>138205.32999999999</v>
      </c>
    </row>
    <row r="16" spans="2:5" ht="20.100000000000001" customHeight="1" x14ac:dyDescent="0.2">
      <c r="B16" s="90" t="s">
        <v>10</v>
      </c>
      <c r="C16" s="96">
        <f>10+20+31+26</f>
        <v>87</v>
      </c>
      <c r="D16" s="120">
        <f>76.24+127.53+236.77+192.54</f>
        <v>633.07999999999993</v>
      </c>
      <c r="E16" s="97">
        <f>15352.35+26729.65+45477.58+37521.79</f>
        <v>125081.37</v>
      </c>
    </row>
    <row r="17" spans="2:5" ht="20.100000000000001" customHeight="1" x14ac:dyDescent="0.2">
      <c r="B17" s="90" t="s">
        <v>11</v>
      </c>
      <c r="C17" s="121">
        <f>7+17+29+8</f>
        <v>61</v>
      </c>
      <c r="D17" s="97">
        <f>61.11+112.02+253.18+57.73</f>
        <v>484.04</v>
      </c>
      <c r="E17" s="94">
        <f>14796.02+22173.72+50604.01+10799.44</f>
        <v>98373.19</v>
      </c>
    </row>
    <row r="18" spans="2:5" ht="20.100000000000001" customHeight="1" x14ac:dyDescent="0.2">
      <c r="B18" s="90" t="s">
        <v>14</v>
      </c>
      <c r="C18" s="121">
        <f>6+8+10+15</f>
        <v>39</v>
      </c>
      <c r="D18" s="122">
        <f>52.86+77.95+91.72+102.34</f>
        <v>324.87</v>
      </c>
      <c r="E18" s="123">
        <f>10232.86+14779.21+16479.73+19897.69</f>
        <v>61389.490000000005</v>
      </c>
    </row>
    <row r="19" spans="2:5" ht="20.100000000000001" customHeight="1" x14ac:dyDescent="0.2">
      <c r="B19" s="90" t="s">
        <v>16</v>
      </c>
      <c r="C19" s="121">
        <f>7+8+8+46</f>
        <v>69</v>
      </c>
      <c r="D19" s="97">
        <f>56.98+47.46+72.56+348.29</f>
        <v>525.29</v>
      </c>
      <c r="E19" s="97">
        <f>11371.59+9666.85+13641.73+82508.91</f>
        <v>117189.08</v>
      </c>
    </row>
    <row r="20" spans="2:5" ht="20.100000000000001" customHeight="1" x14ac:dyDescent="0.2">
      <c r="B20" s="90" t="s">
        <v>17</v>
      </c>
      <c r="C20" s="121">
        <f>33+16+7+6</f>
        <v>62</v>
      </c>
      <c r="D20" s="97">
        <f>244.29+146.58+71.94+87.95</f>
        <v>550.76</v>
      </c>
      <c r="E20" s="97">
        <f>49470.05+27853.44+14785.22+15912.07</f>
        <v>108020.78</v>
      </c>
    </row>
    <row r="21" spans="2:5" ht="20.100000000000001" customHeight="1" x14ac:dyDescent="0.2">
      <c r="B21" s="90" t="s">
        <v>18</v>
      </c>
      <c r="C21" s="121">
        <f>5+29+8</f>
        <v>42</v>
      </c>
      <c r="D21" s="271">
        <f>33.86+192.38+57.67</f>
        <v>283.91000000000003</v>
      </c>
      <c r="E21" s="271">
        <f>6251.86+38664.85+17085.19</f>
        <v>62001.899999999994</v>
      </c>
    </row>
    <row r="22" spans="2:5" ht="20.100000000000001" customHeight="1" x14ac:dyDescent="0.2">
      <c r="B22" s="100" t="s">
        <v>0</v>
      </c>
      <c r="C22" s="101">
        <f>SUM(C10:C21)</f>
        <v>633</v>
      </c>
      <c r="D22" s="102">
        <f>SUM(D10:D21)</f>
        <v>5067.6000000000004</v>
      </c>
      <c r="E22" s="102">
        <f>SUM(E10:E21)</f>
        <v>1054933.42</v>
      </c>
    </row>
    <row r="23" spans="2:5" x14ac:dyDescent="0.2">
      <c r="B23" s="69"/>
      <c r="C23" s="35"/>
      <c r="D23" s="35"/>
      <c r="E23" s="28"/>
    </row>
    <row r="24" spans="2:5" x14ac:dyDescent="0.2">
      <c r="B24" s="35"/>
      <c r="C24" s="35"/>
      <c r="D24" s="35"/>
      <c r="E24" s="35"/>
    </row>
    <row r="25" spans="2:5" x14ac:dyDescent="0.2">
      <c r="B25" s="35" t="s">
        <v>21</v>
      </c>
    </row>
  </sheetData>
  <mergeCells count="3">
    <mergeCell ref="B5:E5"/>
    <mergeCell ref="B6:E6"/>
    <mergeCell ref="C8:E8"/>
  </mergeCells>
  <printOptions horizontalCentered="1"/>
  <pageMargins left="0.70866141732283472" right="0.70866141732283472" top="0.94488188976377963" bottom="0.74803149606299213" header="0.31496062992125984" footer="0.31496062992125984"/>
  <pageSetup scale="1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FALLECIDOS POR SEXO 2014 </vt:lpstr>
      <vt:lpstr>FALLECIDOS POR SEGURO 2014 </vt:lpstr>
      <vt:lpstr>SEGUROS PAGADOS AÑO 2014</vt:lpstr>
      <vt:lpstr>Valores de Rescate pagados 2014</vt:lpstr>
      <vt:lpstr>Pago SVD Venc. de póliza 2014</vt:lpstr>
      <vt:lpstr>'FALLECIDOS POR SEGURO 2014 '!Área_de_impresión</vt:lpstr>
      <vt:lpstr>'FALLECIDOS POR SEXO 2014 '!Área_de_impresión</vt:lpstr>
      <vt:lpstr>'Pago SVD Venc. de póliza 2014'!Área_de_impresión</vt:lpstr>
      <vt:lpstr>'SEGUROS PAGADOS AÑO 2014'!Área_de_impresión</vt:lpstr>
      <vt:lpstr>'Valores de Rescate pagados 2014'!Área_de_impresión</vt:lpstr>
    </vt:vector>
  </TitlesOfParts>
  <Company>Caja Mutual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Cecilia Medina</cp:lastModifiedBy>
  <cp:lastPrinted>2015-02-19T20:25:45Z</cp:lastPrinted>
  <dcterms:created xsi:type="dcterms:W3CDTF">2002-04-29T19:59:45Z</dcterms:created>
  <dcterms:modified xsi:type="dcterms:W3CDTF">2015-02-19T20:32:55Z</dcterms:modified>
</cp:coreProperties>
</file>