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90" windowWidth="9165" windowHeight="4995" tabRatio="601"/>
  </bookViews>
  <sheets>
    <sheet name="FALLECIDOS POR SEXO 2014 " sheetId="1" r:id="rId1"/>
    <sheet name="SEGUROS PAGADOS AÑO 2014" sheetId="3" r:id="rId2"/>
    <sheet name="Valores de Rescate pagados 2014" sheetId="2" r:id="rId3"/>
    <sheet name="Pago SVD Venc. de póliza 2014" sheetId="4" r:id="rId4"/>
  </sheets>
  <definedNames>
    <definedName name="_xlnm.Print_Area" localSheetId="0">'FALLECIDOS POR SEXO 2014 '!$A$1:$E$28</definedName>
    <definedName name="_xlnm.Print_Area" localSheetId="3">'Pago SVD Venc. de póliza 2014'!$A$1:$E$26</definedName>
    <definedName name="_xlnm.Print_Area" localSheetId="1">'SEGUROS PAGADOS AÑO 2014'!$A$1:$N$24</definedName>
    <definedName name="_xlnm.Print_Area" localSheetId="2">'Valores de Rescate pagados 2014'!$A$1:$E$26</definedName>
  </definedNames>
  <calcPr calcId="145621"/>
</workbook>
</file>

<file path=xl/calcChain.xml><?xml version="1.0" encoding="utf-8"?>
<calcChain xmlns="http://schemas.openxmlformats.org/spreadsheetml/2006/main">
  <c r="E18" i="4" l="1"/>
  <c r="D18" i="4"/>
  <c r="C18" i="4"/>
  <c r="E17" i="4"/>
  <c r="D17" i="4"/>
  <c r="C17" i="4"/>
  <c r="E16" i="4"/>
  <c r="D16" i="4"/>
  <c r="C16" i="4"/>
  <c r="E18" i="2" l="1"/>
  <c r="D18" i="2"/>
  <c r="C18" i="2"/>
  <c r="E17" i="2"/>
  <c r="D17" i="2"/>
  <c r="C17" i="2"/>
  <c r="E16" i="2"/>
  <c r="D16" i="2"/>
  <c r="C16" i="2"/>
  <c r="K16" i="3" l="1"/>
  <c r="J16" i="3"/>
  <c r="H16" i="3"/>
  <c r="G16" i="3"/>
  <c r="F16" i="3"/>
  <c r="E16" i="3"/>
  <c r="D16" i="3"/>
  <c r="C16" i="3"/>
  <c r="B16" i="3"/>
  <c r="K15" i="3"/>
  <c r="J15" i="3"/>
  <c r="H15" i="3"/>
  <c r="G15" i="3"/>
  <c r="F15" i="3"/>
  <c r="E15" i="3"/>
  <c r="D15" i="3"/>
  <c r="C15" i="3"/>
  <c r="B15" i="3"/>
  <c r="K14" i="3"/>
  <c r="J14" i="3"/>
  <c r="H14" i="3"/>
  <c r="G14" i="3"/>
  <c r="E14" i="3"/>
  <c r="D14" i="3"/>
  <c r="B14" i="3"/>
  <c r="E15" i="4" l="1"/>
  <c r="D15" i="4"/>
  <c r="C15" i="4"/>
  <c r="E14" i="4"/>
  <c r="D14" i="4"/>
  <c r="C14" i="4"/>
  <c r="E13" i="4"/>
  <c r="D13" i="4"/>
  <c r="C13" i="4"/>
  <c r="E15" i="2" l="1"/>
  <c r="E14" i="2"/>
  <c r="E13" i="2"/>
  <c r="D15" i="2"/>
  <c r="C15" i="2"/>
  <c r="D14" i="2"/>
  <c r="C14" i="2"/>
  <c r="D13" i="2"/>
  <c r="C13" i="2"/>
  <c r="M20" i="3" l="1"/>
  <c r="K13" i="3"/>
  <c r="J13" i="3"/>
  <c r="H13" i="3"/>
  <c r="G13" i="3"/>
  <c r="F13" i="3"/>
  <c r="E13" i="3"/>
  <c r="D13" i="3"/>
  <c r="C13" i="3"/>
  <c r="B13" i="3"/>
  <c r="K12" i="3"/>
  <c r="J12" i="3"/>
  <c r="H12" i="3"/>
  <c r="G12" i="3"/>
  <c r="D12" i="3"/>
  <c r="C12" i="3"/>
  <c r="B12" i="3"/>
  <c r="K11" i="3"/>
  <c r="J11" i="3"/>
  <c r="H11" i="3"/>
  <c r="G11" i="3"/>
  <c r="F11" i="3"/>
  <c r="E11" i="3"/>
  <c r="D11" i="3"/>
  <c r="C11" i="3"/>
  <c r="B11" i="3"/>
  <c r="L20" i="3" l="1"/>
  <c r="K20" i="3"/>
  <c r="J20" i="3"/>
  <c r="I20" i="3"/>
  <c r="H20" i="3"/>
  <c r="G20" i="3"/>
  <c r="F20" i="3"/>
  <c r="E20" i="3"/>
  <c r="D20" i="3"/>
  <c r="C20" i="3"/>
  <c r="B20" i="3"/>
  <c r="E12" i="4"/>
  <c r="D12" i="4"/>
  <c r="C12" i="4"/>
  <c r="E11" i="4"/>
  <c r="D11" i="4"/>
  <c r="C11" i="4"/>
  <c r="E10" i="4"/>
  <c r="D10" i="4"/>
  <c r="C10" i="4"/>
  <c r="E22" i="4"/>
  <c r="D22" i="4"/>
  <c r="C22" i="4"/>
  <c r="E12" i="2" l="1"/>
  <c r="D12" i="2"/>
  <c r="C12" i="2"/>
  <c r="E11" i="2"/>
  <c r="D11" i="2"/>
  <c r="C11" i="2"/>
  <c r="E10" i="2"/>
  <c r="E22" i="2" s="1"/>
  <c r="D10" i="2"/>
  <c r="D22" i="2" s="1"/>
  <c r="C10" i="2"/>
  <c r="C22" i="2" s="1"/>
  <c r="N19" i="3" l="1"/>
  <c r="N18" i="3"/>
  <c r="N17" i="3"/>
  <c r="N16" i="3"/>
  <c r="N15" i="3"/>
  <c r="N14" i="3"/>
  <c r="N13" i="3"/>
  <c r="N12" i="3"/>
  <c r="N11" i="3"/>
  <c r="L10" i="3"/>
  <c r="K10" i="3"/>
  <c r="J10" i="3"/>
  <c r="H10" i="3"/>
  <c r="G10" i="3"/>
  <c r="N10" i="3" s="1"/>
  <c r="N20" i="3" s="1"/>
  <c r="F10" i="3"/>
  <c r="E10" i="3"/>
  <c r="D10" i="3"/>
  <c r="C10" i="3"/>
  <c r="B10" i="3"/>
  <c r="L9" i="3"/>
  <c r="K9" i="3"/>
  <c r="J9" i="3"/>
  <c r="H9" i="3"/>
  <c r="G9" i="3"/>
  <c r="N9" i="3" s="1"/>
  <c r="F9" i="3"/>
  <c r="E9" i="3"/>
  <c r="D9" i="3"/>
  <c r="C9" i="3"/>
  <c r="B9" i="3"/>
  <c r="L8" i="3"/>
  <c r="K8" i="3"/>
  <c r="J8" i="3"/>
  <c r="H8" i="3"/>
  <c r="G8" i="3"/>
  <c r="N8" i="3" l="1"/>
  <c r="E11" i="1" l="1"/>
  <c r="E12" i="1"/>
  <c r="E13" i="1"/>
  <c r="E14" i="1"/>
  <c r="E15" i="1"/>
  <c r="E22" i="1"/>
  <c r="E21" i="1"/>
  <c r="E20" i="1"/>
  <c r="E19" i="1"/>
  <c r="E18" i="1"/>
  <c r="E17" i="1"/>
  <c r="E16" i="1"/>
  <c r="E23" i="1"/>
  <c r="D23" i="1"/>
  <c r="C23" i="1"/>
</calcChain>
</file>

<file path=xl/sharedStrings.xml><?xml version="1.0" encoding="utf-8"?>
<sst xmlns="http://schemas.openxmlformats.org/spreadsheetml/2006/main" count="99" uniqueCount="60">
  <si>
    <t>TOTAL</t>
  </si>
  <si>
    <t>HOMBRES</t>
  </si>
  <si>
    <t>MUJERES</t>
  </si>
  <si>
    <t>ENERO</t>
  </si>
  <si>
    <t>TOTALES</t>
  </si>
  <si>
    <t>FEBRERO</t>
  </si>
  <si>
    <t>MARZO</t>
  </si>
  <si>
    <t>ABRIL</t>
  </si>
  <si>
    <t>MAYO</t>
  </si>
  <si>
    <t>JUNIO</t>
  </si>
  <si>
    <t>JULIO</t>
  </si>
  <si>
    <t>AGOSTO</t>
  </si>
  <si>
    <t>.</t>
  </si>
  <si>
    <t xml:space="preserve"> </t>
  </si>
  <si>
    <t>SEPTIEMBRE</t>
  </si>
  <si>
    <t>ASEGURADOS REPORTADOS FALLECIDOS EN SEGURO</t>
  </si>
  <si>
    <t>OCTUBRE</t>
  </si>
  <si>
    <t>NOVIEMBRE</t>
  </si>
  <si>
    <t>DICIEMBRE</t>
  </si>
  <si>
    <t>DE VIDA BÁSICO, OPCIONAL, DOTAL Y SEGURO POR SEPELIO</t>
  </si>
  <si>
    <t>MES</t>
  </si>
  <si>
    <t>Unidad de Trámite de Reclamos</t>
  </si>
  <si>
    <t>RESUMEN DE SEGUROS DE VIDA APROBADOS POR EL CONSEJO DIRECTIVO</t>
  </si>
  <si>
    <t xml:space="preserve">MES   </t>
  </si>
  <si>
    <t>ASEGURADOS FALLECIDOS DEL AÑO 2014 DE QUIENES HAN RECLAMADO PAGOS</t>
  </si>
  <si>
    <t>CASOS DE SEGUROS PEND.DE PAGO DE OTROS AÑOS, PAGADOS EN EL 2014</t>
  </si>
  <si>
    <t>Nº DE BENEF. A LOS QUE SE LES HA PAGADO</t>
  </si>
  <si>
    <t>FALLECI-DOS MUJERES</t>
  </si>
  <si>
    <t>FALLECI-DOS HOMBRES</t>
  </si>
  <si>
    <t>PAGADO EN                      SEGURO  DE  VIDA BÁSICO</t>
  </si>
  <si>
    <t>PAGADO EN                       SEGURO DE VIDA OPCIONAL</t>
  </si>
  <si>
    <t>PAGADO EN                       SEGURO DE VIDA DOTAL</t>
  </si>
  <si>
    <t>PAGADO EN                    SEGURO   POR   SEPELIO</t>
  </si>
  <si>
    <t xml:space="preserve">PAGO DEL 10% DE GASTOS FUNERARIOS </t>
  </si>
  <si>
    <t>DOBLE PAGO POR MUERTE ACCIDENTAL</t>
  </si>
  <si>
    <t>BENEFICIO DEL PAGO DEL 100% DEL SEGURO DE VIDA OPCIONAL AL ASEGURADO (EN VIDA) POR INCAPACIDAD TOTAL Y PERMANENTE</t>
  </si>
  <si>
    <t>TOTAL GENERAL PAGADO EN SEGUROS</t>
  </si>
  <si>
    <t>Abril</t>
  </si>
  <si>
    <t>Mayo</t>
  </si>
  <si>
    <t>Junio</t>
  </si>
  <si>
    <t>Julio</t>
  </si>
  <si>
    <t>Agosto</t>
  </si>
  <si>
    <t>Octubre</t>
  </si>
  <si>
    <t xml:space="preserve">RESUMEN SOBRE VALORES DE RESCATE </t>
  </si>
  <si>
    <t>DE SEGURO DE VIDA DOTAL PAGADOS AÑO 2014</t>
  </si>
  <si>
    <t>Nº DE VALORES DE RESCATE RECLAMADOS</t>
  </si>
  <si>
    <t>RENTA RETENIDA 10%</t>
  </si>
  <si>
    <t>CANTIDAD PAGADA</t>
  </si>
  <si>
    <t xml:space="preserve">RESUMEN MENSUAL SOBRE PAGO DE SEGURO  </t>
  </si>
  <si>
    <t>DE VIDA DOTAL POR VENCIMIENTO DE PÓLIZA  AÑO 2014</t>
  </si>
  <si>
    <t>NUMERO DE SEGUROS RECLAMADOS</t>
  </si>
  <si>
    <t>CANTIDAD LIQUIDA PAGADA</t>
  </si>
  <si>
    <t>Enero</t>
  </si>
  <si>
    <t>Febrero</t>
  </si>
  <si>
    <t>Marzo</t>
  </si>
  <si>
    <t>Septiembre</t>
  </si>
  <si>
    <t>Noviembre</t>
  </si>
  <si>
    <t>Diciembre</t>
  </si>
  <si>
    <t>DEL 01 DE ENERO AL 30 DE SEPTIEMBRE DEL AÑO 2014</t>
  </si>
  <si>
    <t>PAGADOS POR FALLECIMIENTOS DEL 01 DE ENERO AL 30 DE SEPTIEMBRE DEL AÑO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</si>
</sst>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[$$-C09]* #,##0.00_-;\-[$$-C09]* #,##0.00_-;_-[$$-C09]* &quot;-&quot;??_-;_-@_-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i/>
      <sz val="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8"/>
      <name val="Tahoma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5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i/>
      <sz val="5"/>
      <name val="Arial"/>
      <family val="2"/>
    </font>
    <font>
      <sz val="9"/>
      <color indexed="63"/>
      <name val="Arial"/>
      <family val="2"/>
    </font>
    <font>
      <sz val="7"/>
      <color indexed="63"/>
      <name val="Arial"/>
      <family val="2"/>
    </font>
    <font>
      <sz val="7"/>
      <name val="Arial"/>
      <family val="2"/>
    </font>
    <font>
      <sz val="4"/>
      <name val="Arial"/>
      <family val="2"/>
    </font>
    <font>
      <b/>
      <sz val="9"/>
      <name val="Bookman Old Style"/>
      <family val="1"/>
    </font>
    <font>
      <sz val="10"/>
      <name val="Tahoma"/>
      <family val="2"/>
    </font>
    <font>
      <sz val="9"/>
      <color indexed="8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3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</borders>
  <cellStyleXfs count="3">
    <xf numFmtId="0" fontId="0" fillId="0" borderId="0"/>
    <xf numFmtId="44" fontId="2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8" fontId="0" fillId="0" borderId="0" xfId="0" applyNumberFormat="1" applyBorder="1" applyAlignment="1">
      <alignment horizontal="center"/>
    </xf>
    <xf numFmtId="8" fontId="0" fillId="0" borderId="0" xfId="0" applyNumberForma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10" fillId="0" borderId="0" xfId="0" applyFont="1"/>
    <xf numFmtId="0" fontId="13" fillId="0" borderId="0" xfId="0" applyFont="1"/>
    <xf numFmtId="0" fontId="2" fillId="0" borderId="0" xfId="0" applyFont="1"/>
    <xf numFmtId="0" fontId="1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" fontId="14" fillId="0" borderId="3" xfId="0" applyNumberFormat="1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17" fontId="14" fillId="0" borderId="5" xfId="0" applyNumberFormat="1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4" fillId="0" borderId="13" xfId="0" applyNumberFormat="1" applyFont="1" applyBorder="1" applyAlignment="1">
      <alignment horizontal="left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/>
    <xf numFmtId="0" fontId="11" fillId="0" borderId="14" xfId="0" applyFont="1" applyBorder="1" applyAlignment="1">
      <alignment horizontal="center"/>
    </xf>
    <xf numFmtId="0" fontId="21" fillId="0" borderId="16" xfId="0" applyFont="1" applyBorder="1" applyAlignment="1">
      <alignment horizontal="center" wrapText="1" shrinkToFit="1"/>
    </xf>
    <xf numFmtId="0" fontId="12" fillId="0" borderId="17" xfId="0" applyFont="1" applyBorder="1" applyAlignment="1">
      <alignment horizontal="center" wrapText="1" shrinkToFit="1"/>
    </xf>
    <xf numFmtId="0" fontId="4" fillId="0" borderId="18" xfId="0" applyFont="1" applyBorder="1" applyAlignment="1">
      <alignment horizontal="center" wrapText="1" shrinkToFit="1"/>
    </xf>
    <xf numFmtId="0" fontId="4" fillId="0" borderId="19" xfId="0" applyFont="1" applyBorder="1" applyAlignment="1">
      <alignment horizontal="center" wrapText="1" shrinkToFit="1"/>
    </xf>
    <xf numFmtId="0" fontId="4" fillId="0" borderId="0" xfId="0" applyFont="1" applyAlignment="1">
      <alignment horizontal="center" wrapText="1"/>
    </xf>
    <xf numFmtId="17" fontId="19" fillId="0" borderId="20" xfId="0" applyNumberFormat="1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164" fontId="19" fillId="0" borderId="21" xfId="0" applyNumberFormat="1" applyFont="1" applyBorder="1" applyAlignment="1">
      <alignment horizontal="center"/>
    </xf>
    <xf numFmtId="44" fontId="19" fillId="0" borderId="23" xfId="1" applyFont="1" applyBorder="1" applyAlignment="1">
      <alignment horizontal="center"/>
    </xf>
    <xf numFmtId="17" fontId="19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8" fontId="19" fillId="0" borderId="6" xfId="0" applyNumberFormat="1" applyFont="1" applyBorder="1" applyAlignment="1">
      <alignment horizontal="center"/>
    </xf>
    <xf numFmtId="164" fontId="19" fillId="0" borderId="6" xfId="0" applyNumberFormat="1" applyFont="1" applyBorder="1" applyAlignment="1">
      <alignment horizontal="center"/>
    </xf>
    <xf numFmtId="8" fontId="19" fillId="0" borderId="25" xfId="0" applyNumberFormat="1" applyFont="1" applyBorder="1" applyAlignment="1">
      <alignment horizontal="center"/>
    </xf>
    <xf numFmtId="8" fontId="19" fillId="0" borderId="26" xfId="0" applyNumberFormat="1" applyFont="1" applyBorder="1" applyAlignment="1">
      <alignment horizontal="center"/>
    </xf>
    <xf numFmtId="44" fontId="19" fillId="0" borderId="26" xfId="1" applyFont="1" applyBorder="1" applyAlignment="1">
      <alignment horizontal="center"/>
    </xf>
    <xf numFmtId="0" fontId="18" fillId="0" borderId="0" xfId="0" applyFont="1"/>
    <xf numFmtId="17" fontId="19" fillId="0" borderId="27" xfId="0" applyNumberFormat="1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8" fontId="19" fillId="0" borderId="28" xfId="0" applyNumberFormat="1" applyFont="1" applyBorder="1" applyAlignment="1">
      <alignment horizontal="center"/>
    </xf>
    <xf numFmtId="164" fontId="19" fillId="0" borderId="28" xfId="0" applyNumberFormat="1" applyFont="1" applyBorder="1" applyAlignment="1">
      <alignment horizontal="center"/>
    </xf>
    <xf numFmtId="8" fontId="19" fillId="0" borderId="30" xfId="0" applyNumberFormat="1" applyFont="1" applyBorder="1" applyAlignment="1">
      <alignment horizontal="center"/>
    </xf>
    <xf numFmtId="17" fontId="19" fillId="0" borderId="31" xfId="0" applyNumberFormat="1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8" fontId="19" fillId="0" borderId="33" xfId="0" applyNumberFormat="1" applyFont="1" applyBorder="1" applyAlignment="1">
      <alignment horizontal="center"/>
    </xf>
    <xf numFmtId="164" fontId="19" fillId="0" borderId="33" xfId="0" applyNumberFormat="1" applyFont="1" applyBorder="1" applyAlignment="1">
      <alignment horizontal="center"/>
    </xf>
    <xf numFmtId="8" fontId="19" fillId="0" borderId="34" xfId="0" applyNumberFormat="1" applyFont="1" applyBorder="1" applyAlignment="1">
      <alignment horizontal="center"/>
    </xf>
    <xf numFmtId="17" fontId="19" fillId="0" borderId="35" xfId="0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8" fontId="19" fillId="0" borderId="36" xfId="0" applyNumberFormat="1" applyFont="1" applyBorder="1" applyAlignment="1">
      <alignment horizontal="center"/>
    </xf>
    <xf numFmtId="164" fontId="19" fillId="0" borderId="36" xfId="0" applyNumberFormat="1" applyFont="1" applyBorder="1" applyAlignment="1">
      <alignment horizontal="center"/>
    </xf>
    <xf numFmtId="8" fontId="0" fillId="0" borderId="0" xfId="0" applyNumberFormat="1"/>
    <xf numFmtId="0" fontId="19" fillId="0" borderId="34" xfId="0" applyFont="1" applyBorder="1" applyAlignment="1">
      <alignment horizontal="center"/>
    </xf>
    <xf numFmtId="164" fontId="19" fillId="0" borderId="34" xfId="0" applyNumberFormat="1" applyFont="1" applyBorder="1" applyAlignment="1">
      <alignment horizontal="center"/>
    </xf>
    <xf numFmtId="0" fontId="24" fillId="0" borderId="0" xfId="0" applyFont="1"/>
    <xf numFmtId="0" fontId="19" fillId="0" borderId="0" xfId="0" applyFont="1" applyAlignment="1">
      <alignment horizontal="left"/>
    </xf>
    <xf numFmtId="0" fontId="22" fillId="0" borderId="0" xfId="0" applyFont="1"/>
    <xf numFmtId="9" fontId="19" fillId="0" borderId="0" xfId="2" applyFont="1"/>
    <xf numFmtId="0" fontId="25" fillId="0" borderId="0" xfId="0" applyFont="1"/>
    <xf numFmtId="9" fontId="11" fillId="0" borderId="0" xfId="2" applyFont="1"/>
    <xf numFmtId="8" fontId="25" fillId="0" borderId="0" xfId="0" applyNumberFormat="1" applyFont="1"/>
    <xf numFmtId="9" fontId="0" fillId="0" borderId="0" xfId="2" applyFont="1"/>
    <xf numFmtId="0" fontId="2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7" fillId="0" borderId="0" xfId="0" applyFont="1"/>
    <xf numFmtId="0" fontId="0" fillId="0" borderId="0" xfId="0" applyBorder="1"/>
    <xf numFmtId="0" fontId="12" fillId="0" borderId="16" xfId="0" applyFont="1" applyBorder="1" applyAlignment="1">
      <alignment horizontal="center" wrapText="1" shrinkToFit="1"/>
    </xf>
    <xf numFmtId="44" fontId="19" fillId="0" borderId="33" xfId="1" applyFont="1" applyBorder="1" applyAlignment="1">
      <alignment horizontal="center"/>
    </xf>
    <xf numFmtId="0" fontId="21" fillId="0" borderId="38" xfId="0" applyFont="1" applyBorder="1" applyAlignment="1">
      <alignment horizontal="center" wrapText="1" shrinkToFit="1"/>
    </xf>
    <xf numFmtId="8" fontId="22" fillId="0" borderId="40" xfId="0" applyNumberFormat="1" applyFont="1" applyBorder="1" applyAlignment="1">
      <alignment horizontal="center"/>
    </xf>
    <xf numFmtId="44" fontId="22" fillId="0" borderId="40" xfId="1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164" fontId="22" fillId="0" borderId="40" xfId="0" applyNumberFormat="1" applyFont="1" applyBorder="1" applyAlignment="1">
      <alignment horizontal="center"/>
    </xf>
    <xf numFmtId="8" fontId="22" fillId="0" borderId="41" xfId="0" applyNumberFormat="1" applyFont="1" applyBorder="1" applyAlignment="1">
      <alignment horizontal="center"/>
    </xf>
    <xf numFmtId="0" fontId="28" fillId="0" borderId="0" xfId="0" applyFont="1"/>
    <xf numFmtId="0" fontId="1" fillId="0" borderId="0" xfId="0" applyFont="1" applyBorder="1"/>
    <xf numFmtId="0" fontId="1" fillId="0" borderId="42" xfId="0" applyFont="1" applyBorder="1"/>
    <xf numFmtId="17" fontId="30" fillId="0" borderId="42" xfId="0" applyNumberFormat="1" applyFont="1" applyBorder="1" applyAlignment="1">
      <alignment horizontal="left"/>
    </xf>
    <xf numFmtId="0" fontId="1" fillId="0" borderId="47" xfId="0" applyFont="1" applyBorder="1" applyAlignment="1">
      <alignment horizontal="center"/>
    </xf>
    <xf numFmtId="164" fontId="1" fillId="0" borderId="47" xfId="0" applyNumberFormat="1" applyFont="1" applyBorder="1" applyAlignment="1">
      <alignment horizontal="center"/>
    </xf>
    <xf numFmtId="164" fontId="1" fillId="0" borderId="49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164" fontId="31" fillId="0" borderId="47" xfId="0" applyNumberFormat="1" applyFont="1" applyBorder="1" applyProtection="1">
      <protection locked="0"/>
    </xf>
    <xf numFmtId="0" fontId="1" fillId="0" borderId="49" xfId="0" applyFont="1" applyBorder="1" applyAlignment="1">
      <alignment horizontal="center"/>
    </xf>
    <xf numFmtId="164" fontId="1" fillId="0" borderId="50" xfId="0" applyNumberFormat="1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44" fontId="0" fillId="0" borderId="51" xfId="1" applyFont="1" applyBorder="1"/>
    <xf numFmtId="0" fontId="2" fillId="0" borderId="47" xfId="0" applyFont="1" applyBorder="1"/>
    <xf numFmtId="0" fontId="2" fillId="0" borderId="47" xfId="0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0" fontId="12" fillId="0" borderId="46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/>
    </xf>
    <xf numFmtId="0" fontId="12" fillId="0" borderId="4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" fontId="16" fillId="0" borderId="52" xfId="0" applyNumberFormat="1" applyFont="1" applyBorder="1" applyAlignment="1">
      <alignment horizontal="center"/>
    </xf>
    <xf numFmtId="0" fontId="17" fillId="0" borderId="53" xfId="0" applyFont="1" applyBorder="1" applyAlignment="1">
      <alignment horizontal="center"/>
    </xf>
    <xf numFmtId="0" fontId="17" fillId="0" borderId="54" xfId="0" applyFont="1" applyBorder="1" applyAlignment="1">
      <alignment horizontal="center"/>
    </xf>
    <xf numFmtId="0" fontId="32" fillId="0" borderId="48" xfId="0" applyFont="1" applyBorder="1" applyAlignment="1">
      <alignment horizontal="center" vertical="center" wrapText="1"/>
    </xf>
    <xf numFmtId="8" fontId="19" fillId="0" borderId="21" xfId="0" applyNumberFormat="1" applyFont="1" applyBorder="1" applyAlignment="1">
      <alignment horizontal="right"/>
    </xf>
    <xf numFmtId="8" fontId="19" fillId="0" borderId="6" xfId="0" applyNumberFormat="1" applyFont="1" applyBorder="1" applyAlignment="1">
      <alignment horizontal="right"/>
    </xf>
    <xf numFmtId="44" fontId="19" fillId="0" borderId="6" xfId="1" applyFont="1" applyBorder="1" applyAlignment="1">
      <alignment horizontal="right"/>
    </xf>
    <xf numFmtId="8" fontId="19" fillId="0" borderId="22" xfId="0" applyNumberFormat="1" applyFont="1" applyBorder="1" applyAlignment="1">
      <alignment horizontal="right"/>
    </xf>
    <xf numFmtId="8" fontId="19" fillId="0" borderId="23" xfId="0" applyNumberFormat="1" applyFont="1" applyBorder="1" applyAlignment="1">
      <alignment horizontal="right"/>
    </xf>
    <xf numFmtId="8" fontId="19" fillId="0" borderId="25" xfId="0" applyNumberFormat="1" applyFont="1" applyBorder="1" applyAlignment="1">
      <alignment horizontal="right"/>
    </xf>
    <xf numFmtId="8" fontId="19" fillId="0" borderId="26" xfId="0" applyNumberFormat="1" applyFont="1" applyBorder="1" applyAlignment="1">
      <alignment horizontal="right"/>
    </xf>
    <xf numFmtId="8" fontId="19" fillId="0" borderId="39" xfId="0" applyNumberFormat="1" applyFont="1" applyBorder="1" applyAlignment="1">
      <alignment horizontal="right"/>
    </xf>
    <xf numFmtId="8" fontId="19" fillId="0" borderId="24" xfId="0" applyNumberFormat="1" applyFont="1" applyBorder="1" applyAlignment="1">
      <alignment horizontal="right"/>
    </xf>
    <xf numFmtId="8" fontId="19" fillId="0" borderId="37" xfId="0" applyNumberFormat="1" applyFont="1" applyBorder="1" applyAlignment="1">
      <alignment horizontal="right"/>
    </xf>
    <xf numFmtId="164" fontId="1" fillId="0" borderId="55" xfId="0" applyNumberFormat="1" applyFont="1" applyBorder="1" applyAlignment="1">
      <alignment horizontal="center"/>
    </xf>
    <xf numFmtId="44" fontId="0" fillId="0" borderId="26" xfId="1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44" fontId="1" fillId="0" borderId="46" xfId="1" applyFont="1" applyBorder="1" applyAlignment="1">
      <alignment horizontal="center"/>
    </xf>
    <xf numFmtId="44" fontId="0" fillId="0" borderId="23" xfId="1" applyFont="1" applyBorder="1"/>
    <xf numFmtId="0" fontId="1" fillId="0" borderId="56" xfId="0" applyFont="1" applyBorder="1" applyAlignment="1">
      <alignment horizontal="center"/>
    </xf>
    <xf numFmtId="164" fontId="0" fillId="0" borderId="50" xfId="0" applyNumberFormat="1" applyBorder="1" applyAlignment="1">
      <alignment horizontal="center"/>
    </xf>
    <xf numFmtId="164" fontId="0" fillId="0" borderId="46" xfId="0" applyNumberFormat="1" applyFont="1" applyBorder="1" applyAlignment="1">
      <alignment horizontal="center"/>
    </xf>
  </cellXfs>
  <cellStyles count="3">
    <cellStyle name="Moneda" xfId="1" builtinId="4"/>
    <cellStyle name="Normal" xfId="0" builtinId="0"/>
    <cellStyle name="Porcentaj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6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28575</xdr:rowOff>
    </xdr:from>
    <xdr:to>
      <xdr:col>1</xdr:col>
      <xdr:colOff>676275</xdr:colOff>
      <xdr:row>5</xdr:row>
      <xdr:rowOff>19050</xdr:rowOff>
    </xdr:to>
    <xdr:pic>
      <xdr:nvPicPr>
        <xdr:cNvPr id="1961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7524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1</xdr:col>
      <xdr:colOff>342900</xdr:colOff>
      <xdr:row>5</xdr:row>
      <xdr:rowOff>46355</xdr:rowOff>
    </xdr:to>
    <xdr:pic>
      <xdr:nvPicPr>
        <xdr:cNvPr id="2" name="1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800100" cy="827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1</xdr:col>
      <xdr:colOff>676275</xdr:colOff>
      <xdr:row>4</xdr:row>
      <xdr:rowOff>179705</xdr:rowOff>
    </xdr:to>
    <xdr:pic>
      <xdr:nvPicPr>
        <xdr:cNvPr id="3" name="2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800100" cy="827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495300</xdr:colOff>
      <xdr:row>4</xdr:row>
      <xdr:rowOff>179705</xdr:rowOff>
    </xdr:to>
    <xdr:pic>
      <xdr:nvPicPr>
        <xdr:cNvPr id="2" name="1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800100" cy="827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tabSelected="1" workbookViewId="0">
      <selection activeCell="G17" sqref="G17"/>
    </sheetView>
  </sheetViews>
  <sheetFormatPr baseColWidth="10" defaultRowHeight="12.75" x14ac:dyDescent="0.2"/>
  <cols>
    <col min="1" max="1" width="3.28515625" customWidth="1"/>
    <col min="2" max="2" width="17.7109375" customWidth="1"/>
    <col min="3" max="5" width="15.7109375" customWidth="1"/>
    <col min="6" max="6" width="13" customWidth="1"/>
    <col min="7" max="7" width="10.5703125" customWidth="1"/>
    <col min="8" max="8" width="11.5703125" customWidth="1"/>
    <col min="9" max="9" width="10.42578125" customWidth="1"/>
    <col min="10" max="10" width="11.5703125" customWidth="1"/>
  </cols>
  <sheetData>
    <row r="2" spans="2:10" x14ac:dyDescent="0.2">
      <c r="B2" s="1"/>
      <c r="C2" s="1"/>
      <c r="D2" s="1"/>
    </row>
    <row r="3" spans="2:10" x14ac:dyDescent="0.2">
      <c r="B3" s="1"/>
      <c r="C3" s="1"/>
      <c r="D3" s="1"/>
    </row>
    <row r="4" spans="2:10" x14ac:dyDescent="0.2">
      <c r="B4" s="1"/>
      <c r="C4" s="1"/>
      <c r="D4" s="1"/>
    </row>
    <row r="5" spans="2:10" x14ac:dyDescent="0.2">
      <c r="B5" s="1"/>
      <c r="C5" s="1"/>
      <c r="D5" s="1"/>
    </row>
    <row r="6" spans="2:10" ht="20.100000000000001" customHeight="1" x14ac:dyDescent="0.2">
      <c r="B6" s="139" t="s">
        <v>15</v>
      </c>
      <c r="C6" s="139"/>
      <c r="D6" s="139"/>
      <c r="E6" s="139"/>
      <c r="F6" s="11"/>
    </row>
    <row r="7" spans="2:10" ht="20.100000000000001" customHeight="1" x14ac:dyDescent="0.2">
      <c r="B7" s="139" t="s">
        <v>19</v>
      </c>
      <c r="C7" s="139"/>
      <c r="D7" s="139"/>
      <c r="E7" s="139"/>
      <c r="F7" s="11"/>
    </row>
    <row r="8" spans="2:10" ht="13.5" thickBot="1" x14ac:dyDescent="0.25">
      <c r="B8" s="9"/>
      <c r="C8" s="9"/>
      <c r="D8" s="10"/>
      <c r="E8" s="10"/>
      <c r="F8" s="11"/>
    </row>
    <row r="9" spans="2:10" ht="24.95" customHeight="1" x14ac:dyDescent="0.2">
      <c r="B9" s="22"/>
      <c r="C9" s="138" t="s">
        <v>58</v>
      </c>
      <c r="D9" s="138"/>
      <c r="E9" s="138"/>
      <c r="F9" s="15"/>
      <c r="G9" s="2"/>
      <c r="H9" s="2"/>
      <c r="I9" s="2"/>
      <c r="J9" s="2"/>
    </row>
    <row r="10" spans="2:10" ht="24.95" customHeight="1" thickBot="1" x14ac:dyDescent="0.25">
      <c r="B10" s="23" t="s">
        <v>20</v>
      </c>
      <c r="C10" s="119" t="s">
        <v>1</v>
      </c>
      <c r="D10" s="120" t="s">
        <v>2</v>
      </c>
      <c r="E10" s="121" t="s">
        <v>0</v>
      </c>
      <c r="F10" s="15"/>
      <c r="G10" s="2"/>
      <c r="H10" s="2"/>
      <c r="I10" s="2"/>
      <c r="J10" s="2"/>
    </row>
    <row r="11" spans="2:10" ht="21.95" customHeight="1" x14ac:dyDescent="0.2">
      <c r="B11" s="24" t="s">
        <v>3</v>
      </c>
      <c r="C11" s="25">
        <v>6</v>
      </c>
      <c r="D11" s="25">
        <v>12</v>
      </c>
      <c r="E11" s="38">
        <f t="shared" ref="E11:E18" si="0">SUM(C11:D11)</f>
        <v>18</v>
      </c>
      <c r="F11" s="34"/>
      <c r="G11" s="34"/>
      <c r="H11" s="7"/>
      <c r="I11" s="3"/>
      <c r="J11" s="3"/>
    </row>
    <row r="12" spans="2:10" ht="21.95" customHeight="1" x14ac:dyDescent="0.2">
      <c r="B12" s="26" t="s">
        <v>5</v>
      </c>
      <c r="C12" s="27">
        <v>8</v>
      </c>
      <c r="D12" s="27">
        <v>14</v>
      </c>
      <c r="E12" s="29">
        <f t="shared" si="0"/>
        <v>22</v>
      </c>
      <c r="F12" s="16"/>
      <c r="G12" s="4"/>
      <c r="H12" s="3"/>
      <c r="I12" s="3"/>
      <c r="J12" s="3"/>
    </row>
    <row r="13" spans="2:10" ht="21.95" customHeight="1" x14ac:dyDescent="0.2">
      <c r="B13" s="26" t="s">
        <v>6</v>
      </c>
      <c r="C13" s="28">
        <v>6</v>
      </c>
      <c r="D13" s="28">
        <v>5</v>
      </c>
      <c r="E13" s="29">
        <f t="shared" si="0"/>
        <v>11</v>
      </c>
      <c r="F13" s="16"/>
      <c r="G13" s="4"/>
      <c r="H13" s="3"/>
      <c r="I13" s="3" t="s">
        <v>12</v>
      </c>
      <c r="J13" s="3"/>
    </row>
    <row r="14" spans="2:10" ht="21.95" customHeight="1" x14ac:dyDescent="0.2">
      <c r="B14" s="26" t="s">
        <v>7</v>
      </c>
      <c r="C14" s="31">
        <v>10</v>
      </c>
      <c r="D14" s="31">
        <v>10</v>
      </c>
      <c r="E14" s="32">
        <f t="shared" si="0"/>
        <v>20</v>
      </c>
      <c r="F14" s="16"/>
      <c r="G14" s="4"/>
      <c r="H14" s="3"/>
      <c r="I14" s="3"/>
      <c r="J14" s="3"/>
    </row>
    <row r="15" spans="2:10" ht="21.95" customHeight="1" x14ac:dyDescent="0.2">
      <c r="B15" s="26" t="s">
        <v>8</v>
      </c>
      <c r="C15" s="31">
        <v>11</v>
      </c>
      <c r="D15" s="31">
        <v>16</v>
      </c>
      <c r="E15" s="32">
        <f t="shared" si="0"/>
        <v>27</v>
      </c>
      <c r="F15" s="16"/>
      <c r="G15" s="4"/>
      <c r="H15" s="3"/>
      <c r="I15" s="3"/>
      <c r="J15" s="3"/>
    </row>
    <row r="16" spans="2:10" ht="21.95" customHeight="1" x14ac:dyDescent="0.2">
      <c r="B16" s="26" t="s">
        <v>9</v>
      </c>
      <c r="C16" s="27">
        <v>9</v>
      </c>
      <c r="D16" s="27">
        <v>9</v>
      </c>
      <c r="E16" s="32">
        <f t="shared" si="0"/>
        <v>18</v>
      </c>
      <c r="F16" s="16"/>
      <c r="G16" s="4"/>
      <c r="H16" s="3"/>
      <c r="I16" s="3"/>
      <c r="J16" s="3"/>
    </row>
    <row r="17" spans="1:10" ht="21.95" customHeight="1" x14ac:dyDescent="0.2">
      <c r="B17" s="26" t="s">
        <v>10</v>
      </c>
      <c r="C17" s="27">
        <v>14</v>
      </c>
      <c r="D17" s="27">
        <v>11</v>
      </c>
      <c r="E17" s="29">
        <f t="shared" si="0"/>
        <v>25</v>
      </c>
      <c r="F17" s="17"/>
      <c r="G17" s="8"/>
      <c r="H17" s="8"/>
      <c r="I17" s="3"/>
      <c r="J17" s="3"/>
    </row>
    <row r="18" spans="1:10" ht="21.95" customHeight="1" x14ac:dyDescent="0.2">
      <c r="B18" s="26" t="s">
        <v>11</v>
      </c>
      <c r="C18" s="27">
        <v>8</v>
      </c>
      <c r="D18" s="27">
        <v>9</v>
      </c>
      <c r="E18" s="29">
        <f t="shared" si="0"/>
        <v>17</v>
      </c>
      <c r="F18" s="17"/>
      <c r="G18" s="8"/>
      <c r="H18" s="8"/>
      <c r="I18" s="3"/>
      <c r="J18" s="3"/>
    </row>
    <row r="19" spans="1:10" ht="21.95" customHeight="1" thickBot="1" x14ac:dyDescent="0.25">
      <c r="B19" s="33" t="s">
        <v>14</v>
      </c>
      <c r="C19" s="28">
        <v>4</v>
      </c>
      <c r="D19" s="28">
        <v>15</v>
      </c>
      <c r="E19" s="29">
        <f>SUM(C19:D19)</f>
        <v>19</v>
      </c>
      <c r="F19" s="17"/>
      <c r="G19" s="8" t="s">
        <v>13</v>
      </c>
      <c r="H19" s="8"/>
      <c r="I19" s="3"/>
      <c r="J19" s="3"/>
    </row>
    <row r="20" spans="1:10" ht="21.95" hidden="1" customHeight="1" x14ac:dyDescent="0.2">
      <c r="B20" s="33" t="s">
        <v>16</v>
      </c>
      <c r="C20" s="28"/>
      <c r="D20" s="28"/>
      <c r="E20" s="29">
        <f>SUM(C20:D20)</f>
        <v>0</v>
      </c>
      <c r="F20" s="17"/>
      <c r="G20" s="8"/>
      <c r="H20" s="8"/>
      <c r="I20" s="3"/>
      <c r="J20" s="3"/>
    </row>
    <row r="21" spans="1:10" ht="21.95" hidden="1" customHeight="1" x14ac:dyDescent="0.2">
      <c r="B21" s="33" t="s">
        <v>17</v>
      </c>
      <c r="C21" s="28"/>
      <c r="D21" s="28"/>
      <c r="E21" s="29">
        <f>SUM(C21:D21)</f>
        <v>0</v>
      </c>
      <c r="F21" s="17"/>
      <c r="G21" s="8"/>
      <c r="H21" s="8"/>
      <c r="I21" s="3"/>
      <c r="J21" s="3"/>
    </row>
    <row r="22" spans="1:10" ht="21.95" hidden="1" customHeight="1" thickBot="1" x14ac:dyDescent="0.25">
      <c r="B22" s="33" t="s">
        <v>18</v>
      </c>
      <c r="C22" s="28"/>
      <c r="D22" s="28"/>
      <c r="E22" s="29">
        <f>SUM(C22:D22)</f>
        <v>0</v>
      </c>
      <c r="F22" s="17"/>
      <c r="G22" s="8" t="s">
        <v>13</v>
      </c>
      <c r="H22" s="8"/>
      <c r="I22" s="3"/>
      <c r="J22" s="3"/>
    </row>
    <row r="23" spans="1:10" ht="22.5" customHeight="1" thickBot="1" x14ac:dyDescent="0.25">
      <c r="B23" s="122" t="s">
        <v>4</v>
      </c>
      <c r="C23" s="123">
        <f>SUM(C11:C22)</f>
        <v>76</v>
      </c>
      <c r="D23" s="123">
        <f>SUM(D11:D22)</f>
        <v>101</v>
      </c>
      <c r="E23" s="124">
        <f>SUM(E11:E22)</f>
        <v>177</v>
      </c>
      <c r="F23" s="17"/>
      <c r="G23" s="8"/>
      <c r="H23" s="8"/>
      <c r="I23" s="3"/>
      <c r="J23" s="3"/>
    </row>
    <row r="24" spans="1:10" ht="14.25" customHeight="1" x14ac:dyDescent="0.2">
      <c r="C24" s="11"/>
      <c r="D24" s="18"/>
      <c r="E24" s="30"/>
      <c r="F24" s="12"/>
    </row>
    <row r="25" spans="1:10" x14ac:dyDescent="0.2">
      <c r="B25" s="6"/>
      <c r="C25" s="12"/>
      <c r="D25" s="12"/>
      <c r="E25" s="12"/>
      <c r="F25" s="12"/>
    </row>
    <row r="26" spans="1:10" x14ac:dyDescent="0.2">
      <c r="B26" s="12"/>
      <c r="C26" s="12"/>
      <c r="D26" s="12"/>
      <c r="E26" s="12"/>
      <c r="F26" s="12"/>
    </row>
    <row r="27" spans="1:10" x14ac:dyDescent="0.2">
      <c r="B27" s="37" t="s">
        <v>21</v>
      </c>
      <c r="C27" s="10"/>
      <c r="D27" s="10"/>
      <c r="E27" s="10"/>
      <c r="F27" s="10"/>
      <c r="G27" s="5"/>
    </row>
    <row r="28" spans="1:10" x14ac:dyDescent="0.2">
      <c r="B28" s="20" t="s">
        <v>13</v>
      </c>
      <c r="C28" s="13"/>
      <c r="D28" s="10"/>
      <c r="E28" s="10"/>
      <c r="F28" s="10"/>
      <c r="G28" s="5"/>
    </row>
    <row r="29" spans="1:10" x14ac:dyDescent="0.2">
      <c r="B29" s="19"/>
      <c r="C29" s="10"/>
      <c r="D29" s="10"/>
      <c r="E29" s="10"/>
      <c r="F29" s="10"/>
      <c r="G29" s="5"/>
    </row>
    <row r="30" spans="1:10" x14ac:dyDescent="0.2">
      <c r="A30" s="10"/>
      <c r="B30" s="10"/>
      <c r="C30" s="10"/>
      <c r="F30" s="10"/>
      <c r="G30" s="5"/>
    </row>
    <row r="31" spans="1:10" x14ac:dyDescent="0.2">
      <c r="A31" s="37"/>
      <c r="B31" s="14"/>
      <c r="C31" s="10"/>
      <c r="F31" s="10"/>
      <c r="G31" s="5"/>
    </row>
    <row r="32" spans="1:10" x14ac:dyDescent="0.2">
      <c r="A32" s="14"/>
      <c r="C32" s="10"/>
      <c r="D32" s="19"/>
      <c r="F32" s="14"/>
      <c r="G32" s="5"/>
    </row>
    <row r="33" spans="2:7" x14ac:dyDescent="0.2">
      <c r="B33" s="19"/>
      <c r="C33" s="10"/>
      <c r="D33" s="10"/>
      <c r="F33" s="14"/>
      <c r="G33" s="5"/>
    </row>
    <row r="34" spans="2:7" x14ac:dyDescent="0.2">
      <c r="C34" s="10"/>
      <c r="D34" s="10"/>
      <c r="E34" s="10"/>
      <c r="F34" s="14"/>
      <c r="G34" s="5"/>
    </row>
    <row r="35" spans="2:7" x14ac:dyDescent="0.2">
      <c r="B35" s="10"/>
      <c r="C35" s="10"/>
      <c r="D35" s="10"/>
      <c r="E35" s="10"/>
      <c r="F35" s="21"/>
      <c r="G35" s="5"/>
    </row>
    <row r="36" spans="2:7" x14ac:dyDescent="0.2">
      <c r="B36" s="10"/>
      <c r="C36" s="35"/>
      <c r="D36" s="35"/>
      <c r="E36" s="10"/>
      <c r="F36" s="10"/>
      <c r="G36" s="5"/>
    </row>
    <row r="37" spans="2:7" x14ac:dyDescent="0.2">
      <c r="B37" s="35"/>
      <c r="C37" s="35"/>
      <c r="D37" s="36"/>
      <c r="E37" s="10"/>
      <c r="F37" s="10"/>
      <c r="G37" s="5"/>
    </row>
    <row r="38" spans="2:7" x14ac:dyDescent="0.2">
      <c r="B38" s="10"/>
      <c r="C38" s="19"/>
      <c r="D38" s="35"/>
      <c r="E38" s="11"/>
      <c r="F38" s="11"/>
    </row>
    <row r="39" spans="2:7" x14ac:dyDescent="0.2">
      <c r="B39" s="11"/>
      <c r="C39" s="11"/>
      <c r="D39" s="11"/>
      <c r="E39" s="11"/>
      <c r="F39" s="11"/>
    </row>
    <row r="40" spans="2:7" x14ac:dyDescent="0.2">
      <c r="B40" s="11"/>
      <c r="C40" s="11"/>
      <c r="D40" s="11"/>
      <c r="E40" s="11"/>
      <c r="F40" s="11"/>
    </row>
    <row r="41" spans="2:7" x14ac:dyDescent="0.2">
      <c r="B41" s="11"/>
      <c r="C41" s="11"/>
      <c r="D41" s="11"/>
      <c r="E41" s="11"/>
      <c r="F41" s="11"/>
    </row>
    <row r="42" spans="2:7" x14ac:dyDescent="0.2">
      <c r="B42" s="11"/>
      <c r="C42" s="11"/>
      <c r="D42" s="11"/>
      <c r="E42" s="11"/>
      <c r="F42" s="11"/>
    </row>
    <row r="43" spans="2:7" x14ac:dyDescent="0.2">
      <c r="B43" s="11"/>
      <c r="C43" s="11"/>
      <c r="D43" s="11"/>
      <c r="E43" s="11"/>
      <c r="F43" s="11"/>
    </row>
    <row r="44" spans="2:7" x14ac:dyDescent="0.2">
      <c r="B44" s="11"/>
      <c r="C44" s="11"/>
      <c r="D44" s="11"/>
      <c r="E44" s="11"/>
      <c r="F44" s="11"/>
    </row>
    <row r="45" spans="2:7" x14ac:dyDescent="0.2">
      <c r="B45" s="11"/>
      <c r="C45" s="11"/>
      <c r="D45" s="11"/>
      <c r="E45" s="11"/>
      <c r="F45" s="11"/>
    </row>
    <row r="46" spans="2:7" x14ac:dyDescent="0.2">
      <c r="B46" s="11"/>
      <c r="C46" s="11"/>
      <c r="D46" s="11"/>
      <c r="E46" s="11"/>
      <c r="F46" s="11"/>
    </row>
    <row r="47" spans="2:7" x14ac:dyDescent="0.2">
      <c r="B47" s="11"/>
      <c r="C47" s="11"/>
      <c r="D47" s="11"/>
      <c r="E47" s="11"/>
      <c r="F47" s="11"/>
    </row>
    <row r="48" spans="2:7" x14ac:dyDescent="0.2">
      <c r="B48" s="11"/>
      <c r="C48" s="11"/>
      <c r="D48" s="11"/>
      <c r="E48" s="11"/>
      <c r="F48" s="11"/>
    </row>
    <row r="49" spans="1:6" x14ac:dyDescent="0.2">
      <c r="A49" t="s">
        <v>12</v>
      </c>
      <c r="B49" s="11"/>
      <c r="C49" s="11"/>
      <c r="D49" s="11"/>
      <c r="E49" s="11"/>
      <c r="F49" s="11"/>
    </row>
    <row r="50" spans="1:6" x14ac:dyDescent="0.2">
      <c r="B50" s="11"/>
      <c r="C50" s="11"/>
      <c r="D50" s="11"/>
      <c r="E50" s="11"/>
      <c r="F50" s="11"/>
    </row>
    <row r="51" spans="1:6" x14ac:dyDescent="0.2">
      <c r="B51" s="11"/>
      <c r="C51" s="11"/>
      <c r="D51" s="11"/>
      <c r="E51" s="11"/>
      <c r="F51" s="11"/>
    </row>
    <row r="52" spans="1:6" x14ac:dyDescent="0.2">
      <c r="B52" s="11"/>
      <c r="C52" s="11"/>
      <c r="D52" s="11"/>
      <c r="E52" s="11"/>
      <c r="F52" s="11"/>
    </row>
    <row r="53" spans="1:6" x14ac:dyDescent="0.2">
      <c r="B53" s="11"/>
      <c r="C53" s="11"/>
      <c r="D53" s="11"/>
      <c r="E53" s="11"/>
      <c r="F53" s="11"/>
    </row>
    <row r="54" spans="1:6" x14ac:dyDescent="0.2">
      <c r="B54" s="11"/>
      <c r="C54" s="11"/>
      <c r="D54" s="11"/>
      <c r="E54" s="11"/>
      <c r="F54" s="11"/>
    </row>
    <row r="55" spans="1:6" x14ac:dyDescent="0.2">
      <c r="B55" s="11"/>
      <c r="C55" s="11"/>
      <c r="D55" s="11"/>
      <c r="E55" s="11"/>
      <c r="F55" s="11"/>
    </row>
    <row r="56" spans="1:6" x14ac:dyDescent="0.2">
      <c r="B56" s="11"/>
      <c r="C56" s="11"/>
      <c r="D56" s="11"/>
      <c r="E56" s="11"/>
      <c r="F56" s="11"/>
    </row>
    <row r="57" spans="1:6" x14ac:dyDescent="0.2">
      <c r="B57" s="11"/>
      <c r="C57" s="11"/>
      <c r="D57" s="11"/>
      <c r="E57" s="11"/>
      <c r="F57" s="11"/>
    </row>
    <row r="58" spans="1:6" x14ac:dyDescent="0.2">
      <c r="B58" s="11"/>
      <c r="C58" s="11"/>
      <c r="D58" s="11"/>
      <c r="E58" s="11"/>
      <c r="F58" s="11"/>
    </row>
    <row r="59" spans="1:6" x14ac:dyDescent="0.2">
      <c r="B59" s="11"/>
      <c r="C59" s="11"/>
      <c r="D59" s="11"/>
      <c r="E59" s="11"/>
      <c r="F59" s="11"/>
    </row>
    <row r="60" spans="1:6" x14ac:dyDescent="0.2">
      <c r="B60" s="11"/>
      <c r="C60" s="11"/>
      <c r="D60" s="11"/>
      <c r="E60" s="11"/>
      <c r="F60" s="11"/>
    </row>
    <row r="61" spans="1:6" x14ac:dyDescent="0.2">
      <c r="B61" s="11"/>
      <c r="C61" s="11"/>
      <c r="D61" s="11"/>
      <c r="E61" s="11"/>
      <c r="F61" s="11"/>
    </row>
    <row r="62" spans="1:6" x14ac:dyDescent="0.2">
      <c r="B62" s="11"/>
      <c r="C62" s="11"/>
      <c r="D62" s="11"/>
      <c r="E62" s="11"/>
      <c r="F62" s="11"/>
    </row>
    <row r="63" spans="1:6" x14ac:dyDescent="0.2">
      <c r="B63" s="11"/>
      <c r="C63" s="11"/>
      <c r="D63" s="11"/>
      <c r="E63" s="11"/>
      <c r="F63" s="11"/>
    </row>
    <row r="64" spans="1:6" x14ac:dyDescent="0.2">
      <c r="B64" s="11"/>
      <c r="C64" s="11"/>
      <c r="D64" s="11"/>
      <c r="E64" s="11"/>
      <c r="F64" s="11"/>
    </row>
    <row r="65" spans="2:6" x14ac:dyDescent="0.2">
      <c r="B65" s="11"/>
      <c r="C65" s="11"/>
      <c r="D65" s="11"/>
      <c r="E65" s="11"/>
      <c r="F65" s="11"/>
    </row>
    <row r="66" spans="2:6" x14ac:dyDescent="0.2">
      <c r="B66" s="11"/>
      <c r="C66" s="11"/>
      <c r="D66" s="11"/>
      <c r="E66" s="11"/>
      <c r="F66" s="11"/>
    </row>
    <row r="67" spans="2:6" x14ac:dyDescent="0.2">
      <c r="B67" s="11"/>
      <c r="C67" s="11"/>
      <c r="D67" s="11"/>
      <c r="E67" s="11"/>
      <c r="F67" s="11"/>
    </row>
    <row r="68" spans="2:6" x14ac:dyDescent="0.2">
      <c r="B68" s="11"/>
      <c r="C68" s="11"/>
      <c r="D68" s="11"/>
      <c r="E68" s="11"/>
      <c r="F68" s="11"/>
    </row>
    <row r="69" spans="2:6" x14ac:dyDescent="0.2">
      <c r="B69" s="11"/>
      <c r="C69" s="11"/>
      <c r="D69" s="11"/>
      <c r="E69" s="11"/>
      <c r="F69" s="11"/>
    </row>
    <row r="70" spans="2:6" x14ac:dyDescent="0.2">
      <c r="B70" s="11"/>
      <c r="C70" s="11"/>
      <c r="D70" s="11"/>
      <c r="E70" s="11"/>
      <c r="F70" s="11"/>
    </row>
    <row r="71" spans="2:6" x14ac:dyDescent="0.2">
      <c r="B71" s="11"/>
      <c r="C71" s="11"/>
      <c r="D71" s="11"/>
      <c r="E71" s="11"/>
      <c r="F71" s="11"/>
    </row>
    <row r="72" spans="2:6" x14ac:dyDescent="0.2">
      <c r="B72" s="11"/>
      <c r="C72" s="11"/>
      <c r="D72" s="11"/>
      <c r="E72" s="11"/>
      <c r="F72" s="11"/>
    </row>
    <row r="73" spans="2:6" x14ac:dyDescent="0.2">
      <c r="B73" s="11"/>
      <c r="C73" s="11"/>
      <c r="D73" s="11"/>
      <c r="E73" s="11"/>
      <c r="F73" s="11"/>
    </row>
    <row r="74" spans="2:6" x14ac:dyDescent="0.2">
      <c r="B74" s="11"/>
      <c r="C74" s="11"/>
      <c r="D74" s="11"/>
      <c r="E74" s="11"/>
      <c r="F74" s="11"/>
    </row>
    <row r="75" spans="2:6" x14ac:dyDescent="0.2">
      <c r="B75" s="11"/>
      <c r="C75" s="11"/>
      <c r="D75" s="11"/>
      <c r="E75" s="11"/>
      <c r="F75" s="11"/>
    </row>
    <row r="76" spans="2:6" x14ac:dyDescent="0.2">
      <c r="B76" s="11"/>
      <c r="C76" s="11"/>
      <c r="D76" s="11"/>
      <c r="E76" s="11"/>
      <c r="F76" s="11"/>
    </row>
    <row r="77" spans="2:6" x14ac:dyDescent="0.2">
      <c r="B77" s="11"/>
      <c r="C77" s="11"/>
      <c r="D77" s="11"/>
      <c r="E77" s="11"/>
      <c r="F77" s="11"/>
    </row>
    <row r="78" spans="2:6" x14ac:dyDescent="0.2">
      <c r="B78" s="11"/>
      <c r="C78" s="11"/>
      <c r="D78" s="11"/>
      <c r="E78" s="11"/>
      <c r="F78" s="11"/>
    </row>
    <row r="79" spans="2:6" x14ac:dyDescent="0.2">
      <c r="B79" s="11"/>
      <c r="C79" s="11"/>
      <c r="D79" s="11"/>
      <c r="E79" s="11"/>
      <c r="F79" s="11"/>
    </row>
    <row r="80" spans="2:6" x14ac:dyDescent="0.2">
      <c r="B80" s="11"/>
      <c r="C80" s="11"/>
      <c r="D80" s="11"/>
      <c r="E80" s="11"/>
      <c r="F80" s="11"/>
    </row>
    <row r="81" spans="2:6" x14ac:dyDescent="0.2">
      <c r="B81" s="11"/>
      <c r="C81" s="11"/>
      <c r="D81" s="11"/>
      <c r="E81" s="11"/>
      <c r="F81" s="11"/>
    </row>
    <row r="82" spans="2:6" x14ac:dyDescent="0.2">
      <c r="B82" s="11"/>
      <c r="C82" s="11"/>
      <c r="D82" s="11"/>
      <c r="E82" s="11"/>
      <c r="F82" s="11"/>
    </row>
    <row r="83" spans="2:6" x14ac:dyDescent="0.2">
      <c r="B83" s="11"/>
      <c r="C83" s="11"/>
      <c r="D83" s="11"/>
      <c r="E83" s="11"/>
      <c r="F83" s="11"/>
    </row>
    <row r="84" spans="2:6" x14ac:dyDescent="0.2">
      <c r="B84" s="11"/>
      <c r="C84" s="11"/>
      <c r="D84" s="11"/>
      <c r="E84" s="11"/>
      <c r="F84" s="11"/>
    </row>
    <row r="85" spans="2:6" x14ac:dyDescent="0.2">
      <c r="B85" s="11"/>
      <c r="C85" s="11"/>
      <c r="D85" s="11"/>
      <c r="E85" s="11"/>
      <c r="F85" s="11"/>
    </row>
    <row r="86" spans="2:6" x14ac:dyDescent="0.2">
      <c r="B86" s="11"/>
      <c r="C86" s="11"/>
      <c r="D86" s="11"/>
      <c r="E86" s="11"/>
      <c r="F86" s="11"/>
    </row>
    <row r="87" spans="2:6" x14ac:dyDescent="0.2">
      <c r="B87" s="11"/>
      <c r="C87" s="11"/>
      <c r="D87" s="11"/>
      <c r="E87" s="11"/>
      <c r="F87" s="11"/>
    </row>
    <row r="88" spans="2:6" x14ac:dyDescent="0.2">
      <c r="B88" s="11"/>
      <c r="C88" s="11"/>
      <c r="D88" s="11"/>
      <c r="E88" s="11"/>
      <c r="F88" s="11"/>
    </row>
    <row r="89" spans="2:6" x14ac:dyDescent="0.2">
      <c r="B89" s="11"/>
    </row>
  </sheetData>
  <mergeCells count="3">
    <mergeCell ref="C9:E9"/>
    <mergeCell ref="B6:E6"/>
    <mergeCell ref="B7:E7"/>
  </mergeCells>
  <phoneticPr fontId="0" type="noConversion"/>
  <printOptions horizontalCentered="1"/>
  <pageMargins left="0.59055118110236227" right="0.39370078740157483" top="0.98425196850393704" bottom="0.59055118110236227" header="0" footer="0"/>
  <pageSetup scale="12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50"/>
  <sheetViews>
    <sheetView zoomScaleNormal="100" workbookViewId="0">
      <selection activeCell="C22" sqref="C22"/>
    </sheetView>
  </sheetViews>
  <sheetFormatPr baseColWidth="10" defaultRowHeight="12.75" x14ac:dyDescent="0.2"/>
  <cols>
    <col min="1" max="1" width="9.42578125" customWidth="1"/>
    <col min="2" max="2" width="9.7109375" customWidth="1"/>
    <col min="3" max="3" width="8.140625" customWidth="1"/>
    <col min="4" max="4" width="6.140625" customWidth="1"/>
    <col min="5" max="5" width="6.85546875" customWidth="1"/>
    <col min="6" max="6" width="7" customWidth="1"/>
    <col min="7" max="7" width="11.42578125" customWidth="1"/>
    <col min="8" max="8" width="12.42578125" customWidth="1"/>
    <col min="9" max="9" width="11.42578125" customWidth="1"/>
    <col min="10" max="11" width="10.5703125" customWidth="1"/>
    <col min="12" max="12" width="10.42578125" customWidth="1"/>
    <col min="13" max="13" width="17.140625" customWidth="1"/>
    <col min="14" max="14" width="13" customWidth="1"/>
  </cols>
  <sheetData>
    <row r="4" spans="1:17" x14ac:dyDescent="0.2">
      <c r="A4" s="140" t="s">
        <v>22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7" x14ac:dyDescent="0.2">
      <c r="A5" s="140" t="s">
        <v>59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7" ht="12.75" customHeight="1" thickBo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7" ht="73.5" customHeight="1" thickBot="1" x14ac:dyDescent="0.25">
      <c r="A7" s="88" t="s">
        <v>23</v>
      </c>
      <c r="B7" s="39" t="s">
        <v>24</v>
      </c>
      <c r="C7" s="39" t="s">
        <v>25</v>
      </c>
      <c r="D7" s="39" t="s">
        <v>26</v>
      </c>
      <c r="E7" s="39" t="s">
        <v>27</v>
      </c>
      <c r="F7" s="39" t="s">
        <v>28</v>
      </c>
      <c r="G7" s="39" t="s">
        <v>29</v>
      </c>
      <c r="H7" s="39" t="s">
        <v>30</v>
      </c>
      <c r="I7" s="39" t="s">
        <v>31</v>
      </c>
      <c r="J7" s="39" t="s">
        <v>32</v>
      </c>
      <c r="K7" s="40" t="s">
        <v>33</v>
      </c>
      <c r="L7" s="41" t="s">
        <v>34</v>
      </c>
      <c r="M7" s="42" t="s">
        <v>35</v>
      </c>
      <c r="N7" s="90" t="s">
        <v>36</v>
      </c>
      <c r="O7" s="43"/>
      <c r="P7" s="43"/>
    </row>
    <row r="8" spans="1:17" ht="23.1" customHeight="1" x14ac:dyDescent="0.2">
      <c r="A8" s="44" t="s">
        <v>52</v>
      </c>
      <c r="B8" s="45">
        <v>4</v>
      </c>
      <c r="C8" s="45">
        <v>21</v>
      </c>
      <c r="D8" s="45">
        <v>54</v>
      </c>
      <c r="E8" s="45">
        <v>16</v>
      </c>
      <c r="F8" s="45">
        <v>9</v>
      </c>
      <c r="G8" s="126">
        <f>6342.86+10285.7+15428.56</f>
        <v>32057.120000000003</v>
      </c>
      <c r="H8" s="126">
        <f>13714.31+9714.28+28857.13+34857.13</f>
        <v>87142.85</v>
      </c>
      <c r="I8" s="46">
        <v>0</v>
      </c>
      <c r="J8" s="126">
        <f>1142.86*4</f>
        <v>4571.4399999999996</v>
      </c>
      <c r="K8" s="129">
        <f>571.44+285.72+1942.89+2285.7</f>
        <v>5085.75</v>
      </c>
      <c r="L8" s="130">
        <f>2857.15+8000.01</f>
        <v>10857.16</v>
      </c>
      <c r="M8" s="47">
        <v>0</v>
      </c>
      <c r="N8" s="133">
        <f t="shared" ref="N8:N19" si="0">SUM(G8:L8)</f>
        <v>139714.32</v>
      </c>
    </row>
    <row r="9" spans="1:17" ht="23.1" customHeight="1" x14ac:dyDescent="0.2">
      <c r="A9" s="48" t="s">
        <v>53</v>
      </c>
      <c r="B9" s="49">
        <f>1+2+3+5</f>
        <v>11</v>
      </c>
      <c r="C9" s="49">
        <f>3+1+5</f>
        <v>9</v>
      </c>
      <c r="D9" s="49">
        <f>12+5+17+13</f>
        <v>47</v>
      </c>
      <c r="E9" s="49">
        <f>5+2+3+2</f>
        <v>12</v>
      </c>
      <c r="F9" s="49">
        <f>3+1+1+3</f>
        <v>8</v>
      </c>
      <c r="G9" s="127">
        <f>6857.13+685.71+7714.27</f>
        <v>15257.11</v>
      </c>
      <c r="H9" s="127">
        <f>21428.58+3714.28+20000.02+21028.56</f>
        <v>66171.44</v>
      </c>
      <c r="I9" s="51">
        <v>1142.8599999999999</v>
      </c>
      <c r="J9" s="127">
        <f>1142.86*6</f>
        <v>6857.16</v>
      </c>
      <c r="K9" s="131">
        <f>1142.86+1142.86+1142.88</f>
        <v>3428.6</v>
      </c>
      <c r="L9" s="132">
        <f>11428.57+1142.86</f>
        <v>12571.43</v>
      </c>
      <c r="M9" s="54">
        <v>0</v>
      </c>
      <c r="N9" s="134">
        <f t="shared" si="0"/>
        <v>105428.6</v>
      </c>
    </row>
    <row r="10" spans="1:17" ht="23.1" customHeight="1" x14ac:dyDescent="0.2">
      <c r="A10" s="48" t="s">
        <v>54</v>
      </c>
      <c r="B10" s="49">
        <f>2+6+6+5</f>
        <v>19</v>
      </c>
      <c r="C10" s="49">
        <f>1+1</f>
        <v>2</v>
      </c>
      <c r="D10" s="49">
        <f>6+8+15+11</f>
        <v>40</v>
      </c>
      <c r="E10" s="49">
        <f>2+2+3+2</f>
        <v>9</v>
      </c>
      <c r="F10" s="49">
        <f>1+4+4+3</f>
        <v>12</v>
      </c>
      <c r="G10" s="127">
        <f>3428.57+6857.14+6000</f>
        <v>16285.710000000001</v>
      </c>
      <c r="H10" s="127">
        <f>5714.29+12571.43+37142.85+13355.22</f>
        <v>68783.789999999994</v>
      </c>
      <c r="I10" s="51">
        <v>0</v>
      </c>
      <c r="J10" s="128">
        <f>1142.86*3</f>
        <v>3428.58</v>
      </c>
      <c r="K10" s="131">
        <f>2800.03+457.16</f>
        <v>3257.19</v>
      </c>
      <c r="L10" s="132">
        <f>3428.58</f>
        <v>3428.58</v>
      </c>
      <c r="M10" s="54">
        <v>11428.57</v>
      </c>
      <c r="N10" s="134">
        <f>SUM(G10:M10)</f>
        <v>106612.42000000001</v>
      </c>
      <c r="O10" s="55"/>
      <c r="P10" s="55"/>
      <c r="Q10" s="55"/>
    </row>
    <row r="11" spans="1:17" ht="23.1" customHeight="1" x14ac:dyDescent="0.2">
      <c r="A11" s="48" t="s">
        <v>37</v>
      </c>
      <c r="B11" s="49">
        <f>6+3+1+1</f>
        <v>11</v>
      </c>
      <c r="C11" s="49">
        <f>2+3</f>
        <v>5</v>
      </c>
      <c r="D11" s="49">
        <f>13+16+5+3</f>
        <v>37</v>
      </c>
      <c r="E11" s="49">
        <f>6+4+1</f>
        <v>11</v>
      </c>
      <c r="F11" s="49">
        <f>1+3+1</f>
        <v>5</v>
      </c>
      <c r="G11" s="127">
        <f>10285.71+4457.12+685.71</f>
        <v>15428.539999999997</v>
      </c>
      <c r="H11" s="127">
        <f>17925.93+18742.81+4857.39+4571.43</f>
        <v>46097.560000000005</v>
      </c>
      <c r="I11" s="51">
        <v>0</v>
      </c>
      <c r="J11" s="127">
        <f>1142.86*6</f>
        <v>6857.16</v>
      </c>
      <c r="K11" s="131">
        <f>1142.85+1523.8</f>
        <v>2666.6499999999996</v>
      </c>
      <c r="L11" s="132">
        <v>0</v>
      </c>
      <c r="M11" s="54">
        <v>0</v>
      </c>
      <c r="N11" s="134">
        <f t="shared" si="0"/>
        <v>71049.91</v>
      </c>
    </row>
    <row r="12" spans="1:17" ht="23.1" customHeight="1" x14ac:dyDescent="0.2">
      <c r="A12" s="48" t="s">
        <v>38</v>
      </c>
      <c r="B12" s="49">
        <f>5+4+2+3</f>
        <v>14</v>
      </c>
      <c r="C12" s="36">
        <f>1+1+2+1</f>
        <v>5</v>
      </c>
      <c r="D12" s="49">
        <f>6+3+12+9+4+13</f>
        <v>47</v>
      </c>
      <c r="E12" s="49">
        <v>9</v>
      </c>
      <c r="F12" s="49">
        <v>10</v>
      </c>
      <c r="G12" s="127">
        <f>1028.57+3428.57+11314.3</f>
        <v>15771.439999999999</v>
      </c>
      <c r="H12" s="127">
        <f>33142.86+30000+14285.71+21142.84+15000+1142.86</f>
        <v>114714.27</v>
      </c>
      <c r="I12" s="51">
        <v>1142.8599999999999</v>
      </c>
      <c r="J12" s="127">
        <f>1142.86*10</f>
        <v>11428.599999999999</v>
      </c>
      <c r="K12" s="131">
        <f>114.29+1200+1714.32+571.44+1200+2628.58</f>
        <v>7428.6299999999992</v>
      </c>
      <c r="L12" s="132">
        <v>0</v>
      </c>
      <c r="M12" s="54">
        <v>0</v>
      </c>
      <c r="N12" s="134">
        <f t="shared" si="0"/>
        <v>150485.80000000002</v>
      </c>
    </row>
    <row r="13" spans="1:17" ht="23.1" customHeight="1" x14ac:dyDescent="0.2">
      <c r="A13" s="48" t="s">
        <v>39</v>
      </c>
      <c r="B13" s="49">
        <f>5+5+4+2</f>
        <v>16</v>
      </c>
      <c r="C13" s="49">
        <f>1+1</f>
        <v>2</v>
      </c>
      <c r="D13" s="49">
        <f>10+10+10+2</f>
        <v>32</v>
      </c>
      <c r="E13" s="49">
        <f>4+3+2+2</f>
        <v>11</v>
      </c>
      <c r="F13" s="49">
        <f>2+3+2</f>
        <v>7</v>
      </c>
      <c r="G13" s="127">
        <f>2742.85+5142.86+5828.57+685.71</f>
        <v>14399.989999999998</v>
      </c>
      <c r="H13" s="127">
        <f>14819.07+16388.58+3722.07+5714.28</f>
        <v>40644</v>
      </c>
      <c r="I13" s="51">
        <v>0</v>
      </c>
      <c r="J13" s="127">
        <f>1142.86*10</f>
        <v>11428.599999999999</v>
      </c>
      <c r="K13" s="131">
        <f>428.58+571.43+228.57</f>
        <v>1228.58</v>
      </c>
      <c r="L13" s="132">
        <v>0</v>
      </c>
      <c r="M13" s="54">
        <v>0</v>
      </c>
      <c r="N13" s="134">
        <f t="shared" si="0"/>
        <v>67701.17</v>
      </c>
    </row>
    <row r="14" spans="1:17" ht="23.1" customHeight="1" x14ac:dyDescent="0.2">
      <c r="A14" s="48" t="s">
        <v>40</v>
      </c>
      <c r="B14" s="49">
        <f>3+8+5+7</f>
        <v>23</v>
      </c>
      <c r="C14" s="49">
        <v>0</v>
      </c>
      <c r="D14" s="49">
        <f>8+17+19+18</f>
        <v>62</v>
      </c>
      <c r="E14" s="49">
        <f>3+3+3+4</f>
        <v>13</v>
      </c>
      <c r="F14" s="49">
        <v>10</v>
      </c>
      <c r="G14" s="50">
        <f>2400+6857.13+6857.13</f>
        <v>16114.260000000002</v>
      </c>
      <c r="H14" s="50">
        <f>9142.85+15346.74+21600.01+30857.16</f>
        <v>76946.759999999995</v>
      </c>
      <c r="I14" s="51">
        <v>3428.57</v>
      </c>
      <c r="J14" s="50">
        <f>1142.86*6</f>
        <v>6857.16</v>
      </c>
      <c r="K14" s="52">
        <f>1142.86+2476.23</f>
        <v>3619.09</v>
      </c>
      <c r="L14" s="53">
        <v>0</v>
      </c>
      <c r="M14" s="54">
        <v>0</v>
      </c>
      <c r="N14" s="134">
        <f t="shared" si="0"/>
        <v>106965.84</v>
      </c>
    </row>
    <row r="15" spans="1:17" ht="23.1" customHeight="1" x14ac:dyDescent="0.2">
      <c r="A15" s="48" t="s">
        <v>41</v>
      </c>
      <c r="B15" s="49">
        <f>9+4+4+2</f>
        <v>19</v>
      </c>
      <c r="C15" s="49">
        <f>1+1</f>
        <v>2</v>
      </c>
      <c r="D15" s="49">
        <f>19+9+11+2</f>
        <v>41</v>
      </c>
      <c r="E15" s="49">
        <f>5+3+2+1</f>
        <v>11</v>
      </c>
      <c r="F15" s="49">
        <f>4+2+3+1</f>
        <v>10</v>
      </c>
      <c r="G15" s="50">
        <f>13714.26+8571.41+5691.44+4285.71</f>
        <v>32262.819999999996</v>
      </c>
      <c r="H15" s="50">
        <f>43885.71+17428.55+11611.46+2285.71</f>
        <v>75211.430000000008</v>
      </c>
      <c r="I15" s="51">
        <v>0</v>
      </c>
      <c r="J15" s="50">
        <f>1142.86*5</f>
        <v>5714.2999999999993</v>
      </c>
      <c r="K15" s="52">
        <f>3238.08+1428.6+742.86</f>
        <v>5409.54</v>
      </c>
      <c r="L15" s="53">
        <v>2857.15</v>
      </c>
      <c r="M15" s="54">
        <v>0</v>
      </c>
      <c r="N15" s="134">
        <f t="shared" si="0"/>
        <v>121455.23999999999</v>
      </c>
    </row>
    <row r="16" spans="1:17" ht="23.1" customHeight="1" thickBot="1" x14ac:dyDescent="0.25">
      <c r="A16" s="56" t="s">
        <v>55</v>
      </c>
      <c r="B16" s="57">
        <f>4+4+6+4</f>
        <v>18</v>
      </c>
      <c r="C16" s="58">
        <f>1+1</f>
        <v>2</v>
      </c>
      <c r="D16" s="57">
        <f>7+15+17+8</f>
        <v>47</v>
      </c>
      <c r="E16" s="57">
        <f>4+2+2</f>
        <v>8</v>
      </c>
      <c r="F16" s="57">
        <f>5+4+3</f>
        <v>12</v>
      </c>
      <c r="G16" s="59">
        <f>6857.16+13714.28+7131.41+11485.71</f>
        <v>39188.559999999998</v>
      </c>
      <c r="H16" s="59">
        <f>18285.73+1142.87+26856.68+4571.43</f>
        <v>50856.71</v>
      </c>
      <c r="I16" s="60">
        <v>0</v>
      </c>
      <c r="J16" s="59">
        <f>1142.86*3</f>
        <v>3428.58</v>
      </c>
      <c r="K16" s="61">
        <f>1142.86+1657.14</f>
        <v>2800</v>
      </c>
      <c r="L16" s="53">
        <v>21142.86</v>
      </c>
      <c r="M16" s="54">
        <v>0</v>
      </c>
      <c r="N16" s="134">
        <f t="shared" si="0"/>
        <v>117416.70999999999</v>
      </c>
    </row>
    <row r="17" spans="1:16" ht="23.1" hidden="1" customHeight="1" x14ac:dyDescent="0.2">
      <c r="A17" s="62" t="s">
        <v>42</v>
      </c>
      <c r="B17" s="63"/>
      <c r="C17" s="64"/>
      <c r="D17" s="64"/>
      <c r="E17" s="64"/>
      <c r="F17" s="64"/>
      <c r="G17" s="65"/>
      <c r="H17" s="65"/>
      <c r="I17" s="66"/>
      <c r="J17" s="65"/>
      <c r="K17" s="67"/>
      <c r="L17" s="53"/>
      <c r="M17" s="54"/>
      <c r="N17" s="134">
        <f t="shared" si="0"/>
        <v>0</v>
      </c>
    </row>
    <row r="18" spans="1:16" ht="23.1" hidden="1" customHeight="1" x14ac:dyDescent="0.2">
      <c r="A18" s="68" t="s">
        <v>56</v>
      </c>
      <c r="B18" s="69"/>
      <c r="C18" s="69"/>
      <c r="D18" s="69"/>
      <c r="E18" s="69"/>
      <c r="F18" s="69"/>
      <c r="G18" s="70"/>
      <c r="H18" s="70"/>
      <c r="I18" s="71"/>
      <c r="J18" s="70"/>
      <c r="K18" s="70"/>
      <c r="L18" s="53"/>
      <c r="M18" s="54"/>
      <c r="N18" s="134">
        <f t="shared" si="0"/>
        <v>0</v>
      </c>
      <c r="O18" s="72"/>
    </row>
    <row r="19" spans="1:16" ht="23.1" hidden="1" customHeight="1" thickBot="1" x14ac:dyDescent="0.25">
      <c r="A19" s="68" t="s">
        <v>57</v>
      </c>
      <c r="B19" s="73"/>
      <c r="C19" s="73"/>
      <c r="D19" s="73"/>
      <c r="E19" s="73"/>
      <c r="F19" s="73"/>
      <c r="G19" s="67"/>
      <c r="H19" s="67"/>
      <c r="I19" s="74"/>
      <c r="J19" s="67"/>
      <c r="K19" s="67"/>
      <c r="L19" s="65"/>
      <c r="M19" s="89"/>
      <c r="N19" s="135">
        <f t="shared" si="0"/>
        <v>0</v>
      </c>
      <c r="O19" s="72"/>
    </row>
    <row r="20" spans="1:16" ht="23.1" customHeight="1" thickBot="1" x14ac:dyDescent="0.25">
      <c r="A20" s="93" t="s">
        <v>0</v>
      </c>
      <c r="B20" s="94">
        <f t="shared" ref="B20:L20" si="1">SUM(B8:B19)</f>
        <v>135</v>
      </c>
      <c r="C20" s="94">
        <f t="shared" si="1"/>
        <v>48</v>
      </c>
      <c r="D20" s="94">
        <f t="shared" si="1"/>
        <v>407</v>
      </c>
      <c r="E20" s="94">
        <f t="shared" si="1"/>
        <v>100</v>
      </c>
      <c r="F20" s="94">
        <f t="shared" si="1"/>
        <v>83</v>
      </c>
      <c r="G20" s="91">
        <f t="shared" si="1"/>
        <v>196765.55000000002</v>
      </c>
      <c r="H20" s="91">
        <f t="shared" si="1"/>
        <v>626568.81000000006</v>
      </c>
      <c r="I20" s="95">
        <f t="shared" si="1"/>
        <v>5714.29</v>
      </c>
      <c r="J20" s="91">
        <f t="shared" si="1"/>
        <v>60571.58</v>
      </c>
      <c r="K20" s="91">
        <f t="shared" si="1"/>
        <v>34924.03</v>
      </c>
      <c r="L20" s="91">
        <f t="shared" si="1"/>
        <v>50857.18</v>
      </c>
      <c r="M20" s="92">
        <f>SUM(M8:M19)</f>
        <v>11428.57</v>
      </c>
      <c r="N20" s="96">
        <f>SUM(N8:N19)</f>
        <v>986830.01</v>
      </c>
    </row>
    <row r="21" spans="1:16" ht="13.5" customHeight="1" x14ac:dyDescent="0.2">
      <c r="A21" s="75"/>
      <c r="B21" s="37"/>
      <c r="C21" s="37"/>
      <c r="D21" s="37"/>
      <c r="E21" s="37"/>
      <c r="F21" s="37"/>
      <c r="G21" s="37"/>
      <c r="H21" s="76"/>
      <c r="I21" s="18"/>
      <c r="J21" s="35"/>
      <c r="K21" s="35"/>
      <c r="L21" s="35"/>
      <c r="M21" s="35"/>
      <c r="N21" s="30"/>
      <c r="O21" s="5"/>
      <c r="P21" s="37" t="s">
        <v>13</v>
      </c>
    </row>
    <row r="22" spans="1:16" x14ac:dyDescent="0.2">
      <c r="A22" s="20"/>
      <c r="B22" s="35"/>
      <c r="C22" s="77"/>
      <c r="D22" s="77"/>
      <c r="E22" s="77"/>
      <c r="F22" s="77"/>
      <c r="G22" s="35"/>
      <c r="H22" s="77"/>
      <c r="I22" s="35"/>
      <c r="J22" s="35"/>
      <c r="K22" s="35"/>
      <c r="L22" s="35"/>
      <c r="M22" s="35"/>
      <c r="N22" s="78"/>
      <c r="O22" s="79"/>
    </row>
    <row r="23" spans="1:16" x14ac:dyDescent="0.2">
      <c r="A23" s="20"/>
      <c r="B23" s="35"/>
      <c r="C23" s="77"/>
      <c r="D23" s="77"/>
      <c r="E23" s="77"/>
      <c r="F23" s="77"/>
      <c r="G23" s="35"/>
      <c r="H23" s="77"/>
      <c r="I23" s="35"/>
      <c r="J23" s="35"/>
      <c r="K23" s="35"/>
      <c r="L23" s="35"/>
      <c r="M23" s="35"/>
      <c r="N23" s="78"/>
      <c r="O23" s="79"/>
    </row>
    <row r="24" spans="1:16" x14ac:dyDescent="0.2">
      <c r="A24" s="20"/>
      <c r="B24" s="37" t="s">
        <v>21</v>
      </c>
      <c r="C24" s="77"/>
      <c r="D24" s="77"/>
      <c r="E24" s="77"/>
      <c r="F24" s="77"/>
      <c r="G24" s="35"/>
      <c r="H24" s="77"/>
      <c r="I24" s="35"/>
      <c r="J24" s="35"/>
      <c r="K24" s="35"/>
      <c r="L24" s="35"/>
      <c r="M24" s="35"/>
      <c r="N24" s="78"/>
      <c r="O24" s="79"/>
    </row>
    <row r="25" spans="1:16" x14ac:dyDescent="0.2">
      <c r="A25" s="20"/>
      <c r="B25" s="35"/>
      <c r="C25" s="77"/>
      <c r="D25" s="77"/>
      <c r="E25" s="77"/>
      <c r="F25" s="77"/>
      <c r="G25" s="35"/>
      <c r="H25" s="77"/>
      <c r="I25" s="35"/>
      <c r="J25" s="35"/>
      <c r="K25" s="35"/>
      <c r="L25" s="35"/>
      <c r="M25" s="35"/>
      <c r="N25" s="80"/>
      <c r="O25" s="81"/>
    </row>
    <row r="26" spans="1:16" x14ac:dyDescent="0.2">
      <c r="A26" s="20"/>
      <c r="B26" s="19"/>
      <c r="C26" s="20"/>
      <c r="D26" s="20"/>
      <c r="E26" s="20"/>
      <c r="F26" s="20"/>
      <c r="G26" s="19"/>
      <c r="H26" s="20"/>
      <c r="I26" s="19"/>
      <c r="J26" s="19"/>
      <c r="K26" s="19"/>
      <c r="L26" s="19"/>
      <c r="M26" s="19"/>
      <c r="N26" s="80"/>
      <c r="O26" s="5"/>
    </row>
    <row r="27" spans="1:16" x14ac:dyDescent="0.2">
      <c r="A27" s="20"/>
      <c r="B27" s="19"/>
      <c r="C27" s="20"/>
      <c r="D27" s="20"/>
      <c r="E27" s="20"/>
      <c r="F27" s="20"/>
      <c r="G27" s="19"/>
      <c r="H27" s="13"/>
      <c r="N27" s="82"/>
      <c r="O27" s="5"/>
    </row>
    <row r="28" spans="1:16" x14ac:dyDescent="0.2">
      <c r="A28" s="20"/>
      <c r="B28" s="35"/>
      <c r="C28" s="13"/>
      <c r="D28" s="13"/>
      <c r="E28" s="13"/>
      <c r="F28" s="13"/>
      <c r="G28" s="37"/>
      <c r="H28" s="13"/>
      <c r="N28" s="82"/>
      <c r="O28" s="5"/>
    </row>
    <row r="29" spans="1:16" x14ac:dyDescent="0.2">
      <c r="A29" s="20"/>
      <c r="B29" s="35"/>
      <c r="C29" s="77"/>
      <c r="D29" s="77"/>
      <c r="E29" s="77"/>
      <c r="F29" s="77"/>
      <c r="G29" s="35"/>
      <c r="H29" s="77"/>
      <c r="I29" s="35"/>
      <c r="J29" s="35"/>
      <c r="K29" s="35"/>
      <c r="N29" s="82"/>
      <c r="O29" s="5"/>
    </row>
    <row r="30" spans="1:16" x14ac:dyDescent="0.2">
      <c r="A30" s="20"/>
      <c r="B30" s="35"/>
      <c r="C30" s="13"/>
      <c r="D30" s="13"/>
      <c r="E30" s="13"/>
      <c r="F30" s="13"/>
      <c r="G30" s="37"/>
      <c r="H30" s="13"/>
      <c r="N30" s="82"/>
      <c r="O30" s="5"/>
    </row>
    <row r="31" spans="1:16" x14ac:dyDescent="0.2">
      <c r="A31" s="20"/>
      <c r="B31" s="35"/>
      <c r="C31" s="13"/>
      <c r="D31" s="13"/>
      <c r="E31" s="13"/>
      <c r="F31" s="13"/>
      <c r="G31" s="37"/>
      <c r="H31" s="13"/>
      <c r="N31" s="82"/>
      <c r="O31" s="5"/>
    </row>
    <row r="32" spans="1:16" x14ac:dyDescent="0.2">
      <c r="A32" s="20"/>
      <c r="B32" s="37"/>
      <c r="C32" s="13"/>
      <c r="D32" s="13"/>
      <c r="E32" s="13"/>
      <c r="F32" s="13"/>
      <c r="G32" s="37"/>
      <c r="H32" s="13"/>
      <c r="N32" s="82"/>
      <c r="O32" s="5"/>
    </row>
    <row r="33" spans="1:17" x14ac:dyDescent="0.2">
      <c r="A33" s="37"/>
      <c r="E33" s="83"/>
      <c r="J33" s="37"/>
      <c r="K33" s="37"/>
      <c r="L33" s="37"/>
      <c r="M33" s="37"/>
      <c r="N33" s="37"/>
      <c r="Q33" s="37"/>
    </row>
    <row r="34" spans="1:17" x14ac:dyDescent="0.2">
      <c r="A34" s="84"/>
      <c r="B34" s="85"/>
      <c r="C34" s="37"/>
      <c r="D34" s="37"/>
      <c r="E34" s="86"/>
      <c r="J34" s="37"/>
      <c r="K34" s="37"/>
    </row>
    <row r="35" spans="1:17" x14ac:dyDescent="0.2">
      <c r="A35" s="76"/>
      <c r="B35" s="35"/>
      <c r="C35" s="35"/>
      <c r="D35" s="35"/>
      <c r="E35" s="86"/>
      <c r="F35" s="35"/>
      <c r="G35" s="35"/>
      <c r="H35" s="35"/>
      <c r="J35" s="35"/>
      <c r="K35" s="35"/>
      <c r="L35" s="35"/>
      <c r="M35" s="35"/>
      <c r="N35" s="35"/>
    </row>
    <row r="36" spans="1:17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7"/>
    </row>
    <row r="37" spans="1:17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7"/>
    </row>
    <row r="38" spans="1:17" x14ac:dyDescent="0.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7"/>
    </row>
    <row r="39" spans="1:17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</row>
    <row r="41" spans="1:17" x14ac:dyDescent="0.2">
      <c r="A41" s="86"/>
      <c r="F41" s="37"/>
      <c r="G41" s="5"/>
    </row>
    <row r="42" spans="1:17" x14ac:dyDescent="0.2">
      <c r="F42" s="35"/>
      <c r="G42" s="79"/>
      <c r="L42" s="35"/>
      <c r="M42" s="35"/>
      <c r="N42" s="35"/>
    </row>
    <row r="45" spans="1:17" x14ac:dyDescent="0.2">
      <c r="O45" s="35"/>
    </row>
    <row r="46" spans="1:17" x14ac:dyDescent="0.2">
      <c r="B46" s="76"/>
      <c r="C46" s="35"/>
      <c r="D46" s="35"/>
      <c r="E46" s="35"/>
      <c r="F46" s="35"/>
      <c r="J46" s="35"/>
      <c r="K46" s="35"/>
      <c r="L46" s="35"/>
      <c r="M46" s="35"/>
      <c r="N46" s="35"/>
      <c r="O46" s="35"/>
    </row>
    <row r="48" spans="1:17" x14ac:dyDescent="0.2">
      <c r="B48" s="37"/>
    </row>
    <row r="49" spans="2:2" x14ac:dyDescent="0.2">
      <c r="B49" s="37"/>
    </row>
    <row r="50" spans="2:2" x14ac:dyDescent="0.2">
      <c r="B50" s="37"/>
    </row>
  </sheetData>
  <mergeCells count="2">
    <mergeCell ref="A4:N4"/>
    <mergeCell ref="A5:N5"/>
  </mergeCells>
  <printOptions horizontalCentered="1"/>
  <pageMargins left="0.39370078740157483" right="0.39370078740157483" top="1.1811023622047245" bottom="0.39370078740157483" header="0" footer="0"/>
  <pageSetup scale="90" orientation="landscape" r:id="rId1"/>
  <headerFooter alignWithMargins="0"/>
  <ignoredErrors>
    <ignoredError sqref="N10 J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5"/>
  <sheetViews>
    <sheetView workbookViewId="0">
      <selection activeCell="E25" sqref="E25"/>
    </sheetView>
  </sheetViews>
  <sheetFormatPr baseColWidth="10" defaultRowHeight="12.75" x14ac:dyDescent="0.2"/>
  <cols>
    <col min="1" max="1" width="6.7109375" customWidth="1"/>
    <col min="2" max="2" width="13.85546875" customWidth="1"/>
    <col min="3" max="5" width="15.7109375" customWidth="1"/>
  </cols>
  <sheetData>
    <row r="3" spans="2:5" x14ac:dyDescent="0.2">
      <c r="B3" s="97"/>
    </row>
    <row r="4" spans="2:5" x14ac:dyDescent="0.2">
      <c r="B4" s="1"/>
      <c r="C4" s="1"/>
      <c r="D4" s="1"/>
    </row>
    <row r="5" spans="2:5" ht="20.100000000000001" customHeight="1" x14ac:dyDescent="0.2">
      <c r="B5" s="141" t="s">
        <v>43</v>
      </c>
      <c r="C5" s="141"/>
      <c r="D5" s="141"/>
      <c r="E5" s="141"/>
    </row>
    <row r="6" spans="2:5" ht="20.100000000000001" customHeight="1" x14ac:dyDescent="0.2">
      <c r="B6" s="141" t="s">
        <v>44</v>
      </c>
      <c r="C6" s="141"/>
      <c r="D6" s="141"/>
      <c r="E6" s="141"/>
    </row>
    <row r="7" spans="2:5" x14ac:dyDescent="0.2">
      <c r="B7" s="98"/>
      <c r="C7" s="37"/>
      <c r="D7" s="37"/>
      <c r="E7" s="37"/>
    </row>
    <row r="8" spans="2:5" ht="21.95" customHeight="1" x14ac:dyDescent="0.2">
      <c r="B8" s="99"/>
      <c r="C8" s="142" t="s">
        <v>58</v>
      </c>
      <c r="D8" s="143"/>
      <c r="E8" s="144"/>
    </row>
    <row r="9" spans="2:5" ht="27" x14ac:dyDescent="0.2">
      <c r="B9" s="113" t="s">
        <v>20</v>
      </c>
      <c r="C9" s="114" t="s">
        <v>45</v>
      </c>
      <c r="D9" s="115" t="s">
        <v>46</v>
      </c>
      <c r="E9" s="116" t="s">
        <v>47</v>
      </c>
    </row>
    <row r="10" spans="2:5" ht="20.100000000000001" customHeight="1" x14ac:dyDescent="0.2">
      <c r="B10" s="100" t="s">
        <v>3</v>
      </c>
      <c r="C10" s="101">
        <f>7+46+30+17</f>
        <v>100</v>
      </c>
      <c r="D10" s="102">
        <f>11.88+5.22+23.49</f>
        <v>40.590000000000003</v>
      </c>
      <c r="E10" s="103">
        <f>2978.15+33907.48+28398.52+22641.99</f>
        <v>87926.140000000014</v>
      </c>
    </row>
    <row r="11" spans="2:5" ht="20.100000000000001" customHeight="1" x14ac:dyDescent="0.2">
      <c r="B11" s="100" t="s">
        <v>5</v>
      </c>
      <c r="C11" s="101">
        <f>18+25+36+21</f>
        <v>100</v>
      </c>
      <c r="D11" s="102">
        <f>6.39+10.94+33.22</f>
        <v>50.55</v>
      </c>
      <c r="E11" s="104">
        <f>11666.11+19219.7+28439.27+15881.03</f>
        <v>75206.11</v>
      </c>
    </row>
    <row r="12" spans="2:5" ht="20.100000000000001" customHeight="1" x14ac:dyDescent="0.2">
      <c r="B12" s="100" t="s">
        <v>6</v>
      </c>
      <c r="C12" s="101">
        <f>21+16+22+32</f>
        <v>91</v>
      </c>
      <c r="D12" s="105">
        <f>6.54+14.43+7.31</f>
        <v>28.279999999999998</v>
      </c>
      <c r="E12" s="104">
        <f>13476.39+12558.83+17460.14+20509.57</f>
        <v>64004.93</v>
      </c>
    </row>
    <row r="13" spans="2:5" ht="20.100000000000001" customHeight="1" x14ac:dyDescent="0.2">
      <c r="B13" s="100" t="s">
        <v>7</v>
      </c>
      <c r="C13" s="106">
        <f>13+14+31+26</f>
        <v>84</v>
      </c>
      <c r="D13" s="107">
        <f>9.42+2.62+4.69+3.27</f>
        <v>20</v>
      </c>
      <c r="E13" s="104">
        <f>6609.95+10700.32+18314.95+16041.93</f>
        <v>51667.15</v>
      </c>
    </row>
    <row r="14" spans="2:5" ht="20.100000000000001" customHeight="1" x14ac:dyDescent="0.2">
      <c r="B14" s="100" t="s">
        <v>8</v>
      </c>
      <c r="C14" s="101">
        <f>20+12+41+44</f>
        <v>117</v>
      </c>
      <c r="D14" s="104">
        <f>9.32+17.54+4.99</f>
        <v>31.85</v>
      </c>
      <c r="E14" s="104">
        <f>13505.53+7374.9+28965.42+32290.95</f>
        <v>82136.800000000003</v>
      </c>
    </row>
    <row r="15" spans="2:5" ht="20.100000000000001" customHeight="1" x14ac:dyDescent="0.2">
      <c r="B15" s="100" t="s">
        <v>9</v>
      </c>
      <c r="C15" s="101">
        <f>6+29+29+21</f>
        <v>85</v>
      </c>
      <c r="D15" s="109">
        <f>6.85+16.61+10.69</f>
        <v>34.15</v>
      </c>
      <c r="E15" s="104">
        <f>13604.54+22511.11+14754.32+5527.05</f>
        <v>56397.020000000004</v>
      </c>
    </row>
    <row r="16" spans="2:5" ht="20.100000000000001" customHeight="1" x14ac:dyDescent="0.2">
      <c r="B16" s="100" t="s">
        <v>10</v>
      </c>
      <c r="C16" s="101">
        <f>17+31+40+9</f>
        <v>97</v>
      </c>
      <c r="D16" s="145">
        <f>2.28+21.14+33.83+4.66</f>
        <v>61.91</v>
      </c>
      <c r="E16" s="104">
        <f>21135.09+26023.24+34344.32+5894.54</f>
        <v>87397.189999999988</v>
      </c>
    </row>
    <row r="17" spans="2:5" ht="20.100000000000001" customHeight="1" x14ac:dyDescent="0.2">
      <c r="B17" s="100" t="s">
        <v>11</v>
      </c>
      <c r="C17" s="108">
        <f>18+33+33+10</f>
        <v>94</v>
      </c>
      <c r="D17" s="145">
        <f>4.05+19.55+28.64</f>
        <v>52.24</v>
      </c>
      <c r="E17" s="104">
        <f>12397.61+22870.2+24416.53+9857.61</f>
        <v>69541.95</v>
      </c>
    </row>
    <row r="18" spans="2:5" ht="20.100000000000001" customHeight="1" x14ac:dyDescent="0.2">
      <c r="B18" s="100" t="s">
        <v>14</v>
      </c>
      <c r="C18" s="108">
        <f>21+19+38+8</f>
        <v>86</v>
      </c>
      <c r="D18" s="145">
        <f>8.76+4.97+7.83+15.52</f>
        <v>37.08</v>
      </c>
      <c r="E18" s="104">
        <f>12551.84+9883.51+27485.01+8524.05</f>
        <v>58444.41</v>
      </c>
    </row>
    <row r="19" spans="2:5" ht="20.100000000000001" hidden="1" customHeight="1" x14ac:dyDescent="0.2">
      <c r="B19" s="100" t="s">
        <v>16</v>
      </c>
      <c r="C19" s="108"/>
      <c r="D19" s="104"/>
      <c r="E19" s="104"/>
    </row>
    <row r="20" spans="2:5" ht="20.100000000000001" hidden="1" customHeight="1" x14ac:dyDescent="0.2">
      <c r="B20" s="100" t="s">
        <v>17</v>
      </c>
      <c r="C20" s="108"/>
      <c r="D20" s="109"/>
      <c r="E20" s="104"/>
    </row>
    <row r="21" spans="2:5" ht="20.100000000000001" hidden="1" customHeight="1" x14ac:dyDescent="0.2">
      <c r="B21" s="100" t="s">
        <v>18</v>
      </c>
      <c r="C21" s="108"/>
      <c r="D21" s="104"/>
      <c r="E21" s="104"/>
    </row>
    <row r="22" spans="2:5" ht="20.100000000000001" customHeight="1" x14ac:dyDescent="0.2">
      <c r="B22" s="110" t="s">
        <v>0</v>
      </c>
      <c r="C22" s="111">
        <f>SUM(C10:C21)</f>
        <v>854</v>
      </c>
      <c r="D22" s="112">
        <f>SUM(D10:D21)</f>
        <v>356.65000000000003</v>
      </c>
      <c r="E22" s="112">
        <f>SUM(E10:E21)</f>
        <v>632721.70000000007</v>
      </c>
    </row>
    <row r="23" spans="2:5" x14ac:dyDescent="0.2">
      <c r="B23" s="75"/>
      <c r="C23" s="37"/>
      <c r="D23" s="37"/>
      <c r="E23" s="30"/>
    </row>
    <row r="24" spans="2:5" x14ac:dyDescent="0.2">
      <c r="B24" s="37"/>
      <c r="C24" s="37"/>
      <c r="D24" s="37"/>
      <c r="E24" s="37"/>
    </row>
    <row r="25" spans="2:5" x14ac:dyDescent="0.2">
      <c r="B25" s="37" t="s">
        <v>21</v>
      </c>
    </row>
  </sheetData>
  <mergeCells count="3">
    <mergeCell ref="B5:E5"/>
    <mergeCell ref="B6:E6"/>
    <mergeCell ref="C8:E8"/>
  </mergeCells>
  <printOptions horizontalCentered="1"/>
  <pageMargins left="0.70866141732283472" right="0.70866141732283472" top="0.94488188976377963" bottom="0.74803149606299213" header="0.31496062992125984" footer="0.31496062992125984"/>
  <pageSetup scale="120" orientation="portrait" r:id="rId1"/>
  <ignoredErrors>
    <ignoredError sqref="D12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5"/>
  <sheetViews>
    <sheetView workbookViewId="0">
      <selection activeCell="C8" sqref="C8:E8"/>
    </sheetView>
  </sheetViews>
  <sheetFormatPr baseColWidth="10" defaultRowHeight="12.75" x14ac:dyDescent="0.2"/>
  <cols>
    <col min="1" max="1" width="6.7109375" customWidth="1"/>
    <col min="2" max="2" width="13.85546875" customWidth="1"/>
    <col min="3" max="5" width="15.7109375" customWidth="1"/>
  </cols>
  <sheetData>
    <row r="3" spans="2:5" x14ac:dyDescent="0.2">
      <c r="B3" s="97"/>
    </row>
    <row r="4" spans="2:5" x14ac:dyDescent="0.2">
      <c r="B4" s="1"/>
      <c r="C4" s="1"/>
      <c r="D4" s="1"/>
    </row>
    <row r="5" spans="2:5" ht="20.100000000000001" customHeight="1" x14ac:dyDescent="0.2">
      <c r="B5" s="141" t="s">
        <v>48</v>
      </c>
      <c r="C5" s="141"/>
      <c r="D5" s="141"/>
      <c r="E5" s="141"/>
    </row>
    <row r="6" spans="2:5" ht="20.100000000000001" customHeight="1" x14ac:dyDescent="0.2">
      <c r="B6" s="141" t="s">
        <v>49</v>
      </c>
      <c r="C6" s="141"/>
      <c r="D6" s="141"/>
      <c r="E6" s="141"/>
    </row>
    <row r="7" spans="2:5" x14ac:dyDescent="0.2">
      <c r="B7" s="98"/>
      <c r="C7" s="37"/>
      <c r="D7" s="37"/>
      <c r="E7" s="37"/>
    </row>
    <row r="8" spans="2:5" ht="30" customHeight="1" x14ac:dyDescent="0.2">
      <c r="B8" s="99"/>
      <c r="C8" s="142" t="s">
        <v>58</v>
      </c>
      <c r="D8" s="143"/>
      <c r="E8" s="144"/>
    </row>
    <row r="9" spans="2:5" ht="30" customHeight="1" x14ac:dyDescent="0.2">
      <c r="B9" s="113" t="s">
        <v>20</v>
      </c>
      <c r="C9" s="125" t="s">
        <v>50</v>
      </c>
      <c r="D9" s="115" t="s">
        <v>46</v>
      </c>
      <c r="E9" s="118" t="s">
        <v>51</v>
      </c>
    </row>
    <row r="10" spans="2:5" ht="20.100000000000001" customHeight="1" x14ac:dyDescent="0.2">
      <c r="B10" s="100" t="s">
        <v>3</v>
      </c>
      <c r="C10" s="106">
        <f>4+10+5+4</f>
        <v>23</v>
      </c>
      <c r="D10" s="117">
        <f>34.2+64.25+35.31+26.87</f>
        <v>160.63</v>
      </c>
      <c r="E10" s="102">
        <f>7394.37+14792.91+9678.97+5687.42</f>
        <v>37553.67</v>
      </c>
    </row>
    <row r="11" spans="2:5" ht="20.100000000000001" customHeight="1" x14ac:dyDescent="0.2">
      <c r="B11" s="100" t="s">
        <v>5</v>
      </c>
      <c r="C11" s="106">
        <f>1+10+15+9</f>
        <v>35</v>
      </c>
      <c r="D11" s="107">
        <f>54.2+113.65+66.4+3.14</f>
        <v>237.39000000000001</v>
      </c>
      <c r="E11" s="104">
        <f>568.29+12505.05+23314.95+10802.96</f>
        <v>47191.25</v>
      </c>
    </row>
    <row r="12" spans="2:5" ht="20.100000000000001" customHeight="1" x14ac:dyDescent="0.2">
      <c r="B12" s="100" t="s">
        <v>6</v>
      </c>
      <c r="C12" s="106">
        <f>3+5+15+18</f>
        <v>41</v>
      </c>
      <c r="D12" s="107">
        <f>24.05+29.96+89.94+124.66</f>
        <v>268.61</v>
      </c>
      <c r="E12" s="104">
        <f>3975.96+7970.05+17052.95+33589.66</f>
        <v>62588.62</v>
      </c>
    </row>
    <row r="13" spans="2:5" ht="20.100000000000001" customHeight="1" x14ac:dyDescent="0.2">
      <c r="B13" s="100" t="s">
        <v>7</v>
      </c>
      <c r="C13" s="106">
        <f>3+3+8+30</f>
        <v>44</v>
      </c>
      <c r="D13" s="107">
        <f>9.06+16.7+122.34+313.99</f>
        <v>462.09000000000003</v>
      </c>
      <c r="E13" s="104">
        <f>58543.19+23306.25+3411.88+1705.23</f>
        <v>86966.55</v>
      </c>
    </row>
    <row r="14" spans="2:5" ht="20.100000000000001" customHeight="1" x14ac:dyDescent="0.2">
      <c r="B14" s="100" t="s">
        <v>8</v>
      </c>
      <c r="C14" s="106">
        <f>4+5+8+51</f>
        <v>68</v>
      </c>
      <c r="D14" s="136">
        <f>21.06+31.16+41.81+391.01</f>
        <v>485.03999999999996</v>
      </c>
      <c r="E14" s="107">
        <f>4550.37+6254.56+11958.2+87609.06</f>
        <v>110372.19</v>
      </c>
    </row>
    <row r="15" spans="2:5" ht="20.100000000000001" customHeight="1" x14ac:dyDescent="0.2">
      <c r="B15" s="100" t="s">
        <v>9</v>
      </c>
      <c r="C15" s="106">
        <f>4+15+28+15</f>
        <v>62</v>
      </c>
      <c r="D15" s="137">
        <f>75.07+152.36+211.68+212.78</f>
        <v>651.89</v>
      </c>
      <c r="E15" s="107">
        <f>40358.67+54645.5+28419.08+14782.08</f>
        <v>138205.32999999999</v>
      </c>
    </row>
    <row r="16" spans="2:5" ht="20.100000000000001" customHeight="1" x14ac:dyDescent="0.2">
      <c r="B16" s="100" t="s">
        <v>10</v>
      </c>
      <c r="C16" s="106">
        <f>10+20+31+26</f>
        <v>87</v>
      </c>
      <c r="D16" s="146">
        <f>76.24+127.53+236.77+192.54</f>
        <v>633.07999999999993</v>
      </c>
      <c r="E16" s="107">
        <f>15352.35+26729.65+45477.58+37521.79</f>
        <v>125081.37</v>
      </c>
    </row>
    <row r="17" spans="2:5" ht="20.100000000000001" customHeight="1" x14ac:dyDescent="0.2">
      <c r="B17" s="100" t="s">
        <v>11</v>
      </c>
      <c r="C17" s="147">
        <f>7+17+29+8</f>
        <v>61</v>
      </c>
      <c r="D17" s="107">
        <f>61.11+112.02+253.18+57.73</f>
        <v>484.04</v>
      </c>
      <c r="E17" s="104">
        <f>14796.02+22173.72+50604.01+10799.44</f>
        <v>98373.19</v>
      </c>
    </row>
    <row r="18" spans="2:5" ht="20.100000000000001" customHeight="1" x14ac:dyDescent="0.2">
      <c r="B18" s="100" t="s">
        <v>14</v>
      </c>
      <c r="C18" s="147">
        <f>6+8+10+15</f>
        <v>39</v>
      </c>
      <c r="D18" s="148">
        <f>52.86+77.95+91.72+102.34</f>
        <v>324.87</v>
      </c>
      <c r="E18" s="149">
        <f>10232.86+14779.21+16479.73+19897.69</f>
        <v>61389.490000000005</v>
      </c>
    </row>
    <row r="19" spans="2:5" ht="20.100000000000001" hidden="1" customHeight="1" x14ac:dyDescent="0.2">
      <c r="B19" s="100" t="s">
        <v>16</v>
      </c>
      <c r="C19" s="108"/>
      <c r="D19" s="104"/>
      <c r="E19" s="104"/>
    </row>
    <row r="20" spans="2:5" ht="20.100000000000001" hidden="1" customHeight="1" x14ac:dyDescent="0.2">
      <c r="B20" s="100" t="s">
        <v>17</v>
      </c>
      <c r="C20" s="108"/>
      <c r="D20" s="109"/>
      <c r="E20" s="104"/>
    </row>
    <row r="21" spans="2:5" ht="20.100000000000001" hidden="1" customHeight="1" x14ac:dyDescent="0.2">
      <c r="B21" s="100" t="s">
        <v>18</v>
      </c>
      <c r="C21" s="108"/>
      <c r="D21" s="104"/>
      <c r="E21" s="104"/>
    </row>
    <row r="22" spans="2:5" ht="20.100000000000001" customHeight="1" x14ac:dyDescent="0.2">
      <c r="B22" s="110" t="s">
        <v>0</v>
      </c>
      <c r="C22" s="111">
        <f>SUM(C10:C21)</f>
        <v>460</v>
      </c>
      <c r="D22" s="112">
        <f>SUM(D10:D21)</f>
        <v>3707.64</v>
      </c>
      <c r="E22" s="112">
        <f>SUM(E10:E21)</f>
        <v>767721.65999999992</v>
      </c>
    </row>
    <row r="23" spans="2:5" x14ac:dyDescent="0.2">
      <c r="B23" s="75"/>
      <c r="C23" s="37"/>
      <c r="D23" s="37"/>
      <c r="E23" s="30"/>
    </row>
    <row r="24" spans="2:5" x14ac:dyDescent="0.2">
      <c r="B24" s="37"/>
      <c r="C24" s="37"/>
      <c r="D24" s="37"/>
      <c r="E24" s="37"/>
    </row>
    <row r="25" spans="2:5" x14ac:dyDescent="0.2">
      <c r="B25" s="37" t="s">
        <v>21</v>
      </c>
    </row>
  </sheetData>
  <mergeCells count="3">
    <mergeCell ref="B5:E5"/>
    <mergeCell ref="B6:E6"/>
    <mergeCell ref="C8:E8"/>
  </mergeCells>
  <printOptions horizontalCentered="1"/>
  <pageMargins left="0.70866141732283472" right="0.70866141732283472" top="0.94488188976377963" bottom="0.74803149606299213" header="0.31496062992125984" footer="0.31496062992125984"/>
  <pageSetup scale="1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FALLECIDOS POR SEXO 2014 </vt:lpstr>
      <vt:lpstr>SEGUROS PAGADOS AÑO 2014</vt:lpstr>
      <vt:lpstr>Valores de Rescate pagados 2014</vt:lpstr>
      <vt:lpstr>Pago SVD Venc. de póliza 2014</vt:lpstr>
      <vt:lpstr>'FALLECIDOS POR SEXO 2014 '!Área_de_impresión</vt:lpstr>
      <vt:lpstr>'Pago SVD Venc. de póliza 2014'!Área_de_impresión</vt:lpstr>
      <vt:lpstr>'SEGUROS PAGADOS AÑO 2014'!Área_de_impresión</vt:lpstr>
      <vt:lpstr>'Valores de Rescate pagados 2014'!Área_de_impresión</vt:lpstr>
    </vt:vector>
  </TitlesOfParts>
  <Company>Caja Mutual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Cecilia Medina</cp:lastModifiedBy>
  <cp:lastPrinted>2014-07-28T20:33:24Z</cp:lastPrinted>
  <dcterms:created xsi:type="dcterms:W3CDTF">2002-04-29T19:59:45Z</dcterms:created>
  <dcterms:modified xsi:type="dcterms:W3CDTF">2015-02-19T19:50:33Z</dcterms:modified>
</cp:coreProperties>
</file>