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"/>
    </mc:Choice>
  </mc:AlternateContent>
  <xr:revisionPtr revIDLastSave="74" documentId="8_{004FFFE6-A692-4313-8847-305E782CA8AD}" xr6:coauthVersionLast="47" xr6:coauthVersionMax="47" xr10:uidLastSave="{4A574D86-C9EF-4DAA-8DA3-49163401218A}"/>
  <bookViews>
    <workbookView xWindow="-120" yWindow="-120" windowWidth="20730" windowHeight="1104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H19" i="4"/>
  <c r="G19" i="4"/>
  <c r="M19" i="4"/>
  <c r="J19" i="4"/>
  <c r="N19" i="4"/>
  <c r="M18" i="4" l="1"/>
  <c r="N18" i="4"/>
  <c r="J18" i="4"/>
  <c r="H18" i="4"/>
  <c r="G18" i="4"/>
  <c r="J17" i="4"/>
  <c r="N17" i="4"/>
  <c r="D17" i="4"/>
  <c r="H17" i="4"/>
  <c r="O17" i="4"/>
  <c r="G17" i="4"/>
  <c r="M17" i="4"/>
  <c r="D16" i="4"/>
  <c r="H16" i="4" l="1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B7" i="17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<sst xmlns="http://schemas.openxmlformats.org/spreadsheetml/2006/main" count="206" uniqueCount="96">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</sst>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</borders>
  <cellStyleXfs count="28">
    <xf numFmtId="0" fontId="0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30" fillId="0" borderId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10" fillId="0" borderId="0" xfId="0" applyFont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6" fillId="0" borderId="0" xfId="0" applyFont="1"/>
    <xf numFmtId="9" fontId="0" fillId="0" borderId="0" xfId="11" applyFont="1"/>
    <xf numFmtId="0" fontId="15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0" fillId="0" borderId="2" xfId="0" applyFont="1" applyBorder="1"/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left"/>
    </xf>
    <xf numFmtId="0" fontId="20" fillId="0" borderId="0" xfId="0" applyFont="1"/>
    <xf numFmtId="17" fontId="24" fillId="0" borderId="2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166" fontId="9" fillId="0" borderId="1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6" fontId="0" fillId="0" borderId="0" xfId="0" applyNumberFormat="1"/>
    <xf numFmtId="0" fontId="21" fillId="0" borderId="0" xfId="0" applyFont="1" applyAlignment="1">
      <alignment horizontal="center"/>
    </xf>
    <xf numFmtId="0" fontId="30" fillId="0" borderId="0" xfId="7"/>
    <xf numFmtId="0" fontId="20" fillId="0" borderId="0" xfId="7" applyFont="1" applyAlignment="1">
      <alignment horizontal="center"/>
    </xf>
    <xf numFmtId="0" fontId="10" fillId="0" borderId="0" xfId="7" applyFont="1"/>
    <xf numFmtId="0" fontId="11" fillId="0" borderId="0" xfId="7" applyFont="1"/>
    <xf numFmtId="165" fontId="10" fillId="0" borderId="0" xfId="7" applyNumberFormat="1" applyFont="1"/>
    <xf numFmtId="0" fontId="14" fillId="0" borderId="0" xfId="7" applyFont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center"/>
    </xf>
    <xf numFmtId="0" fontId="20" fillId="0" borderId="0" xfId="7" applyFont="1"/>
    <xf numFmtId="17" fontId="24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10" fillId="0" borderId="0" xfId="11" applyNumberFormat="1" applyFont="1"/>
    <xf numFmtId="1" fontId="0" fillId="0" borderId="0" xfId="11" applyNumberFormat="1" applyFont="1"/>
    <xf numFmtId="166" fontId="10" fillId="0" borderId="0" xfId="11" applyNumberFormat="1" applyFont="1"/>
    <xf numFmtId="0" fontId="9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10" fillId="0" borderId="0" xfId="11" applyNumberFormat="1" applyFont="1"/>
    <xf numFmtId="165" fontId="10" fillId="0" borderId="0" xfId="5" applyFont="1"/>
    <xf numFmtId="166" fontId="9" fillId="0" borderId="12" xfId="0" applyNumberFormat="1" applyFont="1" applyBorder="1" applyAlignment="1">
      <alignment horizontal="center"/>
    </xf>
    <xf numFmtId="9" fontId="9" fillId="0" borderId="0" xfId="11" applyFont="1" applyFill="1" applyBorder="1" applyAlignment="1">
      <alignment horizontal="center"/>
    </xf>
    <xf numFmtId="0" fontId="32" fillId="0" borderId="0" xfId="7" applyFont="1"/>
    <xf numFmtId="0" fontId="33" fillId="0" borderId="0" xfId="0" applyFont="1"/>
    <xf numFmtId="0" fontId="20" fillId="0" borderId="0" xfId="0" applyFont="1" applyAlignment="1">
      <alignment vertical="center"/>
    </xf>
    <xf numFmtId="0" fontId="20" fillId="0" borderId="0" xfId="7" applyFont="1" applyAlignment="1">
      <alignment vertical="center"/>
    </xf>
    <xf numFmtId="166" fontId="34" fillId="0" borderId="0" xfId="0" applyNumberFormat="1" applyFont="1"/>
    <xf numFmtId="0" fontId="10" fillId="0" borderId="2" xfId="9" applyBorder="1"/>
    <xf numFmtId="0" fontId="22" fillId="0" borderId="9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0" fontId="22" fillId="0" borderId="3" xfId="9" applyFont="1" applyBorder="1" applyAlignment="1">
      <alignment horizontal="center" vertical="center" wrapText="1"/>
    </xf>
    <xf numFmtId="0" fontId="22" fillId="0" borderId="10" xfId="9" applyFont="1" applyBorder="1" applyAlignment="1">
      <alignment horizontal="center" vertical="center" wrapText="1"/>
    </xf>
    <xf numFmtId="0" fontId="22" fillId="0" borderId="4" xfId="9" applyFont="1" applyBorder="1" applyAlignment="1">
      <alignment horizontal="center" vertical="center" wrapText="1"/>
    </xf>
    <xf numFmtId="0" fontId="23" fillId="0" borderId="10" xfId="9" applyFont="1" applyBorder="1" applyAlignment="1">
      <alignment horizontal="center" vertical="center" wrapText="1"/>
    </xf>
    <xf numFmtId="165" fontId="11" fillId="0" borderId="15" xfId="5" applyFont="1" applyBorder="1" applyAlignment="1">
      <alignment horizontal="center"/>
    </xf>
    <xf numFmtId="17" fontId="11" fillId="0" borderId="16" xfId="0" applyNumberFormat="1" applyFont="1" applyBorder="1" applyAlignment="1">
      <alignment horizontal="center"/>
    </xf>
    <xf numFmtId="17" fontId="11" fillId="0" borderId="17" xfId="0" applyNumberFormat="1" applyFont="1" applyBorder="1" applyAlignment="1">
      <alignment horizontal="center"/>
    </xf>
    <xf numFmtId="17" fontId="11" fillId="0" borderId="18" xfId="0" applyNumberFormat="1" applyFont="1" applyBorder="1" applyAlignment="1">
      <alignment horizontal="center"/>
    </xf>
    <xf numFmtId="17" fontId="11" fillId="0" borderId="19" xfId="0" applyNumberFormat="1" applyFont="1" applyBorder="1" applyAlignment="1">
      <alignment horizontal="center"/>
    </xf>
    <xf numFmtId="165" fontId="11" fillId="0" borderId="0" xfId="0" applyNumberFormat="1" applyFont="1"/>
    <xf numFmtId="166" fontId="10" fillId="0" borderId="0" xfId="7" applyNumberFormat="1" applyFont="1"/>
    <xf numFmtId="165" fontId="9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0" fontId="36" fillId="0" borderId="21" xfId="11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165" fontId="11" fillId="0" borderId="26" xfId="5" applyFont="1" applyBorder="1" applyAlignment="1">
      <alignment horizontal="center"/>
    </xf>
    <xf numFmtId="17" fontId="11" fillId="0" borderId="27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wrapText="1" shrinkToFit="1"/>
    </xf>
    <xf numFmtId="165" fontId="11" fillId="0" borderId="31" xfId="5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5" fontId="12" fillId="0" borderId="32" xfId="4" applyFont="1" applyBorder="1" applyAlignment="1">
      <alignment horizontal="center"/>
    </xf>
    <xf numFmtId="165" fontId="12" fillId="0" borderId="33" xfId="4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4" fontId="0" fillId="0" borderId="0" xfId="0" applyNumberFormat="1"/>
    <xf numFmtId="165" fontId="9" fillId="0" borderId="23" xfId="0" applyNumberFormat="1" applyFont="1" applyBorder="1" applyAlignment="1">
      <alignment horizontal="center"/>
    </xf>
    <xf numFmtId="165" fontId="36" fillId="0" borderId="0" xfId="4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/>
    </xf>
    <xf numFmtId="165" fontId="11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/>
    </xf>
    <xf numFmtId="165" fontId="38" fillId="0" borderId="31" xfId="4" applyFont="1" applyBorder="1" applyAlignment="1">
      <alignment horizontal="justify" vertical="center" wrapText="1"/>
    </xf>
    <xf numFmtId="10" fontId="38" fillId="0" borderId="40" xfId="11" applyNumberFormat="1" applyFont="1" applyBorder="1" applyAlignment="1">
      <alignment horizontal="center" vertical="center" wrapText="1"/>
    </xf>
    <xf numFmtId="0" fontId="29" fillId="0" borderId="41" xfId="0" applyFont="1" applyBorder="1"/>
    <xf numFmtId="0" fontId="10" fillId="0" borderId="21" xfId="0" applyFont="1" applyBorder="1" applyAlignment="1">
      <alignment horizontal="center"/>
    </xf>
    <xf numFmtId="10" fontId="38" fillId="0" borderId="21" xfId="11" applyNumberFormat="1" applyFont="1" applyBorder="1" applyAlignment="1">
      <alignment horizontal="center" vertical="center" wrapText="1"/>
    </xf>
    <xf numFmtId="10" fontId="38" fillId="0" borderId="41" xfId="11" applyNumberFormat="1" applyFont="1" applyBorder="1" applyAlignment="1">
      <alignment horizontal="center" vertical="center" wrapText="1"/>
    </xf>
    <xf numFmtId="10" fontId="37" fillId="0" borderId="22" xfId="11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justify" vertical="center" wrapText="1"/>
    </xf>
    <xf numFmtId="165" fontId="38" fillId="0" borderId="42" xfId="4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17" fontId="39" fillId="0" borderId="5" xfId="7" applyNumberFormat="1" applyFont="1" applyBorder="1" applyAlignment="1">
      <alignment horizontal="left"/>
    </xf>
    <xf numFmtId="0" fontId="39" fillId="0" borderId="5" xfId="7" applyFont="1" applyBorder="1" applyAlignment="1">
      <alignment horizontal="center"/>
    </xf>
    <xf numFmtId="44" fontId="39" fillId="0" borderId="5" xfId="6" applyFont="1" applyBorder="1" applyAlignment="1">
      <alignment horizontal="center"/>
    </xf>
    <xf numFmtId="166" fontId="39" fillId="0" borderId="5" xfId="7" applyNumberFormat="1" applyFont="1" applyBorder="1" applyAlignment="1">
      <alignment horizontal="center"/>
    </xf>
    <xf numFmtId="17" fontId="39" fillId="0" borderId="5" xfId="9" applyNumberFormat="1" applyFont="1" applyBorder="1" applyAlignment="1">
      <alignment horizontal="left"/>
    </xf>
    <xf numFmtId="0" fontId="40" fillId="0" borderId="5" xfId="7" applyFont="1" applyBorder="1"/>
    <xf numFmtId="0" fontId="40" fillId="0" borderId="6" xfId="0" applyFont="1" applyBorder="1" applyAlignment="1">
      <alignment horizontal="center"/>
    </xf>
    <xf numFmtId="44" fontId="40" fillId="0" borderId="6" xfId="0" applyNumberFormat="1" applyFont="1" applyBorder="1" applyAlignment="1">
      <alignment horizontal="center"/>
    </xf>
    <xf numFmtId="166" fontId="40" fillId="0" borderId="6" xfId="0" applyNumberFormat="1" applyFont="1" applyBorder="1" applyAlignment="1">
      <alignment horizontal="center"/>
    </xf>
    <xf numFmtId="166" fontId="40" fillId="0" borderId="1" xfId="0" applyNumberFormat="1" applyFont="1" applyBorder="1" applyAlignment="1">
      <alignment horizontal="center"/>
    </xf>
    <xf numFmtId="17" fontId="10" fillId="0" borderId="11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165" fontId="10" fillId="0" borderId="5" xfId="4" applyFont="1" applyBorder="1" applyAlignment="1">
      <alignment horizontal="center" vertical="center"/>
    </xf>
    <xf numFmtId="17" fontId="10" fillId="0" borderId="43" xfId="0" applyNumberFormat="1" applyFont="1" applyBorder="1" applyAlignment="1">
      <alignment horizontal="left"/>
    </xf>
    <xf numFmtId="165" fontId="38" fillId="0" borderId="0" xfId="4" applyFont="1" applyBorder="1" applyAlignment="1">
      <alignment horizontal="left" vertical="center" wrapText="1"/>
    </xf>
    <xf numFmtId="10" fontId="38" fillId="0" borderId="0" xfId="11" applyNumberFormat="1" applyFont="1" applyBorder="1" applyAlignment="1">
      <alignment horizontal="center" vertical="center" wrapText="1"/>
    </xf>
    <xf numFmtId="10" fontId="38" fillId="0" borderId="44" xfId="11" applyNumberFormat="1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/>
    </xf>
    <xf numFmtId="10" fontId="38" fillId="0" borderId="22" xfId="11" applyNumberFormat="1" applyFont="1" applyBorder="1" applyAlignment="1">
      <alignment horizontal="center" vertical="center" wrapText="1"/>
    </xf>
    <xf numFmtId="0" fontId="36" fillId="0" borderId="46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justify" vertical="center" wrapText="1"/>
    </xf>
    <xf numFmtId="0" fontId="28" fillId="0" borderId="47" xfId="0" applyFont="1" applyBorder="1"/>
    <xf numFmtId="10" fontId="36" fillId="0" borderId="41" xfId="11" applyNumberFormat="1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6" fillId="0" borderId="44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justify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6" fillId="0" borderId="41" xfId="4" applyFont="1" applyBorder="1" applyAlignment="1">
      <alignment horizontal="justify" vertical="center" wrapText="1"/>
    </xf>
    <xf numFmtId="165" fontId="9" fillId="0" borderId="22" xfId="0" applyNumberFormat="1" applyFont="1" applyBorder="1" applyAlignment="1">
      <alignment horizontal="center"/>
    </xf>
    <xf numFmtId="0" fontId="41" fillId="0" borderId="0" xfId="0" applyFont="1"/>
    <xf numFmtId="10" fontId="35" fillId="0" borderId="22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0" fontId="36" fillId="0" borderId="0" xfId="11" applyNumberFormat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4" fillId="0" borderId="0" xfId="0" applyFont="1"/>
    <xf numFmtId="0" fontId="42" fillId="0" borderId="0" xfId="0" applyFont="1" applyAlignment="1">
      <alignment horizontal="center" wrapText="1"/>
    </xf>
    <xf numFmtId="165" fontId="33" fillId="0" borderId="49" xfId="5" applyFont="1" applyBorder="1" applyAlignment="1">
      <alignment horizontal="center"/>
    </xf>
    <xf numFmtId="164" fontId="34" fillId="0" borderId="0" xfId="0" applyNumberFormat="1" applyFont="1"/>
    <xf numFmtId="165" fontId="34" fillId="0" borderId="0" xfId="0" applyNumberFormat="1" applyFont="1"/>
    <xf numFmtId="44" fontId="34" fillId="0" borderId="0" xfId="0" applyNumberFormat="1" applyFont="1"/>
    <xf numFmtId="44" fontId="43" fillId="0" borderId="0" xfId="0" applyNumberFormat="1" applyFont="1"/>
    <xf numFmtId="165" fontId="33" fillId="0" borderId="0" xfId="5" applyFont="1" applyFill="1" applyBorder="1" applyAlignment="1">
      <alignment horizontal="center"/>
    </xf>
    <xf numFmtId="165" fontId="44" fillId="0" borderId="22" xfId="4" applyFont="1" applyBorder="1" applyAlignment="1">
      <alignment horizontal="center"/>
    </xf>
    <xf numFmtId="165" fontId="44" fillId="0" borderId="0" xfId="4" applyFont="1" applyBorder="1" applyAlignment="1">
      <alignment horizontal="center"/>
    </xf>
    <xf numFmtId="164" fontId="45" fillId="0" borderId="0" xfId="11" applyNumberFormat="1" applyFont="1"/>
    <xf numFmtId="0" fontId="33" fillId="0" borderId="42" xfId="0" applyFont="1" applyBorder="1"/>
    <xf numFmtId="9" fontId="34" fillId="0" borderId="0" xfId="11" applyFont="1"/>
    <xf numFmtId="0" fontId="45" fillId="0" borderId="0" xfId="0" applyFont="1"/>
    <xf numFmtId="0" fontId="10" fillId="0" borderId="4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5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5" fontId="38" fillId="0" borderId="39" xfId="4" applyFont="1" applyBorder="1" applyAlignment="1">
      <alignment horizontal="left" vertical="center" wrapText="1"/>
    </xf>
    <xf numFmtId="0" fontId="37" fillId="0" borderId="3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38" fillId="0" borderId="21" xfId="0" applyFont="1" applyBorder="1" applyAlignment="1">
      <alignment horizontal="center" vertical="center" wrapText="1"/>
    </xf>
    <xf numFmtId="10" fontId="38" fillId="0" borderId="51" xfId="11" applyNumberFormat="1" applyFont="1" applyBorder="1" applyAlignment="1">
      <alignment horizontal="center" vertical="center" wrapText="1"/>
    </xf>
    <xf numFmtId="10" fontId="38" fillId="0" borderId="37" xfId="11" applyNumberFormat="1" applyFont="1" applyBorder="1" applyAlignment="1">
      <alignment horizontal="center" vertical="center" wrapText="1"/>
    </xf>
    <xf numFmtId="10" fontId="38" fillId="0" borderId="20" xfId="11" applyNumberFormat="1" applyFont="1" applyBorder="1" applyAlignment="1">
      <alignment horizontal="center" vertical="center"/>
    </xf>
    <xf numFmtId="165" fontId="38" fillId="0" borderId="40" xfId="4" applyFont="1" applyBorder="1" applyAlignment="1">
      <alignment horizontal="left" vertical="center" wrapText="1"/>
    </xf>
    <xf numFmtId="165" fontId="38" fillId="0" borderId="21" xfId="4" applyFont="1" applyBorder="1" applyAlignment="1">
      <alignment horizontal="left" vertical="center" wrapText="1"/>
    </xf>
    <xf numFmtId="165" fontId="37" fillId="0" borderId="14" xfId="4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center"/>
    </xf>
    <xf numFmtId="165" fontId="37" fillId="0" borderId="34" xfId="4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37" fillId="0" borderId="23" xfId="0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44" fontId="9" fillId="0" borderId="0" xfId="0" applyNumberFormat="1" applyFont="1" applyAlignment="1">
      <alignment wrapText="1"/>
    </xf>
    <xf numFmtId="44" fontId="9" fillId="0" borderId="14" xfId="0" applyNumberFormat="1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28" fillId="0" borderId="21" xfId="0" applyFont="1" applyBorder="1" applyAlignment="1">
      <alignment horizontal="justify" vertical="center" wrapText="1"/>
    </xf>
    <xf numFmtId="44" fontId="10" fillId="0" borderId="0" xfId="0" applyNumberFormat="1" applyFont="1"/>
    <xf numFmtId="168" fontId="34" fillId="0" borderId="0" xfId="0" applyNumberFormat="1" applyFont="1"/>
    <xf numFmtId="0" fontId="38" fillId="0" borderId="54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1" fillId="0" borderId="0" xfId="0" applyFont="1" applyAlignment="1">
      <alignment horizontal="right"/>
    </xf>
    <xf numFmtId="165" fontId="38" fillId="0" borderId="55" xfId="4" applyFont="1" applyBorder="1" applyAlignment="1">
      <alignment horizontal="left" vertical="center" wrapText="1"/>
    </xf>
    <xf numFmtId="165" fontId="37" fillId="0" borderId="22" xfId="4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/>
    </xf>
    <xf numFmtId="44" fontId="48" fillId="0" borderId="0" xfId="0" applyNumberFormat="1" applyFont="1"/>
    <xf numFmtId="0" fontId="49" fillId="0" borderId="0" xfId="0" applyFont="1"/>
    <xf numFmtId="0" fontId="44" fillId="0" borderId="0" xfId="0" applyFont="1"/>
    <xf numFmtId="0" fontId="50" fillId="0" borderId="0" xfId="0" applyFont="1"/>
    <xf numFmtId="3" fontId="34" fillId="0" borderId="0" xfId="0" applyNumberFormat="1" applyFont="1"/>
    <xf numFmtId="17" fontId="34" fillId="0" borderId="0" xfId="0" applyNumberFormat="1" applyFont="1" applyAlignment="1">
      <alignment horizontal="right"/>
    </xf>
    <xf numFmtId="0" fontId="23" fillId="0" borderId="56" xfId="9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42" xfId="0" applyFont="1" applyBorder="1"/>
    <xf numFmtId="0" fontId="11" fillId="0" borderId="42" xfId="0" applyFont="1" applyBorder="1"/>
    <xf numFmtId="165" fontId="12" fillId="0" borderId="0" xfId="0" applyNumberFormat="1" applyFont="1"/>
    <xf numFmtId="0" fontId="14" fillId="0" borderId="0" xfId="0" applyFont="1" applyAlignment="1">
      <alignment horizontal="left"/>
    </xf>
    <xf numFmtId="16" fontId="33" fillId="0" borderId="0" xfId="0" applyNumberFormat="1" applyFont="1" applyAlignment="1">
      <alignment horizontal="right"/>
    </xf>
    <xf numFmtId="0" fontId="38" fillId="0" borderId="39" xfId="4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0" xfId="7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" fontId="24" fillId="0" borderId="0" xfId="7" applyNumberFormat="1" applyFont="1" applyAlignment="1">
      <alignment horizontal="left"/>
    </xf>
    <xf numFmtId="0" fontId="39" fillId="0" borderId="0" xfId="7" applyFont="1" applyAlignment="1">
      <alignment horizontal="center"/>
    </xf>
    <xf numFmtId="44" fontId="39" fillId="0" borderId="0" xfId="6" applyFont="1" applyBorder="1" applyAlignment="1">
      <alignment horizontal="center"/>
    </xf>
    <xf numFmtId="166" fontId="39" fillId="0" borderId="0" xfId="7" applyNumberFormat="1" applyFont="1" applyAlignment="1">
      <alignment horizontal="center"/>
    </xf>
    <xf numFmtId="44" fontId="8" fillId="0" borderId="0" xfId="6" applyFont="1" applyBorder="1"/>
    <xf numFmtId="0" fontId="9" fillId="0" borderId="0" xfId="7" applyFont="1"/>
    <xf numFmtId="0" fontId="9" fillId="0" borderId="0" xfId="7" applyFont="1" applyAlignment="1">
      <alignment horizontal="center"/>
    </xf>
    <xf numFmtId="44" fontId="15" fillId="0" borderId="0" xfId="6" applyFont="1" applyBorder="1" applyAlignment="1">
      <alignment horizontal="center"/>
    </xf>
    <xf numFmtId="166" fontId="15" fillId="0" borderId="0" xfId="6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0" fontId="25" fillId="0" borderId="0" xfId="7" applyFont="1"/>
    <xf numFmtId="17" fontId="24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165" fontId="10" fillId="0" borderId="0" xfId="5" applyFont="1" applyBorder="1" applyAlignment="1">
      <alignment horizontal="center" vertical="center"/>
    </xf>
    <xf numFmtId="165" fontId="10" fillId="0" borderId="0" xfId="5" applyFont="1" applyFill="1" applyBorder="1" applyAlignment="1">
      <alignment horizontal="center" vertical="center"/>
    </xf>
    <xf numFmtId="165" fontId="9" fillId="0" borderId="0" xfId="5" applyFont="1" applyBorder="1" applyAlignment="1">
      <alignment horizontal="center"/>
    </xf>
    <xf numFmtId="0" fontId="25" fillId="0" borderId="0" xfId="0" applyFont="1"/>
    <xf numFmtId="0" fontId="0" fillId="0" borderId="69" xfId="0" applyBorder="1"/>
    <xf numFmtId="166" fontId="9" fillId="0" borderId="0" xfId="0" applyNumberFormat="1" applyFont="1" applyAlignment="1">
      <alignment horizontal="center"/>
    </xf>
    <xf numFmtId="44" fontId="7" fillId="0" borderId="5" xfId="15" applyFont="1" applyBorder="1"/>
    <xf numFmtId="0" fontId="39" fillId="0" borderId="15" xfId="7" applyFont="1" applyBorder="1" applyAlignment="1">
      <alignment horizontal="center"/>
    </xf>
    <xf numFmtId="44" fontId="7" fillId="0" borderId="70" xfId="15" applyFont="1" applyBorder="1"/>
    <xf numFmtId="44" fontId="6" fillId="0" borderId="70" xfId="17" applyFont="1" applyBorder="1"/>
    <xf numFmtId="44" fontId="6" fillId="0" borderId="5" xfId="17" applyFont="1" applyBorder="1"/>
    <xf numFmtId="44" fontId="6" fillId="0" borderId="71" xfId="17" applyFont="1" applyBorder="1"/>
    <xf numFmtId="44" fontId="5" fillId="0" borderId="70" xfId="19" applyFont="1" applyBorder="1"/>
    <xf numFmtId="44" fontId="5" fillId="0" borderId="5" xfId="19" applyFont="1" applyBorder="1"/>
    <xf numFmtId="44" fontId="4" fillId="0" borderId="70" xfId="21" applyFont="1" applyBorder="1"/>
    <xf numFmtId="44" fontId="4" fillId="0" borderId="5" xfId="21" applyFont="1" applyBorder="1"/>
    <xf numFmtId="44" fontId="6" fillId="0" borderId="72" xfId="17" applyFont="1" applyBorder="1"/>
    <xf numFmtId="44" fontId="6" fillId="0" borderId="73" xfId="17" applyFont="1" applyBorder="1"/>
    <xf numFmtId="44" fontId="5" fillId="0" borderId="73" xfId="19" applyFont="1" applyBorder="1"/>
    <xf numFmtId="44" fontId="3" fillId="0" borderId="70" xfId="23" applyFont="1" applyBorder="1"/>
    <xf numFmtId="44" fontId="3" fillId="0" borderId="5" xfId="23" applyFont="1" applyBorder="1"/>
    <xf numFmtId="44" fontId="2" fillId="0" borderId="5" xfId="25" applyFont="1" applyBorder="1"/>
    <xf numFmtId="0" fontId="10" fillId="0" borderId="4" xfId="0" applyFont="1" applyBorder="1" applyAlignment="1">
      <alignment horizontal="center"/>
    </xf>
    <xf numFmtId="44" fontId="3" fillId="0" borderId="74" xfId="23" applyFont="1" applyBorder="1"/>
    <xf numFmtId="0" fontId="10" fillId="0" borderId="7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" fillId="0" borderId="5" xfId="27" applyFont="1" applyBorder="1"/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27" fillId="0" borderId="59" xfId="0" applyFont="1" applyBorder="1" applyAlignment="1">
      <alignment horizontal="center" vertical="center" wrapText="1" shrinkToFit="1"/>
    </xf>
    <xf numFmtId="0" fontId="27" fillId="0" borderId="28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42" fillId="0" borderId="53" xfId="0" applyFont="1" applyBorder="1" applyAlignment="1">
      <alignment horizontal="center" vertical="center" wrapText="1" shrinkToFit="1"/>
    </xf>
    <xf numFmtId="0" fontId="42" fillId="0" borderId="62" xfId="0" applyFont="1" applyBorder="1" applyAlignment="1">
      <alignment horizontal="center" vertical="center" wrapText="1" shrinkToFit="1"/>
    </xf>
    <xf numFmtId="0" fontId="23" fillId="0" borderId="0" xfId="7" applyFont="1" applyAlignment="1">
      <alignment horizontal="center"/>
    </xf>
    <xf numFmtId="0" fontId="23" fillId="0" borderId="65" xfId="9" applyFont="1" applyBorder="1" applyAlignment="1">
      <alignment horizontal="center" vertical="center" wrapText="1"/>
    </xf>
    <xf numFmtId="0" fontId="23" fillId="0" borderId="66" xfId="9" applyFont="1" applyBorder="1" applyAlignment="1">
      <alignment horizontal="center" vertical="center" wrapText="1"/>
    </xf>
    <xf numFmtId="0" fontId="23" fillId="0" borderId="67" xfId="9" applyFont="1" applyBorder="1" applyAlignment="1">
      <alignment horizontal="center" vertical="center" wrapText="1"/>
    </xf>
    <xf numFmtId="0" fontId="26" fillId="0" borderId="68" xfId="7" applyFont="1" applyBorder="1" applyAlignment="1">
      <alignment horizontal="center"/>
    </xf>
    <xf numFmtId="0" fontId="26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10" xfId="27" xr:uid="{F75CF2A7-A1F5-44BD-9001-56B056F1E7BB}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Moneda 9" xfId="25" xr:uid="{C636AD45-69A3-42EF-80B4-C6B50EDA0A58}"/>
    <cellStyle name="Normal" xfId="0" builtinId="0"/>
    <cellStyle name="Normal 10" xfId="26" xr:uid="{F6157F7F-0C96-46C0-8356-A68F415D4B02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Normal 9" xfId="24" xr:uid="{2ECF3057-0A18-41FA-92DF-F41F6355B9F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368479.84</c:v>
                </c:pt>
                <c:pt idx="1">
                  <c:v>1195811.53</c:v>
                </c:pt>
                <c:pt idx="2">
                  <c:v>19428.600000000002</c:v>
                </c:pt>
                <c:pt idx="3">
                  <c:v>22076.760000000002</c:v>
                </c:pt>
                <c:pt idx="4">
                  <c:v>68184.87</c:v>
                </c:pt>
                <c:pt idx="5">
                  <c:v>125714.59999999999</c:v>
                </c:pt>
                <c:pt idx="6">
                  <c:v>584360.2699999999</c:v>
                </c:pt>
                <c:pt idx="7">
                  <c:v>1168000.74</c:v>
                </c:pt>
                <c:pt idx="8">
                  <c:v>121637.30000000002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SEPTIEMBRE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47142.83</c:v>
                </c:pt>
                <c:pt idx="1">
                  <c:v>111165.68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0</c:v>
                </c:pt>
                <c:pt idx="6">
                  <c:v>7471.44</c:v>
                </c:pt>
                <c:pt idx="7">
                  <c:v>16000.039999999999</c:v>
                </c:pt>
                <c:pt idx="8">
                  <c:v>75033.539999999994</c:v>
                </c:pt>
                <c:pt idx="9">
                  <c:v>91428.62999999999</c:v>
                </c:pt>
                <c:pt idx="10">
                  <c:v>19011.07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2">
        <f>'1. RESUMEN DE PAGADOS '!B21+'1. RESUMEN DE PAGADOS '!C21</f>
        <v>0</v>
      </c>
      <c r="D6" s="113"/>
      <c r="E6" s="185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6" t="s">
        <v>58</v>
      </c>
    </row>
    <row r="9" spans="2:9" ht="15.75" customHeight="1" x14ac:dyDescent="0.2">
      <c r="B9" s="195" t="s">
        <v>51</v>
      </c>
      <c r="C9" s="109">
        <v>152</v>
      </c>
      <c r="D9" s="109">
        <v>0</v>
      </c>
      <c r="E9" s="192">
        <f>'1. RESUMEN DE PAGADOS '!G23</f>
        <v>368479.84</v>
      </c>
      <c r="F9" s="189">
        <f>E9/E19</f>
        <v>0.20217253156095483</v>
      </c>
    </row>
    <row r="10" spans="2:9" x14ac:dyDescent="0.2">
      <c r="B10" s="142" t="s">
        <v>52</v>
      </c>
      <c r="C10" s="187">
        <v>248</v>
      </c>
      <c r="D10" s="113">
        <v>0</v>
      </c>
      <c r="E10" s="192">
        <f>'1. RESUMEN DE PAGADOS '!H23</f>
        <v>1195811.53</v>
      </c>
      <c r="F10" s="190">
        <f>E10/E19</f>
        <v>0.6561016860240676</v>
      </c>
    </row>
    <row r="11" spans="2:9" ht="25.5" x14ac:dyDescent="0.2">
      <c r="B11" s="142" t="s">
        <v>81</v>
      </c>
      <c r="C11" s="187">
        <v>8</v>
      </c>
      <c r="D11" s="113">
        <v>0</v>
      </c>
      <c r="E11" s="192">
        <f>'1. RESUMEN DE PAGADOS '!I23</f>
        <v>22904.71</v>
      </c>
      <c r="F11" s="190">
        <f>E11/E19</f>
        <v>1.2567046287714186E-2</v>
      </c>
    </row>
    <row r="12" spans="2:9" ht="25.5" x14ac:dyDescent="0.2">
      <c r="B12" s="142" t="s">
        <v>72</v>
      </c>
      <c r="C12" s="188">
        <v>2</v>
      </c>
      <c r="D12" s="183">
        <v>0</v>
      </c>
      <c r="E12" s="192">
        <f>'1. RESUMEN DE PAGADOS '!K23</f>
        <v>0</v>
      </c>
      <c r="F12" s="190">
        <f>E12/E19</f>
        <v>0</v>
      </c>
    </row>
    <row r="13" spans="2:9" x14ac:dyDescent="0.2">
      <c r="B13" s="142" t="s">
        <v>53</v>
      </c>
      <c r="C13" s="113">
        <v>8</v>
      </c>
      <c r="D13" s="109">
        <v>0</v>
      </c>
      <c r="E13" s="192">
        <f>'1. RESUMEN DE PAGADOS '!M23</f>
        <v>19428.600000000002</v>
      </c>
      <c r="F13" s="190">
        <f>E13/E19</f>
        <v>1.0659821299002864E-2</v>
      </c>
    </row>
    <row r="14" spans="2:9" x14ac:dyDescent="0.2">
      <c r="B14" s="142" t="s">
        <v>67</v>
      </c>
      <c r="C14" s="113">
        <v>9</v>
      </c>
      <c r="D14" s="113">
        <v>0</v>
      </c>
      <c r="E14" s="193">
        <f>'1. RESUMEN DE PAGADOS '!O23</f>
        <v>22076.760000000002</v>
      </c>
      <c r="F14" s="190">
        <f>E14/E19</f>
        <v>1.2112777887288557E-2</v>
      </c>
      <c r="I14" s="101">
        <f>E9+E10+E13</f>
        <v>1583719.9700000002</v>
      </c>
    </row>
    <row r="15" spans="2:9" ht="13.5" thickBot="1" x14ac:dyDescent="0.25">
      <c r="B15" s="196" t="s">
        <v>70</v>
      </c>
      <c r="C15" s="184">
        <f>C9+C10+C11+C12+C13+C14</f>
        <v>427</v>
      </c>
      <c r="D15" s="184">
        <f>D9+D10+D11+D12+D13+D14</f>
        <v>0</v>
      </c>
      <c r="E15" s="194">
        <f>SUM(E9:E14)</f>
        <v>1628701.4400000002</v>
      </c>
      <c r="F15" s="191"/>
    </row>
    <row r="16" spans="2:9" ht="13.5" thickBot="1" x14ac:dyDescent="0.25">
      <c r="B16" s="121" t="s">
        <v>76</v>
      </c>
      <c r="C16" s="179">
        <v>16</v>
      </c>
      <c r="D16" s="199">
        <v>31</v>
      </c>
      <c r="E16" s="192">
        <f>'1. RESUMEN DE PAGADOS '!J23</f>
        <v>68184.87</v>
      </c>
      <c r="F16" s="138">
        <f>E16/E19</f>
        <v>3.7410751649410726E-2</v>
      </c>
      <c r="H16">
        <f>C9+C10+C11+C12+C13+C14</f>
        <v>427</v>
      </c>
    </row>
    <row r="17" spans="2:9" ht="13.5" thickBot="1" x14ac:dyDescent="0.25">
      <c r="B17" s="120" t="s">
        <v>69</v>
      </c>
      <c r="C17" s="197">
        <v>12</v>
      </c>
      <c r="D17" s="200">
        <v>12</v>
      </c>
      <c r="E17" s="215">
        <f>'1. RESUMEN DE PAGADOS '!N23</f>
        <v>125714.59999999999</v>
      </c>
      <c r="F17" s="140">
        <f>E17/E19</f>
        <v>6.8975385291561164E-2</v>
      </c>
      <c r="I17" s="101"/>
    </row>
    <row r="18" spans="2:9" ht="13.5" thickBot="1" x14ac:dyDescent="0.25">
      <c r="B18" s="201" t="s">
        <v>70</v>
      </c>
      <c r="C18" s="202">
        <f>C16+C17</f>
        <v>28</v>
      </c>
      <c r="D18" s="203">
        <f>D16+D17</f>
        <v>43</v>
      </c>
      <c r="E18" s="216">
        <f>E16+E17</f>
        <v>193899.46999999997</v>
      </c>
      <c r="F18" s="137"/>
    </row>
    <row r="19" spans="2:9" ht="13.5" thickBot="1" x14ac:dyDescent="0.25">
      <c r="B19" s="107" t="s">
        <v>0</v>
      </c>
      <c r="C19" s="100">
        <f>C15+C18</f>
        <v>455</v>
      </c>
      <c r="D19" s="180">
        <f>D15+D18</f>
        <v>43</v>
      </c>
      <c r="E19" s="217">
        <f>E15+E18</f>
        <v>1822600.9100000001</v>
      </c>
      <c r="F19" s="116">
        <f>SUM(F9:F17)</f>
        <v>1</v>
      </c>
    </row>
    <row r="20" spans="2:9" ht="15" customHeight="1" thickBot="1" x14ac:dyDescent="0.25">
      <c r="B20" s="278"/>
      <c r="C20" s="279"/>
      <c r="D20" s="279"/>
      <c r="E20" s="279"/>
      <c r="F20" s="280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650</v>
      </c>
      <c r="D22" s="179">
        <f>C22</f>
        <v>650</v>
      </c>
      <c r="E22" s="110">
        <f>'3. COMP VR'!C21+'3. COMP VR'!E21</f>
        <v>584360.2699999999</v>
      </c>
      <c r="F22" s="111">
        <f>E22/E25</f>
        <v>0.31182539860454833</v>
      </c>
    </row>
    <row r="23" spans="2:9" x14ac:dyDescent="0.2">
      <c r="B23" s="117" t="s">
        <v>55</v>
      </c>
      <c r="C23" s="113">
        <f>'4. COMP VP'!C24</f>
        <v>609</v>
      </c>
      <c r="D23" s="179">
        <f>C23</f>
        <v>609</v>
      </c>
      <c r="E23" s="110">
        <f>'4. COMP VP'!D24+'4. COMP VP'!F24</f>
        <v>1168000.74</v>
      </c>
      <c r="F23" s="114">
        <f>E23/E25</f>
        <v>0.62326669867701223</v>
      </c>
    </row>
    <row r="24" spans="2:9" ht="13.5" thickBot="1" x14ac:dyDescent="0.25">
      <c r="B24" s="112" t="s">
        <v>56</v>
      </c>
      <c r="C24" s="113">
        <f>'2. COMPR DEV 30%'!B21</f>
        <v>288</v>
      </c>
      <c r="D24" s="179">
        <f>C24</f>
        <v>288</v>
      </c>
      <c r="E24" s="110">
        <f>'2. COMPR DEV 30%'!C21+'2. COMPR DEV 30%'!E21</f>
        <v>121637.30000000002</v>
      </c>
      <c r="F24" s="115">
        <f>E24/E25</f>
        <v>6.4907902718439506E-2</v>
      </c>
      <c r="G24" s="101"/>
    </row>
    <row r="25" spans="2:9" ht="13.5" thickBot="1" x14ac:dyDescent="0.25">
      <c r="B25" s="107" t="s">
        <v>0</v>
      </c>
      <c r="C25" s="100">
        <f>C22+C23+C24</f>
        <v>1547</v>
      </c>
      <c r="D25" s="100">
        <f>D22+D23+D24</f>
        <v>1547</v>
      </c>
      <c r="E25" s="102">
        <f>E22+E23+E24</f>
        <v>1873998.3099999998</v>
      </c>
      <c r="F25" s="116">
        <f>SUM(F22:F24)</f>
        <v>1.0000000000000002</v>
      </c>
    </row>
    <row r="26" spans="2:9" ht="13.5" customHeight="1" thickBot="1" x14ac:dyDescent="0.25">
      <c r="B26" s="281" t="s">
        <v>57</v>
      </c>
      <c r="C26" s="282"/>
      <c r="D26" s="282"/>
      <c r="E26" s="282"/>
      <c r="F26" s="283"/>
    </row>
    <row r="27" spans="2:9" ht="15.75" customHeight="1" thickBot="1" x14ac:dyDescent="0.25">
      <c r="B27" s="107" t="s">
        <v>40</v>
      </c>
      <c r="C27" s="206">
        <f>C19+C25</f>
        <v>2002</v>
      </c>
      <c r="D27" s="206">
        <f>D19+D25</f>
        <v>1590</v>
      </c>
      <c r="E27" s="205">
        <f>E25+E19</f>
        <v>3696599.2199999997</v>
      </c>
      <c r="F27" s="204"/>
    </row>
    <row r="28" spans="2:9" ht="15" x14ac:dyDescent="0.2">
      <c r="B28" s="159"/>
      <c r="C28" s="159"/>
      <c r="D28" s="159"/>
      <c r="E28" s="159"/>
      <c r="F28" s="160"/>
    </row>
    <row r="29" spans="2:9" ht="15.75" thickBot="1" x14ac:dyDescent="0.25">
      <c r="B29" s="85"/>
      <c r="C29" s="106"/>
      <c r="D29" s="106"/>
      <c r="E29" s="103"/>
      <c r="F29" s="160"/>
    </row>
    <row r="30" spans="2:9" ht="45.75" thickBot="1" x14ac:dyDescent="0.25">
      <c r="B30" s="161" t="s">
        <v>48</v>
      </c>
      <c r="C30" s="162" t="s">
        <v>50</v>
      </c>
      <c r="D30" s="181" t="s">
        <v>79</v>
      </c>
      <c r="E30" s="161" t="s">
        <v>49</v>
      </c>
      <c r="F30" s="161" t="s">
        <v>58</v>
      </c>
    </row>
    <row r="31" spans="2:9" ht="15" x14ac:dyDescent="0.2">
      <c r="B31" s="147" t="s">
        <v>51</v>
      </c>
      <c r="C31" s="148">
        <f>C9</f>
        <v>152</v>
      </c>
      <c r="D31" s="148">
        <f>D9</f>
        <v>0</v>
      </c>
      <c r="E31" s="150">
        <f>E9</f>
        <v>368479.84</v>
      </c>
      <c r="F31" s="153">
        <f>E31/E42</f>
        <v>9.9680765501000149E-2</v>
      </c>
    </row>
    <row r="32" spans="2:9" ht="15" x14ac:dyDescent="0.2">
      <c r="B32" s="141" t="s">
        <v>52</v>
      </c>
      <c r="C32" s="82">
        <f t="shared" ref="C32:E36" si="0">C10</f>
        <v>248</v>
      </c>
      <c r="D32" s="82">
        <f>D10</f>
        <v>0</v>
      </c>
      <c r="E32" s="151">
        <f t="shared" si="0"/>
        <v>1195811.53</v>
      </c>
      <c r="F32" s="86">
        <f>E32/E42</f>
        <v>0.32348963434559186</v>
      </c>
    </row>
    <row r="33" spans="2:9" ht="25.5" hidden="1" x14ac:dyDescent="0.2">
      <c r="B33" s="142" t="s">
        <v>75</v>
      </c>
      <c r="C33" s="82">
        <f>C11</f>
        <v>8</v>
      </c>
      <c r="D33" s="82">
        <f>D11</f>
        <v>0</v>
      </c>
      <c r="E33" s="151">
        <f t="shared" si="0"/>
        <v>22904.71</v>
      </c>
      <c r="F33" s="86">
        <f>E33/E42</f>
        <v>6.1961572344864588E-3</v>
      </c>
    </row>
    <row r="34" spans="2:9" ht="19.5" hidden="1" customHeight="1" x14ac:dyDescent="0.2">
      <c r="B34" s="141" t="s">
        <v>72</v>
      </c>
      <c r="C34" s="82">
        <f t="shared" si="0"/>
        <v>2</v>
      </c>
      <c r="D34" s="82">
        <f>D12</f>
        <v>0</v>
      </c>
      <c r="E34" s="151">
        <f t="shared" si="0"/>
        <v>0</v>
      </c>
      <c r="F34" s="86">
        <f>E34/E42</f>
        <v>0</v>
      </c>
    </row>
    <row r="35" spans="2:9" ht="15" x14ac:dyDescent="0.2">
      <c r="B35" s="141" t="s">
        <v>53</v>
      </c>
      <c r="C35" s="82">
        <f t="shared" si="0"/>
        <v>8</v>
      </c>
      <c r="D35" s="82">
        <f>D13</f>
        <v>0</v>
      </c>
      <c r="E35" s="151">
        <f>E13</f>
        <v>19428.600000000002</v>
      </c>
      <c r="F35" s="86">
        <f>E35/E42</f>
        <v>5.2558037384426012E-3</v>
      </c>
    </row>
    <row r="36" spans="2:9" ht="30" x14ac:dyDescent="0.2">
      <c r="B36" s="141" t="s">
        <v>67</v>
      </c>
      <c r="C36" s="82">
        <f t="shared" si="0"/>
        <v>9</v>
      </c>
      <c r="D36" s="82">
        <f>D14</f>
        <v>0</v>
      </c>
      <c r="E36" s="151">
        <f t="shared" si="0"/>
        <v>22076.760000000002</v>
      </c>
      <c r="F36" s="86">
        <f>E36/E42</f>
        <v>5.972181101093238E-3</v>
      </c>
    </row>
    <row r="37" spans="2:9" ht="15" x14ac:dyDescent="0.2">
      <c r="B37" s="141" t="s">
        <v>68</v>
      </c>
      <c r="C37" s="82">
        <f t="shared" ref="C37:E38" si="1">C16</f>
        <v>16</v>
      </c>
      <c r="D37" s="82">
        <f t="shared" si="1"/>
        <v>31</v>
      </c>
      <c r="E37" s="151">
        <f t="shared" si="1"/>
        <v>68184.87</v>
      </c>
      <c r="F37" s="86">
        <f>E37/E42</f>
        <v>1.8445296863964605E-2</v>
      </c>
    </row>
    <row r="38" spans="2:9" ht="15" x14ac:dyDescent="0.2">
      <c r="B38" s="143" t="s">
        <v>69</v>
      </c>
      <c r="C38" s="149">
        <f t="shared" si="1"/>
        <v>12</v>
      </c>
      <c r="D38" s="149">
        <f t="shared" si="1"/>
        <v>12</v>
      </c>
      <c r="E38" s="151">
        <f t="shared" si="1"/>
        <v>125714.59999999999</v>
      </c>
      <c r="F38" s="86">
        <f>E38/E42</f>
        <v>3.400817684531135E-2</v>
      </c>
    </row>
    <row r="39" spans="2:9" ht="15" x14ac:dyDescent="0.2">
      <c r="B39" s="207" t="s">
        <v>54</v>
      </c>
      <c r="C39" s="82">
        <f t="shared" ref="C39:E41" si="2">C22</f>
        <v>650</v>
      </c>
      <c r="D39" s="82">
        <f t="shared" si="2"/>
        <v>650</v>
      </c>
      <c r="E39" s="152">
        <f t="shared" si="2"/>
        <v>584360.2699999999</v>
      </c>
      <c r="F39" s="86">
        <f>E39/E42</f>
        <v>0.15808050459957623</v>
      </c>
    </row>
    <row r="40" spans="2:9" ht="15" x14ac:dyDescent="0.2">
      <c r="B40" s="144" t="s">
        <v>55</v>
      </c>
      <c r="C40" s="82">
        <f t="shared" si="2"/>
        <v>609</v>
      </c>
      <c r="D40" s="82">
        <f t="shared" si="2"/>
        <v>609</v>
      </c>
      <c r="E40" s="152">
        <f t="shared" si="2"/>
        <v>1168000.74</v>
      </c>
      <c r="F40" s="86">
        <f>E40/E42</f>
        <v>0.31596628968611862</v>
      </c>
    </row>
    <row r="41" spans="2:9" ht="15.75" thickBot="1" x14ac:dyDescent="0.3">
      <c r="B41" s="145" t="s">
        <v>56</v>
      </c>
      <c r="C41" s="154">
        <f t="shared" si="2"/>
        <v>288</v>
      </c>
      <c r="D41" s="154">
        <f t="shared" si="2"/>
        <v>288</v>
      </c>
      <c r="E41" s="155">
        <f t="shared" si="2"/>
        <v>121637.30000000002</v>
      </c>
      <c r="F41" s="146">
        <f>E41/E42</f>
        <v>3.2905190084414948E-2</v>
      </c>
    </row>
    <row r="42" spans="2:9" ht="15.75" thickBot="1" x14ac:dyDescent="0.25">
      <c r="B42" s="84" t="s">
        <v>0</v>
      </c>
      <c r="C42" s="83">
        <f>SUM(C31:C41)</f>
        <v>2002</v>
      </c>
      <c r="D42" s="83">
        <f>SUM(D31:D41)</f>
        <v>1590</v>
      </c>
      <c r="E42" s="156">
        <f>SUM(E31:E41)</f>
        <v>3696599.2199999997</v>
      </c>
      <c r="F42" s="158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32" zoomScale="98" zoomScaleNormal="98" workbookViewId="0">
      <selection activeCell="I48" sqref="I4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2">
        <f>'1. RESUMEN DE PAGADOS '!B22+'1. RESUMEN DE PAGADOS '!C22</f>
        <v>0</v>
      </c>
      <c r="D3" s="113"/>
      <c r="E3" s="234">
        <f>SUM('1. RESUMEN DE PAGADOS '!E19+'1. RESUMEN DE PAGADOS '!F19)</f>
        <v>63</v>
      </c>
      <c r="F3" s="114"/>
    </row>
    <row r="4" spans="2:9" ht="13.5" thickBot="1" x14ac:dyDescent="0.25"/>
    <row r="5" spans="2:9" ht="39" thickBot="1" x14ac:dyDescent="0.25">
      <c r="B5" s="211" t="s">
        <v>48</v>
      </c>
      <c r="C5" s="107" t="s">
        <v>50</v>
      </c>
      <c r="D5" s="107" t="s">
        <v>77</v>
      </c>
      <c r="E5" s="107" t="s">
        <v>49</v>
      </c>
      <c r="F5" s="186" t="s">
        <v>58</v>
      </c>
    </row>
    <row r="6" spans="2:9" ht="15.75" customHeight="1" x14ac:dyDescent="0.2">
      <c r="B6" s="210" t="s">
        <v>51</v>
      </c>
      <c r="C6" s="109">
        <f>6+11+2+4</f>
        <v>23</v>
      </c>
      <c r="D6" s="109">
        <f>[1]TOTALES!$D$4</f>
        <v>52</v>
      </c>
      <c r="E6" s="192">
        <f>'1. RESUMEN DE PAGADOS '!G19</f>
        <v>47142.83</v>
      </c>
      <c r="F6" s="189">
        <f>E6/E16</f>
        <v>0.25771974359682237</v>
      </c>
    </row>
    <row r="7" spans="2:9" x14ac:dyDescent="0.2">
      <c r="B7" s="142" t="s">
        <v>52</v>
      </c>
      <c r="C7" s="187">
        <f>10+10+7+8</f>
        <v>35</v>
      </c>
      <c r="D7" s="113">
        <f>[1]TOTALES!$D$6</f>
        <v>74</v>
      </c>
      <c r="E7" s="192">
        <f>'1. RESUMEN DE PAGADOS '!H19</f>
        <v>111165.68</v>
      </c>
      <c r="F7" s="190">
        <f>E7/E16</f>
        <v>0.60771893724594817</v>
      </c>
    </row>
    <row r="8" spans="2:9" ht="25.5" x14ac:dyDescent="0.2">
      <c r="B8" s="142" t="s">
        <v>81</v>
      </c>
      <c r="C8" s="187">
        <f>1+1+1+1+1</f>
        <v>5</v>
      </c>
      <c r="D8" s="113">
        <f>7</f>
        <v>7</v>
      </c>
      <c r="E8" s="192">
        <f>'1. RESUMEN DE PAGADOS '!I19</f>
        <v>0</v>
      </c>
      <c r="F8" s="190">
        <f>E8/E16</f>
        <v>0</v>
      </c>
    </row>
    <row r="9" spans="2:9" ht="25.5" x14ac:dyDescent="0.2">
      <c r="B9" s="142" t="s">
        <v>72</v>
      </c>
      <c r="C9" s="188">
        <v>0</v>
      </c>
      <c r="D9" s="183">
        <v>2</v>
      </c>
      <c r="E9" s="192">
        <f>'1. RESUMEN DE PAGADOS '!K19</f>
        <v>0</v>
      </c>
      <c r="F9" s="190">
        <f>E9/E16</f>
        <v>0</v>
      </c>
    </row>
    <row r="10" spans="2:9" x14ac:dyDescent="0.2">
      <c r="B10" s="142" t="s">
        <v>53</v>
      </c>
      <c r="C10" s="113">
        <f>1+1</f>
        <v>2</v>
      </c>
      <c r="D10" s="109">
        <f>[1]TOTALES!$D$12</f>
        <v>3</v>
      </c>
      <c r="E10" s="192">
        <f>'1. RESUMEN DE PAGADOS '!M19</f>
        <v>1142.8599999999999</v>
      </c>
      <c r="F10" s="190">
        <f>E10/E16</f>
        <v>6.2477705765026067E-3</v>
      </c>
    </row>
    <row r="11" spans="2:9" x14ac:dyDescent="0.2">
      <c r="B11" s="142" t="s">
        <v>67</v>
      </c>
      <c r="C11" s="113">
        <v>0</v>
      </c>
      <c r="D11" s="113">
        <f>[1]TOTALES!$D$14</f>
        <v>2</v>
      </c>
      <c r="E11" s="193">
        <f>'1. RESUMEN DE PAGADOS '!O19</f>
        <v>0</v>
      </c>
      <c r="F11" s="190">
        <f>E11/E16</f>
        <v>0</v>
      </c>
      <c r="I11" s="101"/>
    </row>
    <row r="12" spans="2:9" ht="13.5" thickBot="1" x14ac:dyDescent="0.25">
      <c r="B12" s="196" t="s">
        <v>70</v>
      </c>
      <c r="C12" s="184">
        <f>C6+C7+C8+C9+C10+C11</f>
        <v>65</v>
      </c>
      <c r="D12" s="184">
        <f>D6+D7+D8+D9+D10+D11</f>
        <v>140</v>
      </c>
      <c r="E12" s="194">
        <f>SUM(E6:E11)</f>
        <v>159451.37</v>
      </c>
      <c r="F12" s="191"/>
    </row>
    <row r="13" spans="2:9" ht="13.5" thickBot="1" x14ac:dyDescent="0.25">
      <c r="B13" s="121" t="s">
        <v>76</v>
      </c>
      <c r="C13" s="179">
        <v>11</v>
      </c>
      <c r="D13" s="199">
        <f>[1]TOTALES!$D$10</f>
        <v>28</v>
      </c>
      <c r="E13" s="118">
        <f>'1. RESUMEN DE PAGADOS '!J19</f>
        <v>7471.44</v>
      </c>
      <c r="F13" s="138">
        <f>E13/E16</f>
        <v>4.0844760509690284E-2</v>
      </c>
    </row>
    <row r="14" spans="2:9" ht="13.5" thickBot="1" x14ac:dyDescent="0.25">
      <c r="B14" s="120" t="s">
        <v>69</v>
      </c>
      <c r="C14" s="197">
        <v>12</v>
      </c>
      <c r="D14" s="200">
        <v>12</v>
      </c>
      <c r="E14" s="136">
        <f>'1. RESUMEN DE PAGADOS '!N19</f>
        <v>16000.039999999999</v>
      </c>
      <c r="F14" s="140">
        <f>E14/E16</f>
        <v>8.7468788071036502E-2</v>
      </c>
      <c r="I14" s="101"/>
    </row>
    <row r="15" spans="2:9" ht="13.5" thickBot="1" x14ac:dyDescent="0.25">
      <c r="B15" s="201" t="s">
        <v>70</v>
      </c>
      <c r="C15" s="202">
        <f>C13+C14</f>
        <v>23</v>
      </c>
      <c r="D15" s="203">
        <f>D13+D14</f>
        <v>40</v>
      </c>
      <c r="E15" s="198">
        <f>E13+E14</f>
        <v>23471.48</v>
      </c>
      <c r="F15" s="137"/>
    </row>
    <row r="16" spans="2:9" ht="13.5" thickBot="1" x14ac:dyDescent="0.25">
      <c r="B16" s="107" t="s">
        <v>0</v>
      </c>
      <c r="C16" s="100">
        <f>C12+C15</f>
        <v>88</v>
      </c>
      <c r="D16" s="180">
        <f>D12+D15</f>
        <v>180</v>
      </c>
      <c r="E16" s="139">
        <f>E12+E15</f>
        <v>182922.85</v>
      </c>
      <c r="F16" s="116">
        <f>SUM(F6:F14)</f>
        <v>1</v>
      </c>
    </row>
    <row r="17" spans="2:7" ht="15" customHeight="1" thickBot="1" x14ac:dyDescent="0.25">
      <c r="B17" s="278"/>
      <c r="C17" s="279"/>
      <c r="D17" s="279"/>
      <c r="E17" s="279"/>
      <c r="F17" s="280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79">
        <f>'3. COMP VR'!B9</f>
        <v>99</v>
      </c>
      <c r="E19" s="110">
        <f>'3. COMP VR'!E17+'3. COMP VR'!C17</f>
        <v>75033.539999999994</v>
      </c>
      <c r="F19" s="111">
        <f>E19/E22</f>
        <v>0.40455183723538768</v>
      </c>
    </row>
    <row r="20" spans="2:7" x14ac:dyDescent="0.2">
      <c r="B20" s="117" t="s">
        <v>55</v>
      </c>
      <c r="C20" s="113">
        <f>'4. COMP VP'!C23</f>
        <v>0</v>
      </c>
      <c r="D20" s="179">
        <f>'4. COMP VP'!C12</f>
        <v>65</v>
      </c>
      <c r="E20" s="110">
        <f>'4. COMP VP'!D20+'4. COMP VP'!F20</f>
        <v>91428.62999999999</v>
      </c>
      <c r="F20" s="114">
        <f>E20/E22</f>
        <v>0.49294782363213147</v>
      </c>
    </row>
    <row r="21" spans="2:7" ht="13.5" thickBot="1" x14ac:dyDescent="0.25">
      <c r="B21" s="112" t="s">
        <v>56</v>
      </c>
      <c r="C21" s="113">
        <f>'2. COMPR DEV 30%'!B20</f>
        <v>0</v>
      </c>
      <c r="D21" s="179">
        <f>'2. COMPR DEV 30%'!B9</f>
        <v>41</v>
      </c>
      <c r="E21" s="110">
        <f>'2. COMPR DEV 30%'!C17+'2. COMPR DEV 30%'!E17</f>
        <v>19011.07</v>
      </c>
      <c r="F21" s="115">
        <f>E21/E22</f>
        <v>0.10250033913248079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185473.24</v>
      </c>
      <c r="F22" s="116">
        <f>SUM(F19:F21)</f>
        <v>1</v>
      </c>
    </row>
    <row r="23" spans="2:7" ht="13.5" customHeight="1" thickBot="1" x14ac:dyDescent="0.25">
      <c r="B23" s="281" t="s">
        <v>57</v>
      </c>
      <c r="C23" s="282"/>
      <c r="D23" s="282"/>
      <c r="E23" s="282"/>
      <c r="F23" s="283"/>
    </row>
    <row r="24" spans="2:7" ht="15.75" customHeight="1" thickBot="1" x14ac:dyDescent="0.25">
      <c r="B24" s="107" t="s">
        <v>40</v>
      </c>
      <c r="C24" s="206">
        <f>C16+C22</f>
        <v>88</v>
      </c>
      <c r="D24" s="206">
        <f>D16+D22</f>
        <v>385</v>
      </c>
      <c r="E24" s="205">
        <f>E22+E16</f>
        <v>368396.08999999997</v>
      </c>
      <c r="F24" s="204"/>
    </row>
    <row r="25" spans="2:7" ht="15" x14ac:dyDescent="0.2">
      <c r="B25" s="159"/>
      <c r="C25" s="159"/>
      <c r="D25" s="159"/>
      <c r="E25" s="159"/>
      <c r="F25" s="160"/>
    </row>
    <row r="26" spans="2:7" ht="15.75" thickBot="1" x14ac:dyDescent="0.25">
      <c r="B26" s="85"/>
      <c r="C26" s="106"/>
      <c r="D26" s="106"/>
      <c r="E26" s="103"/>
      <c r="F26" s="160"/>
    </row>
    <row r="27" spans="2:7" ht="45.75" thickBot="1" x14ac:dyDescent="0.25">
      <c r="B27" s="161" t="s">
        <v>48</v>
      </c>
      <c r="C27" s="162" t="s">
        <v>50</v>
      </c>
      <c r="D27" s="181" t="s">
        <v>79</v>
      </c>
      <c r="E27" s="84" t="s">
        <v>49</v>
      </c>
      <c r="F27" s="161" t="s">
        <v>58</v>
      </c>
    </row>
    <row r="28" spans="2:7" ht="15" x14ac:dyDescent="0.2">
      <c r="B28" s="147" t="s">
        <v>51</v>
      </c>
      <c r="C28" s="148">
        <f>C6</f>
        <v>23</v>
      </c>
      <c r="D28" s="148">
        <f>D6</f>
        <v>52</v>
      </c>
      <c r="E28" s="150">
        <f>E6</f>
        <v>47142.83</v>
      </c>
      <c r="F28" s="153">
        <f>E28/E39</f>
        <v>0.1279677805483766</v>
      </c>
    </row>
    <row r="29" spans="2:7" ht="15" x14ac:dyDescent="0.2">
      <c r="B29" s="141" t="s">
        <v>52</v>
      </c>
      <c r="C29" s="82">
        <f t="shared" ref="C29:E33" si="0">C7</f>
        <v>35</v>
      </c>
      <c r="D29" s="82">
        <f>D7</f>
        <v>74</v>
      </c>
      <c r="E29" s="151">
        <f t="shared" si="0"/>
        <v>111165.68</v>
      </c>
      <c r="F29" s="86">
        <f>E29/E39</f>
        <v>0.30175586282688283</v>
      </c>
    </row>
    <row r="30" spans="2:7" ht="25.5" x14ac:dyDescent="0.2">
      <c r="B30" s="142" t="s">
        <v>75</v>
      </c>
      <c r="C30" s="82">
        <f>C8</f>
        <v>5</v>
      </c>
      <c r="D30" s="82">
        <f>D8</f>
        <v>7</v>
      </c>
      <c r="E30" s="151">
        <f t="shared" si="0"/>
        <v>0</v>
      </c>
      <c r="F30" s="86">
        <f>E30/E39</f>
        <v>0</v>
      </c>
    </row>
    <row r="31" spans="2:7" ht="33.75" customHeight="1" x14ac:dyDescent="0.2">
      <c r="B31" s="141" t="s">
        <v>72</v>
      </c>
      <c r="C31" s="82">
        <f t="shared" si="0"/>
        <v>0</v>
      </c>
      <c r="D31" s="82">
        <f>D9</f>
        <v>2</v>
      </c>
      <c r="E31" s="151">
        <f t="shared" si="0"/>
        <v>0</v>
      </c>
      <c r="F31" s="86">
        <f>E31/E39</f>
        <v>0</v>
      </c>
    </row>
    <row r="32" spans="2:7" ht="15" x14ac:dyDescent="0.2">
      <c r="B32" s="141" t="s">
        <v>53</v>
      </c>
      <c r="C32" s="82">
        <f t="shared" si="0"/>
        <v>2</v>
      </c>
      <c r="D32" s="82">
        <f>D10</f>
        <v>3</v>
      </c>
      <c r="E32" s="151">
        <f>E10</f>
        <v>1142.8599999999999</v>
      </c>
      <c r="F32" s="86">
        <f>E32/E39</f>
        <v>3.1022587671872409E-3</v>
      </c>
    </row>
    <row r="33" spans="2:8" ht="30" x14ac:dyDescent="0.2">
      <c r="B33" s="141" t="s">
        <v>67</v>
      </c>
      <c r="C33" s="82">
        <f t="shared" si="0"/>
        <v>0</v>
      </c>
      <c r="D33" s="82">
        <f>D11</f>
        <v>2</v>
      </c>
      <c r="E33" s="151">
        <f t="shared" si="0"/>
        <v>0</v>
      </c>
      <c r="F33" s="86">
        <f>E33/E39</f>
        <v>0</v>
      </c>
    </row>
    <row r="34" spans="2:8" ht="15" x14ac:dyDescent="0.2">
      <c r="B34" s="141" t="s">
        <v>68</v>
      </c>
      <c r="C34" s="82">
        <f t="shared" ref="C34:E35" si="1">C13</f>
        <v>11</v>
      </c>
      <c r="D34" s="82">
        <f t="shared" si="1"/>
        <v>28</v>
      </c>
      <c r="E34" s="151">
        <f t="shared" si="1"/>
        <v>7471.44</v>
      </c>
      <c r="F34" s="86">
        <f>E34/E39</f>
        <v>2.0280997010581732E-2</v>
      </c>
    </row>
    <row r="35" spans="2:8" ht="15" x14ac:dyDescent="0.2">
      <c r="B35" s="143" t="s">
        <v>69</v>
      </c>
      <c r="C35" s="149">
        <f t="shared" si="1"/>
        <v>12</v>
      </c>
      <c r="D35" s="149">
        <f t="shared" si="1"/>
        <v>12</v>
      </c>
      <c r="E35" s="151">
        <f t="shared" si="1"/>
        <v>16000.039999999999</v>
      </c>
      <c r="F35" s="86">
        <f>E35/E39</f>
        <v>4.3431622740621373E-2</v>
      </c>
    </row>
    <row r="36" spans="2:8" ht="15" x14ac:dyDescent="0.2">
      <c r="B36" s="207" t="s">
        <v>54</v>
      </c>
      <c r="C36" s="82">
        <f t="shared" ref="C36:E38" si="2">C19</f>
        <v>0</v>
      </c>
      <c r="D36" s="82">
        <f t="shared" si="2"/>
        <v>99</v>
      </c>
      <c r="E36" s="152">
        <f t="shared" si="2"/>
        <v>75033.539999999994</v>
      </c>
      <c r="F36" s="86">
        <f>E36/E39</f>
        <v>0.20367626594516786</v>
      </c>
    </row>
    <row r="37" spans="2:8" ht="15" x14ac:dyDescent="0.2">
      <c r="B37" s="144" t="s">
        <v>55</v>
      </c>
      <c r="C37" s="82">
        <f t="shared" si="2"/>
        <v>0</v>
      </c>
      <c r="D37" s="82">
        <f t="shared" si="2"/>
        <v>65</v>
      </c>
      <c r="E37" s="152">
        <f t="shared" si="2"/>
        <v>91428.62999999999</v>
      </c>
      <c r="F37" s="86">
        <f>E37/E39</f>
        <v>0.24818023991514129</v>
      </c>
    </row>
    <row r="38" spans="2:8" ht="15.75" thickBot="1" x14ac:dyDescent="0.3">
      <c r="B38" s="145" t="s">
        <v>56</v>
      </c>
      <c r="C38" s="154">
        <f t="shared" si="2"/>
        <v>0</v>
      </c>
      <c r="D38" s="154">
        <f t="shared" si="2"/>
        <v>41</v>
      </c>
      <c r="E38" s="155">
        <f t="shared" si="2"/>
        <v>19011.07</v>
      </c>
      <c r="F38" s="146">
        <f>E38/E39</f>
        <v>5.1604972246040937E-2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6">
        <f>SUM(E28:E38)</f>
        <v>368396.09</v>
      </c>
      <c r="F39" s="158">
        <f>SUM(F28:F38)</f>
        <v>0.99999999999999978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2" zoomScale="106" zoomScaleNormal="106" workbookViewId="0">
      <selection activeCell="D19" sqref="D19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5" customWidth="1"/>
    <col min="17" max="17" width="16" style="165" customWidth="1"/>
    <col min="18" max="18" width="15.42578125" style="165" customWidth="1"/>
    <col min="19" max="19" width="11.42578125" style="165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4" t="s">
        <v>73</v>
      </c>
    </row>
    <row r="6" spans="1:22" x14ac:dyDescent="0.2">
      <c r="A6" s="291" t="s">
        <v>65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</row>
    <row r="7" spans="1:22" x14ac:dyDescent="0.2">
      <c r="A7" s="291" t="s">
        <v>94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</row>
    <row r="8" spans="1:22" ht="12.75" customHeight="1" thickBot="1" x14ac:dyDescent="0.25"/>
    <row r="9" spans="1:22" ht="12.75" customHeight="1" thickBot="1" x14ac:dyDescent="0.25">
      <c r="A9" s="296" t="s">
        <v>7</v>
      </c>
      <c r="B9" s="292" t="s">
        <v>87</v>
      </c>
      <c r="C9" s="294" t="s">
        <v>88</v>
      </c>
      <c r="D9" s="294" t="s">
        <v>86</v>
      </c>
      <c r="E9" s="284" t="s">
        <v>66</v>
      </c>
      <c r="F9" s="285"/>
      <c r="G9" s="289" t="s">
        <v>43</v>
      </c>
      <c r="H9" s="286" t="s">
        <v>59</v>
      </c>
      <c r="I9" s="287"/>
      <c r="J9" s="287"/>
      <c r="K9" s="287"/>
      <c r="L9" s="288"/>
      <c r="M9" s="285" t="s">
        <v>44</v>
      </c>
      <c r="N9" s="292" t="s">
        <v>45</v>
      </c>
      <c r="O9" s="284" t="s">
        <v>47</v>
      </c>
      <c r="P9" s="299" t="s">
        <v>1</v>
      </c>
      <c r="T9" s="157"/>
      <c r="U9" s="157"/>
    </row>
    <row r="10" spans="1:22" ht="75.75" customHeight="1" thickBot="1" x14ac:dyDescent="0.25">
      <c r="A10" s="297"/>
      <c r="B10" s="293"/>
      <c r="C10" s="295"/>
      <c r="D10" s="295"/>
      <c r="E10" s="92" t="s">
        <v>63</v>
      </c>
      <c r="F10" s="92" t="s">
        <v>64</v>
      </c>
      <c r="G10" s="290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93"/>
      <c r="N10" s="293"/>
      <c r="O10" s="298"/>
      <c r="P10" s="300"/>
      <c r="Q10" s="166"/>
      <c r="T10" s="157"/>
      <c r="U10" s="157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7">
        <f t="shared" ref="P11:P22" si="0">G11+H11+I11+J11+K11+L11+M11+N11+O11</f>
        <v>170051.54</v>
      </c>
      <c r="Q11" s="168">
        <f>P11+'2. COMPR DEV 30%'!E9+'2. COMPR DEV 30%'!C9+'3. COMP VR'!C9+'3. COMP VR'!E9+'4. COMP VP'!D12+'4. COMP VP'!F12</f>
        <v>417215.49</v>
      </c>
      <c r="R11" s="233"/>
      <c r="S11" s="223"/>
      <c r="T11" s="157"/>
      <c r="U11" s="218"/>
      <c r="V11" s="208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7">
        <f t="shared" si="0"/>
        <v>191256.90000000002</v>
      </c>
      <c r="Q12" s="169">
        <f>P12+'2. COMPR DEV 30%'!C10+'2. COMPR DEV 30%'!E10+'3. COMP VR'!C10+'3. COMP VR'!E10+'4. COMP VP'!D13+'4. COMP VP'!F13</f>
        <v>407923.00000000006</v>
      </c>
      <c r="R12" s="170"/>
      <c r="T12" s="157"/>
      <c r="U12" s="218"/>
      <c r="V12" s="208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7">
        <f t="shared" si="0"/>
        <v>144467.12</v>
      </c>
      <c r="Q13" s="169">
        <f>P13+'2. COMPR DEV 30%'!C11+'2. COMPR DEV 30%'!E11+'3. COMP VR'!C11+'3. COMP VR'!E11+'4. COMP VP'!D14+'4. COMP VP'!F14</f>
        <v>349782.83999999997</v>
      </c>
      <c r="R13" s="171"/>
      <c r="T13" s="157"/>
      <c r="U13" s="218"/>
      <c r="V13" s="208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7">
        <f t="shared" si="0"/>
        <v>247496.39999999997</v>
      </c>
      <c r="Q14" s="169">
        <f>P14+'2. COMPR DEV 30%'!C12+'2. COMPR DEV 30%'!E12+'3. COMP VR'!C12+'3. COMP VR'!E12+'4. COMP VP'!D15+'4. COMP VP'!F15</f>
        <v>480412.00999999989</v>
      </c>
      <c r="T14" s="157"/>
      <c r="U14" s="218"/>
      <c r="V14" s="208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7">
        <f t="shared" si="0"/>
        <v>237359.78</v>
      </c>
      <c r="Q15" s="169">
        <f>P15+'2. COMPR DEV 30%'!C13+'2. COMPR DEV 30%'!E13+'3. COMP VR'!C13+'3. COMP VR'!E13+'4. COMP VP'!D16+'4. COMP VP'!F16</f>
        <v>495916.16000000003</v>
      </c>
      <c r="R15" s="170"/>
      <c r="T15" s="157"/>
      <c r="U15" s="218"/>
      <c r="V15" s="208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f>18+24+16+19</f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7">
        <f t="shared" si="0"/>
        <v>177409.52</v>
      </c>
      <c r="Q16" s="169">
        <f>P16+'2. COMPR DEV 30%'!C14+'2. COMPR DEV 30%'!E14+'3. COMP VR'!C14+'3. COMP VR'!E14+'4. COMP VP'!D17+'4. COMP VP'!F17</f>
        <v>319917.32</v>
      </c>
      <c r="T16" s="157"/>
      <c r="U16" s="218"/>
      <c r="V16" s="208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f>26+21+17+23+1</f>
        <v>88</v>
      </c>
      <c r="E17" s="91">
        <v>26</v>
      </c>
      <c r="F17" s="91">
        <v>37</v>
      </c>
      <c r="G17" s="89">
        <f>(8571.43)+(9257.13)+(8571.43)+(3771.43)</f>
        <v>30171.42</v>
      </c>
      <c r="H17" s="105">
        <f>(33999.97-0.04+0.04+1142.88)+(53142.9-0.05)+(25600-0.03+0.02)+(38632.9-0.07+1852.88)</f>
        <v>154371.4</v>
      </c>
      <c r="I17" s="105">
        <v>5142.8599999999997</v>
      </c>
      <c r="J17" s="89">
        <f>685.71+1142.86+800+1142.86+571.43+1200+1142.86+1142.86+1200</f>
        <v>9028.5799999999981</v>
      </c>
      <c r="K17" s="74">
        <v>0</v>
      </c>
      <c r="L17" s="74">
        <v>0</v>
      </c>
      <c r="M17" s="89">
        <f>(1142.86)</f>
        <v>1142.8599999999999</v>
      </c>
      <c r="N17" s="105">
        <f>20*1142.86</f>
        <v>22857.199999999997</v>
      </c>
      <c r="O17" s="95">
        <f>(6538.17)+(15538.59)</f>
        <v>22076.760000000002</v>
      </c>
      <c r="P17" s="167">
        <f t="shared" si="0"/>
        <v>244791.07999999996</v>
      </c>
      <c r="Q17" s="169">
        <f>P17+'2. COMPR DEV 30%'!C15+'2. COMPR DEV 30%'!E15+'3. COMP VR'!C15+'3. COMP VR'!E15+'4. COMP VP'!D18+'4. COMP VP'!F18</f>
        <v>468413.14</v>
      </c>
      <c r="R17" s="169"/>
      <c r="T17" s="157"/>
      <c r="U17" s="218"/>
      <c r="V17" s="208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72</v>
      </c>
      <c r="E18" s="91">
        <v>24</v>
      </c>
      <c r="F18" s="91">
        <v>27</v>
      </c>
      <c r="G18" s="89">
        <f>(8571.42)+(12000)+(13542.85)+(16799.99)</f>
        <v>50914.259999999995</v>
      </c>
      <c r="H18" s="105">
        <f>(13600-0.01+0.02)+(33645.71-0.02+0.02)+(68857.14-0.01)+(40285.7-0.04+0.03+685.72)</f>
        <v>157074.26</v>
      </c>
      <c r="I18" s="105">
        <v>0</v>
      </c>
      <c r="J18" s="89">
        <f>(1142.86)+(571.43)+(1142.86)+(571.43)</f>
        <v>3428.5799999999995</v>
      </c>
      <c r="K18" s="74">
        <v>0</v>
      </c>
      <c r="L18" s="74">
        <v>0</v>
      </c>
      <c r="M18" s="89">
        <f>1142.86+571.44</f>
        <v>1714.3</v>
      </c>
      <c r="N18" s="105">
        <f>12*1142.86</f>
        <v>13714.32</v>
      </c>
      <c r="O18" s="95">
        <v>0</v>
      </c>
      <c r="P18" s="167">
        <f t="shared" si="0"/>
        <v>226845.72</v>
      </c>
      <c r="Q18" s="169">
        <f>P18+'2. COMPR DEV 30%'!C16+'2. COMPR DEV 30%'!E16+'3. COMP VR'!C16+'3. COMP VR'!E16+'4. COMP VP'!D19+'4. COMP VP'!F19</f>
        <v>388623.17000000004</v>
      </c>
      <c r="T18" s="157"/>
      <c r="U18" s="218"/>
      <c r="V18" s="208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118</v>
      </c>
      <c r="E19" s="91">
        <v>25</v>
      </c>
      <c r="F19" s="91">
        <v>38</v>
      </c>
      <c r="G19" s="89">
        <f>(13714.28)+(20399.99)+(13028.56)</f>
        <v>47142.83</v>
      </c>
      <c r="H19" s="105">
        <f>(31131.42-0.01+0.01)+(21714.29-0.02+0.01)+(20891.42-0.02+0.02)+(37428.59-0.04+0.01)</f>
        <v>111165.68</v>
      </c>
      <c r="I19" s="105">
        <v>0</v>
      </c>
      <c r="J19" s="89">
        <f>(1142.86)+(1142.86)+(1142.86)+(300+300)+(800)+(300)+(380.96+380.95+380.95)+(1200)</f>
        <v>7471.44</v>
      </c>
      <c r="K19" s="74">
        <v>0</v>
      </c>
      <c r="L19" s="74">
        <v>0</v>
      </c>
      <c r="M19" s="89">
        <f>(1142.86)</f>
        <v>1142.8599999999999</v>
      </c>
      <c r="N19" s="105">
        <f>14*1142.86</f>
        <v>16000.039999999999</v>
      </c>
      <c r="O19" s="95">
        <v>0</v>
      </c>
      <c r="P19" s="167">
        <f t="shared" si="0"/>
        <v>182922.85</v>
      </c>
      <c r="Q19" s="169">
        <f>P19+'2. COMPR DEV 30%'!C17+'2. COMPR DEV 30%'!E17+'3. COMP VR'!C17+'3. COMP VR'!E17+'4. COMP VP'!D20+'4. COMP VP'!F20</f>
        <v>368396.09</v>
      </c>
      <c r="R19" s="170"/>
      <c r="T19" s="157"/>
      <c r="U19" s="218"/>
      <c r="V19" s="208"/>
      <c r="X19" s="208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7">
        <f t="shared" si="0"/>
        <v>0</v>
      </c>
      <c r="Q20" s="169">
        <f>P20+'2. COMPR DEV 30%'!C18+'2. COMPR DEV 30%'!E18+'3. COMP VR'!C18+'3. COMP VR'!E18+'4. COMP VP'!D21+'4. COMP VP'!F21</f>
        <v>0</v>
      </c>
      <c r="R20" s="172"/>
      <c r="T20" s="165"/>
      <c r="U20" s="218"/>
      <c r="V20" s="208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7">
        <f t="shared" si="0"/>
        <v>0</v>
      </c>
      <c r="Q21" s="169">
        <f>P21+'2. COMPR DEV 30%'!C19+'2. COMPR DEV 30%'!E19+'3. COMP VR'!C19+'3. COMP VR'!E19+'4. COMP VP'!D22+'4. COMP VP'!F22</f>
        <v>0</v>
      </c>
      <c r="R21" s="170"/>
      <c r="T21" s="165"/>
      <c r="U21" s="218"/>
      <c r="V21" s="208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7">
        <f t="shared" si="0"/>
        <v>0</v>
      </c>
      <c r="Q22" s="169">
        <f>P22+'2. COMPR DEV 30%'!C20+'2. COMPR DEV 30%'!E20+'3. COMP VR'!C20+'3. COMP VR'!E20+'4. COMP VP'!D23+'4. COMP VP'!F23</f>
        <v>0</v>
      </c>
      <c r="R22" s="169"/>
      <c r="T22" s="165"/>
      <c r="U22" s="218"/>
      <c r="V22" s="208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726</v>
      </c>
      <c r="E23" s="97">
        <f t="shared" si="1"/>
        <v>171</v>
      </c>
      <c r="F23" s="97">
        <f t="shared" si="1"/>
        <v>254</v>
      </c>
      <c r="G23" s="98">
        <f t="shared" si="1"/>
        <v>368479.84</v>
      </c>
      <c r="H23" s="98">
        <f t="shared" si="1"/>
        <v>1195811.53</v>
      </c>
      <c r="I23" s="98">
        <f t="shared" si="1"/>
        <v>22904.71</v>
      </c>
      <c r="J23" s="98">
        <f t="shared" ref="J23:O23" si="2">SUM(J11:J22)</f>
        <v>68184.87</v>
      </c>
      <c r="K23" s="98">
        <f t="shared" si="2"/>
        <v>0</v>
      </c>
      <c r="L23" s="98">
        <f t="shared" si="2"/>
        <v>0</v>
      </c>
      <c r="M23" s="98">
        <f t="shared" si="2"/>
        <v>19428.600000000002</v>
      </c>
      <c r="N23" s="98">
        <f t="shared" si="2"/>
        <v>125714.59999999999</v>
      </c>
      <c r="O23" s="99">
        <f t="shared" si="2"/>
        <v>22076.760000000002</v>
      </c>
      <c r="P23" s="173">
        <f>G23+H23+I23+J23+K23+L23+M23+N23+O23</f>
        <v>1822600.9100000004</v>
      </c>
      <c r="Q23" s="174">
        <f>SUM(Q11:Q22)</f>
        <v>3696599.2199999997</v>
      </c>
      <c r="T23" s="157"/>
      <c r="U23" s="218"/>
      <c r="V23" s="208"/>
    </row>
    <row r="24" spans="1:24" s="165" customFormat="1" x14ac:dyDescent="0.2">
      <c r="A24" s="64" t="s">
        <v>82</v>
      </c>
      <c r="B24" s="219"/>
      <c r="C24" s="219"/>
      <c r="D24" s="219"/>
      <c r="E24" s="219"/>
      <c r="F24" s="219"/>
      <c r="G24" s="178"/>
      <c r="H24" s="219"/>
      <c r="I24" s="219"/>
      <c r="J24" s="219"/>
      <c r="K24" s="219"/>
      <c r="L24" s="219"/>
      <c r="M24" s="178"/>
      <c r="N24" s="1" t="s">
        <v>95</v>
      </c>
      <c r="O24" s="178"/>
      <c r="Q24" s="168">
        <f>SUM(Q11:Q23)-Q23</f>
        <v>3696599.2199999997</v>
      </c>
      <c r="R24" s="170"/>
    </row>
    <row r="25" spans="1:24" s="165" customFormat="1" x14ac:dyDescent="0.2">
      <c r="A25" s="5" t="s">
        <v>61</v>
      </c>
      <c r="B25" s="63"/>
      <c r="C25" s="219"/>
      <c r="D25" s="219"/>
      <c r="E25" s="219"/>
      <c r="F25" s="219"/>
      <c r="G25" s="178"/>
      <c r="H25" s="219"/>
      <c r="I25" s="219"/>
      <c r="J25" s="219"/>
      <c r="K25" s="219"/>
      <c r="L25" s="219"/>
      <c r="M25" s="178"/>
      <c r="N25" s="178"/>
      <c r="O25" s="178"/>
      <c r="P25" s="175"/>
      <c r="Q25" s="170"/>
      <c r="V25" s="170"/>
    </row>
    <row r="26" spans="1:24" s="165" customFormat="1" x14ac:dyDescent="0.2">
      <c r="B26" s="221"/>
      <c r="C26" s="219"/>
      <c r="D26" s="219"/>
      <c r="E26" s="219"/>
      <c r="F26" s="219"/>
      <c r="G26" s="178"/>
      <c r="H26" s="219"/>
      <c r="I26" s="219"/>
      <c r="J26" s="219"/>
      <c r="K26" s="219"/>
      <c r="L26" s="219"/>
      <c r="M26" s="178"/>
      <c r="N26" s="178"/>
      <c r="O26" s="178"/>
      <c r="P26" s="170"/>
      <c r="Q26" s="209"/>
      <c r="V26" s="170"/>
    </row>
    <row r="27" spans="1:24" s="165" customFormat="1" x14ac:dyDescent="0.2">
      <c r="A27" s="219"/>
      <c r="B27" s="221"/>
      <c r="C27" s="219"/>
      <c r="D27" s="219"/>
      <c r="E27" s="219"/>
      <c r="F27" s="219"/>
      <c r="G27" s="178"/>
      <c r="H27" s="219"/>
      <c r="I27" s="219"/>
      <c r="J27" s="219"/>
      <c r="K27" s="219"/>
      <c r="L27" s="219"/>
      <c r="M27" s="178"/>
      <c r="N27" s="178"/>
      <c r="O27" s="178"/>
      <c r="P27" s="170"/>
      <c r="Q27" s="170"/>
    </row>
    <row r="28" spans="1:24" s="165" customFormat="1" x14ac:dyDescent="0.2">
      <c r="A28" s="63" t="s">
        <v>46</v>
      </c>
      <c r="B28" s="221"/>
      <c r="C28" s="220"/>
      <c r="D28" s="220"/>
      <c r="E28" s="220"/>
      <c r="F28" s="220"/>
      <c r="G28" s="63"/>
      <c r="H28" s="220"/>
      <c r="I28" s="220"/>
      <c r="J28" s="220"/>
      <c r="K28" s="220"/>
      <c r="L28" s="220"/>
      <c r="M28" s="63"/>
      <c r="N28" s="63"/>
      <c r="O28" s="63"/>
      <c r="P28" s="63"/>
      <c r="Q28" s="170"/>
    </row>
    <row r="29" spans="1:24" s="165" customFormat="1" x14ac:dyDescent="0.2">
      <c r="A29" s="220"/>
      <c r="B29" s="221"/>
      <c r="C29" s="219"/>
      <c r="D29" s="219"/>
      <c r="E29" s="219"/>
      <c r="F29" s="219"/>
      <c r="G29" s="178"/>
      <c r="H29" s="219"/>
      <c r="I29" s="219"/>
      <c r="J29" s="219"/>
      <c r="K29" s="219"/>
      <c r="L29" s="219"/>
      <c r="M29" s="178"/>
      <c r="N29" s="178"/>
      <c r="O29" s="178"/>
      <c r="Q29" s="209"/>
      <c r="U29" s="170"/>
    </row>
    <row r="30" spans="1:24" s="165" customFormat="1" x14ac:dyDescent="0.2">
      <c r="A30" s="220"/>
      <c r="B30" s="63"/>
      <c r="C30" s="220"/>
      <c r="D30" s="220"/>
      <c r="E30" s="220"/>
      <c r="F30" s="220"/>
      <c r="G30" s="63"/>
      <c r="H30" s="220"/>
      <c r="I30" s="220"/>
      <c r="J30" s="220"/>
      <c r="K30" s="220"/>
      <c r="L30" s="220"/>
      <c r="M30" s="63"/>
      <c r="N30" s="63"/>
      <c r="O30" s="63"/>
      <c r="P30" s="63"/>
      <c r="Q30" s="209"/>
    </row>
    <row r="31" spans="1:24" s="165" customFormat="1" x14ac:dyDescent="0.2">
      <c r="A31" s="220"/>
      <c r="B31" s="63"/>
      <c r="C31" s="220"/>
      <c r="D31" s="220"/>
      <c r="E31" s="220"/>
      <c r="F31" s="220"/>
      <c r="G31" s="63"/>
      <c r="H31" s="220"/>
      <c r="I31" s="220"/>
      <c r="J31" s="220"/>
      <c r="K31" s="220"/>
      <c r="L31" s="220"/>
      <c r="M31" s="63"/>
      <c r="N31" s="63"/>
      <c r="O31" s="63"/>
      <c r="P31" s="63"/>
    </row>
    <row r="32" spans="1:24" s="165" customFormat="1" x14ac:dyDescent="0.2">
      <c r="A32" s="220"/>
      <c r="B32" s="63"/>
      <c r="C32" s="220"/>
      <c r="D32" s="220"/>
      <c r="E32" s="220"/>
      <c r="F32" s="220"/>
      <c r="G32" s="7" t="s">
        <v>83</v>
      </c>
      <c r="H32" s="229"/>
      <c r="I32" s="230"/>
      <c r="J32" s="231"/>
      <c r="K32" s="231"/>
      <c r="L32" s="4"/>
      <c r="M32" s="7"/>
      <c r="N32" s="229"/>
      <c r="O32" s="230"/>
      <c r="P32" s="176"/>
    </row>
    <row r="33" spans="1:18" s="165" customFormat="1" x14ac:dyDescent="0.2">
      <c r="A33" s="220"/>
      <c r="B33" s="63"/>
      <c r="D33" s="220"/>
      <c r="E33" s="220"/>
      <c r="F33" s="220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5" customFormat="1" x14ac:dyDescent="0.2">
      <c r="A34" s="220"/>
      <c r="B34" s="63"/>
      <c r="C34" s="220"/>
      <c r="D34" s="220"/>
      <c r="E34" s="220"/>
      <c r="F34" s="220"/>
      <c r="G34" s="3"/>
      <c r="H34" s="232" t="s">
        <v>85</v>
      </c>
      <c r="I34" s="1"/>
      <c r="J34" s="2"/>
      <c r="K34" s="2"/>
      <c r="L34" s="1"/>
      <c r="M34" s="3"/>
      <c r="N34" s="232"/>
      <c r="O34" s="1"/>
      <c r="Q34" s="222"/>
    </row>
    <row r="35" spans="1:18" x14ac:dyDescent="0.2">
      <c r="A35" s="5"/>
      <c r="B35" s="212"/>
      <c r="C35" s="213"/>
      <c r="D35" s="213"/>
      <c r="E35" s="213"/>
      <c r="F35" s="213"/>
      <c r="G35" s="157"/>
      <c r="H35" s="213"/>
      <c r="I35" s="213"/>
      <c r="J35" s="2"/>
      <c r="K35" s="2"/>
      <c r="L35" s="2"/>
      <c r="Q35" s="222"/>
      <c r="R35" s="170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7"/>
      <c r="Q36" s="222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7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8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8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A17" sqref="A17"/>
    </sheetView>
  </sheetViews>
  <sheetFormatPr baseColWidth="10" defaultRowHeight="12.75" x14ac:dyDescent="0.2"/>
  <cols>
    <col min="2" max="2" width="12" customWidth="1"/>
    <col min="4" max="4" width="12.5703125" customWidth="1"/>
    <col min="5" max="5" width="13.2851562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301" t="s">
        <v>28</v>
      </c>
      <c r="B4" s="301"/>
      <c r="C4" s="301"/>
      <c r="D4" s="301"/>
      <c r="E4" s="301"/>
      <c r="F4" s="62"/>
      <c r="G4" s="301"/>
      <c r="H4" s="301"/>
      <c r="I4" s="301"/>
      <c r="J4" s="301"/>
      <c r="K4" s="301"/>
    </row>
    <row r="5" spans="1:11" s="9" customFormat="1" ht="9" x14ac:dyDescent="0.15">
      <c r="A5" s="301" t="s">
        <v>29</v>
      </c>
      <c r="B5" s="301"/>
      <c r="C5" s="301"/>
      <c r="D5" s="301"/>
      <c r="E5" s="301"/>
      <c r="F5" s="62"/>
      <c r="G5" s="301"/>
      <c r="H5" s="301"/>
      <c r="I5" s="301"/>
      <c r="J5" s="301"/>
      <c r="K5" s="301"/>
    </row>
    <row r="6" spans="1:11" s="9" customFormat="1" ht="9" x14ac:dyDescent="0.15">
      <c r="A6" s="305" t="s">
        <v>91</v>
      </c>
      <c r="B6" s="305"/>
      <c r="C6" s="305"/>
      <c r="D6" s="305"/>
      <c r="E6" s="305"/>
      <c r="F6" s="62"/>
      <c r="G6" s="306"/>
      <c r="H6" s="306"/>
      <c r="I6" s="306"/>
      <c r="J6" s="306"/>
      <c r="K6" s="306"/>
    </row>
    <row r="7" spans="1:11" ht="15" customHeight="1" x14ac:dyDescent="0.25">
      <c r="A7" s="67"/>
      <c r="B7" s="302" t="s">
        <v>89</v>
      </c>
      <c r="C7" s="303"/>
      <c r="D7" s="303"/>
      <c r="E7" s="304"/>
      <c r="F7" s="39"/>
      <c r="G7" s="41"/>
      <c r="H7" s="307"/>
      <c r="I7" s="307"/>
      <c r="J7" s="307"/>
      <c r="K7" s="307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6"/>
      <c r="H8" s="237"/>
      <c r="I8" s="236"/>
      <c r="J8" s="236"/>
      <c r="K8" s="236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8"/>
      <c r="H9" s="239"/>
      <c r="I9" s="240"/>
      <c r="J9" s="240"/>
      <c r="K9" s="241"/>
    </row>
    <row r="10" spans="1:11" ht="15" x14ac:dyDescent="0.25">
      <c r="A10" s="122" t="s">
        <v>18</v>
      </c>
      <c r="B10" s="123">
        <v>36</v>
      </c>
      <c r="C10" s="257">
        <v>1404.85</v>
      </c>
      <c r="D10" s="259">
        <v>46827.450000000004</v>
      </c>
      <c r="E10" s="257">
        <v>12643.380000000005</v>
      </c>
      <c r="F10" s="39"/>
      <c r="G10" s="238"/>
      <c r="H10" s="239"/>
      <c r="I10" s="240"/>
      <c r="J10" s="240"/>
      <c r="K10" s="241"/>
    </row>
    <row r="11" spans="1:11" ht="15" x14ac:dyDescent="0.25">
      <c r="A11" s="122" t="s">
        <v>19</v>
      </c>
      <c r="B11" s="258">
        <v>25</v>
      </c>
      <c r="C11" s="261">
        <v>953.37999999999988</v>
      </c>
      <c r="D11" s="260">
        <v>31778.990000000009</v>
      </c>
      <c r="E11" s="261">
        <v>8580.31</v>
      </c>
      <c r="F11" s="39"/>
      <c r="G11" s="238"/>
      <c r="H11" s="239"/>
      <c r="I11" s="240"/>
      <c r="J11" s="240"/>
      <c r="K11" s="241"/>
    </row>
    <row r="12" spans="1:11" ht="15" x14ac:dyDescent="0.25">
      <c r="A12" s="122" t="s">
        <v>20</v>
      </c>
      <c r="B12" s="123">
        <v>42</v>
      </c>
      <c r="C12" s="264">
        <v>1487.1600000000003</v>
      </c>
      <c r="D12" s="264">
        <v>49572.28</v>
      </c>
      <c r="E12" s="263">
        <v>13384.52</v>
      </c>
      <c r="F12" s="39"/>
      <c r="G12" s="238"/>
      <c r="H12" s="239"/>
      <c r="I12" s="242"/>
      <c r="J12" s="242"/>
      <c r="K12" s="241"/>
    </row>
    <row r="13" spans="1:11" ht="15" x14ac:dyDescent="0.25">
      <c r="A13" s="122" t="s">
        <v>21</v>
      </c>
      <c r="B13" s="123">
        <v>24</v>
      </c>
      <c r="C13" s="266">
        <v>1209.4299999999998</v>
      </c>
      <c r="D13" s="266">
        <v>40313.78</v>
      </c>
      <c r="E13" s="266">
        <v>10884.7</v>
      </c>
      <c r="F13" s="39"/>
      <c r="G13" s="238"/>
      <c r="H13" s="239"/>
      <c r="I13" s="240"/>
      <c r="J13" s="240"/>
      <c r="K13" s="241"/>
    </row>
    <row r="14" spans="1:11" ht="15" x14ac:dyDescent="0.25">
      <c r="A14" s="122" t="s">
        <v>22</v>
      </c>
      <c r="B14" s="123">
        <v>24</v>
      </c>
      <c r="C14" s="271">
        <v>1076.7900000000004</v>
      </c>
      <c r="D14" s="270">
        <v>35892.67</v>
      </c>
      <c r="E14" s="271">
        <v>9691.0299999999988</v>
      </c>
      <c r="F14" s="39"/>
      <c r="G14" s="238"/>
      <c r="H14" s="239"/>
      <c r="I14" s="240"/>
      <c r="J14" s="240"/>
      <c r="K14" s="241"/>
    </row>
    <row r="15" spans="1:11" ht="15" x14ac:dyDescent="0.25">
      <c r="A15" s="126" t="s">
        <v>23</v>
      </c>
      <c r="B15" s="123">
        <v>34</v>
      </c>
      <c r="C15" s="277">
        <v>1362.34</v>
      </c>
      <c r="D15" s="277">
        <v>45410.910000000011</v>
      </c>
      <c r="E15" s="277">
        <v>12260.940000000006</v>
      </c>
      <c r="F15" s="39"/>
      <c r="G15" s="238"/>
      <c r="H15" s="239"/>
      <c r="I15" s="242"/>
      <c r="J15" s="242"/>
      <c r="K15" s="241"/>
    </row>
    <row r="16" spans="1:11" ht="15" x14ac:dyDescent="0.25">
      <c r="A16" s="122" t="s">
        <v>24</v>
      </c>
      <c r="B16" s="123">
        <v>22</v>
      </c>
      <c r="C16" s="124">
        <v>1012.95</v>
      </c>
      <c r="D16" s="124">
        <v>33764.300000000003</v>
      </c>
      <c r="E16" s="125">
        <v>9116.34</v>
      </c>
      <c r="F16" s="39"/>
      <c r="G16" s="238"/>
      <c r="H16" s="239"/>
      <c r="I16" s="240"/>
      <c r="J16" s="240"/>
      <c r="K16" s="241"/>
    </row>
    <row r="17" spans="1:13" ht="15" x14ac:dyDescent="0.25">
      <c r="A17" s="122" t="s">
        <v>35</v>
      </c>
      <c r="B17" s="123">
        <v>40</v>
      </c>
      <c r="C17" s="124">
        <v>1901.13</v>
      </c>
      <c r="D17" s="124">
        <v>63370.28</v>
      </c>
      <c r="E17" s="125">
        <v>17109.939999999999</v>
      </c>
      <c r="F17" s="39"/>
      <c r="G17" s="238"/>
      <c r="H17" s="239"/>
      <c r="I17" s="240"/>
      <c r="J17" s="240"/>
      <c r="K17" s="241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8"/>
      <c r="H18" s="239"/>
      <c r="I18" s="240"/>
      <c r="J18" s="240"/>
      <c r="K18" s="241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8"/>
      <c r="H19" s="239"/>
      <c r="I19" s="240"/>
      <c r="J19" s="240"/>
      <c r="K19" s="241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8"/>
      <c r="H20" s="239"/>
      <c r="I20" s="240"/>
      <c r="J20" s="240"/>
      <c r="K20" s="241"/>
    </row>
    <row r="21" spans="1:13" ht="15" x14ac:dyDescent="0.25">
      <c r="A21" s="127" t="s">
        <v>0</v>
      </c>
      <c r="B21" s="128">
        <f>SUM(B9:B20)</f>
        <v>288</v>
      </c>
      <c r="C21" s="129">
        <f>SUM(C9:C20)</f>
        <v>12163.900000000001</v>
      </c>
      <c r="D21" s="130">
        <f>SUM(D9:D20)</f>
        <v>405457.64</v>
      </c>
      <c r="E21" s="131">
        <f>SUM(E9:E20)</f>
        <v>109473.40000000001</v>
      </c>
      <c r="F21" s="39"/>
      <c r="G21" s="243"/>
      <c r="H21" s="244"/>
      <c r="I21" s="245"/>
      <c r="J21" s="246"/>
      <c r="K21" s="247"/>
    </row>
    <row r="22" spans="1:13" ht="15" x14ac:dyDescent="0.25">
      <c r="A22" s="65" t="s">
        <v>82</v>
      </c>
      <c r="B22" s="41"/>
      <c r="C22" s="41"/>
      <c r="D22" s="41"/>
      <c r="F22" s="39"/>
      <c r="G22" s="248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29"/>
      <c r="D25" s="230"/>
      <c r="E25" s="231"/>
      <c r="F25" s="231"/>
      <c r="G25" s="4"/>
      <c r="H25" s="7"/>
      <c r="I25" s="229"/>
      <c r="J25" s="230"/>
      <c r="K25" s="176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5"/>
    </row>
    <row r="27" spans="1:13" x14ac:dyDescent="0.2">
      <c r="A27" s="41"/>
      <c r="B27" s="3"/>
      <c r="C27" s="232" t="s">
        <v>85</v>
      </c>
      <c r="D27" s="1"/>
      <c r="E27" s="2"/>
      <c r="F27" s="2"/>
      <c r="G27" s="1"/>
      <c r="H27" s="3"/>
      <c r="I27" s="232"/>
      <c r="J27" s="1"/>
      <c r="K27" s="165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A17" sqref="A17:XFD17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8" t="s">
        <v>36</v>
      </c>
      <c r="B4" s="308"/>
      <c r="C4" s="308"/>
      <c r="D4" s="308"/>
      <c r="E4" s="308"/>
      <c r="F4" s="1"/>
      <c r="G4" s="308"/>
      <c r="H4" s="308"/>
      <c r="I4" s="308"/>
      <c r="J4" s="308"/>
      <c r="K4" s="308"/>
    </row>
    <row r="5" spans="1:14" x14ac:dyDescent="0.2">
      <c r="A5" s="308" t="s">
        <v>92</v>
      </c>
      <c r="B5" s="308"/>
      <c r="C5" s="308"/>
      <c r="D5" s="308"/>
      <c r="E5" s="308"/>
      <c r="F5" s="1"/>
      <c r="G5" s="308"/>
      <c r="H5" s="308"/>
      <c r="I5" s="308"/>
      <c r="J5" s="308"/>
      <c r="K5" s="308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302" t="str">
        <f>'2. COMPR DEV 30%'!B7:E7</f>
        <v>DEL 01 DE ENERO AL 31 DE DICIEMBRE DEL AÑO 2024</v>
      </c>
      <c r="C7" s="303"/>
      <c r="D7" s="303"/>
      <c r="E7" s="304"/>
      <c r="G7" s="1"/>
      <c r="H7" s="309"/>
      <c r="I7" s="309"/>
      <c r="J7" s="309"/>
      <c r="K7" s="309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4"/>
      <c r="H8" s="237"/>
      <c r="I8" s="164"/>
      <c r="J8" s="164"/>
      <c r="K8" s="164"/>
    </row>
    <row r="9" spans="1:14" x14ac:dyDescent="0.2">
      <c r="A9" s="132" t="s">
        <v>17</v>
      </c>
      <c r="B9" s="133">
        <f>3+22+21+29+24</f>
        <v>99</v>
      </c>
      <c r="C9" s="134">
        <f>1.51+66.03+120.96+40.96+15.4</f>
        <v>244.86</v>
      </c>
      <c r="D9" s="134">
        <v>120604.11</v>
      </c>
      <c r="E9" s="134">
        <f>3594.79+23733.62+41539.36+25879.53+19185</f>
        <v>113932.3</v>
      </c>
      <c r="G9" s="249"/>
      <c r="H9" s="250"/>
      <c r="I9" s="251"/>
      <c r="J9" s="251"/>
      <c r="K9" s="251"/>
      <c r="L9" s="37"/>
      <c r="M9" s="37"/>
    </row>
    <row r="10" spans="1:14" x14ac:dyDescent="0.2">
      <c r="A10" s="132" t="s">
        <v>18</v>
      </c>
      <c r="B10" s="133">
        <v>87</v>
      </c>
      <c r="C10" s="134">
        <v>126.76</v>
      </c>
      <c r="D10" s="134">
        <v>76116.3</v>
      </c>
      <c r="E10" s="134">
        <v>70491.03</v>
      </c>
      <c r="G10" s="249"/>
      <c r="H10" s="250"/>
      <c r="I10" s="251"/>
      <c r="J10" s="251"/>
      <c r="K10" s="251"/>
      <c r="L10" s="10"/>
      <c r="M10" s="10"/>
    </row>
    <row r="11" spans="1:14" ht="15" x14ac:dyDescent="0.25">
      <c r="A11" s="132" t="s">
        <v>19</v>
      </c>
      <c r="B11" s="133">
        <v>58</v>
      </c>
      <c r="C11" s="261">
        <v>58.24</v>
      </c>
      <c r="D11" s="261">
        <v>59980.23</v>
      </c>
      <c r="E11" s="261">
        <v>54580.81</v>
      </c>
      <c r="G11" s="249"/>
      <c r="H11" s="250"/>
      <c r="I11" s="251"/>
      <c r="J11" s="251"/>
      <c r="K11" s="251"/>
      <c r="L11" s="49"/>
      <c r="M11" s="50"/>
    </row>
    <row r="12" spans="1:14" ht="15" x14ac:dyDescent="0.25">
      <c r="A12" s="132" t="s">
        <v>20</v>
      </c>
      <c r="B12" s="133">
        <v>74</v>
      </c>
      <c r="C12" s="264">
        <v>70.23</v>
      </c>
      <c r="D12" s="264">
        <v>65122.23000000001</v>
      </c>
      <c r="E12" s="263">
        <v>56830.760000000024</v>
      </c>
      <c r="G12" s="249"/>
      <c r="H12" s="250"/>
      <c r="I12" s="251"/>
      <c r="J12" s="251"/>
      <c r="K12" s="251"/>
      <c r="L12" s="50"/>
      <c r="M12" s="51"/>
    </row>
    <row r="13" spans="1:14" ht="15" x14ac:dyDescent="0.25">
      <c r="A13" s="132" t="s">
        <v>21</v>
      </c>
      <c r="B13" s="133">
        <v>89</v>
      </c>
      <c r="C13" s="266">
        <v>101.83000000000001</v>
      </c>
      <c r="D13" s="265">
        <v>88444.89</v>
      </c>
      <c r="E13" s="265">
        <v>78931.77</v>
      </c>
      <c r="G13" s="249"/>
      <c r="H13" s="250"/>
      <c r="I13" s="251"/>
      <c r="J13" s="251"/>
      <c r="K13" s="251"/>
      <c r="L13" s="37"/>
      <c r="M13" s="50"/>
    </row>
    <row r="14" spans="1:14" ht="15" x14ac:dyDescent="0.25">
      <c r="A14" s="132" t="s">
        <v>22</v>
      </c>
      <c r="B14" s="133">
        <v>47</v>
      </c>
      <c r="C14" s="134">
        <v>34.590000000000003</v>
      </c>
      <c r="D14" s="271">
        <v>41519.549999999996</v>
      </c>
      <c r="E14" s="271">
        <v>37991.050000000003</v>
      </c>
      <c r="G14" s="249"/>
      <c r="H14" s="250"/>
      <c r="I14" s="251"/>
      <c r="J14" s="251"/>
      <c r="K14" s="251"/>
      <c r="L14" s="50"/>
      <c r="N14" s="37"/>
    </row>
    <row r="15" spans="1:14" ht="15" x14ac:dyDescent="0.25">
      <c r="A15" s="135" t="s">
        <v>23</v>
      </c>
      <c r="B15" s="133">
        <v>61</v>
      </c>
      <c r="C15" s="134">
        <v>51.82</v>
      </c>
      <c r="D15" s="272">
        <v>58730.21</v>
      </c>
      <c r="E15" s="272">
        <v>50518.29</v>
      </c>
      <c r="G15" s="249"/>
      <c r="H15" s="250"/>
      <c r="I15" s="251"/>
      <c r="J15" s="251"/>
      <c r="K15" s="251"/>
      <c r="L15" s="37"/>
      <c r="N15" s="37"/>
    </row>
    <row r="16" spans="1:14" x14ac:dyDescent="0.2">
      <c r="A16" s="132" t="s">
        <v>24</v>
      </c>
      <c r="B16" s="133">
        <v>50</v>
      </c>
      <c r="C16" s="134">
        <v>24.71</v>
      </c>
      <c r="D16" s="134">
        <v>49619.09</v>
      </c>
      <c r="E16" s="134">
        <v>45337.68</v>
      </c>
      <c r="G16" s="249"/>
      <c r="H16" s="250"/>
      <c r="I16" s="251"/>
      <c r="J16" s="251"/>
      <c r="K16" s="251"/>
      <c r="L16" s="52"/>
      <c r="M16" s="10"/>
      <c r="N16" s="37"/>
    </row>
    <row r="17" spans="1:14" x14ac:dyDescent="0.2">
      <c r="A17" s="132" t="s">
        <v>35</v>
      </c>
      <c r="B17" s="133">
        <v>85</v>
      </c>
      <c r="C17" s="134">
        <v>55.9</v>
      </c>
      <c r="D17" s="134">
        <v>85020.66</v>
      </c>
      <c r="E17" s="134">
        <v>74977.64</v>
      </c>
      <c r="G17" s="249"/>
      <c r="H17" s="250"/>
      <c r="I17" s="251"/>
      <c r="J17" s="251"/>
      <c r="K17" s="251"/>
      <c r="L17" s="50"/>
      <c r="M17" s="10"/>
      <c r="N17" s="37"/>
    </row>
    <row r="18" spans="1:14" x14ac:dyDescent="0.2">
      <c r="A18" s="132" t="s">
        <v>25</v>
      </c>
      <c r="B18" s="133">
        <v>0</v>
      </c>
      <c r="C18" s="134">
        <v>0</v>
      </c>
      <c r="D18" s="134">
        <v>0</v>
      </c>
      <c r="E18" s="134">
        <v>0</v>
      </c>
      <c r="G18" s="249"/>
      <c r="H18" s="250"/>
      <c r="I18" s="252"/>
      <c r="J18" s="252"/>
      <c r="K18" s="252"/>
      <c r="L18" s="50"/>
      <c r="M18" s="53"/>
      <c r="N18" s="37"/>
    </row>
    <row r="19" spans="1:14" x14ac:dyDescent="0.2">
      <c r="A19" s="132" t="s">
        <v>26</v>
      </c>
      <c r="B19" s="133">
        <v>0</v>
      </c>
      <c r="C19" s="134">
        <v>0</v>
      </c>
      <c r="D19" s="134">
        <v>0</v>
      </c>
      <c r="E19" s="134">
        <v>0</v>
      </c>
      <c r="G19" s="249"/>
      <c r="H19" s="250"/>
      <c r="I19" s="251"/>
      <c r="J19" s="251"/>
      <c r="K19" s="251"/>
      <c r="L19" s="53"/>
      <c r="M19" s="10"/>
      <c r="N19" s="37"/>
    </row>
    <row r="20" spans="1:14" x14ac:dyDescent="0.2">
      <c r="A20" s="132" t="s">
        <v>27</v>
      </c>
      <c r="B20" s="133">
        <v>0</v>
      </c>
      <c r="C20" s="134">
        <v>0</v>
      </c>
      <c r="D20" s="134">
        <v>0</v>
      </c>
      <c r="E20" s="134">
        <v>0</v>
      </c>
      <c r="G20" s="249"/>
      <c r="H20" s="250"/>
      <c r="I20" s="251"/>
      <c r="J20" s="251"/>
      <c r="K20" s="251"/>
      <c r="L20" s="37"/>
      <c r="M20" s="50"/>
      <c r="N20" s="37"/>
    </row>
    <row r="21" spans="1:14" x14ac:dyDescent="0.2">
      <c r="A21" s="26" t="s">
        <v>0</v>
      </c>
      <c r="B21" s="54">
        <f>SUM(B9:B20)</f>
        <v>650</v>
      </c>
      <c r="C21" s="81">
        <f>SUM(C9:C20)</f>
        <v>768.94000000000017</v>
      </c>
      <c r="D21" s="81">
        <f>SUM(D9:D20)</f>
        <v>645157.27</v>
      </c>
      <c r="E21" s="81">
        <f>SUM(E9:E20)</f>
        <v>583591.32999999996</v>
      </c>
      <c r="G21" s="2"/>
      <c r="H21" s="235"/>
      <c r="I21" s="253"/>
      <c r="J21" s="253"/>
      <c r="K21" s="253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4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8"/>
      <c r="D27" s="228"/>
      <c r="E27" s="228"/>
      <c r="F27" s="1"/>
    </row>
    <row r="28" spans="1:14" x14ac:dyDescent="0.2">
      <c r="A28" s="4"/>
      <c r="B28" s="7" t="s">
        <v>83</v>
      </c>
      <c r="C28" s="229"/>
      <c r="D28" s="230"/>
      <c r="E28" s="231"/>
      <c r="F28" s="231"/>
      <c r="G28" s="4"/>
      <c r="H28" s="7"/>
      <c r="I28" s="229"/>
      <c r="J28" s="230"/>
      <c r="K28" s="176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5"/>
    </row>
    <row r="30" spans="1:14" x14ac:dyDescent="0.2">
      <c r="A30" s="4"/>
      <c r="B30" s="3"/>
      <c r="C30" s="232" t="s">
        <v>85</v>
      </c>
      <c r="D30" s="1"/>
      <c r="E30" s="2"/>
      <c r="F30" s="2"/>
      <c r="G30" s="1"/>
      <c r="H30" s="3"/>
      <c r="I30" s="232"/>
      <c r="J30" s="1"/>
      <c r="K30" s="165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9" workbookViewId="0">
      <selection activeCell="B20" sqref="B20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8" t="s">
        <v>37</v>
      </c>
      <c r="C8" s="308"/>
      <c r="D8" s="308"/>
      <c r="E8" s="308"/>
      <c r="F8" s="308"/>
      <c r="G8" s="1"/>
      <c r="H8" s="308"/>
      <c r="I8" s="308"/>
      <c r="J8" s="308"/>
      <c r="K8" s="308"/>
      <c r="L8" s="308"/>
    </row>
    <row r="9" spans="2:15" x14ac:dyDescent="0.2">
      <c r="B9" s="310" t="s">
        <v>93</v>
      </c>
      <c r="C9" s="310"/>
      <c r="D9" s="310"/>
      <c r="E9" s="310"/>
      <c r="F9" s="310"/>
      <c r="G9" s="1"/>
      <c r="H9" s="310"/>
      <c r="I9" s="310"/>
      <c r="J9" s="310"/>
      <c r="K9" s="310"/>
      <c r="L9" s="310"/>
    </row>
    <row r="10" spans="2:15" ht="12.75" customHeight="1" x14ac:dyDescent="0.2">
      <c r="B10" s="18"/>
      <c r="C10" s="302" t="s">
        <v>90</v>
      </c>
      <c r="D10" s="303"/>
      <c r="E10" s="303"/>
      <c r="F10" s="304"/>
      <c r="H10" s="1"/>
      <c r="I10" s="309"/>
      <c r="J10" s="309"/>
      <c r="K10" s="309"/>
      <c r="L10" s="309"/>
    </row>
    <row r="11" spans="2:15" ht="45" x14ac:dyDescent="0.2">
      <c r="B11" s="28" t="s">
        <v>30</v>
      </c>
      <c r="C11" s="35" t="s">
        <v>41</v>
      </c>
      <c r="D11" s="30" t="s">
        <v>32</v>
      </c>
      <c r="E11" s="224" t="s">
        <v>33</v>
      </c>
      <c r="F11" s="226" t="s">
        <v>38</v>
      </c>
      <c r="H11" s="164"/>
      <c r="I11" s="237"/>
      <c r="J11" s="164"/>
      <c r="K11" s="164"/>
      <c r="L11" s="164"/>
      <c r="N11" s="164"/>
    </row>
    <row r="12" spans="2:15" x14ac:dyDescent="0.2">
      <c r="B12" s="24" t="s">
        <v>17</v>
      </c>
      <c r="C12" s="33">
        <f>9+10+28+11+7</f>
        <v>65</v>
      </c>
      <c r="D12" s="134">
        <f>52+105.26+265.77+56.99+60.11</f>
        <v>540.13</v>
      </c>
      <c r="E12" s="134">
        <f>9765.6+27443.4+49363.75+10858.8+10827.6</f>
        <v>108259.15000000001</v>
      </c>
      <c r="F12" s="134">
        <f>10233.72+29609.04+52305.7+11371.61+11368.48</f>
        <v>114888.54999999999</v>
      </c>
      <c r="H12" s="249"/>
      <c r="I12" s="15"/>
      <c r="J12" s="251"/>
      <c r="K12" s="251"/>
      <c r="L12" s="251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5">
        <v>124598.99</v>
      </c>
      <c r="F13" s="227">
        <v>131297</v>
      </c>
      <c r="H13" s="249"/>
      <c r="I13" s="15"/>
      <c r="J13" s="228"/>
      <c r="K13" s="228"/>
      <c r="L13" s="228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7">
        <v>710.46999999999991</v>
      </c>
      <c r="E14" s="268">
        <v>133805.52000000002</v>
      </c>
      <c r="F14" s="262">
        <v>140432.50999999998</v>
      </c>
      <c r="H14" s="249"/>
      <c r="I14" s="15"/>
      <c r="J14" s="228"/>
      <c r="K14" s="228"/>
      <c r="L14" s="228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4">
        <v>840.86000000000013</v>
      </c>
      <c r="E15" s="264">
        <v>152647.80000000002</v>
      </c>
      <c r="F15" s="269">
        <v>160302.07999999999</v>
      </c>
      <c r="H15" s="249"/>
      <c r="I15" s="15"/>
      <c r="J15" s="228"/>
      <c r="K15" s="228"/>
      <c r="L15" s="228"/>
      <c r="M15" s="56"/>
      <c r="O15" s="10"/>
    </row>
    <row r="16" spans="2:15" ht="15" x14ac:dyDescent="0.25">
      <c r="B16" s="24" t="s">
        <v>21</v>
      </c>
      <c r="C16" s="33">
        <v>85</v>
      </c>
      <c r="D16" s="266">
        <v>896.74000000000012</v>
      </c>
      <c r="E16" s="266">
        <v>158461.85999999999</v>
      </c>
      <c r="F16" s="266">
        <v>166531.91000000003</v>
      </c>
      <c r="H16" s="249"/>
      <c r="I16" s="15"/>
      <c r="J16" s="228"/>
      <c r="K16" s="228"/>
      <c r="L16" s="228"/>
      <c r="M16" s="50"/>
      <c r="N16" s="49"/>
      <c r="O16" s="10"/>
    </row>
    <row r="17" spans="1:16" ht="15" x14ac:dyDescent="0.25">
      <c r="B17" s="24" t="s">
        <v>22</v>
      </c>
      <c r="C17" s="273">
        <v>46</v>
      </c>
      <c r="D17" s="274">
        <v>510.67999999999995</v>
      </c>
      <c r="E17" s="274">
        <v>88607.98</v>
      </c>
      <c r="F17" s="274">
        <v>93203.660000000033</v>
      </c>
      <c r="H17" s="249"/>
      <c r="I17" s="15"/>
      <c r="J17" s="228"/>
      <c r="K17" s="228"/>
      <c r="L17" s="228"/>
      <c r="M17" s="50"/>
      <c r="N17" s="49"/>
      <c r="O17" s="10"/>
    </row>
    <row r="18" spans="1:16" ht="15" x14ac:dyDescent="0.25">
      <c r="B18" s="22" t="s">
        <v>39</v>
      </c>
      <c r="C18" s="276">
        <v>82</v>
      </c>
      <c r="D18" s="272">
        <v>807.57</v>
      </c>
      <c r="E18" s="272">
        <v>150105.99999999997</v>
      </c>
      <c r="F18" s="272">
        <v>158621.1</v>
      </c>
      <c r="G18" s="255"/>
      <c r="H18" s="249"/>
      <c r="I18" s="15"/>
      <c r="J18" s="228"/>
      <c r="K18" s="228"/>
      <c r="L18" s="228"/>
      <c r="M18" s="37"/>
      <c r="N18" s="49"/>
      <c r="O18" s="37"/>
    </row>
    <row r="19" spans="1:16" x14ac:dyDescent="0.2">
      <c r="B19" s="48" t="s">
        <v>24</v>
      </c>
      <c r="C19" s="275">
        <v>49</v>
      </c>
      <c r="D19" s="225">
        <v>536.09</v>
      </c>
      <c r="E19" s="225">
        <v>100337.4</v>
      </c>
      <c r="F19" s="227">
        <v>105749.68</v>
      </c>
      <c r="H19" s="249"/>
      <c r="I19" s="15"/>
      <c r="J19" s="228"/>
      <c r="K19" s="228"/>
      <c r="L19" s="228"/>
      <c r="M19" s="37"/>
      <c r="N19" s="10"/>
      <c r="O19" s="10"/>
    </row>
    <row r="20" spans="1:16" x14ac:dyDescent="0.2">
      <c r="B20" s="48" t="s">
        <v>35</v>
      </c>
      <c r="C20" s="33">
        <v>46</v>
      </c>
      <c r="D20" s="31">
        <v>386.95</v>
      </c>
      <c r="E20" s="31">
        <v>85123.199999999997</v>
      </c>
      <c r="F20" s="25">
        <v>91041.68</v>
      </c>
      <c r="H20" s="249"/>
      <c r="I20" s="15"/>
      <c r="J20" s="228"/>
      <c r="K20" s="228"/>
      <c r="L20" s="228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49"/>
      <c r="I21" s="15"/>
      <c r="J21" s="228"/>
      <c r="K21" s="228"/>
      <c r="L21" s="228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49"/>
      <c r="I22" s="15"/>
      <c r="J22" s="228"/>
      <c r="K22" s="228"/>
      <c r="L22" s="228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49"/>
      <c r="I23" s="15"/>
      <c r="J23" s="228"/>
      <c r="K23" s="228"/>
      <c r="L23" s="228"/>
      <c r="M23" s="50"/>
      <c r="N23" s="10"/>
      <c r="O23" s="10"/>
    </row>
    <row r="24" spans="1:16" x14ac:dyDescent="0.2">
      <c r="B24" s="26" t="s">
        <v>0</v>
      </c>
      <c r="C24" s="34">
        <f>SUM(C12:C23)</f>
        <v>609</v>
      </c>
      <c r="D24" s="32">
        <f>SUM(D12:D23)</f>
        <v>5932.57</v>
      </c>
      <c r="E24" s="60">
        <f>SUM(E12:E23)</f>
        <v>1101947.9000000001</v>
      </c>
      <c r="F24" s="27">
        <f>SUM(F12:F23)</f>
        <v>1162068.17</v>
      </c>
      <c r="H24" s="2"/>
      <c r="I24" s="235"/>
      <c r="J24" s="256"/>
      <c r="K24" s="256"/>
      <c r="L24" s="256"/>
      <c r="M24" s="37"/>
      <c r="N24" s="61"/>
      <c r="O24" s="10"/>
    </row>
    <row r="25" spans="1:16" x14ac:dyDescent="0.2">
      <c r="B25" s="163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29"/>
      <c r="E31" s="230"/>
      <c r="F31" s="231"/>
      <c r="G31" s="231"/>
      <c r="H31" s="4"/>
      <c r="I31" s="7"/>
      <c r="J31" s="229"/>
      <c r="K31" s="230"/>
      <c r="L31" s="176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5"/>
      <c r="M32" s="4"/>
    </row>
    <row r="33" spans="1:13" x14ac:dyDescent="0.2">
      <c r="A33" s="36"/>
      <c r="B33" s="36"/>
      <c r="C33" s="3"/>
      <c r="D33" s="232" t="s">
        <v>85</v>
      </c>
      <c r="E33" s="1"/>
      <c r="F33" s="2"/>
      <c r="G33" s="2"/>
      <c r="H33" s="1"/>
      <c r="I33" s="3"/>
      <c r="J33" s="232"/>
      <c r="K33" s="1"/>
      <c r="L33" s="165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2024-10-10T14:37:37Z</dcterms:modified>
</cp:coreProperties>
</file>