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lanca_batres_cajaminedsv_onmicrosoft_com/Documents/Documentos/2024/UAIP/Informacion oficiosa/Estadísticas/"/>
    </mc:Choice>
  </mc:AlternateContent>
  <xr:revisionPtr revIDLastSave="0" documentId="8_{7D40586D-9DC0-450D-9594-1A85807BF47B}" xr6:coauthVersionLast="47" xr6:coauthVersionMax="47" xr10:uidLastSave="{00000000-0000-0000-0000-000000000000}"/>
  <bookViews>
    <workbookView xWindow="-108" yWindow="-108" windowWidth="23256" windowHeight="12456" tabRatio="601" firstSheet="1" activeTab="2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5" l="1"/>
  <c r="E21" i="25"/>
  <c r="E20" i="25"/>
  <c r="E19" i="25"/>
  <c r="E14" i="25"/>
  <c r="E13" i="25"/>
  <c r="E11" i="25"/>
  <c r="E10" i="25"/>
  <c r="E9" i="25"/>
  <c r="E8" i="25"/>
  <c r="E7" i="25"/>
  <c r="E6" i="25"/>
  <c r="H16" i="4"/>
  <c r="J16" i="4"/>
  <c r="N16" i="4"/>
  <c r="I16" i="4"/>
  <c r="G16" i="4"/>
  <c r="M16" i="4"/>
  <c r="H15" i="4"/>
  <c r="G15" i="4"/>
  <c r="J15" i="4"/>
  <c r="N15" i="4"/>
  <c r="J14" i="4"/>
  <c r="H14" i="4"/>
  <c r="D14" i="4"/>
  <c r="N14" i="4"/>
  <c r="G14" i="4"/>
  <c r="C13" i="4"/>
  <c r="B13" i="4"/>
  <c r="F13" i="4"/>
  <c r="E13" i="4"/>
  <c r="D13" i="4"/>
  <c r="H13" i="4"/>
  <c r="G13" i="4"/>
  <c r="J13" i="4"/>
  <c r="N13" i="4"/>
  <c r="I13" i="4"/>
  <c r="M12" i="4"/>
  <c r="H12" i="4"/>
  <c r="G12" i="4"/>
  <c r="F12" i="4"/>
  <c r="E12" i="4"/>
  <c r="D12" i="4"/>
  <c r="C12" i="4"/>
  <c r="B12" i="4"/>
  <c r="J12" i="4"/>
  <c r="N12" i="4"/>
  <c r="J11" i="4"/>
  <c r="N11" i="4"/>
  <c r="F12" i="18"/>
  <c r="E12" i="18"/>
  <c r="D12" i="18"/>
  <c r="C12" i="18"/>
  <c r="E9" i="17"/>
  <c r="C9" i="17"/>
  <c r="B9" i="17"/>
  <c r="E9" i="16"/>
  <c r="D9" i="16"/>
  <c r="C9" i="16"/>
  <c r="B9" i="16"/>
  <c r="M11" i="4"/>
  <c r="H11" i="4"/>
  <c r="G11" i="4"/>
  <c r="F11" i="4"/>
  <c r="E11" i="4"/>
  <c r="D11" i="4"/>
  <c r="C11" i="4"/>
  <c r="I11" i="4"/>
  <c r="E21" i="17" l="1"/>
  <c r="D21" i="17"/>
  <c r="D19" i="25"/>
  <c r="D36" i="25" s="1"/>
  <c r="D13" i="25"/>
  <c r="D15" i="25" s="1"/>
  <c r="D11" i="25"/>
  <c r="D33" i="25" s="1"/>
  <c r="D10" i="25"/>
  <c r="D32" i="25" s="1"/>
  <c r="D8" i="25"/>
  <c r="D30" i="25" s="1"/>
  <c r="D7" i="25"/>
  <c r="D29" i="25" s="1"/>
  <c r="D6" i="25"/>
  <c r="D12" i="25" s="1"/>
  <c r="E31" i="25"/>
  <c r="D20" i="25"/>
  <c r="D37" i="25" s="1"/>
  <c r="E30" i="25"/>
  <c r="E29" i="25"/>
  <c r="E28" i="25"/>
  <c r="E32" i="25"/>
  <c r="I23" i="4"/>
  <c r="E11" i="27" s="1"/>
  <c r="E33" i="27" s="1"/>
  <c r="E34" i="25"/>
  <c r="E35" i="25"/>
  <c r="C24" i="18"/>
  <c r="C23" i="27" s="1"/>
  <c r="C40" i="27" s="1"/>
  <c r="F24" i="18"/>
  <c r="D24" i="18"/>
  <c r="D21" i="16"/>
  <c r="E38" i="25"/>
  <c r="C21" i="16"/>
  <c r="D21" i="25"/>
  <c r="D38" i="25" s="1"/>
  <c r="P22" i="4"/>
  <c r="Q22" i="4"/>
  <c r="P21" i="4"/>
  <c r="Q21" i="4"/>
  <c r="P20" i="4"/>
  <c r="Q20" i="4" s="1"/>
  <c r="P19" i="4"/>
  <c r="P18" i="4"/>
  <c r="Q18" i="4"/>
  <c r="P17" i="4"/>
  <c r="P16" i="4"/>
  <c r="Q16" i="4" s="1"/>
  <c r="P15" i="4"/>
  <c r="Q15" i="4" s="1"/>
  <c r="P14" i="4"/>
  <c r="Q14" i="4" s="1"/>
  <c r="P13" i="4"/>
  <c r="Q13" i="4" s="1"/>
  <c r="P12" i="4"/>
  <c r="Q12" i="4" s="1"/>
  <c r="H16" i="27"/>
  <c r="C18" i="27"/>
  <c r="C20" i="25"/>
  <c r="C37" i="25" s="1"/>
  <c r="C19" i="25"/>
  <c r="C36" i="25" s="1"/>
  <c r="C15" i="25"/>
  <c r="C3" i="25"/>
  <c r="C8" i="25"/>
  <c r="C10" i="25"/>
  <c r="C32" i="25" s="1"/>
  <c r="C7" i="25"/>
  <c r="C29" i="25"/>
  <c r="C6" i="25"/>
  <c r="C12" i="25" s="1"/>
  <c r="C16" i="25" s="1"/>
  <c r="C28" i="25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C38" i="25" s="1"/>
  <c r="E24" i="18"/>
  <c r="F23" i="4"/>
  <c r="E23" i="4"/>
  <c r="D23" i="4"/>
  <c r="N23" i="4"/>
  <c r="E17" i="27" s="1"/>
  <c r="E21" i="16"/>
  <c r="C23" i="4"/>
  <c r="M23" i="4"/>
  <c r="E13" i="27" s="1"/>
  <c r="E35" i="27" s="1"/>
  <c r="D35" i="25"/>
  <c r="D31" i="25"/>
  <c r="C35" i="25"/>
  <c r="C34" i="25"/>
  <c r="C31" i="25"/>
  <c r="Q19" i="4"/>
  <c r="B7" i="17"/>
  <c r="Q17" i="4"/>
  <c r="L23" i="4"/>
  <c r="C33" i="25"/>
  <c r="B23" i="4"/>
  <c r="K23" i="4"/>
  <c r="E12" i="27" s="1"/>
  <c r="E34" i="27" s="1"/>
  <c r="J23" i="4"/>
  <c r="E16" i="27" s="1"/>
  <c r="E37" i="27" s="1"/>
  <c r="B21" i="16"/>
  <c r="C24" i="27" s="1"/>
  <c r="C15" i="27"/>
  <c r="C19" i="27"/>
  <c r="D15" i="27"/>
  <c r="D19" i="27"/>
  <c r="P11" i="4"/>
  <c r="Q11" i="4" s="1"/>
  <c r="E36" i="25"/>
  <c r="C21" i="17"/>
  <c r="B21" i="17"/>
  <c r="C22" i="27" s="1"/>
  <c r="G23" i="4"/>
  <c r="E9" i="27" s="1"/>
  <c r="E31" i="27" s="1"/>
  <c r="O23" i="4"/>
  <c r="E14" i="27" s="1"/>
  <c r="E36" i="27" s="1"/>
  <c r="C30" i="25"/>
  <c r="H23" i="4"/>
  <c r="E10" i="27" s="1"/>
  <c r="E32" i="27" s="1"/>
  <c r="C22" i="25" l="1"/>
  <c r="C24" i="25"/>
  <c r="C39" i="25"/>
  <c r="D16" i="25"/>
  <c r="E15" i="25"/>
  <c r="D28" i="25"/>
  <c r="D34" i="25"/>
  <c r="E22" i="27"/>
  <c r="E39" i="27" s="1"/>
  <c r="D22" i="27"/>
  <c r="D39" i="27" s="1"/>
  <c r="C39" i="27"/>
  <c r="D22" i="25"/>
  <c r="E12" i="25"/>
  <c r="E18" i="27"/>
  <c r="E38" i="27"/>
  <c r="E33" i="25"/>
  <c r="P23" i="4"/>
  <c r="I14" i="27"/>
  <c r="E15" i="27"/>
  <c r="E24" i="27"/>
  <c r="E41" i="27" s="1"/>
  <c r="D24" i="27"/>
  <c r="D41" i="27" s="1"/>
  <c r="C41" i="27"/>
  <c r="E22" i="25"/>
  <c r="F19" i="25" s="1"/>
  <c r="Q23" i="4"/>
  <c r="Q24" i="4" s="1"/>
  <c r="E23" i="27"/>
  <c r="D23" i="27"/>
  <c r="E37" i="25"/>
  <c r="C25" i="27"/>
  <c r="C27" i="27" s="1"/>
  <c r="E16" i="25" l="1"/>
  <c r="F9" i="25" s="1"/>
  <c r="D39" i="25"/>
  <c r="D24" i="25"/>
  <c r="E19" i="27"/>
  <c r="F13" i="27" s="1"/>
  <c r="C42" i="27"/>
  <c r="E25" i="27"/>
  <c r="F24" i="27" s="1"/>
  <c r="F21" i="25"/>
  <c r="F20" i="25"/>
  <c r="E40" i="27"/>
  <c r="E42" i="27" s="1"/>
  <c r="F36" i="27" s="1"/>
  <c r="E39" i="25"/>
  <c r="F37" i="25" s="1"/>
  <c r="D40" i="27"/>
  <c r="D42" i="27" s="1"/>
  <c r="D25" i="27"/>
  <c r="D27" i="27" s="1"/>
  <c r="F11" i="27" l="1"/>
  <c r="F16" i="27"/>
  <c r="F14" i="27"/>
  <c r="F13" i="25"/>
  <c r="E24" i="25"/>
  <c r="F11" i="25"/>
  <c r="F6" i="25"/>
  <c r="F14" i="25"/>
  <c r="F8" i="25"/>
  <c r="F7" i="25"/>
  <c r="F10" i="25"/>
  <c r="F17" i="27"/>
  <c r="F10" i="27"/>
  <c r="F9" i="27"/>
  <c r="F12" i="27"/>
  <c r="F22" i="25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29" i="25"/>
  <c r="F34" i="25"/>
  <c r="F28" i="25"/>
  <c r="F33" i="25"/>
  <c r="F31" i="25"/>
  <c r="F36" i="25"/>
  <c r="F30" i="25"/>
  <c r="F32" i="25"/>
  <c r="F38" i="25"/>
  <c r="F35" i="25"/>
  <c r="F16" i="25" l="1"/>
  <c r="F19" i="27"/>
  <c r="F25" i="27"/>
  <c r="F42" i="27"/>
  <c r="F39" i="25"/>
</calcChain>
</file>

<file path=xl/sharedStrings.xml><?xml version="1.0" encoding="utf-8"?>
<sst xmlns="http://schemas.openxmlformats.org/spreadsheetml/2006/main" count="206" uniqueCount="96">
  <si>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</si>
  <si>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</si>
  <si>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</si>
  <si>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</si>
  <si>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</si>
  <si>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</si>
  <si>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</si>
  <si>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</si>
  <si>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</si>
  <si>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</si>
  <si>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</si>
  <si>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>Sept.</t>
  </si>
  <si>
    <t>Octubre</t>
  </si>
  <si>
    <t>Noviem</t>
  </si>
  <si>
    <t>Diciem</t>
  </si>
  <si>
    <t>DOBLE PAGO POR MUERTE ACCIDENTAL</t>
  </si>
  <si>
    <t xml:space="preserve">PAGO DEL 10% DE GASTOS FUNERARIOS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</si>
  <si>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</si>
  <si>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</si>
  <si>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</si>
  <si>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</si>
  <si>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</si>
  <si>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</si>
  <si>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</si>
  <si>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</si>
  <si>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</si>
  <si>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</si>
  <si>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</si>
  <si>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</si>
  <si>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</si>
  <si>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</si>
  <si>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</si>
  <si>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</si>
  <si>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</si>
  <si>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</si>
  <si>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</si>
  <si>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</si>
  <si>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</si>
  <si>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</si>
  <si>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</si>
  <si>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TOTALES</t>
  </si>
  <si>
    <t>NUMERO DE SEGUROS RECLAMADOS</t>
  </si>
  <si>
    <t>Nº DE DEVOLUCIONES DEL 30% RECLAMADAS</t>
  </si>
  <si>
    <t>PAGADO EN SEGURO DE VIDA BÁSICO</t>
  </si>
  <si>
    <t>PAGADO EN SEGURO DE VIDA DOTAL</t>
  </si>
  <si>
    <t>PAGADO EN SEGURO POR SEPELIO</t>
  </si>
  <si>
    <t xml:space="preserve">             </t>
  </si>
  <si>
    <t>PAGADO EN SEGURO DECRECIENTE DE DEUDA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</si>
  <si>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</si>
  <si>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</si>
  <si>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</si>
  <si>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</si>
  <si>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</si>
  <si>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</si>
  <si>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</si>
  <si>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</si>
  <si>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</si>
  <si>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</si>
  <si>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</si>
  <si>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</si>
  <si>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</si>
  <si>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</si>
  <si>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</si>
  <si>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</si>
  <si>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</si>
  <si>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</si>
  <si>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 xml:space="preserve">FALLECIDOS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</si>
  <si>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</si>
  <si>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</si>
  <si>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</si>
  <si>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</si>
  <si>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</si>
  <si>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</si>
  <si>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</si>
  <si>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>Trámite*</t>
  </si>
  <si>
    <t xml:space="preserve">Caso Especial - Seguro de Vida Opcional 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</si>
  <si>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</si>
  <si>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</si>
  <si>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</si>
  <si>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</si>
  <si>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</si>
  <si>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</si>
  <si>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*BM</t>
  </si>
  <si>
    <t>Elaboró:</t>
  </si>
  <si>
    <t>Sandra Beraly Morataya Quinteros</t>
  </si>
  <si>
    <t>Jefa de Reclamos</t>
  </si>
  <si>
    <t>Nº DE BENEF. A LOS QUE SE LES HA PAGADO EN EL AÑO 2022 (CUADROS APROBADOS POR CD + CASOS DE INV)</t>
  </si>
  <si>
    <t xml:space="preserve"> FALLECIDOS  AÑO 2024 QUE HAN RECLAMADO Y PAGADO (CUADROS APROBADOS POR CD)</t>
  </si>
  <si>
    <t>SEGUROS PEND. DE PAGO DE OTROS AÑOS, PAGADOS EN EL 2024 (CUADROS APROBADOS POR CD+ CASOS DE INV)</t>
  </si>
  <si>
    <t>DEL 01 DE ENERO AL 31 DE DICIEMBRE DEL AÑO 2024</t>
  </si>
  <si>
    <t>DEL 01  DE ENERO AL 31 DICIEMBRE DEL AÑO 2024</t>
  </si>
  <si>
    <t>ASEGURADOS QUE CUMPLIERON 70 AÑOS DE EDAD DURANTE EL AÑO 2024</t>
  </si>
  <si>
    <t>DE SEGURO DE VIDA DOTAL PAGADOS AÑO 2024</t>
  </si>
  <si>
    <t>DE VIDA DOTAL POR VENCIMIENTO DE PÓLIZA  AÑO 2024</t>
  </si>
  <si>
    <t>CORRESPONDIENTE AL PERIODO DEL 01 DE ENERO AL 31 DE DICIEMBRE DEL AÑO 2024</t>
  </si>
  <si>
    <t>San Salvador, 30 de junio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</si>
</sst>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C09]* #,##0.00_-;\-[$$-C09]* #,##0.00_-;_-[$$-C09]* &quot;-&quot;??_-;_-@_-"/>
    <numFmt numFmtId="167" formatCode="_([$€]* #,##0.00_);_([$€]* \(#,##0.00\);_([$€]* &quot;-&quot;??_);_(@_)"/>
    <numFmt numFmtId="168" formatCode="&quot;$&quot;#,##0.00;[Red]&quot;$&quot;#,##0.00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b/>
      <sz val="4"/>
      <name val="Arial"/>
      <family val="2"/>
    </font>
    <font>
      <sz val="11"/>
      <name val="Museo Sans 300"/>
      <family val="3"/>
    </font>
    <font>
      <sz val="10"/>
      <name val="Museo Sans 300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3"/>
      </bottom>
      <diagonal/>
    </border>
  </borders>
  <cellStyleXfs count="24">
    <xf numFmtId="0" fontId="0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65" fontId="16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8" fillId="0" borderId="0"/>
    <xf numFmtId="0" fontId="8" fillId="0" borderId="0"/>
    <xf numFmtId="0" fontId="8" fillId="0" borderId="0"/>
    <xf numFmtId="0" fontId="28" fillId="0" borderId="0"/>
    <xf numFmtId="9" fontId="1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07">
    <xf numFmtId="0" fontId="0" fillId="0" borderId="0" xfId="0"/>
    <xf numFmtId="0" fontId="8" fillId="0" borderId="0" xfId="0" applyFont="1"/>
    <xf numFmtId="0" fontId="7" fillId="0" borderId="0" xfId="0" applyFont="1"/>
    <xf numFmtId="0" fontId="12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4" fillId="0" borderId="0" xfId="0" applyFont="1"/>
    <xf numFmtId="9" fontId="0" fillId="0" borderId="0" xfId="11" applyFont="1"/>
    <xf numFmtId="0" fontId="13" fillId="0" borderId="0" xfId="0" applyFont="1"/>
    <xf numFmtId="0" fontId="12" fillId="0" borderId="0" xfId="0" applyFont="1" applyAlignment="1">
      <alignment horizontal="center"/>
    </xf>
    <xf numFmtId="165" fontId="0" fillId="0" borderId="0" xfId="0" applyNumberForma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8" fillId="0" borderId="2" xfId="0" applyFont="1" applyBorder="1"/>
    <xf numFmtId="0" fontId="21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7" fontId="22" fillId="0" borderId="5" xfId="0" applyNumberFormat="1" applyFont="1" applyBorder="1" applyAlignment="1">
      <alignment horizontal="left"/>
    </xf>
    <xf numFmtId="0" fontId="18" fillId="0" borderId="0" xfId="0" applyFont="1"/>
    <xf numFmtId="17" fontId="22" fillId="0" borderId="2" xfId="0" applyNumberFormat="1" applyFont="1" applyBorder="1" applyAlignment="1">
      <alignment horizontal="left"/>
    </xf>
    <xf numFmtId="166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166" fontId="7" fillId="0" borderId="1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20" fillId="0" borderId="7" xfId="0" applyFont="1" applyBorder="1" applyAlignment="1">
      <alignment horizontal="center" vertical="center" wrapText="1"/>
    </xf>
    <xf numFmtId="166" fontId="8" fillId="0" borderId="7" xfId="0" applyNumberFormat="1" applyFont="1" applyBorder="1" applyAlignment="1">
      <alignment horizontal="center"/>
    </xf>
    <xf numFmtId="166" fontId="7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6" fontId="0" fillId="0" borderId="0" xfId="0" applyNumberFormat="1"/>
    <xf numFmtId="0" fontId="19" fillId="0" borderId="0" xfId="0" applyFont="1" applyAlignment="1">
      <alignment horizontal="center"/>
    </xf>
    <xf numFmtId="0" fontId="28" fillId="0" borderId="0" xfId="7"/>
    <xf numFmtId="0" fontId="18" fillId="0" borderId="0" xfId="7" applyFont="1" applyAlignment="1">
      <alignment horizontal="center"/>
    </xf>
    <xf numFmtId="0" fontId="8" fillId="0" borderId="0" xfId="7" applyFont="1"/>
    <xf numFmtId="0" fontId="9" fillId="0" borderId="0" xfId="7" applyFont="1"/>
    <xf numFmtId="165" fontId="8" fillId="0" borderId="0" xfId="7" applyNumberFormat="1" applyFont="1"/>
    <xf numFmtId="0" fontId="12" fillId="0" borderId="0" xfId="7" applyFont="1"/>
    <xf numFmtId="0" fontId="8" fillId="0" borderId="0" xfId="7" applyFont="1" applyAlignment="1">
      <alignment horizontal="left"/>
    </xf>
    <xf numFmtId="0" fontId="8" fillId="0" borderId="0" xfId="7" applyFont="1" applyAlignment="1">
      <alignment horizontal="center"/>
    </xf>
    <xf numFmtId="0" fontId="18" fillId="0" borderId="0" xfId="7" applyFont="1"/>
    <xf numFmtId="17" fontId="22" fillId="0" borderId="11" xfId="0" applyNumberFormat="1" applyFont="1" applyBorder="1" applyAlignment="1">
      <alignment horizontal="left"/>
    </xf>
    <xf numFmtId="0" fontId="0" fillId="0" borderId="0" xfId="11" applyNumberFormat="1" applyFont="1"/>
    <xf numFmtId="166" fontId="0" fillId="0" borderId="0" xfId="11" applyNumberFormat="1" applyFont="1"/>
    <xf numFmtId="0" fontId="8" fillId="0" borderId="0" xfId="11" applyNumberFormat="1" applyFont="1"/>
    <xf numFmtId="1" fontId="0" fillId="0" borderId="0" xfId="11" applyNumberFormat="1" applyFont="1"/>
    <xf numFmtId="166" fontId="8" fillId="0" borderId="0" xfId="11" applyNumberFormat="1" applyFont="1"/>
    <xf numFmtId="0" fontId="7" fillId="0" borderId="6" xfId="0" applyFont="1" applyBorder="1" applyAlignment="1">
      <alignment horizontal="center"/>
    </xf>
    <xf numFmtId="0" fontId="14" fillId="0" borderId="0" xfId="0" applyFont="1" applyAlignment="1">
      <alignment horizontal="left"/>
    </xf>
    <xf numFmtId="165" fontId="0" fillId="0" borderId="0" xfId="5" applyFont="1"/>
    <xf numFmtId="4" fontId="0" fillId="0" borderId="0" xfId="11" applyNumberFormat="1" applyFont="1"/>
    <xf numFmtId="1" fontId="8" fillId="0" borderId="0" xfId="11" applyNumberFormat="1" applyFont="1"/>
    <xf numFmtId="165" fontId="8" fillId="0" borderId="0" xfId="5" applyFont="1"/>
    <xf numFmtId="166" fontId="7" fillId="0" borderId="12" xfId="0" applyNumberFormat="1" applyFont="1" applyBorder="1" applyAlignment="1">
      <alignment horizontal="center"/>
    </xf>
    <xf numFmtId="9" fontId="7" fillId="0" borderId="0" xfId="11" applyFont="1" applyFill="1" applyBorder="1" applyAlignment="1">
      <alignment horizontal="center"/>
    </xf>
    <xf numFmtId="0" fontId="30" fillId="0" borderId="0" xfId="7" applyFont="1"/>
    <xf numFmtId="0" fontId="31" fillId="0" borderId="0" xfId="0" applyFont="1"/>
    <xf numFmtId="0" fontId="18" fillId="0" borderId="0" xfId="0" applyFont="1" applyAlignment="1">
      <alignment vertical="center"/>
    </xf>
    <xf numFmtId="0" fontId="18" fillId="0" borderId="0" xfId="7" applyFont="1" applyAlignment="1">
      <alignment vertical="center"/>
    </xf>
    <xf numFmtId="166" fontId="32" fillId="0" borderId="0" xfId="0" applyNumberFormat="1" applyFont="1"/>
    <xf numFmtId="0" fontId="8" fillId="0" borderId="2" xfId="9" applyBorder="1"/>
    <xf numFmtId="0" fontId="20" fillId="0" borderId="9" xfId="9" applyFont="1" applyBorder="1" applyAlignment="1">
      <alignment horizontal="center" vertical="center" wrapText="1"/>
    </xf>
    <xf numFmtId="0" fontId="21" fillId="0" borderId="2" xfId="9" applyFont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 wrapText="1"/>
    </xf>
    <xf numFmtId="0" fontId="20" fillId="0" borderId="10" xfId="9" applyFont="1" applyBorder="1" applyAlignment="1">
      <alignment horizontal="center" vertical="center" wrapText="1"/>
    </xf>
    <xf numFmtId="0" fontId="20" fillId="0" borderId="4" xfId="9" applyFont="1" applyBorder="1" applyAlignment="1">
      <alignment horizontal="center" vertical="center" wrapText="1"/>
    </xf>
    <xf numFmtId="0" fontId="21" fillId="0" borderId="10" xfId="9" applyFont="1" applyBorder="1" applyAlignment="1">
      <alignment horizontal="center" vertical="center" wrapText="1"/>
    </xf>
    <xf numFmtId="165" fontId="9" fillId="0" borderId="15" xfId="5" applyFont="1" applyBorder="1" applyAlignment="1">
      <alignment horizontal="center"/>
    </xf>
    <xf numFmtId="17" fontId="9" fillId="0" borderId="16" xfId="0" applyNumberFormat="1" applyFont="1" applyBorder="1" applyAlignment="1">
      <alignment horizontal="center"/>
    </xf>
    <xf numFmtId="17" fontId="9" fillId="0" borderId="17" xfId="0" applyNumberFormat="1" applyFont="1" applyBorder="1" applyAlignment="1">
      <alignment horizontal="center"/>
    </xf>
    <xf numFmtId="17" fontId="9" fillId="0" borderId="18" xfId="0" applyNumberFormat="1" applyFont="1" applyBorder="1" applyAlignment="1">
      <alignment horizontal="center"/>
    </xf>
    <xf numFmtId="17" fontId="9" fillId="0" borderId="19" xfId="0" applyNumberFormat="1" applyFont="1" applyBorder="1" applyAlignment="1">
      <alignment horizontal="center"/>
    </xf>
    <xf numFmtId="165" fontId="9" fillId="0" borderId="0" xfId="0" applyNumberFormat="1" applyFont="1"/>
    <xf numFmtId="166" fontId="8" fillId="0" borderId="0" xfId="7" applyNumberFormat="1" applyFont="1"/>
    <xf numFmtId="165" fontId="7" fillId="0" borderId="6" xfId="4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33" fillId="0" borderId="23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10" fontId="34" fillId="0" borderId="21" xfId="11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 shrinkToFit="1"/>
    </xf>
    <xf numFmtId="0" fontId="11" fillId="0" borderId="25" xfId="0" applyFont="1" applyBorder="1" applyAlignment="1">
      <alignment horizontal="center" vertical="center" wrapText="1" shrinkToFit="1"/>
    </xf>
    <xf numFmtId="165" fontId="9" fillId="0" borderId="26" xfId="5" applyFont="1" applyBorder="1" applyAlignment="1">
      <alignment horizontal="center"/>
    </xf>
    <xf numFmtId="17" fontId="9" fillId="0" borderId="27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0" borderId="28" xfId="0" applyFont="1" applyBorder="1" applyAlignment="1">
      <alignment horizontal="center" vertical="center" wrapText="1" shrinkToFit="1"/>
    </xf>
    <xf numFmtId="0" fontId="11" fillId="0" borderId="29" xfId="0" applyFont="1" applyBorder="1" applyAlignment="1">
      <alignment horizontal="center" vertical="center" wrapText="1" shrinkToFit="1"/>
    </xf>
    <xf numFmtId="0" fontId="11" fillId="0" borderId="30" xfId="0" applyFont="1" applyBorder="1" applyAlignment="1">
      <alignment horizontal="center" vertical="center" wrapText="1" shrinkToFit="1"/>
    </xf>
    <xf numFmtId="165" fontId="9" fillId="0" borderId="31" xfId="5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165" fontId="10" fillId="0" borderId="32" xfId="4" applyFont="1" applyBorder="1" applyAlignment="1">
      <alignment horizontal="center"/>
    </xf>
    <xf numFmtId="165" fontId="10" fillId="0" borderId="33" xfId="4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44" fontId="0" fillId="0" borderId="0" xfId="0" applyNumberFormat="1"/>
    <xf numFmtId="165" fontId="7" fillId="0" borderId="23" xfId="0" applyNumberFormat="1" applyFont="1" applyBorder="1" applyAlignment="1">
      <alignment horizontal="center"/>
    </xf>
    <xf numFmtId="165" fontId="34" fillId="0" borderId="0" xfId="4" applyFont="1" applyBorder="1" applyAlignment="1">
      <alignment horizontal="left" vertical="center" wrapText="1"/>
    </xf>
    <xf numFmtId="0" fontId="9" fillId="2" borderId="26" xfId="0" applyFont="1" applyFill="1" applyBorder="1" applyAlignment="1">
      <alignment horizontal="center"/>
    </xf>
    <xf numFmtId="165" fontId="9" fillId="2" borderId="26" xfId="5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5" fillId="0" borderId="22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justify" vertical="center" wrapText="1"/>
    </xf>
    <xf numFmtId="0" fontId="8" fillId="0" borderId="40" xfId="0" applyFont="1" applyBorder="1" applyAlignment="1">
      <alignment horizontal="center"/>
    </xf>
    <xf numFmtId="165" fontId="36" fillId="0" borderId="31" xfId="4" applyFont="1" applyBorder="1" applyAlignment="1">
      <alignment horizontal="justify" vertical="center" wrapText="1"/>
    </xf>
    <xf numFmtId="10" fontId="36" fillId="0" borderId="40" xfId="11" applyNumberFormat="1" applyFont="1" applyBorder="1" applyAlignment="1">
      <alignment horizontal="center" vertical="center" wrapText="1"/>
    </xf>
    <xf numFmtId="0" fontId="27" fillId="0" borderId="41" xfId="0" applyFont="1" applyBorder="1"/>
    <xf numFmtId="0" fontId="8" fillId="0" borderId="21" xfId="0" applyFont="1" applyBorder="1" applyAlignment="1">
      <alignment horizontal="center"/>
    </xf>
    <xf numFmtId="10" fontId="36" fillId="0" borderId="21" xfId="11" applyNumberFormat="1" applyFont="1" applyBorder="1" applyAlignment="1">
      <alignment horizontal="center" vertical="center" wrapText="1"/>
    </xf>
    <xf numFmtId="10" fontId="36" fillId="0" borderId="41" xfId="11" applyNumberFormat="1" applyFont="1" applyBorder="1" applyAlignment="1">
      <alignment horizontal="center" vertical="center" wrapText="1"/>
    </xf>
    <xf numFmtId="10" fontId="35" fillId="0" borderId="22" xfId="11" applyNumberFormat="1" applyFont="1" applyBorder="1" applyAlignment="1">
      <alignment horizontal="center" vertical="center" wrapText="1"/>
    </xf>
    <xf numFmtId="0" fontId="27" fillId="0" borderId="21" xfId="0" applyFont="1" applyBorder="1" applyAlignment="1">
      <alignment horizontal="justify" vertical="center" wrapText="1"/>
    </xf>
    <xf numFmtId="165" fontId="36" fillId="0" borderId="42" xfId="4" applyFont="1" applyBorder="1" applyAlignment="1">
      <alignment horizontal="left" vertical="center" wrapText="1"/>
    </xf>
    <xf numFmtId="0" fontId="36" fillId="0" borderId="21" xfId="0" applyFont="1" applyBorder="1" applyAlignment="1">
      <alignment horizontal="left" vertical="center" wrapText="1"/>
    </xf>
    <xf numFmtId="0" fontId="36" fillId="0" borderId="41" xfId="0" applyFont="1" applyBorder="1" applyAlignment="1">
      <alignment horizontal="left" vertical="center" wrapText="1"/>
    </xf>
    <xf numFmtId="0" fontId="36" fillId="0" borderId="40" xfId="0" applyFont="1" applyBorder="1" applyAlignment="1">
      <alignment horizontal="left" vertical="center" wrapText="1"/>
    </xf>
    <xf numFmtId="17" fontId="37" fillId="0" borderId="5" xfId="7" applyNumberFormat="1" applyFont="1" applyBorder="1" applyAlignment="1">
      <alignment horizontal="left"/>
    </xf>
    <xf numFmtId="0" fontId="37" fillId="0" borderId="5" xfId="7" applyFont="1" applyBorder="1" applyAlignment="1">
      <alignment horizontal="center"/>
    </xf>
    <xf numFmtId="44" fontId="37" fillId="0" borderId="5" xfId="6" applyFont="1" applyBorder="1" applyAlignment="1">
      <alignment horizontal="center"/>
    </xf>
    <xf numFmtId="166" fontId="37" fillId="0" borderId="5" xfId="7" applyNumberFormat="1" applyFont="1" applyBorder="1" applyAlignment="1">
      <alignment horizontal="center"/>
    </xf>
    <xf numFmtId="44" fontId="28" fillId="0" borderId="5" xfId="6" applyFont="1" applyBorder="1"/>
    <xf numFmtId="17" fontId="37" fillId="0" borderId="5" xfId="9" applyNumberFormat="1" applyFont="1" applyBorder="1" applyAlignment="1">
      <alignment horizontal="left"/>
    </xf>
    <xf numFmtId="0" fontId="38" fillId="0" borderId="5" xfId="7" applyFont="1" applyBorder="1"/>
    <xf numFmtId="0" fontId="38" fillId="0" borderId="6" xfId="0" applyFont="1" applyBorder="1" applyAlignment="1">
      <alignment horizontal="center"/>
    </xf>
    <xf numFmtId="44" fontId="38" fillId="0" borderId="6" xfId="0" applyNumberFormat="1" applyFont="1" applyBorder="1" applyAlignment="1">
      <alignment horizontal="center"/>
    </xf>
    <xf numFmtId="166" fontId="38" fillId="0" borderId="6" xfId="0" applyNumberFormat="1" applyFont="1" applyBorder="1" applyAlignment="1">
      <alignment horizontal="center"/>
    </xf>
    <xf numFmtId="166" fontId="38" fillId="0" borderId="1" xfId="0" applyNumberFormat="1" applyFont="1" applyBorder="1" applyAlignment="1">
      <alignment horizontal="center"/>
    </xf>
    <xf numFmtId="17" fontId="8" fillId="0" borderId="11" xfId="0" applyNumberFormat="1" applyFont="1" applyBorder="1" applyAlignment="1">
      <alignment horizontal="left"/>
    </xf>
    <xf numFmtId="0" fontId="8" fillId="0" borderId="5" xfId="0" applyFont="1" applyBorder="1" applyAlignment="1">
      <alignment horizontal="center" vertical="center"/>
    </xf>
    <xf numFmtId="165" fontId="8" fillId="0" borderId="5" xfId="4" applyFont="1" applyBorder="1" applyAlignment="1">
      <alignment horizontal="center" vertical="center"/>
    </xf>
    <xf numFmtId="17" fontId="8" fillId="0" borderId="43" xfId="0" applyNumberFormat="1" applyFont="1" applyBorder="1" applyAlignment="1">
      <alignment horizontal="left"/>
    </xf>
    <xf numFmtId="165" fontId="36" fillId="0" borderId="0" xfId="4" applyFont="1" applyBorder="1" applyAlignment="1">
      <alignment horizontal="left" vertical="center" wrapText="1"/>
    </xf>
    <xf numFmtId="10" fontId="36" fillId="0" borderId="0" xfId="11" applyNumberFormat="1" applyFont="1" applyBorder="1" applyAlignment="1">
      <alignment horizontal="center" vertical="center" wrapText="1"/>
    </xf>
    <xf numFmtId="10" fontId="36" fillId="0" borderId="44" xfId="11" applyNumberFormat="1" applyFont="1" applyBorder="1" applyAlignment="1">
      <alignment horizontal="center" vertical="center" wrapText="1"/>
    </xf>
    <xf numFmtId="165" fontId="7" fillId="0" borderId="45" xfId="0" applyNumberFormat="1" applyFont="1" applyBorder="1" applyAlignment="1">
      <alignment horizontal="center"/>
    </xf>
    <xf numFmtId="10" fontId="36" fillId="0" borderId="22" xfId="11" applyNumberFormat="1" applyFont="1" applyBorder="1" applyAlignment="1">
      <alignment horizontal="center" vertical="center" wrapText="1"/>
    </xf>
    <xf numFmtId="0" fontId="34" fillId="0" borderId="46" xfId="0" applyFont="1" applyBorder="1" applyAlignment="1">
      <alignment horizontal="left" vertical="center" wrapText="1"/>
    </xf>
    <xf numFmtId="0" fontId="36" fillId="0" borderId="46" xfId="0" applyFont="1" applyBorder="1" applyAlignment="1">
      <alignment horizontal="left" vertical="center" wrapText="1"/>
    </xf>
    <xf numFmtId="0" fontId="34" fillId="0" borderId="47" xfId="0" applyFont="1" applyBorder="1" applyAlignment="1">
      <alignment horizontal="left" vertical="center" wrapText="1"/>
    </xf>
    <xf numFmtId="0" fontId="26" fillId="0" borderId="46" xfId="0" applyFont="1" applyBorder="1" applyAlignment="1">
      <alignment horizontal="justify" vertical="center" wrapText="1"/>
    </xf>
    <xf numFmtId="0" fontId="26" fillId="0" borderId="47" xfId="0" applyFont="1" applyBorder="1"/>
    <xf numFmtId="10" fontId="34" fillId="0" borderId="41" xfId="11" applyNumberFormat="1" applyFont="1" applyBorder="1" applyAlignment="1">
      <alignment horizontal="center" vertical="center" wrapText="1"/>
    </xf>
    <xf numFmtId="0" fontId="34" fillId="0" borderId="48" xfId="0" applyFont="1" applyBorder="1" applyAlignment="1">
      <alignment horizontal="left" vertical="center" wrapText="1"/>
    </xf>
    <xf numFmtId="0" fontId="0" fillId="0" borderId="44" xfId="0" applyBorder="1" applyAlignment="1">
      <alignment horizontal="center"/>
    </xf>
    <xf numFmtId="0" fontId="0" fillId="2" borderId="21" xfId="0" applyFill="1" applyBorder="1" applyAlignment="1">
      <alignment horizontal="center"/>
    </xf>
    <xf numFmtId="165" fontId="34" fillId="0" borderId="44" xfId="4" applyFont="1" applyBorder="1" applyAlignment="1">
      <alignment horizontal="left" vertical="center" wrapText="1"/>
    </xf>
    <xf numFmtId="165" fontId="34" fillId="0" borderId="21" xfId="4" applyFont="1" applyBorder="1" applyAlignment="1">
      <alignment horizontal="left" vertical="center" wrapText="1"/>
    </xf>
    <xf numFmtId="165" fontId="34" fillId="0" borderId="21" xfId="4" applyFont="1" applyBorder="1" applyAlignment="1">
      <alignment horizontal="justify" vertical="center" wrapText="1"/>
    </xf>
    <xf numFmtId="10" fontId="34" fillId="0" borderId="44" xfId="11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165" fontId="34" fillId="0" borderId="41" xfId="4" applyFont="1" applyBorder="1" applyAlignment="1">
      <alignment horizontal="justify" vertical="center" wrapText="1"/>
    </xf>
    <xf numFmtId="165" fontId="7" fillId="0" borderId="22" xfId="0" applyNumberFormat="1" applyFont="1" applyBorder="1" applyAlignment="1">
      <alignment horizontal="center"/>
    </xf>
    <xf numFmtId="0" fontId="39" fillId="0" borderId="0" xfId="0" applyFont="1"/>
    <xf numFmtId="10" fontId="33" fillId="0" borderId="22" xfId="1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0" fontId="34" fillId="0" borderId="0" xfId="11" applyNumberFormat="1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32" fillId="0" borderId="0" xfId="0" applyFont="1"/>
    <xf numFmtId="0" fontId="40" fillId="0" borderId="0" xfId="0" applyFont="1" applyAlignment="1">
      <alignment horizontal="center" wrapText="1"/>
    </xf>
    <xf numFmtId="165" fontId="31" fillId="0" borderId="49" xfId="5" applyFont="1" applyBorder="1" applyAlignment="1">
      <alignment horizontal="center"/>
    </xf>
    <xf numFmtId="164" fontId="32" fillId="0" borderId="0" xfId="0" applyNumberFormat="1" applyFont="1"/>
    <xf numFmtId="165" fontId="32" fillId="0" borderId="0" xfId="0" applyNumberFormat="1" applyFont="1"/>
    <xf numFmtId="44" fontId="32" fillId="0" borderId="0" xfId="0" applyNumberFormat="1" applyFont="1"/>
    <xf numFmtId="44" fontId="41" fillId="0" borderId="0" xfId="0" applyNumberFormat="1" applyFont="1"/>
    <xf numFmtId="165" fontId="31" fillId="0" borderId="0" xfId="5" applyFont="1" applyFill="1" applyBorder="1" applyAlignment="1">
      <alignment horizontal="center"/>
    </xf>
    <xf numFmtId="165" fontId="42" fillId="0" borderId="22" xfId="4" applyFont="1" applyBorder="1" applyAlignment="1">
      <alignment horizontal="center"/>
    </xf>
    <xf numFmtId="165" fontId="42" fillId="0" borderId="0" xfId="4" applyFont="1" applyBorder="1" applyAlignment="1">
      <alignment horizontal="center"/>
    </xf>
    <xf numFmtId="164" fontId="43" fillId="0" borderId="0" xfId="11" applyNumberFormat="1" applyFont="1"/>
    <xf numFmtId="0" fontId="31" fillId="0" borderId="42" xfId="0" applyFont="1" applyBorder="1"/>
    <xf numFmtId="9" fontId="32" fillId="0" borderId="0" xfId="11" applyFont="1"/>
    <xf numFmtId="0" fontId="43" fillId="0" borderId="0" xfId="0" applyFont="1"/>
    <xf numFmtId="0" fontId="8" fillId="0" borderId="42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33" fillId="0" borderId="50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/>
    </xf>
    <xf numFmtId="0" fontId="36" fillId="0" borderId="40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165" fontId="36" fillId="0" borderId="39" xfId="4" applyFont="1" applyBorder="1" applyAlignment="1">
      <alignment horizontal="left" vertical="center" wrapText="1"/>
    </xf>
    <xf numFmtId="0" fontId="35" fillId="0" borderId="34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/>
    </xf>
    <xf numFmtId="0" fontId="36" fillId="0" borderId="21" xfId="0" applyFont="1" applyBorder="1" applyAlignment="1">
      <alignment horizontal="center" vertical="center" wrapText="1"/>
    </xf>
    <xf numFmtId="10" fontId="36" fillId="0" borderId="51" xfId="11" applyNumberFormat="1" applyFont="1" applyBorder="1" applyAlignment="1">
      <alignment horizontal="center" vertical="center" wrapText="1"/>
    </xf>
    <xf numFmtId="10" fontId="36" fillId="0" borderId="37" xfId="11" applyNumberFormat="1" applyFont="1" applyBorder="1" applyAlignment="1">
      <alignment horizontal="center" vertical="center" wrapText="1"/>
    </xf>
    <xf numFmtId="10" fontId="36" fillId="0" borderId="20" xfId="11" applyNumberFormat="1" applyFont="1" applyBorder="1" applyAlignment="1">
      <alignment horizontal="center" vertical="center"/>
    </xf>
    <xf numFmtId="165" fontId="36" fillId="0" borderId="40" xfId="4" applyFont="1" applyBorder="1" applyAlignment="1">
      <alignment horizontal="left" vertical="center" wrapText="1"/>
    </xf>
    <xf numFmtId="165" fontId="36" fillId="0" borderId="21" xfId="4" applyFont="1" applyBorder="1" applyAlignment="1">
      <alignment horizontal="left" vertical="center" wrapText="1"/>
    </xf>
    <xf numFmtId="165" fontId="35" fillId="0" borderId="14" xfId="4" applyFont="1" applyBorder="1" applyAlignment="1">
      <alignment horizontal="left" vertical="center"/>
    </xf>
    <xf numFmtId="0" fontId="36" fillId="0" borderId="48" xfId="0" applyFont="1" applyBorder="1" applyAlignment="1">
      <alignment horizontal="left" vertical="center" wrapText="1"/>
    </xf>
    <xf numFmtId="0" fontId="35" fillId="0" borderId="45" xfId="0" applyFont="1" applyBorder="1" applyAlignment="1">
      <alignment horizontal="right" vertical="center" wrapText="1"/>
    </xf>
    <xf numFmtId="0" fontId="8" fillId="2" borderId="52" xfId="0" applyFont="1" applyFill="1" applyBorder="1" applyAlignment="1">
      <alignment horizontal="center"/>
    </xf>
    <xf numFmtId="165" fontId="35" fillId="0" borderId="34" xfId="4" applyFont="1" applyBorder="1" applyAlignment="1">
      <alignment horizontal="left" vertical="center" wrapText="1"/>
    </xf>
    <xf numFmtId="0" fontId="8" fillId="0" borderId="53" xfId="0" applyFont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35" fillId="0" borderId="23" xfId="0" applyFont="1" applyBorder="1" applyAlignment="1">
      <alignment horizontal="right" vertical="center" wrapText="1"/>
    </xf>
    <xf numFmtId="0" fontId="7" fillId="2" borderId="23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44" fontId="7" fillId="0" borderId="0" xfId="0" applyNumberFormat="1" applyFont="1" applyAlignment="1">
      <alignment wrapText="1"/>
    </xf>
    <xf numFmtId="44" fontId="7" fillId="0" borderId="14" xfId="0" applyNumberFormat="1" applyFont="1" applyBorder="1" applyAlignment="1">
      <alignment wrapText="1"/>
    </xf>
    <xf numFmtId="0" fontId="7" fillId="0" borderId="14" xfId="0" applyFont="1" applyBorder="1" applyAlignment="1">
      <alignment horizontal="center" wrapText="1"/>
    </xf>
    <xf numFmtId="0" fontId="26" fillId="0" borderId="21" xfId="0" applyFont="1" applyBorder="1" applyAlignment="1">
      <alignment horizontal="justify" vertical="center" wrapText="1"/>
    </xf>
    <xf numFmtId="44" fontId="8" fillId="0" borderId="0" xfId="0" applyNumberFormat="1" applyFont="1"/>
    <xf numFmtId="168" fontId="32" fillId="0" borderId="0" xfId="0" applyNumberFormat="1" applyFont="1"/>
    <xf numFmtId="0" fontId="36" fillId="0" borderId="54" xfId="0" applyFont="1" applyBorder="1" applyAlignment="1">
      <alignment horizontal="left" vertical="center" wrapText="1"/>
    </xf>
    <xf numFmtId="0" fontId="35" fillId="0" borderId="53" xfId="0" applyFont="1" applyBorder="1" applyAlignment="1">
      <alignment horizontal="center" vertical="center" wrapText="1"/>
    </xf>
    <xf numFmtId="0" fontId="44" fillId="0" borderId="0" xfId="0" applyFont="1"/>
    <xf numFmtId="0" fontId="45" fillId="0" borderId="0" xfId="0" applyFont="1"/>
    <xf numFmtId="0" fontId="39" fillId="0" borderId="0" xfId="0" applyFont="1" applyAlignment="1">
      <alignment horizontal="right"/>
    </xf>
    <xf numFmtId="165" fontId="36" fillId="0" borderId="55" xfId="4" applyFont="1" applyBorder="1" applyAlignment="1">
      <alignment horizontal="left" vertical="center" wrapText="1"/>
    </xf>
    <xf numFmtId="165" fontId="35" fillId="0" borderId="22" xfId="4" applyFont="1" applyBorder="1" applyAlignment="1">
      <alignment horizontal="left" vertical="center" wrapText="1"/>
    </xf>
    <xf numFmtId="165" fontId="7" fillId="0" borderId="14" xfId="0" applyNumberFormat="1" applyFont="1" applyBorder="1" applyAlignment="1">
      <alignment horizontal="center"/>
    </xf>
    <xf numFmtId="44" fontId="46" fillId="0" borderId="0" xfId="0" applyNumberFormat="1" applyFont="1"/>
    <xf numFmtId="0" fontId="47" fillId="0" borderId="0" xfId="0" applyFont="1"/>
    <xf numFmtId="0" fontId="42" fillId="0" borderId="0" xfId="0" applyFont="1"/>
    <xf numFmtId="0" fontId="48" fillId="0" borderId="0" xfId="0" applyFont="1"/>
    <xf numFmtId="3" fontId="32" fillId="0" borderId="0" xfId="0" applyNumberFormat="1" applyFont="1"/>
    <xf numFmtId="17" fontId="32" fillId="0" borderId="0" xfId="0" applyNumberFormat="1" applyFont="1" applyAlignment="1">
      <alignment horizontal="right"/>
    </xf>
    <xf numFmtId="0" fontId="21" fillId="0" borderId="56" xfId="9" applyFont="1" applyBorder="1" applyAlignment="1">
      <alignment horizontal="center" vertical="center" wrapText="1"/>
    </xf>
    <xf numFmtId="166" fontId="8" fillId="0" borderId="12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66" fontId="8" fillId="0" borderId="6" xfId="0" applyNumberFormat="1" applyFont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0" borderId="42" xfId="0" applyFont="1" applyBorder="1"/>
    <xf numFmtId="0" fontId="9" fillId="0" borderId="42" xfId="0" applyFont="1" applyBorder="1"/>
    <xf numFmtId="165" fontId="10" fillId="0" borderId="0" xfId="0" applyNumberFormat="1" applyFont="1"/>
    <xf numFmtId="0" fontId="12" fillId="0" borderId="0" xfId="0" applyFont="1" applyAlignment="1">
      <alignment horizontal="left"/>
    </xf>
    <xf numFmtId="16" fontId="31" fillId="0" borderId="0" xfId="0" applyNumberFormat="1" applyFont="1" applyAlignment="1">
      <alignment horizontal="right"/>
    </xf>
    <xf numFmtId="0" fontId="36" fillId="0" borderId="39" xfId="4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0" fillId="0" borderId="0" xfId="7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7" fontId="22" fillId="0" borderId="0" xfId="7" applyNumberFormat="1" applyFont="1" applyAlignment="1">
      <alignment horizontal="left"/>
    </xf>
    <xf numFmtId="0" fontId="37" fillId="0" borderId="0" xfId="7" applyFont="1" applyAlignment="1">
      <alignment horizontal="center"/>
    </xf>
    <xf numFmtId="44" fontId="37" fillId="0" borderId="0" xfId="6" applyFont="1" applyBorder="1" applyAlignment="1">
      <alignment horizontal="center"/>
    </xf>
    <xf numFmtId="166" fontId="37" fillId="0" borderId="0" xfId="7" applyNumberFormat="1" applyFont="1" applyAlignment="1">
      <alignment horizontal="center"/>
    </xf>
    <xf numFmtId="44" fontId="6" fillId="0" borderId="0" xfId="6" applyFont="1" applyBorder="1"/>
    <xf numFmtId="0" fontId="7" fillId="0" borderId="0" xfId="7" applyFont="1"/>
    <xf numFmtId="0" fontId="7" fillId="0" borderId="0" xfId="7" applyFont="1" applyAlignment="1">
      <alignment horizontal="center"/>
    </xf>
    <xf numFmtId="44" fontId="13" fillId="0" borderId="0" xfId="6" applyFont="1" applyBorder="1" applyAlignment="1">
      <alignment horizontal="center"/>
    </xf>
    <xf numFmtId="166" fontId="13" fillId="0" borderId="0" xfId="6" applyNumberFormat="1" applyFont="1" applyBorder="1" applyAlignment="1">
      <alignment horizontal="center"/>
    </xf>
    <xf numFmtId="166" fontId="13" fillId="0" borderId="0" xfId="7" applyNumberFormat="1" applyFont="1" applyAlignment="1">
      <alignment horizontal="center"/>
    </xf>
    <xf numFmtId="0" fontId="23" fillId="0" borderId="0" xfId="7" applyFont="1"/>
    <xf numFmtId="17" fontId="22" fillId="0" borderId="0" xfId="0" applyNumberFormat="1" applyFont="1" applyAlignment="1">
      <alignment horizontal="left"/>
    </xf>
    <xf numFmtId="0" fontId="8" fillId="0" borderId="0" xfId="0" applyFont="1" applyAlignment="1">
      <alignment horizontal="center" vertical="center"/>
    </xf>
    <xf numFmtId="165" fontId="8" fillId="0" borderId="0" xfId="5" applyFont="1" applyBorder="1" applyAlignment="1">
      <alignment horizontal="center" vertical="center"/>
    </xf>
    <xf numFmtId="165" fontId="8" fillId="0" borderId="0" xfId="5" applyFont="1" applyFill="1" applyBorder="1" applyAlignment="1">
      <alignment horizontal="center" vertical="center"/>
    </xf>
    <xf numFmtId="165" fontId="7" fillId="0" borderId="0" xfId="5" applyFont="1" applyBorder="1" applyAlignment="1">
      <alignment horizontal="center"/>
    </xf>
    <xf numFmtId="0" fontId="23" fillId="0" borderId="0" xfId="0" applyFont="1"/>
    <xf numFmtId="0" fontId="0" fillId="0" borderId="69" xfId="0" applyBorder="1"/>
    <xf numFmtId="166" fontId="7" fillId="0" borderId="0" xfId="0" applyNumberFormat="1" applyFont="1" applyAlignment="1">
      <alignment horizontal="center"/>
    </xf>
    <xf numFmtId="44" fontId="5" fillId="0" borderId="5" xfId="15" applyFont="1" applyBorder="1"/>
    <xf numFmtId="0" fontId="37" fillId="0" borderId="15" xfId="7" applyFont="1" applyBorder="1" applyAlignment="1">
      <alignment horizontal="center"/>
    </xf>
    <xf numFmtId="44" fontId="5" fillId="0" borderId="70" xfId="15" applyFont="1" applyBorder="1"/>
    <xf numFmtId="44" fontId="4" fillId="0" borderId="70" xfId="17" applyFont="1" applyBorder="1"/>
    <xf numFmtId="44" fontId="4" fillId="0" borderId="5" xfId="17" applyFont="1" applyBorder="1"/>
    <xf numFmtId="44" fontId="4" fillId="0" borderId="71" xfId="17" applyFont="1" applyBorder="1"/>
    <xf numFmtId="44" fontId="3" fillId="0" borderId="70" xfId="19" applyFont="1" applyBorder="1"/>
    <xf numFmtId="44" fontId="3" fillId="0" borderId="5" xfId="19" applyFont="1" applyBorder="1"/>
    <xf numFmtId="44" fontId="2" fillId="0" borderId="70" xfId="21" applyFont="1" applyBorder="1"/>
    <xf numFmtId="44" fontId="2" fillId="0" borderId="5" xfId="21" applyFont="1" applyBorder="1"/>
    <xf numFmtId="44" fontId="4" fillId="0" borderId="72" xfId="17" applyFont="1" applyBorder="1"/>
    <xf numFmtId="44" fontId="4" fillId="0" borderId="73" xfId="17" applyFont="1" applyBorder="1"/>
    <xf numFmtId="44" fontId="3" fillId="0" borderId="73" xfId="19" applyFont="1" applyBorder="1"/>
    <xf numFmtId="44" fontId="1" fillId="0" borderId="70" xfId="23" applyFont="1" applyBorder="1"/>
    <xf numFmtId="44" fontId="1" fillId="0" borderId="5" xfId="23" applyFont="1" applyBorder="1"/>
    <xf numFmtId="44" fontId="1" fillId="0" borderId="74" xfId="23" applyFont="1" applyBorder="1"/>
    <xf numFmtId="0" fontId="33" fillId="0" borderId="57" xfId="0" applyFont="1" applyBorder="1" applyAlignment="1">
      <alignment horizontal="center" vertical="center" wrapText="1"/>
    </xf>
    <xf numFmtId="0" fontId="33" fillId="0" borderId="58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left"/>
    </xf>
    <xf numFmtId="0" fontId="8" fillId="0" borderId="50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11" fillId="0" borderId="60" xfId="0" applyFont="1" applyBorder="1" applyAlignment="1">
      <alignment horizontal="center" vertical="center" wrapText="1" shrinkToFit="1"/>
    </xf>
    <xf numFmtId="0" fontId="11" fillId="0" borderId="63" xfId="0" applyFont="1" applyBorder="1" applyAlignment="1">
      <alignment horizontal="center" vertical="center" wrapText="1" shrinkToFit="1"/>
    </xf>
    <xf numFmtId="0" fontId="8" fillId="0" borderId="23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11" fillId="0" borderId="64" xfId="0" applyFont="1" applyBorder="1" applyAlignment="1">
      <alignment horizontal="center" vertical="center" wrapText="1" shrinkToFit="1"/>
    </xf>
    <xf numFmtId="0" fontId="11" fillId="0" borderId="25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/>
    </xf>
    <xf numFmtId="0" fontId="11" fillId="0" borderId="59" xfId="0" applyFont="1" applyBorder="1" applyAlignment="1">
      <alignment horizontal="center" vertical="center" wrapText="1" shrinkToFit="1"/>
    </xf>
    <xf numFmtId="0" fontId="11" fillId="0" borderId="28" xfId="0" applyFont="1" applyBorder="1" applyAlignment="1">
      <alignment horizontal="center" vertical="center" wrapText="1" shrinkToFit="1"/>
    </xf>
    <xf numFmtId="0" fontId="25" fillId="0" borderId="59" xfId="0" applyFont="1" applyBorder="1" applyAlignment="1">
      <alignment horizontal="center" vertical="center" wrapText="1" shrinkToFit="1"/>
    </xf>
    <xf numFmtId="0" fontId="25" fillId="0" borderId="28" xfId="0" applyFont="1" applyBorder="1" applyAlignment="1">
      <alignment horizontal="center" vertical="center" wrapText="1" shrinkToFit="1"/>
    </xf>
    <xf numFmtId="0" fontId="11" fillId="0" borderId="35" xfId="0" applyFont="1" applyBorder="1" applyAlignment="1">
      <alignment horizontal="center" vertical="center" wrapText="1" shrinkToFit="1"/>
    </xf>
    <xf numFmtId="0" fontId="11" fillId="0" borderId="36" xfId="0" applyFont="1" applyBorder="1" applyAlignment="1">
      <alignment horizontal="center" vertical="center" wrapText="1" shrinkToFit="1"/>
    </xf>
    <xf numFmtId="0" fontId="11" fillId="0" borderId="61" xfId="0" applyFont="1" applyBorder="1" applyAlignment="1">
      <alignment horizontal="center" vertical="center" wrapText="1" shrinkToFit="1"/>
    </xf>
    <xf numFmtId="0" fontId="40" fillId="0" borderId="53" xfId="0" applyFont="1" applyBorder="1" applyAlignment="1">
      <alignment horizontal="center" vertical="center" wrapText="1" shrinkToFit="1"/>
    </xf>
    <xf numFmtId="0" fontId="40" fillId="0" borderId="62" xfId="0" applyFont="1" applyBorder="1" applyAlignment="1">
      <alignment horizontal="center" vertical="center" wrapText="1" shrinkToFit="1"/>
    </xf>
    <xf numFmtId="0" fontId="21" fillId="0" borderId="0" xfId="7" applyFont="1" applyAlignment="1">
      <alignment horizontal="center"/>
    </xf>
    <xf numFmtId="0" fontId="21" fillId="0" borderId="65" xfId="9" applyFont="1" applyBorder="1" applyAlignment="1">
      <alignment horizontal="center" vertical="center" wrapText="1"/>
    </xf>
    <xf numFmtId="0" fontId="21" fillId="0" borderId="66" xfId="9" applyFont="1" applyBorder="1" applyAlignment="1">
      <alignment horizontal="center" vertical="center" wrapText="1"/>
    </xf>
    <xf numFmtId="0" fontId="21" fillId="0" borderId="67" xfId="9" applyFont="1" applyBorder="1" applyAlignment="1">
      <alignment horizontal="center" vertical="center" wrapText="1"/>
    </xf>
    <xf numFmtId="0" fontId="24" fillId="0" borderId="68" xfId="7" applyFont="1" applyBorder="1" applyAlignment="1">
      <alignment horizontal="center"/>
    </xf>
    <xf numFmtId="0" fontId="24" fillId="0" borderId="0" xfId="7" applyFont="1" applyAlignment="1">
      <alignment horizontal="center"/>
    </xf>
    <xf numFmtId="0" fontId="20" fillId="0" borderId="0" xfId="7" applyFont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</cellXfs>
  <cellStyles count="2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Moneda 4" xfId="15" xr:uid="{E3776AEF-0771-4754-BF76-D89A9B60D31D}"/>
    <cellStyle name="Moneda 5" xfId="17" xr:uid="{100618B9-3D45-4DF9-9B6E-4806F91A73E7}"/>
    <cellStyle name="Moneda 6" xfId="19" xr:uid="{6A2BB7A0-F1CB-47D9-B409-6039E527B2DF}"/>
    <cellStyle name="Moneda 7" xfId="21" xr:uid="{0C26C983-7A00-4C0C-A4E5-1C9D3C820A68}"/>
    <cellStyle name="Moneda 8" xfId="23" xr:uid="{5F6D652F-B602-4EAB-9186-89ADFCB7E3D5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Normal 4" xfId="14" xr:uid="{1E625F76-B42D-459B-B95D-8F72DB5B40E5}"/>
    <cellStyle name="Normal 5" xfId="16" xr:uid="{5AF1B022-0DE2-4C07-9B69-76335E9DC676}"/>
    <cellStyle name="Normal 6" xfId="18" xr:uid="{D9C087BD-0E8B-4A98-9076-906D262256F2}"/>
    <cellStyle name="Normal 7" xfId="20" xr:uid="{D98641EB-A196-414D-ABE0-7FC6EE28641F}"/>
    <cellStyle name="Normal 8" xfId="22" xr:uid="{FF38ECB8-FD05-4576-ADE9-467EA468BFEE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240251.33000000002</c:v>
                </c:pt>
                <c:pt idx="1">
                  <c:v>773200.19000000006</c:v>
                </c:pt>
                <c:pt idx="2">
                  <c:v>15428.580000000002</c:v>
                </c:pt>
                <c:pt idx="3">
                  <c:v>0</c:v>
                </c:pt>
                <c:pt idx="4">
                  <c:v>48256.27</c:v>
                </c:pt>
                <c:pt idx="5">
                  <c:v>73143.039999999994</c:v>
                </c:pt>
                <c:pt idx="6">
                  <c:v>413394.23000000004</c:v>
                </c:pt>
                <c:pt idx="7">
                  <c:v>810857.66999999993</c:v>
                </c:pt>
                <c:pt idx="8">
                  <c:v>78873.66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JUNIO 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38514.270000000004</c:v>
                </c:pt>
                <c:pt idx="1">
                  <c:v>119085.67000000001</c:v>
                </c:pt>
                <c:pt idx="2">
                  <c:v>952.4</c:v>
                </c:pt>
                <c:pt idx="3">
                  <c:v>0</c:v>
                </c:pt>
                <c:pt idx="4">
                  <c:v>571.43000000000006</c:v>
                </c:pt>
                <c:pt idx="5">
                  <c:v>0</c:v>
                </c:pt>
                <c:pt idx="6">
                  <c:v>6857.1499999999987</c:v>
                </c:pt>
                <c:pt idx="7">
                  <c:v>11428.599999999999</c:v>
                </c:pt>
                <c:pt idx="8">
                  <c:v>38025.64</c:v>
                </c:pt>
                <c:pt idx="9">
                  <c:v>93714.340000000026</c:v>
                </c:pt>
                <c:pt idx="10">
                  <c:v>10767.82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3.2" x14ac:dyDescent="0.25"/>
  <cols>
    <col min="2" max="2" width="30.109375" customWidth="1"/>
    <col min="3" max="3" width="14.109375" customWidth="1"/>
    <col min="4" max="4" width="18" customWidth="1"/>
    <col min="5" max="5" width="16.5546875" customWidth="1"/>
    <col min="6" max="6" width="14.88671875" customWidth="1"/>
    <col min="7" max="7" width="12.33203125" bestFit="1" customWidth="1"/>
    <col min="9" max="9" width="22.109375" customWidth="1"/>
  </cols>
  <sheetData>
    <row r="6" spans="2:9" x14ac:dyDescent="0.25">
      <c r="B6" s="119" t="s">
        <v>78</v>
      </c>
      <c r="C6" s="183">
        <f>'1. RESUMEN DE PAGADOS '!B21+'1. RESUMEN DE PAGADOS '!C21</f>
        <v>0</v>
      </c>
      <c r="D6" s="113"/>
      <c r="E6" s="186"/>
      <c r="F6" s="114"/>
    </row>
    <row r="7" spans="2:9" ht="13.8" thickBot="1" x14ac:dyDescent="0.3"/>
    <row r="8" spans="2:9" ht="40.200000000000003" thickBot="1" x14ac:dyDescent="0.3">
      <c r="B8" s="107" t="s">
        <v>48</v>
      </c>
      <c r="C8" s="107" t="s">
        <v>50</v>
      </c>
      <c r="D8" s="107" t="s">
        <v>77</v>
      </c>
      <c r="E8" s="107" t="s">
        <v>49</v>
      </c>
      <c r="F8" s="187" t="s">
        <v>58</v>
      </c>
    </row>
    <row r="9" spans="2:9" ht="15.75" customHeight="1" x14ac:dyDescent="0.25">
      <c r="B9" s="196" t="s">
        <v>51</v>
      </c>
      <c r="C9" s="109">
        <v>152</v>
      </c>
      <c r="D9" s="109">
        <v>0</v>
      </c>
      <c r="E9" s="193">
        <f>'1. RESUMEN DE PAGADOS '!G23</f>
        <v>240251.33000000002</v>
      </c>
      <c r="F9" s="190">
        <f>E9/E19</f>
        <v>0.20568736587267475</v>
      </c>
    </row>
    <row r="10" spans="2:9" x14ac:dyDescent="0.25">
      <c r="B10" s="143" t="s">
        <v>52</v>
      </c>
      <c r="C10" s="188">
        <v>248</v>
      </c>
      <c r="D10" s="113">
        <v>0</v>
      </c>
      <c r="E10" s="193">
        <f>'1. RESUMEN DE PAGADOS '!H23</f>
        <v>773200.19000000006</v>
      </c>
      <c r="F10" s="191">
        <f>E10/E19</f>
        <v>0.66196307996859638</v>
      </c>
    </row>
    <row r="11" spans="2:9" ht="26.4" x14ac:dyDescent="0.25">
      <c r="B11" s="143" t="s">
        <v>81</v>
      </c>
      <c r="C11" s="188">
        <v>8</v>
      </c>
      <c r="D11" s="113">
        <v>0</v>
      </c>
      <c r="E11" s="193">
        <f>'1. RESUMEN DE PAGADOS '!I23</f>
        <v>17761.849999999999</v>
      </c>
      <c r="F11" s="191">
        <f>E11/E19</f>
        <v>1.5206526180419344E-2</v>
      </c>
    </row>
    <row r="12" spans="2:9" ht="26.4" x14ac:dyDescent="0.25">
      <c r="B12" s="143" t="s">
        <v>72</v>
      </c>
      <c r="C12" s="189">
        <v>2</v>
      </c>
      <c r="D12" s="184">
        <v>0</v>
      </c>
      <c r="E12" s="193">
        <f>'1. RESUMEN DE PAGADOS '!K23</f>
        <v>0</v>
      </c>
      <c r="F12" s="191">
        <f>E12/E19</f>
        <v>0</v>
      </c>
    </row>
    <row r="13" spans="2:9" x14ac:dyDescent="0.25">
      <c r="B13" s="143" t="s">
        <v>53</v>
      </c>
      <c r="C13" s="113">
        <v>8</v>
      </c>
      <c r="D13" s="109">
        <v>0</v>
      </c>
      <c r="E13" s="193">
        <f>'1. RESUMEN DE PAGADOS '!M23</f>
        <v>15428.580000000002</v>
      </c>
      <c r="F13" s="191">
        <f>E13/E19</f>
        <v>1.3208934074811707E-2</v>
      </c>
    </row>
    <row r="14" spans="2:9" x14ac:dyDescent="0.25">
      <c r="B14" s="143" t="s">
        <v>67</v>
      </c>
      <c r="C14" s="113">
        <v>9</v>
      </c>
      <c r="D14" s="113">
        <v>0</v>
      </c>
      <c r="E14" s="194">
        <f>'1. RESUMEN DE PAGADOS '!O23</f>
        <v>0</v>
      </c>
      <c r="F14" s="191">
        <f>E14/E19</f>
        <v>0</v>
      </c>
      <c r="I14" s="101">
        <f>E9+E10+E13</f>
        <v>1028880.1</v>
      </c>
    </row>
    <row r="15" spans="2:9" ht="13.8" thickBot="1" x14ac:dyDescent="0.3">
      <c r="B15" s="197" t="s">
        <v>70</v>
      </c>
      <c r="C15" s="185">
        <f>C9+C10+C11+C12+C13+C14</f>
        <v>427</v>
      </c>
      <c r="D15" s="185">
        <f>D9+D10+D11+D12+D13+D14</f>
        <v>0</v>
      </c>
      <c r="E15" s="195">
        <f>SUM(E9:E14)</f>
        <v>1046641.95</v>
      </c>
      <c r="F15" s="192"/>
    </row>
    <row r="16" spans="2:9" ht="13.8" thickBot="1" x14ac:dyDescent="0.3">
      <c r="B16" s="121" t="s">
        <v>76</v>
      </c>
      <c r="C16" s="180">
        <v>16</v>
      </c>
      <c r="D16" s="200">
        <v>31</v>
      </c>
      <c r="E16" s="193">
        <f>'1. RESUMEN DE PAGADOS '!J23</f>
        <v>48256.27</v>
      </c>
      <c r="F16" s="139">
        <f>E16/E19</f>
        <v>4.1313840231979475E-2</v>
      </c>
      <c r="H16">
        <f>C9+C10+C11+C12+C13+C14</f>
        <v>427</v>
      </c>
    </row>
    <row r="17" spans="2:9" ht="13.8" thickBot="1" x14ac:dyDescent="0.3">
      <c r="B17" s="120" t="s">
        <v>69</v>
      </c>
      <c r="C17" s="198">
        <v>12</v>
      </c>
      <c r="D17" s="201">
        <v>12</v>
      </c>
      <c r="E17" s="216">
        <f>'1. RESUMEN DE PAGADOS '!N23</f>
        <v>73143.039999999994</v>
      </c>
      <c r="F17" s="141">
        <f>E17/E19</f>
        <v>6.2620253671518411E-2</v>
      </c>
      <c r="I17" s="101"/>
    </row>
    <row r="18" spans="2:9" ht="13.8" thickBot="1" x14ac:dyDescent="0.3">
      <c r="B18" s="202" t="s">
        <v>70</v>
      </c>
      <c r="C18" s="203">
        <f>C16+C17</f>
        <v>28</v>
      </c>
      <c r="D18" s="204">
        <f>D16+D17</f>
        <v>43</v>
      </c>
      <c r="E18" s="217">
        <f>E16+E17</f>
        <v>121399.31</v>
      </c>
      <c r="F18" s="138"/>
    </row>
    <row r="19" spans="2:9" ht="13.8" thickBot="1" x14ac:dyDescent="0.3">
      <c r="B19" s="107" t="s">
        <v>0</v>
      </c>
      <c r="C19" s="100">
        <f>C15+C18</f>
        <v>455</v>
      </c>
      <c r="D19" s="181">
        <f>D15+D18</f>
        <v>43</v>
      </c>
      <c r="E19" s="218">
        <f>E15+E18</f>
        <v>1168041.26</v>
      </c>
      <c r="F19" s="116">
        <f>SUM(F9:F17)</f>
        <v>1.0000000000000002</v>
      </c>
    </row>
    <row r="20" spans="2:9" ht="15" customHeight="1" thickBot="1" x14ac:dyDescent="0.3">
      <c r="B20" s="274"/>
      <c r="C20" s="275"/>
      <c r="D20" s="275"/>
      <c r="E20" s="275"/>
      <c r="F20" s="276"/>
    </row>
    <row r="21" spans="2:9" ht="40.200000000000003" thickBot="1" x14ac:dyDescent="0.3">
      <c r="B21" s="107" t="s">
        <v>74</v>
      </c>
      <c r="C21" s="107" t="s">
        <v>50</v>
      </c>
      <c r="D21" s="107" t="s">
        <v>80</v>
      </c>
      <c r="E21" s="107" t="s">
        <v>49</v>
      </c>
      <c r="F21" s="107" t="s">
        <v>58</v>
      </c>
    </row>
    <row r="22" spans="2:9" x14ac:dyDescent="0.25">
      <c r="B22" s="108" t="s">
        <v>54</v>
      </c>
      <c r="C22" s="109">
        <f>'3. COMP VR'!B21</f>
        <v>454</v>
      </c>
      <c r="D22" s="180">
        <f>C22</f>
        <v>454</v>
      </c>
      <c r="E22" s="110">
        <f>'3. COMP VR'!C21+'3. COMP VR'!E21</f>
        <v>413394.23000000004</v>
      </c>
      <c r="F22" s="111">
        <f>E22/E25</f>
        <v>0.31723284592775547</v>
      </c>
    </row>
    <row r="23" spans="2:9" x14ac:dyDescent="0.25">
      <c r="B23" s="117" t="s">
        <v>55</v>
      </c>
      <c r="C23" s="113">
        <f>'4. COMP VP'!C24</f>
        <v>432</v>
      </c>
      <c r="D23" s="180">
        <f>C23</f>
        <v>432</v>
      </c>
      <c r="E23" s="110">
        <f>'4. COMP VP'!D24+'4. COMP VP'!F24</f>
        <v>810857.66999999993</v>
      </c>
      <c r="F23" s="114">
        <f>E23/E25</f>
        <v>0.62224063044239575</v>
      </c>
    </row>
    <row r="24" spans="2:9" ht="13.8" thickBot="1" x14ac:dyDescent="0.3">
      <c r="B24" s="112" t="s">
        <v>56</v>
      </c>
      <c r="C24" s="113">
        <f>'2. COMPR DEV 30%'!B21</f>
        <v>192</v>
      </c>
      <c r="D24" s="180">
        <f>C24</f>
        <v>192</v>
      </c>
      <c r="E24" s="110">
        <f>'2. COMPR DEV 30%'!C21+'2. COMPR DEV 30%'!E21</f>
        <v>78873.66</v>
      </c>
      <c r="F24" s="115">
        <f>E24/E25</f>
        <v>6.0526523629848852E-2</v>
      </c>
      <c r="G24" s="101"/>
    </row>
    <row r="25" spans="2:9" ht="13.8" thickBot="1" x14ac:dyDescent="0.3">
      <c r="B25" s="107" t="s">
        <v>0</v>
      </c>
      <c r="C25" s="100">
        <f>C22+C23+C24</f>
        <v>1078</v>
      </c>
      <c r="D25" s="100">
        <f>D22+D23+D24</f>
        <v>1078</v>
      </c>
      <c r="E25" s="102">
        <f>E22+E23+E24</f>
        <v>1303125.5599999998</v>
      </c>
      <c r="F25" s="116">
        <f>SUM(F22:F24)</f>
        <v>1</v>
      </c>
    </row>
    <row r="26" spans="2:9" ht="13.5" customHeight="1" thickBot="1" x14ac:dyDescent="0.3">
      <c r="B26" s="277" t="s">
        <v>57</v>
      </c>
      <c r="C26" s="278"/>
      <c r="D26" s="278"/>
      <c r="E26" s="278"/>
      <c r="F26" s="279"/>
    </row>
    <row r="27" spans="2:9" ht="15.75" customHeight="1" thickBot="1" x14ac:dyDescent="0.3">
      <c r="B27" s="107" t="s">
        <v>40</v>
      </c>
      <c r="C27" s="207">
        <f>C19+C25</f>
        <v>1533</v>
      </c>
      <c r="D27" s="207">
        <f>D19+D25</f>
        <v>1121</v>
      </c>
      <c r="E27" s="206">
        <f>E25+E19</f>
        <v>2471166.8199999998</v>
      </c>
      <c r="F27" s="205"/>
    </row>
    <row r="28" spans="2:9" ht="14.4" x14ac:dyDescent="0.25">
      <c r="B28" s="160"/>
      <c r="C28" s="160"/>
      <c r="D28" s="160"/>
      <c r="E28" s="160"/>
      <c r="F28" s="161"/>
    </row>
    <row r="29" spans="2:9" ht="15" thickBot="1" x14ac:dyDescent="0.3">
      <c r="B29" s="85"/>
      <c r="C29" s="106"/>
      <c r="D29" s="106"/>
      <c r="E29" s="103"/>
      <c r="F29" s="161"/>
    </row>
    <row r="30" spans="2:9" ht="43.8" thickBot="1" x14ac:dyDescent="0.3">
      <c r="B30" s="162" t="s">
        <v>48</v>
      </c>
      <c r="C30" s="163" t="s">
        <v>50</v>
      </c>
      <c r="D30" s="182" t="s">
        <v>79</v>
      </c>
      <c r="E30" s="162" t="s">
        <v>49</v>
      </c>
      <c r="F30" s="162" t="s">
        <v>58</v>
      </c>
    </row>
    <row r="31" spans="2:9" ht="14.4" x14ac:dyDescent="0.25">
      <c r="B31" s="148" t="s">
        <v>51</v>
      </c>
      <c r="C31" s="149">
        <f>C9</f>
        <v>152</v>
      </c>
      <c r="D31" s="149">
        <f>D9</f>
        <v>0</v>
      </c>
      <c r="E31" s="151">
        <f>E9</f>
        <v>240251.33000000002</v>
      </c>
      <c r="F31" s="154">
        <f>E31/E42</f>
        <v>9.7221817667493604E-2</v>
      </c>
    </row>
    <row r="32" spans="2:9" ht="14.4" x14ac:dyDescent="0.25">
      <c r="B32" s="142" t="s">
        <v>52</v>
      </c>
      <c r="C32" s="82">
        <f t="shared" ref="C32:E36" si="0">C10</f>
        <v>248</v>
      </c>
      <c r="D32" s="82">
        <f>D10</f>
        <v>0</v>
      </c>
      <c r="E32" s="152">
        <f t="shared" si="0"/>
        <v>773200.19000000006</v>
      </c>
      <c r="F32" s="86">
        <f>E32/E42</f>
        <v>0.31288870655846696</v>
      </c>
    </row>
    <row r="33" spans="2:9" ht="26.4" hidden="1" x14ac:dyDescent="0.25">
      <c r="B33" s="143" t="s">
        <v>75</v>
      </c>
      <c r="C33" s="82">
        <f>C11</f>
        <v>8</v>
      </c>
      <c r="D33" s="82">
        <f>D11</f>
        <v>0</v>
      </c>
      <c r="E33" s="152">
        <f t="shared" si="0"/>
        <v>17761.849999999999</v>
      </c>
      <c r="F33" s="86">
        <f>E33/E42</f>
        <v>7.1876369722380764E-3</v>
      </c>
    </row>
    <row r="34" spans="2:9" ht="19.5" hidden="1" customHeight="1" x14ac:dyDescent="0.25">
      <c r="B34" s="142" t="s">
        <v>72</v>
      </c>
      <c r="C34" s="82">
        <f t="shared" si="0"/>
        <v>2</v>
      </c>
      <c r="D34" s="82">
        <f>D12</f>
        <v>0</v>
      </c>
      <c r="E34" s="152">
        <f t="shared" si="0"/>
        <v>0</v>
      </c>
      <c r="F34" s="86">
        <f>E34/E42</f>
        <v>0</v>
      </c>
    </row>
    <row r="35" spans="2:9" ht="14.4" x14ac:dyDescent="0.25">
      <c r="B35" s="142" t="s">
        <v>53</v>
      </c>
      <c r="C35" s="82">
        <f t="shared" si="0"/>
        <v>8</v>
      </c>
      <c r="D35" s="82">
        <f>D13</f>
        <v>0</v>
      </c>
      <c r="E35" s="152">
        <f>E13</f>
        <v>15428.580000000002</v>
      </c>
      <c r="F35" s="86">
        <f>E35/E42</f>
        <v>6.2434392834717651E-3</v>
      </c>
    </row>
    <row r="36" spans="2:9" ht="14.4" x14ac:dyDescent="0.25">
      <c r="B36" s="142" t="s">
        <v>67</v>
      </c>
      <c r="C36" s="82">
        <f t="shared" si="0"/>
        <v>9</v>
      </c>
      <c r="D36" s="82">
        <f>D14</f>
        <v>0</v>
      </c>
      <c r="E36" s="152">
        <f t="shared" si="0"/>
        <v>0</v>
      </c>
      <c r="F36" s="86">
        <f>E36/E42</f>
        <v>0</v>
      </c>
    </row>
    <row r="37" spans="2:9" ht="14.4" x14ac:dyDescent="0.25">
      <c r="B37" s="142" t="s">
        <v>68</v>
      </c>
      <c r="C37" s="82">
        <f t="shared" ref="C37:E38" si="1">C16</f>
        <v>16</v>
      </c>
      <c r="D37" s="82">
        <f t="shared" si="1"/>
        <v>31</v>
      </c>
      <c r="E37" s="152">
        <f t="shared" si="1"/>
        <v>48256.27</v>
      </c>
      <c r="F37" s="86">
        <f>E37/E42</f>
        <v>1.9527726582214303E-2</v>
      </c>
    </row>
    <row r="38" spans="2:9" ht="14.4" x14ac:dyDescent="0.25">
      <c r="B38" s="144" t="s">
        <v>69</v>
      </c>
      <c r="C38" s="150">
        <f t="shared" si="1"/>
        <v>12</v>
      </c>
      <c r="D38" s="150">
        <f t="shared" si="1"/>
        <v>12</v>
      </c>
      <c r="E38" s="152">
        <f t="shared" si="1"/>
        <v>73143.039999999994</v>
      </c>
      <c r="F38" s="86">
        <f>E38/E42</f>
        <v>2.9598584526155131E-2</v>
      </c>
    </row>
    <row r="39" spans="2:9" ht="14.4" x14ac:dyDescent="0.25">
      <c r="B39" s="208" t="s">
        <v>54</v>
      </c>
      <c r="C39" s="82">
        <f t="shared" ref="C39:E41" si="2">C22</f>
        <v>454</v>
      </c>
      <c r="D39" s="82">
        <f t="shared" si="2"/>
        <v>454</v>
      </c>
      <c r="E39" s="153">
        <f t="shared" si="2"/>
        <v>413394.23000000004</v>
      </c>
      <c r="F39" s="86">
        <f>E39/E42</f>
        <v>0.16728705915531838</v>
      </c>
    </row>
    <row r="40" spans="2:9" ht="14.4" x14ac:dyDescent="0.25">
      <c r="B40" s="145" t="s">
        <v>55</v>
      </c>
      <c r="C40" s="82">
        <f t="shared" si="2"/>
        <v>432</v>
      </c>
      <c r="D40" s="82">
        <f t="shared" si="2"/>
        <v>432</v>
      </c>
      <c r="E40" s="153">
        <f t="shared" si="2"/>
        <v>810857.66999999993</v>
      </c>
      <c r="F40" s="86">
        <f>E40/E42</f>
        <v>0.3281274511447187</v>
      </c>
    </row>
    <row r="41" spans="2:9" ht="15" thickBot="1" x14ac:dyDescent="0.35">
      <c r="B41" s="146" t="s">
        <v>56</v>
      </c>
      <c r="C41" s="155">
        <f t="shared" si="2"/>
        <v>192</v>
      </c>
      <c r="D41" s="155">
        <f t="shared" si="2"/>
        <v>192</v>
      </c>
      <c r="E41" s="156">
        <f t="shared" si="2"/>
        <v>78873.66</v>
      </c>
      <c r="F41" s="147">
        <f>E41/E42</f>
        <v>3.1917578109922982E-2</v>
      </c>
    </row>
    <row r="42" spans="2:9" ht="15" thickBot="1" x14ac:dyDescent="0.3">
      <c r="B42" s="84" t="s">
        <v>0</v>
      </c>
      <c r="C42" s="83">
        <f>SUM(C31:C41)</f>
        <v>1533</v>
      </c>
      <c r="D42" s="83">
        <f>SUM(D31:D41)</f>
        <v>1121</v>
      </c>
      <c r="E42" s="157">
        <f>SUM(E31:E41)</f>
        <v>2471166.8200000003</v>
      </c>
      <c r="F42" s="159">
        <f>SUM(F31:F41)</f>
        <v>1</v>
      </c>
      <c r="G42" s="13"/>
      <c r="H42" s="10"/>
      <c r="I42" s="101">
        <f>E42-'1. RESUMEN DE PAGADOS '!Q23</f>
        <v>0</v>
      </c>
    </row>
    <row r="43" spans="2:9" ht="14.4" x14ac:dyDescent="0.25">
      <c r="B43" s="85"/>
      <c r="C43" s="85"/>
      <c r="D43" s="85"/>
      <c r="E43" s="85"/>
    </row>
    <row r="66" spans="12:12" x14ac:dyDescent="0.25">
      <c r="L66" s="1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topLeftCell="A31" zoomScale="98" zoomScaleNormal="98" workbookViewId="0">
      <selection activeCell="E4" sqref="E4"/>
    </sheetView>
  </sheetViews>
  <sheetFormatPr baseColWidth="10" defaultRowHeight="13.2" x14ac:dyDescent="0.25"/>
  <cols>
    <col min="2" max="2" width="30.109375" customWidth="1"/>
    <col min="3" max="4" width="18" hidden="1" customWidth="1"/>
    <col min="5" max="5" width="16.5546875" customWidth="1"/>
    <col min="6" max="6" width="14.88671875" customWidth="1"/>
    <col min="7" max="7" width="12.33203125" bestFit="1" customWidth="1"/>
    <col min="9" max="9" width="12.33203125" bestFit="1" customWidth="1"/>
  </cols>
  <sheetData>
    <row r="3" spans="2:9" x14ac:dyDescent="0.25">
      <c r="B3" s="119" t="s">
        <v>78</v>
      </c>
      <c r="C3" s="183">
        <f>'1. RESUMEN DE PAGADOS '!B22+'1. RESUMEN DE PAGADOS '!C22</f>
        <v>0</v>
      </c>
      <c r="D3" s="113"/>
      <c r="E3" s="235">
        <f>SUM('1. RESUMEN DE PAGADOS '!E16+'1. RESUMEN DE PAGADOS '!F16)</f>
        <v>41</v>
      </c>
      <c r="F3" s="114"/>
    </row>
    <row r="4" spans="2:9" ht="13.8" thickBot="1" x14ac:dyDescent="0.3"/>
    <row r="5" spans="2:9" ht="40.200000000000003" thickBot="1" x14ac:dyDescent="0.3">
      <c r="B5" s="212" t="s">
        <v>48</v>
      </c>
      <c r="C5" s="107" t="s">
        <v>50</v>
      </c>
      <c r="D5" s="107" t="s">
        <v>77</v>
      </c>
      <c r="E5" s="107" t="s">
        <v>49</v>
      </c>
      <c r="F5" s="187" t="s">
        <v>58</v>
      </c>
    </row>
    <row r="6" spans="2:9" ht="15.75" customHeight="1" x14ac:dyDescent="0.25">
      <c r="B6" s="211" t="s">
        <v>51</v>
      </c>
      <c r="C6" s="109">
        <f>6+11+2+4</f>
        <v>23</v>
      </c>
      <c r="D6" s="109">
        <f>[1]TOTALES!$D$4</f>
        <v>52</v>
      </c>
      <c r="E6" s="193">
        <f>'1. RESUMEN DE PAGADOS '!G16</f>
        <v>38514.270000000004</v>
      </c>
      <c r="F6" s="190">
        <f>E6/E16</f>
        <v>0.21709246493649273</v>
      </c>
    </row>
    <row r="7" spans="2:9" x14ac:dyDescent="0.25">
      <c r="B7" s="143" t="s">
        <v>52</v>
      </c>
      <c r="C7" s="188">
        <f>10+10+7+8</f>
        <v>35</v>
      </c>
      <c r="D7" s="113">
        <f>[1]TOTALES!$D$6</f>
        <v>74</v>
      </c>
      <c r="E7" s="193">
        <f>'1. RESUMEN DE PAGADOS '!H16</f>
        <v>119085.67000000001</v>
      </c>
      <c r="F7" s="191">
        <f>E7/E16</f>
        <v>0.67124734907123373</v>
      </c>
    </row>
    <row r="8" spans="2:9" ht="26.4" x14ac:dyDescent="0.25">
      <c r="B8" s="143" t="s">
        <v>81</v>
      </c>
      <c r="C8" s="188">
        <f>1+1+1+1+1</f>
        <v>5</v>
      </c>
      <c r="D8" s="113">
        <f>7</f>
        <v>7</v>
      </c>
      <c r="E8" s="193">
        <f>'1. RESUMEN DE PAGADOS '!I16</f>
        <v>952.4</v>
      </c>
      <c r="F8" s="191">
        <f>E8/E16</f>
        <v>5.368370310680058E-3</v>
      </c>
    </row>
    <row r="9" spans="2:9" ht="26.4" x14ac:dyDescent="0.25">
      <c r="B9" s="143" t="s">
        <v>72</v>
      </c>
      <c r="C9" s="189">
        <v>0</v>
      </c>
      <c r="D9" s="184">
        <v>2</v>
      </c>
      <c r="E9" s="193">
        <f>'1. RESUMEN DE PAGADOS '!K16</f>
        <v>0</v>
      </c>
      <c r="F9" s="191">
        <f>E9/E16</f>
        <v>0</v>
      </c>
    </row>
    <row r="10" spans="2:9" x14ac:dyDescent="0.25">
      <c r="B10" s="143" t="s">
        <v>53</v>
      </c>
      <c r="C10" s="113">
        <f>1+1</f>
        <v>2</v>
      </c>
      <c r="D10" s="109">
        <f>[1]TOTALES!$D$12</f>
        <v>3</v>
      </c>
      <c r="E10" s="193">
        <f>'1. RESUMEN DE PAGADOS '!M16</f>
        <v>571.43000000000006</v>
      </c>
      <c r="F10" s="191">
        <f>E10/E16</f>
        <v>3.2209658196471085E-3</v>
      </c>
    </row>
    <row r="11" spans="2:9" x14ac:dyDescent="0.25">
      <c r="B11" s="143" t="s">
        <v>67</v>
      </c>
      <c r="C11" s="113">
        <v>0</v>
      </c>
      <c r="D11" s="113">
        <f>[1]TOTALES!$D$14</f>
        <v>2</v>
      </c>
      <c r="E11" s="194">
        <f>'1. RESUMEN DE PAGADOS '!O16</f>
        <v>0</v>
      </c>
      <c r="F11" s="191">
        <f>E11/E16</f>
        <v>0</v>
      </c>
      <c r="I11" s="101"/>
    </row>
    <row r="12" spans="2:9" ht="13.8" thickBot="1" x14ac:dyDescent="0.3">
      <c r="B12" s="197" t="s">
        <v>70</v>
      </c>
      <c r="C12" s="185">
        <f>C6+C7+C8+C9+C10+C11</f>
        <v>65</v>
      </c>
      <c r="D12" s="185">
        <f>D6+D7+D8+D9+D10+D11</f>
        <v>140</v>
      </c>
      <c r="E12" s="195">
        <f>SUM(E6:E11)</f>
        <v>159123.76999999999</v>
      </c>
      <c r="F12" s="192"/>
    </row>
    <row r="13" spans="2:9" ht="13.8" thickBot="1" x14ac:dyDescent="0.3">
      <c r="B13" s="121" t="s">
        <v>76</v>
      </c>
      <c r="C13" s="180">
        <v>11</v>
      </c>
      <c r="D13" s="200">
        <f>[1]TOTALES!$D$10</f>
        <v>28</v>
      </c>
      <c r="E13" s="118">
        <f>'1. RESUMEN DE PAGADOS '!J16</f>
        <v>6857.1499999999987</v>
      </c>
      <c r="F13" s="139">
        <f>E13/E16</f>
        <v>3.8651533469004365E-2</v>
      </c>
    </row>
    <row r="14" spans="2:9" ht="13.8" thickBot="1" x14ac:dyDescent="0.3">
      <c r="B14" s="120" t="s">
        <v>69</v>
      </c>
      <c r="C14" s="198">
        <v>12</v>
      </c>
      <c r="D14" s="201">
        <v>12</v>
      </c>
      <c r="E14" s="137">
        <f>'1. RESUMEN DE PAGADOS '!N16</f>
        <v>11428.599999999999</v>
      </c>
      <c r="F14" s="141">
        <f>E14/E16</f>
        <v>6.4419316392942155E-2</v>
      </c>
      <c r="I14" s="101"/>
    </row>
    <row r="15" spans="2:9" ht="13.8" thickBot="1" x14ac:dyDescent="0.3">
      <c r="B15" s="202" t="s">
        <v>70</v>
      </c>
      <c r="C15" s="203">
        <f>C13+C14</f>
        <v>23</v>
      </c>
      <c r="D15" s="204">
        <f>D13+D14</f>
        <v>40</v>
      </c>
      <c r="E15" s="199">
        <f>E13+E14</f>
        <v>18285.749999999996</v>
      </c>
      <c r="F15" s="138"/>
    </row>
    <row r="16" spans="2:9" ht="13.8" thickBot="1" x14ac:dyDescent="0.3">
      <c r="B16" s="107" t="s">
        <v>0</v>
      </c>
      <c r="C16" s="100">
        <f>C12+C15</f>
        <v>88</v>
      </c>
      <c r="D16" s="181">
        <f>D12+D15</f>
        <v>180</v>
      </c>
      <c r="E16" s="140">
        <f>E12+E15</f>
        <v>177409.52</v>
      </c>
      <c r="F16" s="116">
        <f>SUM(F6:F14)</f>
        <v>1.0000000000000002</v>
      </c>
    </row>
    <row r="17" spans="2:7" ht="15" customHeight="1" thickBot="1" x14ac:dyDescent="0.3">
      <c r="B17" s="274"/>
      <c r="C17" s="275"/>
      <c r="D17" s="275"/>
      <c r="E17" s="275"/>
      <c r="F17" s="276"/>
    </row>
    <row r="18" spans="2:7" ht="40.200000000000003" thickBot="1" x14ac:dyDescent="0.3">
      <c r="B18" s="107" t="s">
        <v>74</v>
      </c>
      <c r="C18" s="107" t="s">
        <v>50</v>
      </c>
      <c r="D18" s="107" t="s">
        <v>80</v>
      </c>
      <c r="E18" s="107" t="s">
        <v>49</v>
      </c>
      <c r="F18" s="107" t="s">
        <v>58</v>
      </c>
    </row>
    <row r="19" spans="2:7" x14ac:dyDescent="0.25">
      <c r="B19" s="108" t="s">
        <v>54</v>
      </c>
      <c r="C19" s="109">
        <f>'3. COMP VR'!B20</f>
        <v>0</v>
      </c>
      <c r="D19" s="180">
        <f>'3. COMP VR'!B9</f>
        <v>99</v>
      </c>
      <c r="E19" s="110">
        <f>'3. COMP VR'!E14+'3. COMP VR'!C14</f>
        <v>38025.64</v>
      </c>
      <c r="F19" s="111">
        <f>E19/E22</f>
        <v>0.26683199095067067</v>
      </c>
    </row>
    <row r="20" spans="2:7" x14ac:dyDescent="0.25">
      <c r="B20" s="117" t="s">
        <v>55</v>
      </c>
      <c r="C20" s="113">
        <f>'4. COMP VP'!C23</f>
        <v>0</v>
      </c>
      <c r="D20" s="180">
        <f>'4. COMP VP'!C12</f>
        <v>65</v>
      </c>
      <c r="E20" s="110">
        <f>'4. COMP VP'!D17+'4. COMP VP'!F17</f>
        <v>93714.340000000026</v>
      </c>
      <c r="F20" s="114">
        <f>E20/E22</f>
        <v>0.6576084958156676</v>
      </c>
    </row>
    <row r="21" spans="2:7" ht="13.8" thickBot="1" x14ac:dyDescent="0.3">
      <c r="B21" s="112" t="s">
        <v>56</v>
      </c>
      <c r="C21" s="113">
        <f>'2. COMPR DEV 30%'!B20</f>
        <v>0</v>
      </c>
      <c r="D21" s="180">
        <f>'2. COMPR DEV 30%'!B9</f>
        <v>41</v>
      </c>
      <c r="E21" s="110">
        <f>'2. COMPR DEV 30%'!C14+'2. COMPR DEV 30%'!E14</f>
        <v>10767.82</v>
      </c>
      <c r="F21" s="115">
        <f>E21/E22</f>
        <v>7.5559513233661571E-2</v>
      </c>
      <c r="G21" s="101"/>
    </row>
    <row r="22" spans="2:7" ht="13.8" thickBot="1" x14ac:dyDescent="0.3">
      <c r="B22" s="107" t="s">
        <v>0</v>
      </c>
      <c r="C22" s="100">
        <f>C19+C20+C21</f>
        <v>0</v>
      </c>
      <c r="D22" s="100">
        <f>D19+D20+D21</f>
        <v>205</v>
      </c>
      <c r="E22" s="102">
        <f>E19+E20+E21</f>
        <v>142507.80000000005</v>
      </c>
      <c r="F22" s="116">
        <f>SUM(F19:F21)</f>
        <v>0.99999999999999989</v>
      </c>
    </row>
    <row r="23" spans="2:7" ht="13.5" customHeight="1" thickBot="1" x14ac:dyDescent="0.3">
      <c r="B23" s="277" t="s">
        <v>57</v>
      </c>
      <c r="C23" s="278"/>
      <c r="D23" s="278"/>
      <c r="E23" s="278"/>
      <c r="F23" s="279"/>
    </row>
    <row r="24" spans="2:7" ht="15.75" customHeight="1" thickBot="1" x14ac:dyDescent="0.3">
      <c r="B24" s="107" t="s">
        <v>40</v>
      </c>
      <c r="C24" s="207">
        <f>C16+C22</f>
        <v>88</v>
      </c>
      <c r="D24" s="207">
        <f>D16+D22</f>
        <v>385</v>
      </c>
      <c r="E24" s="206">
        <f>E22+E16</f>
        <v>319917.32000000007</v>
      </c>
      <c r="F24" s="205"/>
    </row>
    <row r="25" spans="2:7" ht="14.4" x14ac:dyDescent="0.25">
      <c r="B25" s="160"/>
      <c r="C25" s="160"/>
      <c r="D25" s="160"/>
      <c r="E25" s="160"/>
      <c r="F25" s="161"/>
    </row>
    <row r="26" spans="2:7" ht="15" thickBot="1" x14ac:dyDescent="0.3">
      <c r="B26" s="85"/>
      <c r="C26" s="106"/>
      <c r="D26" s="106"/>
      <c r="E26" s="103"/>
      <c r="F26" s="161"/>
    </row>
    <row r="27" spans="2:7" ht="43.8" thickBot="1" x14ac:dyDescent="0.3">
      <c r="B27" s="162" t="s">
        <v>48</v>
      </c>
      <c r="C27" s="163" t="s">
        <v>50</v>
      </c>
      <c r="D27" s="182" t="s">
        <v>79</v>
      </c>
      <c r="E27" s="84" t="s">
        <v>49</v>
      </c>
      <c r="F27" s="162" t="s">
        <v>58</v>
      </c>
    </row>
    <row r="28" spans="2:7" ht="14.4" x14ac:dyDescent="0.25">
      <c r="B28" s="148" t="s">
        <v>51</v>
      </c>
      <c r="C28" s="149">
        <f>C6</f>
        <v>23</v>
      </c>
      <c r="D28" s="149">
        <f>D6</f>
        <v>52</v>
      </c>
      <c r="E28" s="151">
        <f>E6</f>
        <v>38514.270000000004</v>
      </c>
      <c r="F28" s="154">
        <f>E28/E39</f>
        <v>0.12038819905092979</v>
      </c>
    </row>
    <row r="29" spans="2:7" ht="14.4" x14ac:dyDescent="0.25">
      <c r="B29" s="142" t="s">
        <v>52</v>
      </c>
      <c r="C29" s="82">
        <f t="shared" ref="C29:E33" si="0">C7</f>
        <v>35</v>
      </c>
      <c r="D29" s="82">
        <f>D7</f>
        <v>74</v>
      </c>
      <c r="E29" s="152">
        <f t="shared" si="0"/>
        <v>119085.67000000001</v>
      </c>
      <c r="F29" s="86">
        <f>E29/E39</f>
        <v>0.37223889597474752</v>
      </c>
    </row>
    <row r="30" spans="2:7" ht="26.4" x14ac:dyDescent="0.25">
      <c r="B30" s="143" t="s">
        <v>75</v>
      </c>
      <c r="C30" s="82">
        <f>C8</f>
        <v>5</v>
      </c>
      <c r="D30" s="82">
        <f>D8</f>
        <v>7</v>
      </c>
      <c r="E30" s="152">
        <f t="shared" si="0"/>
        <v>952.4</v>
      </c>
      <c r="F30" s="86">
        <f>E30/E39</f>
        <v>2.9770191873325271E-3</v>
      </c>
    </row>
    <row r="31" spans="2:7" ht="33.75" customHeight="1" x14ac:dyDescent="0.25">
      <c r="B31" s="142" t="s">
        <v>72</v>
      </c>
      <c r="C31" s="82">
        <f t="shared" si="0"/>
        <v>0</v>
      </c>
      <c r="D31" s="82">
        <f>D9</f>
        <v>2</v>
      </c>
      <c r="E31" s="152">
        <f t="shared" si="0"/>
        <v>0</v>
      </c>
      <c r="F31" s="86">
        <f>E31/E39</f>
        <v>0</v>
      </c>
    </row>
    <row r="32" spans="2:7" ht="14.4" x14ac:dyDescent="0.25">
      <c r="B32" s="142" t="s">
        <v>53</v>
      </c>
      <c r="C32" s="82">
        <f t="shared" si="0"/>
        <v>2</v>
      </c>
      <c r="D32" s="82">
        <f>D10</f>
        <v>3</v>
      </c>
      <c r="E32" s="152">
        <f>E10</f>
        <v>571.43000000000006</v>
      </c>
      <c r="F32" s="86">
        <f>E32/E39</f>
        <v>1.786180254323211E-3</v>
      </c>
    </row>
    <row r="33" spans="2:8" ht="14.4" x14ac:dyDescent="0.25">
      <c r="B33" s="142" t="s">
        <v>67</v>
      </c>
      <c r="C33" s="82">
        <f t="shared" si="0"/>
        <v>0</v>
      </c>
      <c r="D33" s="82">
        <f>D11</f>
        <v>2</v>
      </c>
      <c r="E33" s="152">
        <f t="shared" si="0"/>
        <v>0</v>
      </c>
      <c r="F33" s="86">
        <f>E33/E39</f>
        <v>0</v>
      </c>
    </row>
    <row r="34" spans="2:8" ht="14.4" x14ac:dyDescent="0.25">
      <c r="B34" s="142" t="s">
        <v>68</v>
      </c>
      <c r="C34" s="82">
        <f t="shared" ref="C34:E35" si="1">C13</f>
        <v>11</v>
      </c>
      <c r="D34" s="82">
        <f t="shared" si="1"/>
        <v>28</v>
      </c>
      <c r="E34" s="152">
        <f t="shared" si="1"/>
        <v>6857.1499999999987</v>
      </c>
      <c r="F34" s="86">
        <f>E34/E39</f>
        <v>2.1434131793802221E-2</v>
      </c>
    </row>
    <row r="35" spans="2:8" ht="14.4" x14ac:dyDescent="0.25">
      <c r="B35" s="144" t="s">
        <v>69</v>
      </c>
      <c r="C35" s="150">
        <f t="shared" si="1"/>
        <v>12</v>
      </c>
      <c r="D35" s="150">
        <f t="shared" si="1"/>
        <v>12</v>
      </c>
      <c r="E35" s="152">
        <f t="shared" si="1"/>
        <v>11428.599999999999</v>
      </c>
      <c r="F35" s="86">
        <f>E35/E39</f>
        <v>3.5723605086464209E-2</v>
      </c>
    </row>
    <row r="36" spans="2:8" ht="14.4" x14ac:dyDescent="0.25">
      <c r="B36" s="208" t="s">
        <v>54</v>
      </c>
      <c r="C36" s="82">
        <f t="shared" ref="C36:E38" si="2">C19</f>
        <v>0</v>
      </c>
      <c r="D36" s="82">
        <f t="shared" si="2"/>
        <v>99</v>
      </c>
      <c r="E36" s="153">
        <f t="shared" si="2"/>
        <v>38025.64</v>
      </c>
      <c r="F36" s="86">
        <f>E36/E39</f>
        <v>0.11886083566841582</v>
      </c>
    </row>
    <row r="37" spans="2:8" ht="14.4" x14ac:dyDescent="0.25">
      <c r="B37" s="145" t="s">
        <v>55</v>
      </c>
      <c r="C37" s="82">
        <f t="shared" si="2"/>
        <v>0</v>
      </c>
      <c r="D37" s="82">
        <f t="shared" si="2"/>
        <v>65</v>
      </c>
      <c r="E37" s="153">
        <f t="shared" si="2"/>
        <v>93714.340000000026</v>
      </c>
      <c r="F37" s="86">
        <f>E37/E39</f>
        <v>0.29293299906363313</v>
      </c>
    </row>
    <row r="38" spans="2:8" ht="15" thickBot="1" x14ac:dyDescent="0.35">
      <c r="B38" s="146" t="s">
        <v>56</v>
      </c>
      <c r="C38" s="155">
        <f t="shared" si="2"/>
        <v>0</v>
      </c>
      <c r="D38" s="155">
        <f t="shared" si="2"/>
        <v>41</v>
      </c>
      <c r="E38" s="156">
        <f t="shared" si="2"/>
        <v>10767.82</v>
      </c>
      <c r="F38" s="147">
        <f>E38/E39</f>
        <v>3.365813392035167E-2</v>
      </c>
    </row>
    <row r="39" spans="2:8" ht="15" thickBot="1" x14ac:dyDescent="0.3">
      <c r="B39" s="84" t="s">
        <v>0</v>
      </c>
      <c r="C39" s="83">
        <f>SUM(C28:C38)</f>
        <v>88</v>
      </c>
      <c r="D39" s="83">
        <f>SUM(D28:D38)</f>
        <v>385</v>
      </c>
      <c r="E39" s="157">
        <f>SUM(E28:E38)</f>
        <v>319917.32</v>
      </c>
      <c r="F39" s="159">
        <f>SUM(F28:F38)</f>
        <v>1</v>
      </c>
      <c r="G39" s="13"/>
      <c r="H39" s="10"/>
    </row>
    <row r="40" spans="2:8" ht="14.4" x14ac:dyDescent="0.25">
      <c r="B40" s="85"/>
      <c r="C40" s="85"/>
      <c r="D40" s="85"/>
      <c r="E40" s="85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abSelected="1" zoomScale="106" zoomScaleNormal="106" workbookViewId="0">
      <selection activeCell="D16" sqref="D16"/>
    </sheetView>
  </sheetViews>
  <sheetFormatPr baseColWidth="10" defaultColWidth="11.44140625" defaultRowHeight="13.2" x14ac:dyDescent="0.25"/>
  <cols>
    <col min="1" max="2" width="8" style="1" customWidth="1"/>
    <col min="3" max="3" width="7.88671875" style="1" customWidth="1"/>
    <col min="4" max="4" width="8" style="1" customWidth="1"/>
    <col min="5" max="5" width="7.6640625" style="1" customWidth="1"/>
    <col min="6" max="6" width="8.33203125" style="1" customWidth="1"/>
    <col min="7" max="7" width="13.5546875" style="1" customWidth="1"/>
    <col min="8" max="8" width="15.5546875" style="1" customWidth="1"/>
    <col min="9" max="9" width="12.5546875" style="1" customWidth="1"/>
    <col min="10" max="10" width="13" style="1" customWidth="1"/>
    <col min="11" max="11" width="11.5546875" style="1" customWidth="1"/>
    <col min="12" max="12" width="11.33203125" style="1" customWidth="1"/>
    <col min="13" max="13" width="11.88671875" style="1" customWidth="1"/>
    <col min="14" max="14" width="12.6640625" style="1" customWidth="1"/>
    <col min="15" max="15" width="12" style="1" customWidth="1"/>
    <col min="16" max="16" width="15.109375" style="166" customWidth="1"/>
    <col min="17" max="17" width="16" style="166" customWidth="1"/>
    <col min="18" max="18" width="15.44140625" style="166" customWidth="1"/>
    <col min="19" max="19" width="11.44140625" style="166"/>
    <col min="20" max="20" width="11.44140625" style="1"/>
    <col min="21" max="21" width="14" style="1" bestFit="1" customWidth="1"/>
    <col min="22" max="22" width="17.6640625" style="1" customWidth="1"/>
    <col min="23" max="16384" width="11.44140625" style="1"/>
  </cols>
  <sheetData>
    <row r="1" spans="1:22" x14ac:dyDescent="0.25">
      <c r="P1" s="215" t="s">
        <v>73</v>
      </c>
    </row>
    <row r="6" spans="1:22" x14ac:dyDescent="0.25">
      <c r="A6" s="287" t="s">
        <v>65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</row>
    <row r="7" spans="1:22" x14ac:dyDescent="0.25">
      <c r="A7" s="287" t="s">
        <v>94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</row>
    <row r="8" spans="1:22" ht="12.75" customHeight="1" thickBot="1" x14ac:dyDescent="0.3"/>
    <row r="9" spans="1:22" ht="12.75" customHeight="1" thickBot="1" x14ac:dyDescent="0.3">
      <c r="A9" s="292" t="s">
        <v>7</v>
      </c>
      <c r="B9" s="288" t="s">
        <v>87</v>
      </c>
      <c r="C9" s="290" t="s">
        <v>88</v>
      </c>
      <c r="D9" s="290" t="s">
        <v>86</v>
      </c>
      <c r="E9" s="280" t="s">
        <v>66</v>
      </c>
      <c r="F9" s="281"/>
      <c r="G9" s="285" t="s">
        <v>43</v>
      </c>
      <c r="H9" s="282" t="s">
        <v>59</v>
      </c>
      <c r="I9" s="283"/>
      <c r="J9" s="283"/>
      <c r="K9" s="283"/>
      <c r="L9" s="284"/>
      <c r="M9" s="281" t="s">
        <v>44</v>
      </c>
      <c r="N9" s="288" t="s">
        <v>45</v>
      </c>
      <c r="O9" s="280" t="s">
        <v>47</v>
      </c>
      <c r="P9" s="295" t="s">
        <v>1</v>
      </c>
      <c r="T9" s="158"/>
      <c r="U9" s="158"/>
    </row>
    <row r="10" spans="1:22" ht="75.75" customHeight="1" thickBot="1" x14ac:dyDescent="0.3">
      <c r="A10" s="293"/>
      <c r="B10" s="289"/>
      <c r="C10" s="291"/>
      <c r="D10" s="291"/>
      <c r="E10" s="92" t="s">
        <v>63</v>
      </c>
      <c r="F10" s="92" t="s">
        <v>64</v>
      </c>
      <c r="G10" s="286"/>
      <c r="H10" s="93" t="s">
        <v>62</v>
      </c>
      <c r="I10" s="93" t="s">
        <v>71</v>
      </c>
      <c r="J10" s="94" t="s">
        <v>16</v>
      </c>
      <c r="K10" s="87" t="s">
        <v>15</v>
      </c>
      <c r="L10" s="88" t="s">
        <v>60</v>
      </c>
      <c r="M10" s="289"/>
      <c r="N10" s="289"/>
      <c r="O10" s="294"/>
      <c r="P10" s="296"/>
      <c r="Q10" s="167"/>
      <c r="T10" s="158"/>
      <c r="U10" s="158"/>
    </row>
    <row r="11" spans="1:22" ht="23.1" customHeight="1" x14ac:dyDescent="0.25">
      <c r="A11" s="90" t="s">
        <v>2</v>
      </c>
      <c r="B11" s="91">
        <v>0</v>
      </c>
      <c r="C11" s="104">
        <f>1+4+9+10+10</f>
        <v>34</v>
      </c>
      <c r="D11" s="104">
        <f>3+6+13+23+17</f>
        <v>62</v>
      </c>
      <c r="E11" s="91">
        <f>4+3+4</f>
        <v>11</v>
      </c>
      <c r="F11" s="91">
        <f>1+4+5+7+6</f>
        <v>23</v>
      </c>
      <c r="G11" s="89">
        <f>(4114.28)+(9771.42)+(10285.71)+(14708.56)</f>
        <v>38879.97</v>
      </c>
      <c r="H11" s="105">
        <f>(5161.83-0.01+381.03)+(39714.51-0.01)+(36857.15-0.01+0.01)+(25571.32-0.01)</f>
        <v>107685.81</v>
      </c>
      <c r="I11" s="105">
        <f>(2285.72+2285.72+1142.86-0.01)</f>
        <v>5714.2899999999991</v>
      </c>
      <c r="J11" s="89">
        <f>(228.57+228.57+114.29)+1142.86+571.43+1200+571.43+571.43+1142.86+1142.86</f>
        <v>6914.2999999999993</v>
      </c>
      <c r="K11" s="74">
        <v>0</v>
      </c>
      <c r="L11" s="74">
        <v>0</v>
      </c>
      <c r="M11" s="89">
        <f>(1142.86)+(571.44-0.01)</f>
        <v>1714.29</v>
      </c>
      <c r="N11" s="105">
        <f>8*1142.86</f>
        <v>9142.8799999999992</v>
      </c>
      <c r="O11" s="95">
        <v>0</v>
      </c>
      <c r="P11" s="168">
        <f t="shared" ref="P11:P22" si="0">G11+H11+I11+J11+K11+L11+M11+N11+O11</f>
        <v>170051.54</v>
      </c>
      <c r="Q11" s="169">
        <f>P11+'2. COMPR DEV 30%'!E9+'2. COMPR DEV 30%'!C9+'3. COMP VR'!C9+'3. COMP VR'!E9+'4. COMP VP'!D12+'4. COMP VP'!F12</f>
        <v>417215.49</v>
      </c>
      <c r="R11" s="234"/>
      <c r="S11" s="224"/>
      <c r="T11" s="158"/>
      <c r="U11" s="219"/>
      <c r="V11" s="209"/>
    </row>
    <row r="12" spans="1:22" ht="23.1" customHeight="1" x14ac:dyDescent="0.25">
      <c r="A12" s="75" t="s">
        <v>3</v>
      </c>
      <c r="B12" s="91">
        <f>1</f>
        <v>1</v>
      </c>
      <c r="C12" s="104">
        <f>8+7+1+10+7</f>
        <v>33</v>
      </c>
      <c r="D12" s="104">
        <f>19+17+3+21+10</f>
        <v>70</v>
      </c>
      <c r="E12" s="91">
        <f>4+3+3+2</f>
        <v>12</v>
      </c>
      <c r="F12" s="91">
        <f>4+4+1+8+5</f>
        <v>22</v>
      </c>
      <c r="G12" s="89">
        <f>(12857.13)+(6857.14)+(9085.71)+(10285.71)</f>
        <v>39085.69</v>
      </c>
      <c r="H12" s="105">
        <f>(34028.55-0.02+0.03+15000)+(23428.31-0.01+0.03)+(35428.6-0.04+0.01)+(11428.58-0.02+1142.86)</f>
        <v>120456.88000000002</v>
      </c>
      <c r="I12" s="105">
        <v>0</v>
      </c>
      <c r="J12" s="89">
        <f>1142.86+571.43+571.43+228.57+1200+(380.96+380.95)+380.95</f>
        <v>4857.1499999999996</v>
      </c>
      <c r="K12" s="74">
        <v>0</v>
      </c>
      <c r="L12" s="74">
        <v>0</v>
      </c>
      <c r="M12" s="89">
        <f>1714.29+11428.57</f>
        <v>13142.86</v>
      </c>
      <c r="N12" s="105">
        <f>12*1142.86</f>
        <v>13714.32</v>
      </c>
      <c r="O12" s="95">
        <v>0</v>
      </c>
      <c r="P12" s="168">
        <f t="shared" si="0"/>
        <v>191256.90000000002</v>
      </c>
      <c r="Q12" s="170">
        <f>P12+'2. COMPR DEV 30%'!C10+'2. COMPR DEV 30%'!E10+'3. COMP VR'!C10+'3. COMP VR'!E10+'4. COMP VP'!D13+'4. COMP VP'!F13</f>
        <v>407923.00000000006</v>
      </c>
      <c r="R12" s="171"/>
      <c r="T12" s="158"/>
      <c r="U12" s="219"/>
      <c r="V12" s="209"/>
    </row>
    <row r="13" spans="1:22" ht="23.1" customHeight="1" x14ac:dyDescent="0.25">
      <c r="A13" s="75" t="s">
        <v>4</v>
      </c>
      <c r="B13" s="91">
        <f>1+1+3+2</f>
        <v>7</v>
      </c>
      <c r="C13" s="104">
        <f>9+6+7+1+4</f>
        <v>27</v>
      </c>
      <c r="D13" s="104">
        <f>18+17+16+2+14</f>
        <v>67</v>
      </c>
      <c r="E13" s="91">
        <f>3+2+7+1+1</f>
        <v>14</v>
      </c>
      <c r="F13" s="91">
        <f>7+5+3+5</f>
        <v>20</v>
      </c>
      <c r="G13" s="89">
        <f>(20571.42)+(3428.57)+(10285.72)+(3428.57)</f>
        <v>37714.28</v>
      </c>
      <c r="H13" s="105">
        <f>(31942.87-0.01)+(26285.7-0.02+0.02)+(15086.16-0.01+0.02)+(14428.56-0.01+0.04+428.54)</f>
        <v>88171.86</v>
      </c>
      <c r="I13" s="105">
        <f>(3428.57)</f>
        <v>3428.57</v>
      </c>
      <c r="J13" s="89">
        <f>1142.86+1200+1200+(190.47+190.48)+800+142.86+571.43+1142.86+571.43</f>
        <v>7152.3899999999994</v>
      </c>
      <c r="K13" s="74">
        <v>0</v>
      </c>
      <c r="L13" s="74">
        <v>0</v>
      </c>
      <c r="M13" s="89">
        <v>0</v>
      </c>
      <c r="N13" s="105">
        <f>7*1142.86</f>
        <v>8000.0199999999995</v>
      </c>
      <c r="O13" s="95">
        <v>0</v>
      </c>
      <c r="P13" s="168">
        <f t="shared" si="0"/>
        <v>144467.12</v>
      </c>
      <c r="Q13" s="170">
        <f>P13+'2. COMPR DEV 30%'!C11+'2. COMPR DEV 30%'!E11+'3. COMP VR'!C11+'3. COMP VR'!E11+'4. COMP VP'!D14+'4. COMP VP'!F14</f>
        <v>349782.83999999997</v>
      </c>
      <c r="R13" s="172"/>
      <c r="T13" s="158"/>
      <c r="U13" s="219"/>
      <c r="V13" s="209"/>
    </row>
    <row r="14" spans="1:22" ht="23.1" customHeight="1" x14ac:dyDescent="0.25">
      <c r="A14" s="75" t="s">
        <v>5</v>
      </c>
      <c r="B14" s="91">
        <v>0</v>
      </c>
      <c r="C14" s="104">
        <v>0</v>
      </c>
      <c r="D14" s="104">
        <f>11+17+25+14+3</f>
        <v>70</v>
      </c>
      <c r="E14" s="91">
        <v>17</v>
      </c>
      <c r="F14" s="91">
        <v>3</v>
      </c>
      <c r="G14" s="89">
        <f>(9120)+(6857.14)+(14742.86)+(12548.57)</f>
        <v>43268.57</v>
      </c>
      <c r="H14" s="105">
        <f>(47120)+(26114.3-0.03)+(58571.65-0.01+0.02)+(32222.85-0.01+0.02)</f>
        <v>164028.78999999998</v>
      </c>
      <c r="I14" s="105">
        <v>7666.59</v>
      </c>
      <c r="J14" s="89">
        <f>1200+571.43+1200+1142.86+1142.86+1142.86+1142.86+571.43+600+(377.15+388.57)+1142.86+571.43+1142.86+766.66</f>
        <v>13103.83</v>
      </c>
      <c r="K14" s="74">
        <v>0</v>
      </c>
      <c r="L14" s="74">
        <v>0</v>
      </c>
      <c r="M14" s="89">
        <v>0</v>
      </c>
      <c r="N14" s="105">
        <f>17*1142.86</f>
        <v>19428.62</v>
      </c>
      <c r="O14" s="95">
        <v>0</v>
      </c>
      <c r="P14" s="168">
        <f t="shared" si="0"/>
        <v>247496.39999999997</v>
      </c>
      <c r="Q14" s="170">
        <f>P14+'2. COMPR DEV 30%'!C12+'2. COMPR DEV 30%'!E12+'3. COMP VR'!C12+'3. COMP VR'!E12+'4. COMP VP'!D15+'4. COMP VP'!F15</f>
        <v>480412.00999999989</v>
      </c>
      <c r="T14" s="158"/>
      <c r="U14" s="219"/>
      <c r="V14" s="209"/>
    </row>
    <row r="15" spans="1:22" ht="23.1" customHeight="1" x14ac:dyDescent="0.25">
      <c r="A15" s="75" t="s">
        <v>6</v>
      </c>
      <c r="B15" s="91">
        <v>0</v>
      </c>
      <c r="C15" s="104">
        <v>0</v>
      </c>
      <c r="D15" s="104">
        <v>102</v>
      </c>
      <c r="E15" s="91">
        <v>22</v>
      </c>
      <c r="F15" s="91">
        <v>36</v>
      </c>
      <c r="G15" s="89">
        <f>(3428.57)+(3428.57)+(9702.85)+(9085.71)+(17142.85)</f>
        <v>42788.55</v>
      </c>
      <c r="H15" s="105">
        <f>(8571.43-0.01)+(30856.92-0.02+0.01)+(47600.02-0.02)+(22834.26-0.02+0.05+480)+(63428.58-0.04+0.02)</f>
        <v>173771.18</v>
      </c>
      <c r="I15" s="105">
        <v>0</v>
      </c>
      <c r="J15" s="89">
        <f>1142.86+1028.57+(142.86+142.85+142.86+142.86)+(380.95+380.96+380.95)+1142.86+1142.86+1200+285.72+1142.86+571.43</f>
        <v>9371.4499999999989</v>
      </c>
      <c r="K15" s="74">
        <v>0</v>
      </c>
      <c r="L15" s="74">
        <v>0</v>
      </c>
      <c r="M15" s="89">
        <v>0</v>
      </c>
      <c r="N15" s="105">
        <f>10*1142.86</f>
        <v>11428.599999999999</v>
      </c>
      <c r="O15" s="95">
        <v>0</v>
      </c>
      <c r="P15" s="168">
        <f t="shared" si="0"/>
        <v>237359.78</v>
      </c>
      <c r="Q15" s="170">
        <f>P15+'2. COMPR DEV 30%'!C13+'2. COMPR DEV 30%'!E13+'3. COMP VR'!C13+'3. COMP VR'!E13+'4. COMP VP'!D16+'4. COMP VP'!F16</f>
        <v>495916.16000000003</v>
      </c>
      <c r="R15" s="171"/>
      <c r="T15" s="158"/>
      <c r="U15" s="219"/>
      <c r="V15" s="209"/>
    </row>
    <row r="16" spans="1:22" ht="23.1" customHeight="1" x14ac:dyDescent="0.25">
      <c r="A16" s="75" t="s">
        <v>8</v>
      </c>
      <c r="B16" s="91">
        <v>0</v>
      </c>
      <c r="C16" s="104">
        <v>0</v>
      </c>
      <c r="D16" s="104">
        <v>77</v>
      </c>
      <c r="E16" s="91">
        <v>20</v>
      </c>
      <c r="F16" s="91">
        <v>21</v>
      </c>
      <c r="G16" s="89">
        <f>(5142.85+285.71)+(13714.28+0.02+857.13)+(9428.58-0.01)+(9085.73-0.02)</f>
        <v>38514.270000000004</v>
      </c>
      <c r="H16" s="105">
        <f>(51085.69+0.01)+(33257.15-0.03+0.01)+(4514.28-0.03+0.02)+(30228.59-0.04+0.02)</f>
        <v>119085.67000000001</v>
      </c>
      <c r="I16" s="105">
        <f>952.4</f>
        <v>952.4</v>
      </c>
      <c r="J16" s="89">
        <f>1200+(360+840)+1142.86+1142.86+1142.86+1028.57</f>
        <v>6857.1499999999987</v>
      </c>
      <c r="K16" s="74">
        <v>0</v>
      </c>
      <c r="L16" s="74">
        <v>0</v>
      </c>
      <c r="M16" s="89">
        <f>(571.44-0.01)</f>
        <v>571.43000000000006</v>
      </c>
      <c r="N16" s="105">
        <f>10*1142.86</f>
        <v>11428.599999999999</v>
      </c>
      <c r="O16" s="95">
        <v>0</v>
      </c>
      <c r="P16" s="168">
        <f t="shared" si="0"/>
        <v>177409.52</v>
      </c>
      <c r="Q16" s="170">
        <f>P16+'2. COMPR DEV 30%'!C14+'2. COMPR DEV 30%'!E14+'3. COMP VR'!C14+'3. COMP VR'!E14+'4. COMP VP'!D17+'4. COMP VP'!F17</f>
        <v>319917.32</v>
      </c>
      <c r="T16" s="158"/>
      <c r="U16" s="219"/>
      <c r="V16" s="209"/>
    </row>
    <row r="17" spans="1:24" ht="23.1" customHeight="1" x14ac:dyDescent="0.25">
      <c r="A17" s="75" t="s">
        <v>9</v>
      </c>
      <c r="B17" s="91">
        <v>0</v>
      </c>
      <c r="C17" s="104">
        <v>0</v>
      </c>
      <c r="D17" s="104">
        <v>0</v>
      </c>
      <c r="E17" s="91">
        <v>0</v>
      </c>
      <c r="F17" s="91">
        <v>0</v>
      </c>
      <c r="G17" s="89">
        <v>0</v>
      </c>
      <c r="H17" s="105">
        <v>0</v>
      </c>
      <c r="I17" s="105">
        <v>0</v>
      </c>
      <c r="J17" s="89">
        <v>0</v>
      </c>
      <c r="K17" s="74">
        <v>0</v>
      </c>
      <c r="L17" s="74">
        <v>0</v>
      </c>
      <c r="M17" s="89">
        <v>0</v>
      </c>
      <c r="N17" s="105">
        <v>0</v>
      </c>
      <c r="O17" s="95">
        <v>0</v>
      </c>
      <c r="P17" s="168">
        <f t="shared" si="0"/>
        <v>0</v>
      </c>
      <c r="Q17" s="170">
        <f>P17+'2. COMPR DEV 30%'!C15+'2. COMPR DEV 30%'!E15+'3. COMP VR'!C15+'3. COMP VR'!E15+'4. COMP VP'!D18+'4. COMP VP'!F18</f>
        <v>0</v>
      </c>
      <c r="R17" s="170"/>
      <c r="T17" s="158"/>
      <c r="U17" s="219"/>
      <c r="V17" s="209"/>
    </row>
    <row r="18" spans="1:24" ht="23.1" customHeight="1" x14ac:dyDescent="0.25">
      <c r="A18" s="75" t="s">
        <v>10</v>
      </c>
      <c r="B18" s="91">
        <v>0</v>
      </c>
      <c r="C18" s="104">
        <v>0</v>
      </c>
      <c r="D18" s="104">
        <v>0</v>
      </c>
      <c r="E18" s="91">
        <v>0</v>
      </c>
      <c r="F18" s="91">
        <v>0</v>
      </c>
      <c r="G18" s="89">
        <v>0</v>
      </c>
      <c r="H18" s="105">
        <v>0</v>
      </c>
      <c r="I18" s="105">
        <v>0</v>
      </c>
      <c r="J18" s="89">
        <v>0</v>
      </c>
      <c r="K18" s="74">
        <v>0</v>
      </c>
      <c r="L18" s="74">
        <v>0</v>
      </c>
      <c r="M18" s="89">
        <v>0</v>
      </c>
      <c r="N18" s="105">
        <v>0</v>
      </c>
      <c r="O18" s="95">
        <v>0</v>
      </c>
      <c r="P18" s="168">
        <f t="shared" si="0"/>
        <v>0</v>
      </c>
      <c r="Q18" s="170">
        <f>P18+'2. COMPR DEV 30%'!C16+'2. COMPR DEV 30%'!E16+'3. COMP VR'!C16+'3. COMP VR'!E16+'4. COMP VP'!D19+'4. COMP VP'!F19</f>
        <v>0</v>
      </c>
      <c r="T18" s="158"/>
      <c r="U18" s="219"/>
      <c r="V18" s="209"/>
    </row>
    <row r="19" spans="1:24" ht="23.1" customHeight="1" x14ac:dyDescent="0.25">
      <c r="A19" s="76" t="s">
        <v>11</v>
      </c>
      <c r="B19" s="91">
        <v>0</v>
      </c>
      <c r="C19" s="104">
        <v>0</v>
      </c>
      <c r="D19" s="104">
        <v>0</v>
      </c>
      <c r="E19" s="91">
        <v>0</v>
      </c>
      <c r="F19" s="91">
        <v>0</v>
      </c>
      <c r="G19" s="89">
        <v>0</v>
      </c>
      <c r="H19" s="105">
        <v>0</v>
      </c>
      <c r="I19" s="105">
        <v>0</v>
      </c>
      <c r="J19" s="89">
        <v>0</v>
      </c>
      <c r="K19" s="74">
        <v>0</v>
      </c>
      <c r="L19" s="74">
        <v>0</v>
      </c>
      <c r="M19" s="89">
        <v>0</v>
      </c>
      <c r="N19" s="105">
        <v>0</v>
      </c>
      <c r="O19" s="95">
        <v>0</v>
      </c>
      <c r="P19" s="168">
        <f t="shared" si="0"/>
        <v>0</v>
      </c>
      <c r="Q19" s="170">
        <f>P19+'2. COMPR DEV 30%'!C17+'2. COMPR DEV 30%'!E17+'3. COMP VR'!C17+'3. COMP VR'!E17+'4. COMP VP'!D20+'4. COMP VP'!F20</f>
        <v>0</v>
      </c>
      <c r="R19" s="171"/>
      <c r="T19" s="158"/>
      <c r="U19" s="219"/>
      <c r="V19" s="209"/>
      <c r="X19" s="209"/>
    </row>
    <row r="20" spans="1:24" ht="23.1" customHeight="1" x14ac:dyDescent="0.25">
      <c r="A20" s="77" t="s">
        <v>12</v>
      </c>
      <c r="B20" s="91">
        <v>0</v>
      </c>
      <c r="C20" s="104">
        <v>0</v>
      </c>
      <c r="D20" s="104">
        <v>0</v>
      </c>
      <c r="E20" s="91">
        <v>0</v>
      </c>
      <c r="F20" s="91">
        <v>0</v>
      </c>
      <c r="G20" s="89">
        <v>0</v>
      </c>
      <c r="H20" s="105">
        <v>0</v>
      </c>
      <c r="I20" s="105">
        <v>0</v>
      </c>
      <c r="J20" s="89">
        <v>0</v>
      </c>
      <c r="K20" s="74">
        <v>0</v>
      </c>
      <c r="L20" s="74">
        <v>0</v>
      </c>
      <c r="M20" s="89">
        <v>0</v>
      </c>
      <c r="N20" s="105">
        <v>0</v>
      </c>
      <c r="O20" s="95">
        <v>0</v>
      </c>
      <c r="P20" s="168">
        <f t="shared" si="0"/>
        <v>0</v>
      </c>
      <c r="Q20" s="170">
        <f>P20+'2. COMPR DEV 30%'!C18+'2. COMPR DEV 30%'!E18+'3. COMP VR'!C18+'3. COMP VR'!E18+'4. COMP VP'!D21+'4. COMP VP'!F21</f>
        <v>0</v>
      </c>
      <c r="R20" s="173"/>
      <c r="T20" s="166"/>
      <c r="U20" s="219"/>
      <c r="V20" s="209"/>
    </row>
    <row r="21" spans="1:24" ht="23.1" customHeight="1" x14ac:dyDescent="0.25">
      <c r="A21" s="78" t="s">
        <v>13</v>
      </c>
      <c r="B21" s="91">
        <v>0</v>
      </c>
      <c r="C21" s="104">
        <v>0</v>
      </c>
      <c r="D21" s="104">
        <v>0</v>
      </c>
      <c r="E21" s="91">
        <v>0</v>
      </c>
      <c r="F21" s="91">
        <v>0</v>
      </c>
      <c r="G21" s="89">
        <v>0</v>
      </c>
      <c r="H21" s="105">
        <v>0</v>
      </c>
      <c r="I21" s="105">
        <v>0</v>
      </c>
      <c r="J21" s="89">
        <v>0</v>
      </c>
      <c r="K21" s="74">
        <v>0</v>
      </c>
      <c r="L21" s="74">
        <v>0</v>
      </c>
      <c r="M21" s="89">
        <v>0</v>
      </c>
      <c r="N21" s="105">
        <v>0</v>
      </c>
      <c r="O21" s="95">
        <v>0</v>
      </c>
      <c r="P21" s="168">
        <f t="shared" si="0"/>
        <v>0</v>
      </c>
      <c r="Q21" s="170">
        <f>P21+'2. COMPR DEV 30%'!C19+'2. COMPR DEV 30%'!E19+'3. COMP VR'!C19+'3. COMP VR'!E19+'4. COMP VP'!D22+'4. COMP VP'!F22</f>
        <v>0</v>
      </c>
      <c r="R21" s="171"/>
      <c r="T21" s="166"/>
      <c r="U21" s="219"/>
      <c r="V21" s="209"/>
    </row>
    <row r="22" spans="1:24" ht="23.1" customHeight="1" thickBot="1" x14ac:dyDescent="0.3">
      <c r="A22" s="78" t="s">
        <v>14</v>
      </c>
      <c r="B22" s="91">
        <v>0</v>
      </c>
      <c r="C22" s="104">
        <v>0</v>
      </c>
      <c r="D22" s="104">
        <v>0</v>
      </c>
      <c r="E22" s="91">
        <v>0</v>
      </c>
      <c r="F22" s="91">
        <v>0</v>
      </c>
      <c r="G22" s="89">
        <v>0</v>
      </c>
      <c r="H22" s="105">
        <v>0</v>
      </c>
      <c r="I22" s="105">
        <v>0</v>
      </c>
      <c r="J22" s="89">
        <v>0</v>
      </c>
      <c r="K22" s="74">
        <v>0</v>
      </c>
      <c r="L22" s="74">
        <v>0</v>
      </c>
      <c r="M22" s="89">
        <v>0</v>
      </c>
      <c r="N22" s="105">
        <v>0</v>
      </c>
      <c r="O22" s="95">
        <v>0</v>
      </c>
      <c r="P22" s="168">
        <f t="shared" si="0"/>
        <v>0</v>
      </c>
      <c r="Q22" s="170">
        <f>P22+'2. COMPR DEV 30%'!C20+'2. COMPR DEV 30%'!E20+'3. COMP VR'!C20+'3. COMP VR'!E20+'4. COMP VP'!D23+'4. COMP VP'!F23</f>
        <v>0</v>
      </c>
      <c r="R22" s="170"/>
      <c r="T22" s="166"/>
      <c r="U22" s="219"/>
      <c r="V22" s="209"/>
    </row>
    <row r="23" spans="1:24" ht="27.75" customHeight="1" thickBot="1" x14ac:dyDescent="0.3">
      <c r="A23" s="96" t="s">
        <v>0</v>
      </c>
      <c r="B23" s="97">
        <f t="shared" ref="B23:I23" si="1">SUM(B11:B22)</f>
        <v>8</v>
      </c>
      <c r="C23" s="97">
        <f t="shared" si="1"/>
        <v>94</v>
      </c>
      <c r="D23" s="97">
        <f t="shared" si="1"/>
        <v>448</v>
      </c>
      <c r="E23" s="97">
        <f t="shared" si="1"/>
        <v>96</v>
      </c>
      <c r="F23" s="97">
        <f t="shared" si="1"/>
        <v>125</v>
      </c>
      <c r="G23" s="98">
        <f t="shared" si="1"/>
        <v>240251.33000000002</v>
      </c>
      <c r="H23" s="98">
        <f t="shared" si="1"/>
        <v>773200.19000000006</v>
      </c>
      <c r="I23" s="98">
        <f t="shared" si="1"/>
        <v>17761.849999999999</v>
      </c>
      <c r="J23" s="98">
        <f t="shared" ref="J23:O23" si="2">SUM(J11:J22)</f>
        <v>48256.27</v>
      </c>
      <c r="K23" s="98">
        <f t="shared" si="2"/>
        <v>0</v>
      </c>
      <c r="L23" s="98">
        <f t="shared" si="2"/>
        <v>0</v>
      </c>
      <c r="M23" s="98">
        <f t="shared" si="2"/>
        <v>15428.580000000002</v>
      </c>
      <c r="N23" s="98">
        <f t="shared" si="2"/>
        <v>73143.039999999994</v>
      </c>
      <c r="O23" s="99">
        <f t="shared" si="2"/>
        <v>0</v>
      </c>
      <c r="P23" s="174">
        <f>G23+H23+I23+J23+K23+L23+M23+N23+O23</f>
        <v>1168041.26</v>
      </c>
      <c r="Q23" s="175">
        <f>SUM(Q11:Q22)</f>
        <v>2471166.8199999998</v>
      </c>
      <c r="T23" s="158"/>
      <c r="U23" s="219"/>
      <c r="V23" s="209"/>
    </row>
    <row r="24" spans="1:24" s="166" customFormat="1" x14ac:dyDescent="0.25">
      <c r="A24" s="64" t="s">
        <v>82</v>
      </c>
      <c r="B24" s="220"/>
      <c r="C24" s="220"/>
      <c r="D24" s="220"/>
      <c r="E24" s="220"/>
      <c r="F24" s="220"/>
      <c r="G24" s="179"/>
      <c r="H24" s="220"/>
      <c r="I24" s="220"/>
      <c r="J24" s="220"/>
      <c r="K24" s="220"/>
      <c r="L24" s="220"/>
      <c r="M24" s="179"/>
      <c r="N24" s="1" t="s">
        <v>95</v>
      </c>
      <c r="O24" s="179"/>
      <c r="Q24" s="169">
        <f>SUM(Q11:Q23)-Q23</f>
        <v>2471166.8199999998</v>
      </c>
      <c r="R24" s="171"/>
    </row>
    <row r="25" spans="1:24" s="166" customFormat="1" x14ac:dyDescent="0.25">
      <c r="A25" s="5" t="s">
        <v>61</v>
      </c>
      <c r="B25" s="63"/>
      <c r="C25" s="220"/>
      <c r="D25" s="220"/>
      <c r="E25" s="220"/>
      <c r="F25" s="220"/>
      <c r="G25" s="179"/>
      <c r="H25" s="220"/>
      <c r="I25" s="220"/>
      <c r="J25" s="220"/>
      <c r="K25" s="220"/>
      <c r="L25" s="220"/>
      <c r="M25" s="179"/>
      <c r="N25" s="179"/>
      <c r="O25" s="179"/>
      <c r="P25" s="176"/>
      <c r="Q25" s="171"/>
      <c r="V25" s="171"/>
    </row>
    <row r="26" spans="1:24" s="166" customFormat="1" x14ac:dyDescent="0.25">
      <c r="B26" s="222"/>
      <c r="C26" s="220"/>
      <c r="D26" s="220"/>
      <c r="E26" s="220"/>
      <c r="F26" s="220"/>
      <c r="G26" s="179"/>
      <c r="H26" s="220"/>
      <c r="I26" s="220"/>
      <c r="J26" s="220"/>
      <c r="K26" s="220"/>
      <c r="L26" s="220"/>
      <c r="M26" s="179"/>
      <c r="N26" s="179"/>
      <c r="O26" s="179"/>
      <c r="P26" s="171"/>
      <c r="Q26" s="210"/>
      <c r="V26" s="171"/>
    </row>
    <row r="27" spans="1:24" s="166" customFormat="1" x14ac:dyDescent="0.25">
      <c r="A27" s="220"/>
      <c r="B27" s="222"/>
      <c r="C27" s="220"/>
      <c r="D27" s="220"/>
      <c r="E27" s="220"/>
      <c r="F27" s="220"/>
      <c r="G27" s="179"/>
      <c r="H27" s="220"/>
      <c r="I27" s="220"/>
      <c r="J27" s="220"/>
      <c r="K27" s="220"/>
      <c r="L27" s="220"/>
      <c r="M27" s="179"/>
      <c r="N27" s="179"/>
      <c r="O27" s="179"/>
      <c r="P27" s="171"/>
      <c r="Q27" s="171"/>
    </row>
    <row r="28" spans="1:24" s="166" customFormat="1" x14ac:dyDescent="0.25">
      <c r="A28" s="63" t="s">
        <v>46</v>
      </c>
      <c r="B28" s="222"/>
      <c r="C28" s="221"/>
      <c r="D28" s="221"/>
      <c r="E28" s="221"/>
      <c r="F28" s="221"/>
      <c r="G28" s="63"/>
      <c r="H28" s="221"/>
      <c r="I28" s="221"/>
      <c r="J28" s="221"/>
      <c r="K28" s="221"/>
      <c r="L28" s="221"/>
      <c r="M28" s="63"/>
      <c r="N28" s="63"/>
      <c r="O28" s="63"/>
      <c r="P28" s="63"/>
      <c r="Q28" s="171"/>
    </row>
    <row r="29" spans="1:24" s="166" customFormat="1" x14ac:dyDescent="0.25">
      <c r="A29" s="221"/>
      <c r="B29" s="222"/>
      <c r="C29" s="220"/>
      <c r="D29" s="220"/>
      <c r="E29" s="220"/>
      <c r="F29" s="220"/>
      <c r="G29" s="179"/>
      <c r="H29" s="220"/>
      <c r="I29" s="220"/>
      <c r="J29" s="220"/>
      <c r="K29" s="220"/>
      <c r="L29" s="220"/>
      <c r="M29" s="179"/>
      <c r="N29" s="179"/>
      <c r="O29" s="179"/>
      <c r="Q29" s="210"/>
      <c r="U29" s="171"/>
    </row>
    <row r="30" spans="1:24" s="166" customFormat="1" x14ac:dyDescent="0.25">
      <c r="A30" s="221"/>
      <c r="B30" s="63"/>
      <c r="C30" s="221"/>
      <c r="D30" s="221"/>
      <c r="E30" s="221"/>
      <c r="F30" s="221"/>
      <c r="G30" s="63"/>
      <c r="H30" s="221"/>
      <c r="I30" s="221"/>
      <c r="J30" s="221"/>
      <c r="K30" s="221"/>
      <c r="L30" s="221"/>
      <c r="M30" s="63"/>
      <c r="N30" s="63"/>
      <c r="O30" s="63"/>
      <c r="P30" s="63"/>
      <c r="Q30" s="210"/>
    </row>
    <row r="31" spans="1:24" s="166" customFormat="1" x14ac:dyDescent="0.25">
      <c r="A31" s="221"/>
      <c r="B31" s="63"/>
      <c r="C31" s="221"/>
      <c r="D31" s="221"/>
      <c r="E31" s="221"/>
      <c r="F31" s="221"/>
      <c r="G31" s="63"/>
      <c r="H31" s="221"/>
      <c r="I31" s="221"/>
      <c r="J31" s="221"/>
      <c r="K31" s="221"/>
      <c r="L31" s="221"/>
      <c r="M31" s="63"/>
      <c r="N31" s="63"/>
      <c r="O31" s="63"/>
      <c r="P31" s="63"/>
    </row>
    <row r="32" spans="1:24" s="166" customFormat="1" x14ac:dyDescent="0.25">
      <c r="A32" s="221"/>
      <c r="B32" s="63"/>
      <c r="C32" s="221"/>
      <c r="D32" s="221"/>
      <c r="E32" s="221"/>
      <c r="F32" s="221"/>
      <c r="G32" s="7" t="s">
        <v>83</v>
      </c>
      <c r="H32" s="230"/>
      <c r="I32" s="231"/>
      <c r="J32" s="232"/>
      <c r="K32" s="232"/>
      <c r="L32" s="4"/>
      <c r="M32" s="7"/>
      <c r="N32" s="230"/>
      <c r="O32" s="231"/>
      <c r="P32" s="177"/>
    </row>
    <row r="33" spans="1:18" s="166" customFormat="1" x14ac:dyDescent="0.25">
      <c r="A33" s="221"/>
      <c r="B33" s="63"/>
      <c r="D33" s="221"/>
      <c r="E33" s="221"/>
      <c r="F33" s="221"/>
      <c r="G33" s="14"/>
      <c r="H33" s="8" t="s">
        <v>84</v>
      </c>
      <c r="I33" s="1"/>
      <c r="J33" s="5"/>
      <c r="K33" s="5"/>
      <c r="L33" s="4"/>
      <c r="M33" s="14"/>
      <c r="N33" s="8"/>
      <c r="O33" s="1"/>
    </row>
    <row r="34" spans="1:18" s="166" customFormat="1" x14ac:dyDescent="0.25">
      <c r="A34" s="221"/>
      <c r="B34" s="63"/>
      <c r="C34" s="221"/>
      <c r="D34" s="221"/>
      <c r="E34" s="221"/>
      <c r="F34" s="221"/>
      <c r="G34" s="3"/>
      <c r="H34" s="233" t="s">
        <v>85</v>
      </c>
      <c r="I34" s="1"/>
      <c r="J34" s="2"/>
      <c r="K34" s="2"/>
      <c r="L34" s="1"/>
      <c r="M34" s="3"/>
      <c r="N34" s="233"/>
      <c r="O34" s="1"/>
      <c r="Q34" s="223"/>
    </row>
    <row r="35" spans="1:18" x14ac:dyDescent="0.25">
      <c r="A35" s="5"/>
      <c r="B35" s="213"/>
      <c r="C35" s="214"/>
      <c r="D35" s="214"/>
      <c r="E35" s="214"/>
      <c r="F35" s="214"/>
      <c r="G35" s="158"/>
      <c r="H35" s="214"/>
      <c r="I35" s="214"/>
      <c r="J35" s="2"/>
      <c r="K35" s="2"/>
      <c r="L35" s="2"/>
      <c r="Q35" s="223"/>
      <c r="R35" s="171"/>
    </row>
    <row r="36" spans="1:18" x14ac:dyDescent="0.25">
      <c r="A36" s="5"/>
      <c r="B36" s="4"/>
      <c r="C36" s="2"/>
      <c r="D36" s="2"/>
      <c r="E36" s="2"/>
      <c r="F36" s="2"/>
      <c r="H36" s="2"/>
      <c r="I36" s="2"/>
      <c r="J36" s="2"/>
      <c r="K36" s="2"/>
      <c r="L36" s="2"/>
      <c r="P36" s="178"/>
      <c r="Q36" s="223"/>
    </row>
    <row r="37" spans="1:18" x14ac:dyDescent="0.25">
      <c r="A37" s="5"/>
      <c r="B37" s="3"/>
      <c r="C37" s="11"/>
      <c r="D37" s="11"/>
      <c r="E37" s="11"/>
      <c r="F37" s="11"/>
      <c r="G37" s="79"/>
      <c r="H37" s="11"/>
      <c r="I37" s="11"/>
      <c r="J37" s="11"/>
      <c r="K37" s="11"/>
      <c r="L37" s="11"/>
      <c r="M37" s="3"/>
      <c r="N37" s="3"/>
      <c r="O37" s="3"/>
      <c r="P37" s="178"/>
    </row>
    <row r="38" spans="1:18" ht="10.5" customHeight="1" x14ac:dyDescent="0.25">
      <c r="A38" s="5"/>
      <c r="B38" s="3"/>
      <c r="C38" s="2"/>
      <c r="D38" s="2"/>
      <c r="E38" s="2"/>
      <c r="F38" s="2"/>
      <c r="H38" s="2"/>
      <c r="I38" s="2"/>
      <c r="J38" s="2"/>
      <c r="K38" s="2"/>
      <c r="L38" s="2"/>
    </row>
    <row r="39" spans="1:18" x14ac:dyDescent="0.25">
      <c r="A39" s="5"/>
      <c r="B39" s="3"/>
      <c r="C39" s="2"/>
      <c r="D39" s="2"/>
      <c r="E39" s="2"/>
      <c r="F39" s="2"/>
      <c r="G39" s="79"/>
      <c r="H39" s="2"/>
      <c r="I39" s="2"/>
      <c r="J39" s="2"/>
      <c r="K39" s="2"/>
      <c r="L39" s="2"/>
    </row>
    <row r="40" spans="1:18" x14ac:dyDescent="0.25">
      <c r="A40" s="12"/>
      <c r="B40" s="12"/>
      <c r="C40" s="12"/>
      <c r="D40" s="12"/>
      <c r="H40" s="209"/>
    </row>
    <row r="41" spans="1:18" x14ac:dyDescent="0.25">
      <c r="A41" s="12"/>
      <c r="B41" s="12"/>
      <c r="C41" s="12"/>
      <c r="D41" s="12"/>
    </row>
    <row r="42" spans="1:18" x14ac:dyDescent="0.25">
      <c r="A42" s="12"/>
      <c r="B42" s="12"/>
      <c r="C42" s="12"/>
      <c r="D42" s="12"/>
      <c r="E42" s="3"/>
      <c r="F42" s="3"/>
      <c r="N42" s="3"/>
      <c r="O42" s="3"/>
      <c r="P42" s="179"/>
    </row>
    <row r="43" spans="1:18" x14ac:dyDescent="0.25">
      <c r="A43" s="12"/>
      <c r="B43" s="12"/>
      <c r="C43" s="12"/>
      <c r="D43" s="12"/>
    </row>
    <row r="44" spans="1:18" x14ac:dyDescent="0.25">
      <c r="A44" s="12"/>
      <c r="B44" s="12"/>
      <c r="C44" s="12"/>
      <c r="D44" s="12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workbookViewId="0">
      <selection activeCell="A14" sqref="A14:XFD14"/>
    </sheetView>
  </sheetViews>
  <sheetFormatPr baseColWidth="10" defaultRowHeight="13.2" x14ac:dyDescent="0.25"/>
  <cols>
    <col min="2" max="2" width="12" customWidth="1"/>
    <col min="4" max="4" width="12.5546875" customWidth="1"/>
    <col min="5" max="5" width="11.88671875" customWidth="1"/>
    <col min="6" max="6" width="4.44140625" customWidth="1"/>
    <col min="8" max="8" width="11.5546875" customWidth="1"/>
    <col min="9" max="9" width="11.5546875" bestFit="1" customWidth="1"/>
    <col min="10" max="10" width="13.44140625" customWidth="1"/>
    <col min="11" max="11" width="12" bestFit="1" customWidth="1"/>
  </cols>
  <sheetData>
    <row r="1" spans="1:11" x14ac:dyDescent="0.25">
      <c r="K1" s="15"/>
    </row>
    <row r="3" spans="1:11" ht="14.4" x14ac:dyDescent="0.3">
      <c r="A3" s="40"/>
      <c r="B3" s="40"/>
      <c r="C3" s="40"/>
      <c r="H3" s="40"/>
      <c r="I3" s="40"/>
      <c r="J3" s="40"/>
      <c r="K3" s="39"/>
    </row>
    <row r="4" spans="1:11" s="9" customFormat="1" ht="9.6" x14ac:dyDescent="0.2">
      <c r="A4" s="297" t="s">
        <v>28</v>
      </c>
      <c r="B4" s="297"/>
      <c r="C4" s="297"/>
      <c r="D4" s="297"/>
      <c r="E4" s="297"/>
      <c r="F4" s="62"/>
      <c r="G4" s="297"/>
      <c r="H4" s="297"/>
      <c r="I4" s="297"/>
      <c r="J4" s="297"/>
      <c r="K4" s="297"/>
    </row>
    <row r="5" spans="1:11" s="9" customFormat="1" ht="9.6" x14ac:dyDescent="0.2">
      <c r="A5" s="297" t="s">
        <v>29</v>
      </c>
      <c r="B5" s="297"/>
      <c r="C5" s="297"/>
      <c r="D5" s="297"/>
      <c r="E5" s="297"/>
      <c r="F5" s="62"/>
      <c r="G5" s="297"/>
      <c r="H5" s="297"/>
      <c r="I5" s="297"/>
      <c r="J5" s="297"/>
      <c r="K5" s="297"/>
    </row>
    <row r="6" spans="1:11" s="9" customFormat="1" ht="9.6" x14ac:dyDescent="0.2">
      <c r="A6" s="301" t="s">
        <v>91</v>
      </c>
      <c r="B6" s="301"/>
      <c r="C6" s="301"/>
      <c r="D6" s="301"/>
      <c r="E6" s="301"/>
      <c r="F6" s="62"/>
      <c r="G6" s="302"/>
      <c r="H6" s="302"/>
      <c r="I6" s="302"/>
      <c r="J6" s="302"/>
      <c r="K6" s="302"/>
    </row>
    <row r="7" spans="1:11" ht="15" customHeight="1" x14ac:dyDescent="0.3">
      <c r="A7" s="67"/>
      <c r="B7" s="298" t="s">
        <v>89</v>
      </c>
      <c r="C7" s="299"/>
      <c r="D7" s="299"/>
      <c r="E7" s="300"/>
      <c r="F7" s="39"/>
      <c r="G7" s="41"/>
      <c r="H7" s="303"/>
      <c r="I7" s="303"/>
      <c r="J7" s="303"/>
      <c r="K7" s="303"/>
    </row>
    <row r="8" spans="1:11" ht="77.25" customHeight="1" x14ac:dyDescent="0.3">
      <c r="A8" s="68" t="s">
        <v>30</v>
      </c>
      <c r="B8" s="69" t="s">
        <v>42</v>
      </c>
      <c r="C8" s="70" t="s">
        <v>32</v>
      </c>
      <c r="D8" s="71" t="s">
        <v>33</v>
      </c>
      <c r="E8" s="72" t="s">
        <v>34</v>
      </c>
      <c r="F8" s="39"/>
      <c r="G8" s="237"/>
      <c r="H8" s="238"/>
      <c r="I8" s="237"/>
      <c r="J8" s="237"/>
      <c r="K8" s="237"/>
    </row>
    <row r="9" spans="1:11" ht="14.4" x14ac:dyDescent="0.3">
      <c r="A9" s="122" t="s">
        <v>17</v>
      </c>
      <c r="B9" s="123">
        <f>8+2+12+8+11</f>
        <v>41</v>
      </c>
      <c r="C9" s="124">
        <f>315.11+48.6+632.02+315.06+445.08</f>
        <v>1755.87</v>
      </c>
      <c r="D9" s="124">
        <f>10503.13+1620.06+21066.94+10501.71+14835.14</f>
        <v>58526.979999999996</v>
      </c>
      <c r="E9" s="125">
        <f>2835.83+437.42+5688.06+2835.45+4005.48</f>
        <v>15802.240000000002</v>
      </c>
      <c r="F9" s="39"/>
      <c r="G9" s="239"/>
      <c r="H9" s="240"/>
      <c r="I9" s="241"/>
      <c r="J9" s="241"/>
      <c r="K9" s="242"/>
    </row>
    <row r="10" spans="1:11" ht="14.4" x14ac:dyDescent="0.3">
      <c r="A10" s="122" t="s">
        <v>18</v>
      </c>
      <c r="B10" s="123">
        <v>36</v>
      </c>
      <c r="C10" s="258">
        <v>1404.85</v>
      </c>
      <c r="D10" s="260">
        <v>46827.450000000004</v>
      </c>
      <c r="E10" s="258">
        <v>12643.380000000005</v>
      </c>
      <c r="F10" s="39"/>
      <c r="G10" s="239"/>
      <c r="H10" s="240"/>
      <c r="I10" s="241"/>
      <c r="J10" s="241"/>
      <c r="K10" s="242"/>
    </row>
    <row r="11" spans="1:11" ht="14.4" x14ac:dyDescent="0.3">
      <c r="A11" s="122" t="s">
        <v>19</v>
      </c>
      <c r="B11" s="259">
        <v>25</v>
      </c>
      <c r="C11" s="262">
        <v>953.37999999999988</v>
      </c>
      <c r="D11" s="261">
        <v>31778.990000000009</v>
      </c>
      <c r="E11" s="262">
        <v>8580.31</v>
      </c>
      <c r="F11" s="39"/>
      <c r="G11" s="239"/>
      <c r="H11" s="240"/>
      <c r="I11" s="241"/>
      <c r="J11" s="241"/>
      <c r="K11" s="242"/>
    </row>
    <row r="12" spans="1:11" ht="14.4" x14ac:dyDescent="0.3">
      <c r="A12" s="122" t="s">
        <v>20</v>
      </c>
      <c r="B12" s="123">
        <v>42</v>
      </c>
      <c r="C12" s="265">
        <v>1487.1600000000003</v>
      </c>
      <c r="D12" s="265">
        <v>49572.28</v>
      </c>
      <c r="E12" s="264">
        <v>13384.52</v>
      </c>
      <c r="F12" s="39"/>
      <c r="G12" s="239"/>
      <c r="H12" s="240"/>
      <c r="I12" s="243"/>
      <c r="J12" s="243"/>
      <c r="K12" s="242"/>
    </row>
    <row r="13" spans="1:11" ht="14.4" x14ac:dyDescent="0.3">
      <c r="A13" s="122" t="s">
        <v>21</v>
      </c>
      <c r="B13" s="123">
        <v>24</v>
      </c>
      <c r="C13" s="267">
        <v>1209.4299999999998</v>
      </c>
      <c r="D13" s="267">
        <v>40313.78</v>
      </c>
      <c r="E13" s="267">
        <v>10884.7</v>
      </c>
      <c r="F13" s="39"/>
      <c r="G13" s="239"/>
      <c r="H13" s="240"/>
      <c r="I13" s="241"/>
      <c r="J13" s="241"/>
      <c r="K13" s="242"/>
    </row>
    <row r="14" spans="1:11" ht="14.4" x14ac:dyDescent="0.3">
      <c r="A14" s="122" t="s">
        <v>22</v>
      </c>
      <c r="B14" s="123">
        <v>24</v>
      </c>
      <c r="C14" s="272">
        <v>1076.7900000000004</v>
      </c>
      <c r="D14" s="271">
        <v>35892.67</v>
      </c>
      <c r="E14" s="272">
        <v>9691.0299999999988</v>
      </c>
      <c r="F14" s="39"/>
      <c r="G14" s="239"/>
      <c r="H14" s="240"/>
      <c r="I14" s="241"/>
      <c r="J14" s="241"/>
      <c r="K14" s="242"/>
    </row>
    <row r="15" spans="1:11" ht="14.4" x14ac:dyDescent="0.3">
      <c r="A15" s="127" t="s">
        <v>23</v>
      </c>
      <c r="B15" s="123">
        <v>0</v>
      </c>
      <c r="C15" s="126">
        <v>0</v>
      </c>
      <c r="D15" s="126">
        <v>0</v>
      </c>
      <c r="E15" s="125">
        <v>0</v>
      </c>
      <c r="F15" s="39"/>
      <c r="G15" s="239"/>
      <c r="H15" s="240"/>
      <c r="I15" s="243"/>
      <c r="J15" s="243"/>
      <c r="K15" s="242"/>
    </row>
    <row r="16" spans="1:11" ht="14.4" x14ac:dyDescent="0.3">
      <c r="A16" s="122" t="s">
        <v>24</v>
      </c>
      <c r="B16" s="123">
        <v>0</v>
      </c>
      <c r="C16" s="124">
        <v>0</v>
      </c>
      <c r="D16" s="124">
        <v>0</v>
      </c>
      <c r="E16" s="125">
        <v>0</v>
      </c>
      <c r="F16" s="39"/>
      <c r="G16" s="239"/>
      <c r="H16" s="240"/>
      <c r="I16" s="241"/>
      <c r="J16" s="241"/>
      <c r="K16" s="242"/>
    </row>
    <row r="17" spans="1:13" ht="14.4" x14ac:dyDescent="0.3">
      <c r="A17" s="122" t="s">
        <v>35</v>
      </c>
      <c r="B17" s="123">
        <v>0</v>
      </c>
      <c r="C17" s="124">
        <v>0</v>
      </c>
      <c r="D17" s="124">
        <v>0</v>
      </c>
      <c r="E17" s="125">
        <v>0</v>
      </c>
      <c r="F17" s="39"/>
      <c r="G17" s="239"/>
      <c r="H17" s="240"/>
      <c r="I17" s="241"/>
      <c r="J17" s="241"/>
      <c r="K17" s="242"/>
    </row>
    <row r="18" spans="1:13" ht="14.4" x14ac:dyDescent="0.3">
      <c r="A18" s="122" t="s">
        <v>25</v>
      </c>
      <c r="B18" s="123">
        <v>0</v>
      </c>
      <c r="C18" s="124">
        <v>0</v>
      </c>
      <c r="D18" s="124">
        <v>0</v>
      </c>
      <c r="E18" s="125">
        <v>0</v>
      </c>
      <c r="F18" s="39"/>
      <c r="G18" s="239"/>
      <c r="H18" s="240"/>
      <c r="I18" s="241"/>
      <c r="J18" s="241"/>
      <c r="K18" s="242"/>
    </row>
    <row r="19" spans="1:13" ht="14.4" x14ac:dyDescent="0.3">
      <c r="A19" s="122" t="s">
        <v>26</v>
      </c>
      <c r="B19" s="123">
        <v>0</v>
      </c>
      <c r="C19" s="124">
        <v>0</v>
      </c>
      <c r="D19" s="124">
        <v>0</v>
      </c>
      <c r="E19" s="125">
        <v>0</v>
      </c>
      <c r="F19" s="39"/>
      <c r="G19" s="239"/>
      <c r="H19" s="240"/>
      <c r="I19" s="241"/>
      <c r="J19" s="241"/>
      <c r="K19" s="242"/>
    </row>
    <row r="20" spans="1:13" ht="14.4" x14ac:dyDescent="0.3">
      <c r="A20" s="122" t="s">
        <v>27</v>
      </c>
      <c r="B20" s="123">
        <v>0</v>
      </c>
      <c r="C20" s="124">
        <v>0</v>
      </c>
      <c r="D20" s="124">
        <v>0</v>
      </c>
      <c r="E20" s="125">
        <v>0</v>
      </c>
      <c r="F20" s="39"/>
      <c r="G20" s="239"/>
      <c r="H20" s="240"/>
      <c r="I20" s="241"/>
      <c r="J20" s="241"/>
      <c r="K20" s="242"/>
    </row>
    <row r="21" spans="1:13" ht="14.4" x14ac:dyDescent="0.3">
      <c r="A21" s="128" t="s">
        <v>0</v>
      </c>
      <c r="B21" s="129">
        <f>SUM(B9:B20)</f>
        <v>192</v>
      </c>
      <c r="C21" s="130">
        <f>SUM(C9:C20)</f>
        <v>7887.4800000000014</v>
      </c>
      <c r="D21" s="131">
        <f>SUM(D9:D20)</f>
        <v>262912.15000000002</v>
      </c>
      <c r="E21" s="132">
        <f>SUM(E9:E20)</f>
        <v>70986.180000000008</v>
      </c>
      <c r="F21" s="39"/>
      <c r="G21" s="244"/>
      <c r="H21" s="245"/>
      <c r="I21" s="246"/>
      <c r="J21" s="247"/>
      <c r="K21" s="248"/>
    </row>
    <row r="22" spans="1:13" ht="14.4" x14ac:dyDescent="0.3">
      <c r="A22" s="65" t="s">
        <v>82</v>
      </c>
      <c r="B22" s="41"/>
      <c r="C22" s="41"/>
      <c r="D22" s="41"/>
      <c r="F22" s="39"/>
      <c r="G22" s="249"/>
      <c r="H22" s="41"/>
      <c r="I22" s="1"/>
    </row>
    <row r="23" spans="1:13" ht="14.4" x14ac:dyDescent="0.3">
      <c r="A23" s="41"/>
      <c r="B23" s="41"/>
      <c r="C23" s="41"/>
      <c r="D23" s="41"/>
      <c r="E23" s="41"/>
      <c r="F23" s="39"/>
      <c r="G23" s="41"/>
      <c r="H23" s="41"/>
      <c r="I23" s="41"/>
      <c r="J23" s="41"/>
      <c r="K23" s="41"/>
    </row>
    <row r="24" spans="1:13" ht="14.4" x14ac:dyDescent="0.3">
      <c r="A24" s="42"/>
      <c r="B24" s="41"/>
      <c r="C24" s="43"/>
      <c r="D24" s="80"/>
      <c r="E24" s="41"/>
      <c r="F24" s="39"/>
      <c r="G24" s="42"/>
      <c r="H24" s="41"/>
      <c r="I24" s="41"/>
      <c r="J24" s="41"/>
      <c r="K24" s="41"/>
      <c r="M24" s="37"/>
    </row>
    <row r="25" spans="1:13" x14ac:dyDescent="0.25">
      <c r="A25" s="41"/>
      <c r="B25" s="7" t="s">
        <v>83</v>
      </c>
      <c r="C25" s="230"/>
      <c r="D25" s="231"/>
      <c r="E25" s="232"/>
      <c r="F25" s="232"/>
      <c r="G25" s="4"/>
      <c r="H25" s="7"/>
      <c r="I25" s="230"/>
      <c r="J25" s="231"/>
      <c r="K25" s="177"/>
    </row>
    <row r="26" spans="1:13" x14ac:dyDescent="0.25">
      <c r="A26" s="42"/>
      <c r="B26" s="14"/>
      <c r="C26" s="8" t="s">
        <v>84</v>
      </c>
      <c r="D26" s="1"/>
      <c r="E26" s="5"/>
      <c r="F26" s="5"/>
      <c r="G26" s="4"/>
      <c r="H26" s="14"/>
      <c r="I26" s="8"/>
      <c r="J26" s="1"/>
      <c r="K26" s="166"/>
    </row>
    <row r="27" spans="1:13" x14ac:dyDescent="0.25">
      <c r="A27" s="41"/>
      <c r="B27" s="3"/>
      <c r="C27" s="233" t="s">
        <v>85</v>
      </c>
      <c r="D27" s="1"/>
      <c r="E27" s="2"/>
      <c r="F27" s="2"/>
      <c r="G27" s="1"/>
      <c r="H27" s="3"/>
      <c r="I27" s="233"/>
      <c r="J27" s="1"/>
      <c r="K27" s="166"/>
    </row>
    <row r="28" spans="1:13" ht="14.4" x14ac:dyDescent="0.3">
      <c r="A28" s="39"/>
      <c r="B28" s="39"/>
      <c r="C28" s="44"/>
      <c r="E28" s="39"/>
      <c r="F28" s="41"/>
      <c r="G28" s="39"/>
      <c r="H28" s="39"/>
      <c r="I28" s="41"/>
      <c r="J28" s="41"/>
      <c r="K28" s="39"/>
    </row>
    <row r="29" spans="1:13" ht="14.4" x14ac:dyDescent="0.3">
      <c r="A29" s="39"/>
      <c r="B29" s="39"/>
      <c r="C29" s="41"/>
      <c r="E29" s="39"/>
      <c r="F29" s="45"/>
      <c r="G29" s="39"/>
      <c r="H29" s="39"/>
      <c r="I29" s="41"/>
      <c r="J29" s="41"/>
      <c r="K29" s="39"/>
    </row>
    <row r="30" spans="1:13" ht="14.4" x14ac:dyDescent="0.3">
      <c r="A30" s="46"/>
      <c r="B30" s="39"/>
      <c r="C30" s="41"/>
      <c r="D30" s="37"/>
      <c r="E30" s="39"/>
      <c r="F30" s="42"/>
      <c r="G30" s="46"/>
      <c r="H30" s="39"/>
      <c r="I30" s="41"/>
      <c r="J30" s="41"/>
      <c r="K30" s="39"/>
    </row>
    <row r="31" spans="1:13" ht="14.4" x14ac:dyDescent="0.3">
      <c r="A31" s="44"/>
      <c r="B31" s="39"/>
      <c r="C31" s="44"/>
      <c r="D31" s="44"/>
      <c r="E31" s="44"/>
      <c r="F31" s="39"/>
      <c r="G31" s="39"/>
      <c r="H31" s="39"/>
      <c r="I31" s="39"/>
      <c r="J31" s="39"/>
      <c r="K31" s="39"/>
    </row>
    <row r="32" spans="1:13" ht="14.4" x14ac:dyDescent="0.3">
      <c r="A32" s="39"/>
      <c r="B32" s="39"/>
      <c r="C32" s="39"/>
      <c r="D32" s="39"/>
      <c r="E32" s="39"/>
    </row>
    <row r="33" spans="1:5" ht="14.4" x14ac:dyDescent="0.3">
      <c r="A33" s="39"/>
      <c r="B33" s="39"/>
      <c r="C33" s="39"/>
      <c r="D33" s="39"/>
      <c r="E33" s="39"/>
    </row>
    <row r="34" spans="1:5" ht="14.4" x14ac:dyDescent="0.3">
      <c r="A34" s="39"/>
      <c r="B34" s="39"/>
      <c r="C34" s="39"/>
      <c r="D34" s="39"/>
      <c r="E34" s="39"/>
    </row>
    <row r="35" spans="1:5" ht="14.4" x14ac:dyDescent="0.3">
      <c r="A35" s="41"/>
      <c r="B35" s="39"/>
      <c r="C35" s="39"/>
      <c r="D35" s="39"/>
      <c r="E35" s="39"/>
    </row>
    <row r="36" spans="1:5" x14ac:dyDescent="0.25">
      <c r="A36" s="47"/>
      <c r="B36" s="41"/>
      <c r="C36" s="41"/>
      <c r="D36" s="41"/>
      <c r="E36" s="41"/>
    </row>
    <row r="37" spans="1:5" ht="14.4" x14ac:dyDescent="0.3">
      <c r="A37" s="39"/>
      <c r="B37" s="44"/>
      <c r="C37" s="44"/>
      <c r="D37" s="44"/>
      <c r="E37" s="41"/>
    </row>
    <row r="38" spans="1:5" ht="14.4" x14ac:dyDescent="0.3">
      <c r="A38" s="39"/>
      <c r="B38" s="44"/>
      <c r="C38" s="44"/>
      <c r="D38" s="44"/>
      <c r="E38" s="41"/>
    </row>
    <row r="39" spans="1:5" x14ac:dyDescent="0.25">
      <c r="A39" s="41"/>
      <c r="B39" s="41"/>
      <c r="C39" s="41"/>
      <c r="D39" s="41"/>
      <c r="E39" s="41"/>
    </row>
    <row r="40" spans="1:5" x14ac:dyDescent="0.25">
      <c r="A40" s="41"/>
      <c r="B40" s="41"/>
      <c r="C40" s="41"/>
      <c r="D40" s="41"/>
      <c r="E40" s="41"/>
    </row>
    <row r="41" spans="1:5" x14ac:dyDescent="0.25">
      <c r="A41" s="41"/>
      <c r="B41" s="41"/>
      <c r="C41" s="41"/>
      <c r="D41" s="41"/>
      <c r="E41" s="41"/>
    </row>
    <row r="42" spans="1:5" x14ac:dyDescent="0.25">
      <c r="A42" s="41"/>
      <c r="B42" s="41"/>
      <c r="C42" s="41"/>
      <c r="D42" s="41"/>
      <c r="E42" s="41"/>
    </row>
    <row r="43" spans="1:5" x14ac:dyDescent="0.25">
      <c r="A43" s="41"/>
      <c r="B43" s="41"/>
      <c r="C43" s="41"/>
      <c r="D43" s="41"/>
      <c r="E43" s="41"/>
    </row>
    <row r="44" spans="1:5" x14ac:dyDescent="0.25">
      <c r="A44" s="41"/>
      <c r="B44" s="41"/>
      <c r="C44" s="41"/>
      <c r="D44" s="41"/>
      <c r="E44" s="41"/>
    </row>
    <row r="45" spans="1:5" x14ac:dyDescent="0.25">
      <c r="A45" s="41"/>
      <c r="B45" s="41"/>
      <c r="C45" s="41"/>
      <c r="D45" s="41"/>
      <c r="E45" s="41"/>
    </row>
    <row r="46" spans="1:5" x14ac:dyDescent="0.25">
      <c r="A46" s="41"/>
      <c r="B46" s="41"/>
      <c r="C46" s="41"/>
      <c r="D46" s="41"/>
      <c r="E46" s="41"/>
    </row>
    <row r="47" spans="1:5" x14ac:dyDescent="0.25">
      <c r="A47" s="41"/>
      <c r="B47" s="41"/>
      <c r="C47" s="41"/>
      <c r="D47" s="41"/>
      <c r="E47" s="41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10" zoomScaleNormal="100" workbookViewId="0">
      <selection activeCell="C14" sqref="C14"/>
    </sheetView>
  </sheetViews>
  <sheetFormatPr baseColWidth="10" defaultRowHeight="13.2" x14ac:dyDescent="0.25"/>
  <cols>
    <col min="1" max="1" width="11.5546875" customWidth="1"/>
    <col min="2" max="2" width="12.109375" customWidth="1"/>
    <col min="3" max="3" width="10.109375" customWidth="1"/>
    <col min="4" max="4" width="12" customWidth="1"/>
    <col min="5" max="5" width="12.33203125" customWidth="1"/>
    <col min="6" max="6" width="2.33203125" customWidth="1"/>
    <col min="7" max="7" width="11.33203125" customWidth="1"/>
    <col min="8" max="8" width="12.33203125" customWidth="1"/>
    <col min="9" max="9" width="10.44140625" customWidth="1"/>
    <col min="10" max="10" width="15.44140625" customWidth="1"/>
    <col min="11" max="11" width="15.88671875" customWidth="1"/>
  </cols>
  <sheetData>
    <row r="1" spans="1:14" x14ac:dyDescent="0.25">
      <c r="K1" s="15"/>
    </row>
    <row r="4" spans="1:14" x14ac:dyDescent="0.25">
      <c r="A4" s="304" t="s">
        <v>36</v>
      </c>
      <c r="B4" s="304"/>
      <c r="C4" s="304"/>
      <c r="D4" s="304"/>
      <c r="E4" s="304"/>
      <c r="F4" s="1"/>
      <c r="G4" s="304"/>
      <c r="H4" s="304"/>
      <c r="I4" s="304"/>
      <c r="J4" s="304"/>
      <c r="K4" s="304"/>
    </row>
    <row r="5" spans="1:14" x14ac:dyDescent="0.25">
      <c r="A5" s="304" t="s">
        <v>92</v>
      </c>
      <c r="B5" s="304"/>
      <c r="C5" s="304"/>
      <c r="D5" s="304"/>
      <c r="E5" s="304"/>
      <c r="F5" s="1"/>
      <c r="G5" s="304"/>
      <c r="H5" s="304"/>
      <c r="I5" s="304"/>
      <c r="J5" s="304"/>
      <c r="K5" s="304"/>
    </row>
    <row r="6" spans="1:14" x14ac:dyDescent="0.25">
      <c r="A6" s="38"/>
      <c r="B6" s="38"/>
      <c r="C6" s="38"/>
      <c r="D6" s="38"/>
      <c r="E6" s="38"/>
      <c r="F6" s="1"/>
      <c r="G6" s="38"/>
      <c r="H6" s="38"/>
      <c r="I6" s="38"/>
      <c r="J6" s="38"/>
      <c r="K6" s="38"/>
    </row>
    <row r="7" spans="1:14" ht="12.75" customHeight="1" x14ac:dyDescent="0.25">
      <c r="A7" s="18"/>
      <c r="B7" s="298" t="str">
        <f>'2. COMPR DEV 30%'!B7:E7</f>
        <v>DEL 01 DE ENERO AL 31 DE DICIEMBRE DEL AÑO 2024</v>
      </c>
      <c r="C7" s="299"/>
      <c r="D7" s="299"/>
      <c r="E7" s="300"/>
      <c r="G7" s="1"/>
      <c r="H7" s="305"/>
      <c r="I7" s="305"/>
      <c r="J7" s="305"/>
      <c r="K7" s="305"/>
    </row>
    <row r="8" spans="1:14" ht="38.4" x14ac:dyDescent="0.25">
      <c r="A8" s="28" t="s">
        <v>30</v>
      </c>
      <c r="B8" s="19" t="s">
        <v>31</v>
      </c>
      <c r="C8" s="20" t="s">
        <v>32</v>
      </c>
      <c r="D8" s="73" t="s">
        <v>33</v>
      </c>
      <c r="E8" s="21" t="s">
        <v>34</v>
      </c>
      <c r="G8" s="165"/>
      <c r="H8" s="238"/>
      <c r="I8" s="165"/>
      <c r="J8" s="165"/>
      <c r="K8" s="165"/>
    </row>
    <row r="9" spans="1:14" x14ac:dyDescent="0.25">
      <c r="A9" s="133" t="s">
        <v>17</v>
      </c>
      <c r="B9" s="134">
        <f>3+22+21+29+24</f>
        <v>99</v>
      </c>
      <c r="C9" s="135">
        <f>1.51+66.03+120.96+40.96+15.4</f>
        <v>244.86</v>
      </c>
      <c r="D9" s="135">
        <v>120604.11</v>
      </c>
      <c r="E9" s="135">
        <f>3594.79+23733.62+41539.36+25879.53+19185</f>
        <v>113932.3</v>
      </c>
      <c r="G9" s="250"/>
      <c r="H9" s="251"/>
      <c r="I9" s="252"/>
      <c r="J9" s="252"/>
      <c r="K9" s="252"/>
      <c r="L9" s="37"/>
      <c r="M9" s="37"/>
    </row>
    <row r="10" spans="1:14" x14ac:dyDescent="0.25">
      <c r="A10" s="133" t="s">
        <v>18</v>
      </c>
      <c r="B10" s="134">
        <v>87</v>
      </c>
      <c r="C10" s="135">
        <v>126.76</v>
      </c>
      <c r="D10" s="135">
        <v>76116.3</v>
      </c>
      <c r="E10" s="135">
        <v>70491.03</v>
      </c>
      <c r="G10" s="250"/>
      <c r="H10" s="251"/>
      <c r="I10" s="252"/>
      <c r="J10" s="252"/>
      <c r="K10" s="252"/>
      <c r="L10" s="10"/>
      <c r="M10" s="10"/>
    </row>
    <row r="11" spans="1:14" ht="14.4" x14ac:dyDescent="0.3">
      <c r="A11" s="133" t="s">
        <v>19</v>
      </c>
      <c r="B11" s="134">
        <v>58</v>
      </c>
      <c r="C11" s="262">
        <v>58.24</v>
      </c>
      <c r="D11" s="262">
        <v>59980.23</v>
      </c>
      <c r="E11" s="262">
        <v>54580.81</v>
      </c>
      <c r="G11" s="250"/>
      <c r="H11" s="251"/>
      <c r="I11" s="252"/>
      <c r="J11" s="252"/>
      <c r="K11" s="252"/>
      <c r="L11" s="49"/>
      <c r="M11" s="50"/>
    </row>
    <row r="12" spans="1:14" ht="14.4" x14ac:dyDescent="0.3">
      <c r="A12" s="133" t="s">
        <v>20</v>
      </c>
      <c r="B12" s="134">
        <v>74</v>
      </c>
      <c r="C12" s="265">
        <v>70.23</v>
      </c>
      <c r="D12" s="265">
        <v>65122.23000000001</v>
      </c>
      <c r="E12" s="264">
        <v>56830.760000000024</v>
      </c>
      <c r="G12" s="250"/>
      <c r="H12" s="251"/>
      <c r="I12" s="252"/>
      <c r="J12" s="252"/>
      <c r="K12" s="252"/>
      <c r="L12" s="50"/>
      <c r="M12" s="51"/>
    </row>
    <row r="13" spans="1:14" ht="14.4" x14ac:dyDescent="0.3">
      <c r="A13" s="133" t="s">
        <v>21</v>
      </c>
      <c r="B13" s="134">
        <v>89</v>
      </c>
      <c r="C13" s="267">
        <v>101.83000000000001</v>
      </c>
      <c r="D13" s="266">
        <v>88444.89</v>
      </c>
      <c r="E13" s="266">
        <v>78931.77</v>
      </c>
      <c r="G13" s="250"/>
      <c r="H13" s="251"/>
      <c r="I13" s="252"/>
      <c r="J13" s="252"/>
      <c r="K13" s="252"/>
      <c r="L13" s="37"/>
      <c r="M13" s="50"/>
    </row>
    <row r="14" spans="1:14" ht="14.4" x14ac:dyDescent="0.3">
      <c r="A14" s="133" t="s">
        <v>22</v>
      </c>
      <c r="B14" s="134">
        <v>47</v>
      </c>
      <c r="C14" s="135">
        <v>34.590000000000003</v>
      </c>
      <c r="D14" s="272">
        <v>41519.549999999996</v>
      </c>
      <c r="E14" s="272">
        <v>37991.050000000003</v>
      </c>
      <c r="G14" s="250"/>
      <c r="H14" s="251"/>
      <c r="I14" s="252"/>
      <c r="J14" s="252"/>
      <c r="K14" s="252"/>
      <c r="L14" s="50"/>
      <c r="N14" s="37"/>
    </row>
    <row r="15" spans="1:14" x14ac:dyDescent="0.25">
      <c r="A15" s="136" t="s">
        <v>23</v>
      </c>
      <c r="B15" s="134">
        <v>0</v>
      </c>
      <c r="C15" s="135">
        <v>0</v>
      </c>
      <c r="D15" s="135">
        <v>0</v>
      </c>
      <c r="E15" s="135">
        <v>0</v>
      </c>
      <c r="G15" s="250"/>
      <c r="H15" s="251"/>
      <c r="I15" s="252"/>
      <c r="J15" s="252"/>
      <c r="K15" s="252"/>
      <c r="L15" s="37"/>
      <c r="N15" s="37"/>
    </row>
    <row r="16" spans="1:14" x14ac:dyDescent="0.25">
      <c r="A16" s="133" t="s">
        <v>24</v>
      </c>
      <c r="B16" s="134">
        <v>0</v>
      </c>
      <c r="C16" s="135">
        <v>0</v>
      </c>
      <c r="D16" s="135">
        <v>0</v>
      </c>
      <c r="E16" s="135">
        <v>0</v>
      </c>
      <c r="G16" s="250"/>
      <c r="H16" s="251"/>
      <c r="I16" s="252"/>
      <c r="J16" s="252"/>
      <c r="K16" s="252"/>
      <c r="L16" s="52"/>
      <c r="M16" s="10"/>
      <c r="N16" s="37"/>
    </row>
    <row r="17" spans="1:14" x14ac:dyDescent="0.25">
      <c r="A17" s="133" t="s">
        <v>35</v>
      </c>
      <c r="B17" s="134">
        <v>0</v>
      </c>
      <c r="C17" s="135">
        <v>0</v>
      </c>
      <c r="D17" s="135">
        <v>0</v>
      </c>
      <c r="E17" s="135">
        <v>0</v>
      </c>
      <c r="G17" s="250"/>
      <c r="H17" s="251"/>
      <c r="I17" s="252"/>
      <c r="J17" s="252"/>
      <c r="K17" s="252"/>
      <c r="L17" s="50"/>
      <c r="M17" s="10"/>
      <c r="N17" s="37"/>
    </row>
    <row r="18" spans="1:14" x14ac:dyDescent="0.25">
      <c r="A18" s="133" t="s">
        <v>25</v>
      </c>
      <c r="B18" s="134">
        <v>0</v>
      </c>
      <c r="C18" s="135">
        <v>0</v>
      </c>
      <c r="D18" s="135">
        <v>0</v>
      </c>
      <c r="E18" s="135">
        <v>0</v>
      </c>
      <c r="G18" s="250"/>
      <c r="H18" s="251"/>
      <c r="I18" s="253"/>
      <c r="J18" s="253"/>
      <c r="K18" s="253"/>
      <c r="L18" s="50"/>
      <c r="M18" s="53"/>
      <c r="N18" s="37"/>
    </row>
    <row r="19" spans="1:14" x14ac:dyDescent="0.25">
      <c r="A19" s="133" t="s">
        <v>26</v>
      </c>
      <c r="B19" s="134">
        <v>0</v>
      </c>
      <c r="C19" s="135">
        <v>0</v>
      </c>
      <c r="D19" s="135">
        <v>0</v>
      </c>
      <c r="E19" s="135">
        <v>0</v>
      </c>
      <c r="G19" s="250"/>
      <c r="H19" s="251"/>
      <c r="I19" s="252"/>
      <c r="J19" s="252"/>
      <c r="K19" s="252"/>
      <c r="L19" s="53"/>
      <c r="M19" s="10"/>
      <c r="N19" s="37"/>
    </row>
    <row r="20" spans="1:14" x14ac:dyDescent="0.25">
      <c r="A20" s="133" t="s">
        <v>27</v>
      </c>
      <c r="B20" s="134">
        <v>0</v>
      </c>
      <c r="C20" s="135">
        <v>0</v>
      </c>
      <c r="D20" s="135">
        <v>0</v>
      </c>
      <c r="E20" s="135">
        <v>0</v>
      </c>
      <c r="G20" s="250"/>
      <c r="H20" s="251"/>
      <c r="I20" s="252"/>
      <c r="J20" s="252"/>
      <c r="K20" s="252"/>
      <c r="L20" s="37"/>
      <c r="M20" s="50"/>
      <c r="N20" s="37"/>
    </row>
    <row r="21" spans="1:14" x14ac:dyDescent="0.25">
      <c r="A21" s="26" t="s">
        <v>0</v>
      </c>
      <c r="B21" s="54">
        <f>SUM(B9:B20)</f>
        <v>454</v>
      </c>
      <c r="C21" s="81">
        <f>SUM(C9:C20)</f>
        <v>636.5100000000001</v>
      </c>
      <c r="D21" s="81">
        <f>SUM(D9:D20)</f>
        <v>451787.31</v>
      </c>
      <c r="E21" s="81">
        <f>SUM(E9:E20)</f>
        <v>412757.72000000003</v>
      </c>
      <c r="G21" s="2"/>
      <c r="H21" s="236"/>
      <c r="I21" s="254"/>
      <c r="J21" s="254"/>
      <c r="K21" s="254"/>
      <c r="L21" s="10"/>
      <c r="M21" s="10"/>
      <c r="N21" s="37"/>
    </row>
    <row r="22" spans="1:14" x14ac:dyDescent="0.25">
      <c r="A22" s="64" t="s">
        <v>82</v>
      </c>
      <c r="B22" s="1"/>
      <c r="C22" s="1"/>
      <c r="D22" s="1"/>
      <c r="E22" s="6"/>
      <c r="G22" s="255"/>
      <c r="H22" s="1"/>
      <c r="I22" s="1"/>
      <c r="J22" s="1"/>
    </row>
    <row r="23" spans="1:14" x14ac:dyDescent="0.25">
      <c r="A23" s="63"/>
      <c r="B23" s="13"/>
    </row>
    <row r="24" spans="1:14" x14ac:dyDescent="0.25">
      <c r="A24" s="63"/>
      <c r="B24" s="1"/>
      <c r="C24" s="1"/>
      <c r="D24" s="1"/>
      <c r="E24" s="1"/>
      <c r="F24" s="1"/>
    </row>
    <row r="25" spans="1:14" x14ac:dyDescent="0.25">
      <c r="A25" s="63"/>
      <c r="B25" s="14"/>
      <c r="C25" s="1"/>
      <c r="D25" s="1"/>
      <c r="E25" s="1"/>
      <c r="F25" s="1"/>
    </row>
    <row r="26" spans="1:14" x14ac:dyDescent="0.25">
      <c r="A26" s="4"/>
      <c r="B26" s="15"/>
      <c r="C26" s="1"/>
      <c r="D26" s="1"/>
      <c r="F26" s="1"/>
      <c r="J26" s="1"/>
    </row>
    <row r="27" spans="1:14" x14ac:dyDescent="0.25">
      <c r="A27" s="4"/>
      <c r="B27" s="15"/>
      <c r="C27" s="229"/>
      <c r="D27" s="229"/>
      <c r="E27" s="229"/>
      <c r="F27" s="1"/>
    </row>
    <row r="28" spans="1:14" x14ac:dyDescent="0.25">
      <c r="A28" s="4"/>
      <c r="B28" s="7" t="s">
        <v>83</v>
      </c>
      <c r="C28" s="230"/>
      <c r="D28" s="231"/>
      <c r="E28" s="232"/>
      <c r="F28" s="232"/>
      <c r="G28" s="4"/>
      <c r="H28" s="7"/>
      <c r="I28" s="230"/>
      <c r="J28" s="231"/>
      <c r="K28" s="177"/>
    </row>
    <row r="29" spans="1:14" x14ac:dyDescent="0.25">
      <c r="A29" s="4"/>
      <c r="B29" s="14"/>
      <c r="C29" s="8" t="s">
        <v>84</v>
      </c>
      <c r="D29" s="1"/>
      <c r="E29" s="5"/>
      <c r="F29" s="5"/>
      <c r="G29" s="4"/>
      <c r="H29" s="14"/>
      <c r="I29" s="8"/>
      <c r="J29" s="1"/>
      <c r="K29" s="166"/>
    </row>
    <row r="30" spans="1:14" x14ac:dyDescent="0.25">
      <c r="A30" s="4"/>
      <c r="B30" s="3"/>
      <c r="C30" s="233" t="s">
        <v>85</v>
      </c>
      <c r="D30" s="1"/>
      <c r="E30" s="2"/>
      <c r="F30" s="2"/>
      <c r="G30" s="1"/>
      <c r="H30" s="3"/>
      <c r="I30" s="233"/>
      <c r="J30" s="1"/>
      <c r="K30" s="166"/>
    </row>
    <row r="31" spans="1:14" x14ac:dyDescent="0.25">
      <c r="A31" s="55"/>
      <c r="B31" s="9"/>
      <c r="C31" s="9"/>
      <c r="F31" s="1"/>
    </row>
    <row r="32" spans="1:14" x14ac:dyDescent="0.25">
      <c r="A32" s="9"/>
      <c r="B32" s="4"/>
      <c r="F32" s="1"/>
      <c r="H32" s="1"/>
      <c r="I32" s="1"/>
    </row>
    <row r="33" spans="1:9" x14ac:dyDescent="0.25">
      <c r="A33" s="23"/>
      <c r="B33" s="1"/>
      <c r="C33" s="1"/>
      <c r="D33" s="1"/>
      <c r="E33" s="1"/>
      <c r="F33" s="1"/>
      <c r="H33" s="1"/>
      <c r="I33" s="1"/>
    </row>
    <row r="34" spans="1:9" x14ac:dyDescent="0.25">
      <c r="B34" s="3"/>
      <c r="C34" s="3"/>
      <c r="D34" s="3"/>
      <c r="E34" s="1"/>
      <c r="F34" s="1"/>
      <c r="H34" s="1"/>
      <c r="I34" s="1"/>
    </row>
    <row r="35" spans="1:9" x14ac:dyDescent="0.25">
      <c r="B35" s="3"/>
      <c r="C35" s="3"/>
      <c r="D35" s="3"/>
      <c r="E35" s="1"/>
      <c r="F35" s="1"/>
    </row>
    <row r="36" spans="1:9" x14ac:dyDescent="0.25">
      <c r="A36" s="1"/>
      <c r="B36" s="1"/>
      <c r="C36" s="1"/>
      <c r="D36" s="1"/>
      <c r="E36" s="1"/>
      <c r="F36" s="1"/>
    </row>
    <row r="37" spans="1:9" x14ac:dyDescent="0.25">
      <c r="A37" s="1"/>
      <c r="B37" s="1"/>
      <c r="C37" s="1"/>
      <c r="D37" s="1"/>
      <c r="E37" s="1"/>
      <c r="F37" s="1"/>
    </row>
    <row r="38" spans="1:9" x14ac:dyDescent="0.25">
      <c r="A38" s="1"/>
      <c r="B38" s="1"/>
      <c r="C38" s="1"/>
      <c r="D38" s="1"/>
      <c r="E38" s="1"/>
      <c r="F38" s="1"/>
    </row>
    <row r="39" spans="1:9" x14ac:dyDescent="0.25">
      <c r="A39" s="1"/>
      <c r="B39" s="1"/>
      <c r="C39" s="1"/>
      <c r="D39" s="1"/>
      <c r="E39" s="1"/>
      <c r="F39" s="1"/>
    </row>
    <row r="40" spans="1:9" x14ac:dyDescent="0.25">
      <c r="A40" s="1"/>
      <c r="B40" s="1"/>
      <c r="C40" s="1"/>
      <c r="D40" s="1"/>
      <c r="E40" s="1"/>
      <c r="F40" s="1"/>
    </row>
    <row r="41" spans="1:9" x14ac:dyDescent="0.25">
      <c r="A41" s="1"/>
      <c r="B41" s="1"/>
      <c r="C41" s="1"/>
      <c r="D41" s="1"/>
      <c r="E41" s="1"/>
      <c r="F41" s="1"/>
    </row>
    <row r="42" spans="1:9" x14ac:dyDescent="0.25">
      <c r="A42" s="1"/>
      <c r="B42" s="1"/>
      <c r="C42" s="1"/>
      <c r="D42" s="1"/>
      <c r="E42" s="1"/>
      <c r="F42" s="1"/>
    </row>
    <row r="43" spans="1:9" x14ac:dyDescent="0.25">
      <c r="A43" s="1"/>
      <c r="B43" s="1"/>
      <c r="C43" s="1"/>
      <c r="D43" s="1"/>
      <c r="E43" s="1"/>
      <c r="F43" s="1"/>
    </row>
    <row r="44" spans="1:9" x14ac:dyDescent="0.25">
      <c r="A44" s="1"/>
      <c r="B44" s="1"/>
      <c r="C44" s="1"/>
      <c r="D44" s="1"/>
      <c r="E44" s="1"/>
      <c r="F44" s="1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13" workbookViewId="0">
      <selection activeCell="B17" sqref="B17"/>
    </sheetView>
  </sheetViews>
  <sheetFormatPr baseColWidth="10" defaultRowHeight="13.2" x14ac:dyDescent="0.25"/>
  <cols>
    <col min="1" max="1" width="1.5546875" customWidth="1"/>
    <col min="2" max="2" width="11.109375" customWidth="1"/>
    <col min="3" max="3" width="9.44140625" customWidth="1"/>
    <col min="4" max="4" width="10.5546875" customWidth="1"/>
    <col min="5" max="5" width="15.109375" customWidth="1"/>
    <col min="6" max="6" width="14.88671875" customWidth="1"/>
    <col min="7" max="7" width="3.88671875" customWidth="1"/>
    <col min="8" max="8" width="11.44140625" customWidth="1"/>
    <col min="9" max="9" width="8.88671875" customWidth="1"/>
    <col min="10" max="10" width="10.44140625" customWidth="1"/>
    <col min="11" max="12" width="14.109375" customWidth="1"/>
    <col min="13" max="14" width="12.33203125" bestFit="1" customWidth="1"/>
  </cols>
  <sheetData>
    <row r="3" spans="2:15" x14ac:dyDescent="0.25">
      <c r="L3" s="15"/>
    </row>
    <row r="5" spans="2:15" x14ac:dyDescent="0.25">
      <c r="B5" s="16"/>
    </row>
    <row r="6" spans="2:15" x14ac:dyDescent="0.25">
      <c r="B6" s="17"/>
      <c r="C6" s="17"/>
      <c r="D6" s="17"/>
      <c r="E6" s="17"/>
    </row>
    <row r="7" spans="2:15" x14ac:dyDescent="0.25">
      <c r="B7" s="17"/>
      <c r="C7" s="17"/>
      <c r="D7" s="17"/>
      <c r="E7" s="17"/>
    </row>
    <row r="8" spans="2:15" x14ac:dyDescent="0.25">
      <c r="B8" s="304" t="s">
        <v>37</v>
      </c>
      <c r="C8" s="304"/>
      <c r="D8" s="304"/>
      <c r="E8" s="304"/>
      <c r="F8" s="304"/>
      <c r="G8" s="1"/>
      <c r="H8" s="304"/>
      <c r="I8" s="304"/>
      <c r="J8" s="304"/>
      <c r="K8" s="304"/>
      <c r="L8" s="304"/>
    </row>
    <row r="9" spans="2:15" x14ac:dyDescent="0.25">
      <c r="B9" s="306" t="s">
        <v>93</v>
      </c>
      <c r="C9" s="306"/>
      <c r="D9" s="306"/>
      <c r="E9" s="306"/>
      <c r="F9" s="306"/>
      <c r="G9" s="1"/>
      <c r="H9" s="306"/>
      <c r="I9" s="306"/>
      <c r="J9" s="306"/>
      <c r="K9" s="306"/>
      <c r="L9" s="306"/>
    </row>
    <row r="10" spans="2:15" ht="12.75" customHeight="1" x14ac:dyDescent="0.25">
      <c r="B10" s="18"/>
      <c r="C10" s="298" t="s">
        <v>90</v>
      </c>
      <c r="D10" s="299"/>
      <c r="E10" s="299"/>
      <c r="F10" s="300"/>
      <c r="H10" s="1"/>
      <c r="I10" s="305"/>
      <c r="J10" s="305"/>
      <c r="K10" s="305"/>
      <c r="L10" s="305"/>
    </row>
    <row r="11" spans="2:15" ht="48" x14ac:dyDescent="0.25">
      <c r="B11" s="28" t="s">
        <v>30</v>
      </c>
      <c r="C11" s="35" t="s">
        <v>41</v>
      </c>
      <c r="D11" s="30" t="s">
        <v>32</v>
      </c>
      <c r="E11" s="225" t="s">
        <v>33</v>
      </c>
      <c r="F11" s="227" t="s">
        <v>38</v>
      </c>
      <c r="H11" s="165"/>
      <c r="I11" s="238"/>
      <c r="J11" s="165"/>
      <c r="K11" s="165"/>
      <c r="L11" s="165"/>
      <c r="N11" s="165"/>
    </row>
    <row r="12" spans="2:15" x14ac:dyDescent="0.25">
      <c r="B12" s="24" t="s">
        <v>17</v>
      </c>
      <c r="C12" s="33">
        <f>9+10+28+11+7</f>
        <v>65</v>
      </c>
      <c r="D12" s="135">
        <f>52+105.26+265.77+56.99+60.11</f>
        <v>540.13</v>
      </c>
      <c r="E12" s="135">
        <f>9765.6+27443.4+49363.75+10858.8+10827.6</f>
        <v>108259.15000000001</v>
      </c>
      <c r="F12" s="135">
        <f>10233.72+29609.04+52305.7+11371.61+11368.48</f>
        <v>114888.54999999999</v>
      </c>
      <c r="H12" s="250"/>
      <c r="I12" s="15"/>
      <c r="J12" s="252"/>
      <c r="K12" s="252"/>
      <c r="L12" s="252"/>
      <c r="M12" s="66"/>
      <c r="O12" s="37"/>
    </row>
    <row r="13" spans="2:15" x14ac:dyDescent="0.25">
      <c r="B13" s="24" t="s">
        <v>18</v>
      </c>
      <c r="C13" s="33">
        <v>58</v>
      </c>
      <c r="D13" s="31">
        <v>703.08</v>
      </c>
      <c r="E13" s="226">
        <v>124598.99</v>
      </c>
      <c r="F13" s="228">
        <v>131297</v>
      </c>
      <c r="H13" s="250"/>
      <c r="I13" s="15"/>
      <c r="J13" s="229"/>
      <c r="K13" s="229"/>
      <c r="L13" s="229"/>
      <c r="M13" s="66"/>
      <c r="N13" s="50"/>
      <c r="O13" s="37"/>
    </row>
    <row r="14" spans="2:15" ht="14.4" x14ac:dyDescent="0.3">
      <c r="B14" s="24" t="s">
        <v>19</v>
      </c>
      <c r="C14" s="33">
        <v>86</v>
      </c>
      <c r="D14" s="268">
        <v>710.46999999999991</v>
      </c>
      <c r="E14" s="269">
        <v>133805.52000000002</v>
      </c>
      <c r="F14" s="263">
        <v>140432.50999999998</v>
      </c>
      <c r="H14" s="250"/>
      <c r="I14" s="15"/>
      <c r="J14" s="229"/>
      <c r="K14" s="229"/>
      <c r="L14" s="229"/>
      <c r="M14" s="66"/>
      <c r="N14" s="49"/>
      <c r="O14" s="10"/>
    </row>
    <row r="15" spans="2:15" ht="14.4" x14ac:dyDescent="0.3">
      <c r="B15" s="24" t="s">
        <v>20</v>
      </c>
      <c r="C15" s="33">
        <v>92</v>
      </c>
      <c r="D15" s="265">
        <v>840.86000000000013</v>
      </c>
      <c r="E15" s="265">
        <v>152647.80000000002</v>
      </c>
      <c r="F15" s="270">
        <v>160302.07999999999</v>
      </c>
      <c r="H15" s="250"/>
      <c r="I15" s="15"/>
      <c r="J15" s="229"/>
      <c r="K15" s="229"/>
      <c r="L15" s="229"/>
      <c r="M15" s="56"/>
      <c r="O15" s="10"/>
    </row>
    <row r="16" spans="2:15" ht="14.4" x14ac:dyDescent="0.3">
      <c r="B16" s="24" t="s">
        <v>21</v>
      </c>
      <c r="C16" s="33">
        <v>85</v>
      </c>
      <c r="D16" s="267">
        <v>896.74000000000012</v>
      </c>
      <c r="E16" s="267">
        <v>158461.85999999999</v>
      </c>
      <c r="F16" s="267">
        <v>166531.91000000003</v>
      </c>
      <c r="H16" s="250"/>
      <c r="I16" s="15"/>
      <c r="J16" s="229"/>
      <c r="K16" s="229"/>
      <c r="L16" s="229"/>
      <c r="M16" s="50"/>
      <c r="N16" s="49"/>
      <c r="O16" s="10"/>
    </row>
    <row r="17" spans="1:16" ht="14.4" x14ac:dyDescent="0.3">
      <c r="B17" s="24" t="s">
        <v>22</v>
      </c>
      <c r="C17" s="33">
        <v>46</v>
      </c>
      <c r="D17" s="273">
        <v>510.67999999999995</v>
      </c>
      <c r="E17" s="273">
        <v>88607.98</v>
      </c>
      <c r="F17" s="273">
        <v>93203.660000000033</v>
      </c>
      <c r="H17" s="250"/>
      <c r="I17" s="15"/>
      <c r="J17" s="229"/>
      <c r="K17" s="229"/>
      <c r="L17" s="229"/>
      <c r="M17" s="50"/>
      <c r="N17" s="49"/>
      <c r="O17" s="10"/>
    </row>
    <row r="18" spans="1:16" x14ac:dyDescent="0.25">
      <c r="B18" s="22" t="s">
        <v>39</v>
      </c>
      <c r="C18" s="33">
        <v>0</v>
      </c>
      <c r="D18" s="31">
        <v>0</v>
      </c>
      <c r="E18" s="31">
        <v>0</v>
      </c>
      <c r="F18" s="25">
        <v>0</v>
      </c>
      <c r="G18" s="256"/>
      <c r="H18" s="250"/>
      <c r="I18" s="15"/>
      <c r="J18" s="229"/>
      <c r="K18" s="229"/>
      <c r="L18" s="229"/>
      <c r="M18" s="37"/>
      <c r="N18" s="49"/>
      <c r="O18" s="37"/>
    </row>
    <row r="19" spans="1:16" x14ac:dyDescent="0.25">
      <c r="B19" s="48" t="s">
        <v>24</v>
      </c>
      <c r="C19" s="33">
        <v>0</v>
      </c>
      <c r="D19" s="31">
        <v>0</v>
      </c>
      <c r="E19" s="31">
        <v>0</v>
      </c>
      <c r="F19" s="25">
        <v>0</v>
      </c>
      <c r="H19" s="250"/>
      <c r="I19" s="15"/>
      <c r="J19" s="229"/>
      <c r="K19" s="229"/>
      <c r="L19" s="229"/>
      <c r="M19" s="37"/>
      <c r="N19" s="10"/>
      <c r="O19" s="10"/>
    </row>
    <row r="20" spans="1:16" x14ac:dyDescent="0.25">
      <c r="B20" s="48" t="s">
        <v>35</v>
      </c>
      <c r="C20" s="33">
        <v>0</v>
      </c>
      <c r="D20" s="31">
        <v>0</v>
      </c>
      <c r="E20" s="31">
        <v>0</v>
      </c>
      <c r="F20" s="25">
        <v>0</v>
      </c>
      <c r="H20" s="250"/>
      <c r="I20" s="15"/>
      <c r="J20" s="229"/>
      <c r="K20" s="229"/>
      <c r="L20" s="229"/>
      <c r="M20" s="57"/>
      <c r="N20" s="52"/>
      <c r="O20" s="50"/>
      <c r="P20" s="10"/>
    </row>
    <row r="21" spans="1:16" x14ac:dyDescent="0.25">
      <c r="B21" s="24" t="s">
        <v>25</v>
      </c>
      <c r="C21" s="33">
        <v>0</v>
      </c>
      <c r="D21" s="31">
        <v>0</v>
      </c>
      <c r="E21" s="31">
        <v>0</v>
      </c>
      <c r="F21" s="25">
        <v>0</v>
      </c>
      <c r="H21" s="250"/>
      <c r="I21" s="15"/>
      <c r="J21" s="229"/>
      <c r="K21" s="229"/>
      <c r="L21" s="229"/>
      <c r="M21" s="50"/>
      <c r="N21" s="37"/>
      <c r="O21" s="10"/>
    </row>
    <row r="22" spans="1:16" x14ac:dyDescent="0.25">
      <c r="B22" s="24" t="s">
        <v>26</v>
      </c>
      <c r="C22" s="33">
        <v>0</v>
      </c>
      <c r="D22" s="31">
        <v>0</v>
      </c>
      <c r="E22" s="31">
        <v>0</v>
      </c>
      <c r="F22" s="25">
        <v>0</v>
      </c>
      <c r="H22" s="250"/>
      <c r="I22" s="15"/>
      <c r="J22" s="229"/>
      <c r="K22" s="229"/>
      <c r="L22" s="229"/>
      <c r="M22" s="58"/>
      <c r="N22" s="59"/>
      <c r="O22" s="10"/>
      <c r="P22" s="1"/>
    </row>
    <row r="23" spans="1:16" x14ac:dyDescent="0.25">
      <c r="B23" s="24" t="s">
        <v>27</v>
      </c>
      <c r="C23" s="33">
        <v>0</v>
      </c>
      <c r="D23" s="31">
        <v>0</v>
      </c>
      <c r="E23" s="31">
        <v>0</v>
      </c>
      <c r="F23" s="25">
        <v>0</v>
      </c>
      <c r="H23" s="250"/>
      <c r="I23" s="15"/>
      <c r="J23" s="229"/>
      <c r="K23" s="229"/>
      <c r="L23" s="229"/>
      <c r="M23" s="50"/>
      <c r="N23" s="10"/>
      <c r="O23" s="10"/>
    </row>
    <row r="24" spans="1:16" x14ac:dyDescent="0.25">
      <c r="B24" s="26" t="s">
        <v>0</v>
      </c>
      <c r="C24" s="34">
        <f>SUM(C12:C23)</f>
        <v>432</v>
      </c>
      <c r="D24" s="32">
        <f>SUM(D12:D23)</f>
        <v>4201.96</v>
      </c>
      <c r="E24" s="60">
        <f>SUM(E12:E23)</f>
        <v>766381.3</v>
      </c>
      <c r="F24" s="27">
        <f>SUM(F12:F23)</f>
        <v>806655.71</v>
      </c>
      <c r="H24" s="2"/>
      <c r="I24" s="236"/>
      <c r="J24" s="257"/>
      <c r="K24" s="257"/>
      <c r="L24" s="257"/>
      <c r="M24" s="37"/>
      <c r="N24" s="61"/>
      <c r="O24" s="10"/>
    </row>
    <row r="25" spans="1:16" x14ac:dyDescent="0.25">
      <c r="B25" s="164" t="s">
        <v>82</v>
      </c>
      <c r="I25" s="4"/>
      <c r="J25" s="1"/>
      <c r="L25" s="7"/>
      <c r="M25" s="37"/>
    </row>
    <row r="26" spans="1:16" x14ac:dyDescent="0.25">
      <c r="I26" s="4"/>
      <c r="N26" s="10"/>
    </row>
    <row r="27" spans="1:16" x14ac:dyDescent="0.25">
      <c r="A27" s="4"/>
      <c r="B27" s="63"/>
      <c r="C27" s="1"/>
      <c r="D27" s="1"/>
      <c r="E27" s="1"/>
      <c r="F27" s="1"/>
      <c r="G27" s="1"/>
    </row>
    <row r="28" spans="1:16" x14ac:dyDescent="0.25">
      <c r="B28" s="63"/>
    </row>
    <row r="29" spans="1:16" x14ac:dyDescent="0.25">
      <c r="B29" s="63"/>
      <c r="E29" s="13"/>
      <c r="N29" s="10"/>
    </row>
    <row r="30" spans="1:16" x14ac:dyDescent="0.25">
      <c r="B30" s="1"/>
      <c r="D30" s="3"/>
      <c r="E30" s="3"/>
    </row>
    <row r="31" spans="1:16" x14ac:dyDescent="0.25">
      <c r="B31" s="1"/>
      <c r="C31" s="7" t="s">
        <v>83</v>
      </c>
      <c r="D31" s="230"/>
      <c r="E31" s="231"/>
      <c r="F31" s="232"/>
      <c r="G31" s="232"/>
      <c r="H31" s="4"/>
      <c r="I31" s="7"/>
      <c r="J31" s="230"/>
      <c r="K31" s="231"/>
      <c r="L31" s="177"/>
    </row>
    <row r="32" spans="1:16" x14ac:dyDescent="0.25">
      <c r="A32" s="1"/>
      <c r="B32" s="29"/>
      <c r="C32" s="14"/>
      <c r="D32" s="8" t="s">
        <v>84</v>
      </c>
      <c r="E32" s="1"/>
      <c r="F32" s="5"/>
      <c r="G32" s="5"/>
      <c r="H32" s="4"/>
      <c r="I32" s="14"/>
      <c r="J32" s="8"/>
      <c r="K32" s="1"/>
      <c r="L32" s="166"/>
      <c r="M32" s="4"/>
    </row>
    <row r="33" spans="1:13" x14ac:dyDescent="0.25">
      <c r="A33" s="36"/>
      <c r="B33" s="36"/>
      <c r="C33" s="3"/>
      <c r="D33" s="233" t="s">
        <v>85</v>
      </c>
      <c r="E33" s="1"/>
      <c r="F33" s="2"/>
      <c r="G33" s="2"/>
      <c r="H33" s="1"/>
      <c r="I33" s="3"/>
      <c r="J33" s="233"/>
      <c r="K33" s="1"/>
      <c r="L33" s="166"/>
      <c r="M33" s="4"/>
    </row>
    <row r="34" spans="1:13" x14ac:dyDescent="0.25">
      <c r="B34" s="4"/>
      <c r="C34" s="1"/>
      <c r="D34" s="1"/>
      <c r="E34" s="1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B35" s="1"/>
      <c r="C35" s="1"/>
      <c r="D35" s="1"/>
      <c r="E35" s="1"/>
      <c r="F35" s="1"/>
      <c r="G35" s="1"/>
    </row>
    <row r="36" spans="1:13" x14ac:dyDescent="0.25">
      <c r="F36" s="1"/>
      <c r="G36" s="1"/>
    </row>
    <row r="37" spans="1:13" x14ac:dyDescent="0.25">
      <c r="F37" s="1"/>
      <c r="G37" s="1"/>
    </row>
    <row r="38" spans="1:13" x14ac:dyDescent="0.25">
      <c r="F38" s="1"/>
      <c r="G38" s="1"/>
    </row>
    <row r="39" spans="1:13" x14ac:dyDescent="0.25">
      <c r="B39" s="1"/>
      <c r="C39" s="1"/>
      <c r="D39" s="1"/>
      <c r="E39" s="1"/>
      <c r="F39" s="1"/>
      <c r="G39" s="1"/>
    </row>
    <row r="40" spans="1:13" x14ac:dyDescent="0.25">
      <c r="B40" s="1"/>
      <c r="C40" s="1"/>
      <c r="D40" s="1"/>
      <c r="E40" s="1"/>
      <c r="F40" s="1"/>
      <c r="G40" s="1"/>
    </row>
    <row r="41" spans="1:13" x14ac:dyDescent="0.25">
      <c r="B41" s="1"/>
      <c r="C41" s="1"/>
      <c r="D41" s="1"/>
      <c r="E41" s="1"/>
      <c r="F41" s="1"/>
      <c r="G41" s="1"/>
    </row>
    <row r="42" spans="1:13" x14ac:dyDescent="0.25">
      <c r="B42" s="1"/>
      <c r="C42" s="1"/>
      <c r="D42" s="1"/>
      <c r="E42" s="1"/>
      <c r="F42" s="1"/>
      <c r="G42" s="1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2022-04-07T13:03:42Z</cp:lastPrinted>
  <dcterms:created xsi:type="dcterms:W3CDTF">2002-04-29T19:59:45Z</dcterms:created>
  <dcterms:modified xsi:type="dcterms:W3CDTF">2024-10-28T15:26:51Z</dcterms:modified>
</cp:coreProperties>
</file>