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29" documentId="8_{5728BBD0-2B11-473E-A1CA-DC3B2B5B4C8C}" xr6:coauthVersionLast="47" xr6:coauthVersionMax="47" xr10:uidLastSave="{649BF8DC-8B1F-4434-8FD1-9FD018821843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definedNames>
    <definedName name="_xlnm.Print_Area" localSheetId="2">'1. RESUMEN DE PAGADOS '!$A$5:$P$25</definedName>
    <definedName name="_xlnm.Print_Area" localSheetId="3">'2. COMPR DEV 30%'!$A$1:$E$21</definedName>
    <definedName name="_xlnm.Print_Area" localSheetId="4">'3. COMP VR'!$A$1:$E$21</definedName>
    <definedName name="_xlnm.Print_Area" localSheetId="5">'4. COMP VP'!$B$3:$F$25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H20" i="4"/>
  <c r="H19" i="4"/>
  <c r="J20" i="4"/>
  <c r="I20" i="4"/>
  <c r="J21" i="4"/>
  <c r="N21" i="4"/>
  <c r="C21" i="4"/>
  <c r="B21" i="4"/>
  <c r="D21" i="4"/>
  <c r="F21" i="4"/>
  <c r="E21" i="4"/>
  <c r="H21" i="4"/>
  <c r="G21" i="4"/>
  <c r="F22" i="18"/>
  <c r="E22" i="18"/>
  <c r="D22" i="18"/>
  <c r="C22" i="18"/>
  <c r="E19" i="17"/>
  <c r="D19" i="17"/>
  <c r="C19" i="17"/>
  <c r="B19" i="17"/>
  <c r="E19" i="16"/>
  <c r="D19" i="16"/>
  <c r="C19" i="16"/>
  <c r="B19" i="16"/>
  <c r="N20" i="4"/>
  <c r="F21" i="18"/>
  <c r="E21" i="18"/>
  <c r="D21" i="18"/>
  <c r="C21" i="18"/>
  <c r="E18" i="17"/>
  <c r="D18" i="17"/>
  <c r="C18" i="17"/>
  <c r="B18" i="17"/>
  <c r="E18" i="16"/>
  <c r="D18" i="16"/>
  <c r="C18" i="16"/>
  <c r="B18" i="16"/>
  <c r="C20" i="4"/>
  <c r="B20" i="4"/>
  <c r="D20" i="4"/>
  <c r="F20" i="4"/>
  <c r="E20" i="4"/>
  <c r="G20" i="4"/>
  <c r="F14" i="4"/>
  <c r="J19" i="4"/>
  <c r="N19" i="4"/>
  <c r="C19" i="4"/>
  <c r="B19" i="4"/>
  <c r="F19" i="4"/>
  <c r="E19" i="4"/>
  <c r="D19" i="4"/>
  <c r="G19" i="4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/>
  <c r="M19" i="4"/>
  <c r="P15" i="4"/>
  <c r="H15" i="4"/>
  <c r="H18" i="4" l="1"/>
  <c r="G18" i="4"/>
  <c r="F18" i="4"/>
  <c r="E18" i="4"/>
  <c r="D18" i="4"/>
  <c r="C18" i="4"/>
  <c r="B18" i="4"/>
  <c r="O18" i="4"/>
  <c r="M18" i="4"/>
  <c r="N18" i="4"/>
  <c r="J18" i="4"/>
  <c r="E16" i="17"/>
  <c r="D16" i="17"/>
  <c r="C16" i="17"/>
  <c r="B16" i="17"/>
  <c r="F19" i="18"/>
  <c r="E19" i="18"/>
  <c r="D19" i="18"/>
  <c r="C19" i="18"/>
  <c r="E16" i="16" l="1"/>
  <c r="D16" i="16"/>
  <c r="C16" i="16"/>
  <c r="B16" i="16"/>
  <c r="N17" i="4"/>
  <c r="J17" i="4"/>
  <c r="C17" i="4"/>
  <c r="B17" i="4"/>
  <c r="D17" i="4"/>
  <c r="F17" i="4"/>
  <c r="E17" i="4"/>
  <c r="M17" i="4"/>
  <c r="H17" i="4"/>
  <c r="G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G15" i="4"/>
  <c r="C21" i="17"/>
  <c r="E21" i="17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7" i="25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D20" i="25" s="1"/>
  <c r="D37" i="25" s="1"/>
  <c r="E9" i="17"/>
  <c r="D9" i="17"/>
  <c r="C9" i="17"/>
  <c r="B9" i="17"/>
  <c r="E9" i="16"/>
  <c r="D9" i="16"/>
  <c r="C9" i="16"/>
  <c r="B9" i="16"/>
  <c r="D21" i="25" s="1"/>
  <c r="C11" i="4"/>
  <c r="F11" i="4"/>
  <c r="E11" i="4"/>
  <c r="D11" i="4"/>
  <c r="H11" i="4"/>
  <c r="G11" i="4"/>
  <c r="M11" i="4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I21" i="16" s="1"/>
  <c r="H9" i="16"/>
  <c r="D19" i="25"/>
  <c r="D36" i="25"/>
  <c r="D13" i="25"/>
  <c r="D15" i="25" s="1"/>
  <c r="D11" i="25"/>
  <c r="D33" i="25" s="1"/>
  <c r="D10" i="25"/>
  <c r="D32" i="25" s="1"/>
  <c r="D8" i="25"/>
  <c r="D30" i="25"/>
  <c r="D7" i="25"/>
  <c r="D29" i="25" s="1"/>
  <c r="D6" i="25"/>
  <c r="D12" i="25" s="1"/>
  <c r="E31" i="25"/>
  <c r="E28" i="25"/>
  <c r="E32" i="25"/>
  <c r="I23" i="4"/>
  <c r="E11" i="27" s="1"/>
  <c r="E33" i="27" s="1"/>
  <c r="E34" i="25"/>
  <c r="P22" i="4"/>
  <c r="Q22" i="4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 s="1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M23" i="4"/>
  <c r="E13" i="27" s="1"/>
  <c r="E35" i="27" s="1"/>
  <c r="D35" i="25"/>
  <c r="D31" i="25"/>
  <c r="C35" i="25"/>
  <c r="C34" i="25"/>
  <c r="C31" i="25"/>
  <c r="B7" i="17"/>
  <c r="L23" i="4"/>
  <c r="C33" i="25"/>
  <c r="K23" i="4"/>
  <c r="E12" i="27" s="1"/>
  <c r="E34" i="27" s="1"/>
  <c r="E30" i="25"/>
  <c r="C15" i="27"/>
  <c r="C19" i="27"/>
  <c r="D15" i="27"/>
  <c r="D19" i="27"/>
  <c r="P11" i="4"/>
  <c r="C25" i="29"/>
  <c r="M6" i="29"/>
  <c r="P21" i="11"/>
  <c r="P19" i="11"/>
  <c r="P17" i="11"/>
  <c r="P16" i="11"/>
  <c r="B21" i="17"/>
  <c r="C22" i="27" s="1"/>
  <c r="C39" i="27" s="1"/>
  <c r="O23" i="4"/>
  <c r="E14" i="27" s="1"/>
  <c r="E36" i="27" s="1"/>
  <c r="C30" i="25"/>
  <c r="H23" i="4"/>
  <c r="E10" i="27" s="1"/>
  <c r="E32" i="27" s="1"/>
  <c r="H22" i="11"/>
  <c r="O22" i="11"/>
  <c r="P10" i="11"/>
  <c r="P22" i="11"/>
  <c r="E15" i="25"/>
  <c r="D34" i="25" l="1"/>
  <c r="D28" i="25"/>
  <c r="F24" i="18"/>
  <c r="J24" i="18"/>
  <c r="C24" i="18"/>
  <c r="C23" i="27" s="1"/>
  <c r="D23" i="27" s="1"/>
  <c r="D40" i="27" s="1"/>
  <c r="I24" i="18"/>
  <c r="K24" i="18"/>
  <c r="L24" i="18"/>
  <c r="E24" i="18"/>
  <c r="C22" i="25"/>
  <c r="C24" i="25" s="1"/>
  <c r="Q11" i="4"/>
  <c r="J21" i="16"/>
  <c r="E38" i="25"/>
  <c r="C38" i="25"/>
  <c r="C39" i="25" s="1"/>
  <c r="H21" i="16"/>
  <c r="E21" i="16"/>
  <c r="K21" i="16"/>
  <c r="Q12" i="4"/>
  <c r="D22" i="25"/>
  <c r="D38" i="25"/>
  <c r="D39" i="25" s="1"/>
  <c r="Q13" i="4"/>
  <c r="B21" i="16"/>
  <c r="C24" i="27" s="1"/>
  <c r="D24" i="27" s="1"/>
  <c r="J23" i="4"/>
  <c r="E16" i="27" s="1"/>
  <c r="Q15" i="4"/>
  <c r="D21" i="16"/>
  <c r="D24" i="18"/>
  <c r="P14" i="4"/>
  <c r="Q14" i="4" s="1"/>
  <c r="G23" i="4"/>
  <c r="E9" i="27" s="1"/>
  <c r="E31" i="27" s="1"/>
  <c r="E22" i="25"/>
  <c r="F19" i="25" s="1"/>
  <c r="E16" i="25"/>
  <c r="F13" i="25" s="1"/>
  <c r="E33" i="25"/>
  <c r="D22" i="27"/>
  <c r="D39" i="27" s="1"/>
  <c r="E22" i="27"/>
  <c r="E39" i="27" s="1"/>
  <c r="C21" i="16"/>
  <c r="D16" i="25"/>
  <c r="E39" i="25" l="1"/>
  <c r="F29" i="25" s="1"/>
  <c r="E23" i="27"/>
  <c r="E40" i="27" s="1"/>
  <c r="C40" i="27"/>
  <c r="E24" i="27"/>
  <c r="E41" i="27" s="1"/>
  <c r="D24" i="25"/>
  <c r="C41" i="27"/>
  <c r="C25" i="27"/>
  <c r="C27" i="27" s="1"/>
  <c r="F21" i="25"/>
  <c r="E15" i="27"/>
  <c r="Q23" i="4"/>
  <c r="Q24" i="4" s="1"/>
  <c r="I14" i="27"/>
  <c r="P23" i="4"/>
  <c r="E18" i="27"/>
  <c r="E37" i="27"/>
  <c r="F20" i="25"/>
  <c r="F8" i="25"/>
  <c r="F14" i="25"/>
  <c r="F9" i="25"/>
  <c r="F10" i="25"/>
  <c r="F7" i="25"/>
  <c r="F11" i="25"/>
  <c r="E24" i="25"/>
  <c r="F6" i="25"/>
  <c r="D41" i="27"/>
  <c r="D42" i="27" s="1"/>
  <c r="D25" i="27"/>
  <c r="D27" i="27" s="1"/>
  <c r="F36" i="25" l="1"/>
  <c r="F30" i="25"/>
  <c r="F28" i="25"/>
  <c r="F35" i="25"/>
  <c r="F38" i="25"/>
  <c r="F37" i="25"/>
  <c r="F33" i="25"/>
  <c r="F32" i="25"/>
  <c r="F31" i="25"/>
  <c r="F34" i="25"/>
  <c r="F16" i="25"/>
  <c r="C42" i="27"/>
  <c r="E25" i="27"/>
  <c r="F24" i="27" s="1"/>
  <c r="F22" i="25"/>
  <c r="E19" i="27"/>
  <c r="F14" i="27" s="1"/>
  <c r="E42" i="27"/>
  <c r="F41" i="27" s="1"/>
  <c r="F39" i="25" l="1"/>
  <c r="F22" i="27"/>
  <c r="F23" i="27"/>
  <c r="F10" i="27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 l="1"/>
  <c r="F19" i="27"/>
  <c r="F42" i="27"/>
</calcChain>
</file>

<file path=xl/sharedStrings.xml><?xml version="1.0" encoding="utf-8"?>
<sst xmlns="http://schemas.openxmlformats.org/spreadsheetml/2006/main" count="915" uniqueCount="518">
  <si>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</si>
  <si>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</si>
  <si>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</si>
  <si>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</si>
  <si>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</si>
  <si>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</si>
  <si>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</si>
  <si>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</si>
  <si>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</si>
  <si>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</si>
  <si>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</si>
  <si>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</si>
  <si>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</si>
  <si>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</si>
  <si>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</si>
  <si>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</si>
  <si>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</si>
  <si>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</si>
  <si>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</si>
  <si>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</si>
  <si>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</si>
  <si>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</si>
  <si>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</si>
  <si>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</si>
  <si>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</si>
  <si>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</si>
  <si>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</si>
  <si>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</si>
  <si>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</si>
  <si>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</si>
  <si>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</si>
  <si>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</si>
  <si>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</si>
  <si>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</si>
  <si>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</si>
  <si>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</si>
  <si>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</si>
  <si>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</si>
  <si>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</si>
  <si>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</si>
  <si>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</si>
  <si>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</si>
  <si>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</si>
  <si>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</si>
  <si>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</si>
  <si>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</si>
  <si>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</si>
  <si>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</si>
  <si>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</si>
  <si>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</si>
  <si>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</si>
  <si>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</si>
  <si>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</si>
  <si>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</si>
  <si>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</si>
  <si>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</si>
  <si>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</si>
  <si>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</si>
  <si>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</si>
  <si>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</si>
  <si>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</si>
  <si>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</si>
  <si>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</si>
  <si>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</si>
  <si>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</si>
  <si>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</si>
  <si>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</si>
  <si>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</si>
  <si>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</si>
  <si>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</si>
  <si>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</si>
  <si>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</si>
  <si>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</si>
  <si>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</si>
  <si>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</si>
  <si>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</si>
  <si>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</si>
  <si>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</si>
  <si>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</si>
  <si>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</si>
  <si>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</si>
  <si>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</si>
  <si>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</si>
  <si>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</si>
  <si>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</si>
  <si>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</si>
  <si>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</si>
  <si>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</si>
  <si>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</si>
  <si>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</si>
  <si>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</si>
  <si>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</si>
  <si>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</si>
  <si>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</si>
  <si>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</si>
  <si>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</si>
  <si>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</si>
  <si>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</si>
  <si>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</si>
  <si>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</si>
  <si>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</si>
  <si>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</si>
  <si>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</si>
  <si>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</si>
  <si>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</si>
  <si>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</si>
  <si>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</si>
  <si>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</si>
  <si>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</si>
  <si>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</si>
  <si>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</si>
  <si>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</si>
  <si>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</si>
  <si>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</si>
  <si>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</si>
  <si>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</si>
  <si>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</si>
  <si>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</si>
  <si>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</si>
  <si>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</si>
  <si>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</si>
  <si>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</si>
  <si>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</si>
  <si>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</si>
  <si>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</si>
  <si>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</si>
  <si>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</si>
  <si>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</si>
  <si>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</si>
  <si>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</si>
  <si>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</si>
  <si>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</si>
  <si>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</si>
  <si>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</si>
  <si>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</si>
  <si>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</si>
  <si>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</si>
  <si>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</si>
  <si>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</si>
  <si>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</si>
  <si>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</si>
  <si>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</si>
  <si>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</si>
  <si>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</si>
  <si>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</si>
  <si>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</si>
  <si>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</si>
  <si>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</si>
  <si>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</si>
  <si>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</si>
  <si>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</si>
  <si>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</si>
  <si>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</si>
  <si>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</si>
  <si>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</si>
  <si>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</si>
  <si>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</si>
  <si>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</si>
  <si>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</si>
  <si>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</si>
  <si>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</si>
  <si>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</si>
  <si>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</si>
  <si>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</si>
  <si>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</si>
  <si>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</si>
  <si>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</si>
  <si>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</si>
  <si>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</si>
  <si>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</si>
  <si>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</si>
  <si>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</si>
  <si>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</si>
  <si>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</si>
  <si>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</si>
  <si>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</si>
  <si>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</si>
  <si>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</si>
  <si>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</si>
  <si>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</si>
  <si>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</si>
  <si>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</si>
  <si>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</si>
  <si>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</si>
  <si>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</si>
  <si>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</si>
  <si>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</si>
  <si>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</si>
  <si>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</si>
  <si>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</si>
  <si>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</si>
  <si>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</si>
  <si>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</si>
  <si>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</si>
  <si>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</si>
  <si>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</si>
  <si>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</si>
  <si>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</si>
  <si>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</si>
  <si>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</si>
  <si>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</si>
  <si>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</si>
  <si>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</si>
  <si>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</si>
  <si>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</si>
  <si>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</si>
  <si>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</si>
  <si>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</si>
  <si>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</si>
  <si>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</si>
  <si>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</si>
  <si>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</si>
  <si>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</si>
  <si>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</si>
  <si>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</si>
  <si>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</si>
  <si>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</si>
  <si>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</si>
  <si>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</si>
  <si>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</si>
  <si>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</si>
  <si>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</si>
  <si>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</si>
  <si>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</si>
  <si>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</si>
  <si>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</si>
  <si>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</si>
  <si>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</si>
  <si>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</si>
  <si>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</si>
  <si>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</si>
  <si>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</si>
  <si>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</si>
  <si>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</si>
  <si>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</si>
  <si>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</si>
  <si>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</si>
  <si>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</si>
  <si>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</si>
  <si>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</si>
  <si>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</si>
  <si>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</si>
  <si>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</si>
  <si>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</si>
  <si>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</si>
  <si>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</si>
  <si>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</si>
  <si>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</si>
  <si>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</si>
  <si>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</si>
  <si>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</si>
  <si>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</si>
  <si>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</si>
  <si>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</si>
  <si>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</si>
  <si>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</si>
  <si>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</si>
  <si>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</si>
  <si>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</si>
  <si>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</si>
  <si>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</si>
  <si>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</si>
  <si>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</si>
  <si>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</si>
  <si>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</si>
  <si>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</si>
  <si>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</si>
  <si>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</si>
  <si>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</si>
  <si>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</si>
  <si>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</si>
  <si>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</si>
  <si>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</si>
  <si>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</si>
  <si>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</si>
  <si>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</si>
  <si>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</si>
  <si>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</si>
  <si>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</si>
  <si>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</si>
  <si>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</si>
  <si>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</si>
  <si>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</si>
  <si>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</si>
  <si>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</si>
  <si>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</si>
  <si>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</si>
  <si>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</si>
  <si>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</si>
  <si>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</si>
  <si>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</si>
  <si>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</si>
  <si>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</si>
  <si>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</si>
  <si>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</si>
  <si>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</si>
  <si>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</si>
  <si>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</si>
  <si>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</si>
  <si>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</si>
  <si>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</si>
  <si>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</si>
  <si>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</si>
  <si>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</si>
  <si>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</si>
  <si>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</si>
  <si>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</si>
  <si>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</si>
  <si>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</si>
  <si>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</si>
  <si>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</si>
  <si>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</si>
  <si>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</si>
  <si>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</si>
  <si>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</si>
  <si>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</si>
  <si>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</si>
  <si>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</si>
  <si>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</si>
  <si>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</si>
  <si>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</si>
  <si>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</si>
  <si>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</si>
  <si>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</si>
  <si>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</si>
  <si>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</si>
  <si>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</si>
  <si>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</si>
  <si>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</si>
  <si>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</si>
  <si>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</si>
  <si>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</si>
  <si>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</si>
  <si>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</si>
  <si>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</si>
  <si>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</si>
  <si>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</si>
  <si>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</si>
  <si>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</si>
  <si>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</si>
  <si>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</si>
  <si>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</si>
  <si>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</si>
  <si>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</si>
  <si>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</si>
  <si>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</si>
  <si>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</si>
  <si>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</si>
  <si>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</si>
  <si>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</si>
  <si>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</si>
  <si>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</si>
  <si>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</si>
  <si>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</si>
  <si>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</si>
  <si>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</si>
  <si>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</si>
  <si>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</si>
  <si>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</si>
  <si>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</si>
  <si>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</si>
  <si>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</si>
  <si>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</si>
  <si>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</si>
  <si>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</si>
  <si>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</si>
  <si>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</si>
  <si>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</si>
  <si>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</si>
  <si>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</si>
  <si>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</si>
  <si>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</si>
  <si>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</si>
  <si>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</si>
  <si>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</si>
  <si>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</si>
  <si>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</si>
  <si>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</si>
  <si>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</si>
  <si>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</si>
  <si>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</si>
  <si>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</si>
  <si>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</si>
  <si>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</si>
  <si>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</si>
  <si>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</si>
  <si>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</si>
  <si>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</si>
  <si>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</si>
  <si>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</si>
  <si>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</si>
  <si>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</si>
  <si>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</si>
  <si>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</si>
  <si>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</si>
  <si>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</si>
  <si>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</si>
  <si>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</si>
  <si>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</si>
  <si>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</si>
  <si>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</si>
  <si>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</si>
  <si>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</si>
  <si>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</si>
  <si>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</si>
  <si>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</si>
  <si>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</si>
  <si>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</si>
  <si>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</si>
  <si>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</si>
  <si>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</si>
  <si>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</si>
  <si>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</si>
  <si>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</si>
  <si>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</si>
  <si>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</si>
  <si>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</si>
  <si>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</si>
  <si>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</si>
  <si>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</si>
  <si>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</si>
  <si>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</si>
  <si>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</si>
  <si>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</si>
  <si>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</si>
  <si>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</si>
  <si>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</si>
  <si>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</si>
  <si>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</si>
  <si>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</si>
  <si>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</si>
  <si>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</si>
  <si>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</si>
  <si>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</si>
  <si>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</si>
  <si>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</si>
  <si>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</si>
  <si>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</si>
  <si>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</si>
  <si>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</si>
  <si>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</si>
  <si>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</si>
  <si>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</si>
  <si>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</si>
  <si>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</si>
  <si>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</si>
  <si>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</si>
  <si>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</si>
  <si>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</si>
  <si>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</si>
  <si>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</si>
  <si>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</si>
  <si>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</si>
  <si>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</si>
  <si>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</si>
  <si>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</si>
  <si>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</si>
  <si>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</si>
  <si>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</si>
  <si>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</si>
  <si>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</si>
  <si>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</si>
  <si>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</si>
  <si>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</si>
  <si>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</si>
  <si>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</si>
  <si>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</si>
  <si>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</si>
  <si>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</si>
  <si>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</si>
  <si>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</si>
  <si>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</si>
  <si>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</si>
  <si>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</si>
  <si>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</si>
  <si>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</si>
  <si>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</si>
  <si>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</si>
  <si>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</si>
  <si>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</si>
  <si>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</si>
  <si>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</si>
  <si>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</si>
  <si>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</si>
  <si>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</si>
  <si>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</si>
  <si>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</si>
  <si>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</si>
  <si>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</si>
  <si>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</si>
  <si>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</si>
  <si>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</si>
  <si>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</si>
  <si>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</si>
  <si>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</si>
  <si>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</si>
  <si>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</si>
  <si>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</si>
  <si>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</si>
  <si>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</si>
  <si>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</si>
  <si>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</si>
  <si>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 xml:space="preserve">***NOTA: en el mes de julio, se le pagó a la heredera Marta Alicia </t>
  </si>
  <si>
    <t>Zavala de Herrera, porcentaje del 30% que le correspondía</t>
  </si>
  <si>
    <t>al asegurado Julio César Herrera c/p Julio César Herrera Carrillo</t>
  </si>
  <si>
    <t>quien falleció el 02/02/2021 y afianzó el derecho del 30% sobre</t>
  </si>
  <si>
    <t>los aportes del SVO, pero al no realizar el trámite en mención se</t>
  </si>
  <si>
    <t>se declaró heredera a la esposa del asegurado ya fallecido.</t>
  </si>
  <si>
    <t>***NOTA: en el mes de agosto, se le pagó a los herederos</t>
  </si>
  <si>
    <t>el vencimiento de plazo para cinco que le correspondía a la</t>
  </si>
  <si>
    <t xml:space="preserve">asegurada María Herminia Menjívar Torres c/p María Herminia </t>
  </si>
  <si>
    <t xml:space="preserve">Verónica Ruth y Karl Harold ambos de apellidos Velásquez Menjívar, </t>
  </si>
  <si>
    <t>Menjívar y por Herminia Menjívar, quien falleció el 20/04/2022</t>
  </si>
  <si>
    <t>y afianzó el derecho al vencimiento de plazo del SVD (5 años),</t>
  </si>
  <si>
    <t>pero al no realizar el trámite en mención, los hijos de la</t>
  </si>
  <si>
    <t>Herencia, declarádolos herederos en partes iguales.</t>
  </si>
  <si>
    <t xml:space="preserve">asegurada ya fallecida, promovieron Diligencias de Aceptación de </t>
  </si>
  <si>
    <t>San Salvador, 30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</si>
</sst>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4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0" fontId="52" fillId="0" borderId="73" xfId="4" applyNumberFormat="1" applyFont="1" applyBorder="1" applyAlignment="1">
      <alignment horizontal="center" vertical="center" wrapText="1"/>
    </xf>
    <xf numFmtId="0" fontId="2" fillId="0" borderId="0" xfId="7" applyFont="1"/>
    <xf numFmtId="0" fontId="2" fillId="4" borderId="0" xfId="7" applyFont="1" applyFill="1"/>
    <xf numFmtId="0" fontId="4" fillId="4" borderId="0" xfId="7" applyFont="1" applyFill="1"/>
    <xf numFmtId="166" fontId="4" fillId="4" borderId="0" xfId="7" applyNumberFormat="1" applyFont="1" applyFill="1"/>
    <xf numFmtId="167" fontId="4" fillId="4" borderId="0" xfId="7" applyNumberFormat="1" applyFont="1" applyFill="1"/>
    <xf numFmtId="0" fontId="0" fillId="4" borderId="0" xfId="0" applyFill="1"/>
    <xf numFmtId="0" fontId="9" fillId="4" borderId="0" xfId="0" applyFont="1" applyFill="1"/>
    <xf numFmtId="166" fontId="45" fillId="0" borderId="0" xfId="4" applyFont="1" applyAlignment="1">
      <alignment horizontal="right"/>
    </xf>
    <xf numFmtId="166" fontId="46" fillId="0" borderId="0" xfId="4" applyFont="1" applyAlignment="1">
      <alignment horizontal="right"/>
    </xf>
    <xf numFmtId="166" fontId="46" fillId="0" borderId="0" xfId="4" applyFont="1"/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478011.24000000005</c:v>
                </c:pt>
                <c:pt idx="1">
                  <c:v>1500124.8499999999</c:v>
                </c:pt>
                <c:pt idx="2">
                  <c:v>8342.8799999999992</c:v>
                </c:pt>
                <c:pt idx="3">
                  <c:v>26606.71</c:v>
                </c:pt>
                <c:pt idx="4">
                  <c:v>93600.159999999989</c:v>
                </c:pt>
                <c:pt idx="5">
                  <c:v>138286.05999999997</c:v>
                </c:pt>
                <c:pt idx="6">
                  <c:v>803543.24000000011</c:v>
                </c:pt>
                <c:pt idx="7">
                  <c:v>1489715.62</c:v>
                </c:pt>
                <c:pt idx="8">
                  <c:v>110179.32999999999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35999.990000000005</c:v>
                </c:pt>
                <c:pt idx="1">
                  <c:v>160754.23000000001</c:v>
                </c:pt>
                <c:pt idx="2">
                  <c:v>0</c:v>
                </c:pt>
                <c:pt idx="3">
                  <c:v>1904.76</c:v>
                </c:pt>
                <c:pt idx="4">
                  <c:v>0</c:v>
                </c:pt>
                <c:pt idx="5">
                  <c:v>0</c:v>
                </c:pt>
                <c:pt idx="6">
                  <c:v>9485.73</c:v>
                </c:pt>
                <c:pt idx="7">
                  <c:v>10285.74</c:v>
                </c:pt>
                <c:pt idx="8">
                  <c:v>86916.02</c:v>
                </c:pt>
                <c:pt idx="9">
                  <c:v>121142.95</c:v>
                </c:pt>
                <c:pt idx="10">
                  <c:v>8083.1399999999994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628650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352425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39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478011.24000000005</v>
      </c>
      <c r="F9" s="375">
        <f>E9/E19</f>
        <v>0.20605281960509753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1500124.8499999999</v>
      </c>
      <c r="F10" s="376">
        <f>E10/E19</f>
        <v>0.64664788029288589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64114.29</v>
      </c>
      <c r="F11" s="376">
        <f>E11/E19</f>
        <v>2.7637279473760719E-2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10761.9</v>
      </c>
      <c r="F12" s="376">
        <f>E12/E19</f>
        <v>4.6390537580415451E-3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8342.8799999999992</v>
      </c>
      <c r="F13" s="376">
        <f>E13/E19</f>
        <v>3.5963044459518898E-3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26606.71</v>
      </c>
      <c r="F14" s="376">
        <f>E14/E19</f>
        <v>1.1469160465588935E-2</v>
      </c>
      <c r="I14" s="178">
        <f>E9+E10+E13</f>
        <v>1986478.9699999997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2087961.8699999996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93600.159999999989</v>
      </c>
      <c r="F16" s="304">
        <f>E16/E19</f>
        <v>4.0347538445933327E-2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138286.05999999997</v>
      </c>
      <c r="F17" s="306">
        <f>E17/E19</f>
        <v>5.9609963512740172E-2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231886.21999999997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2319848.09</v>
      </c>
      <c r="F19" s="270">
        <f>SUM(F9:F17)</f>
        <v>0.99999999999999989</v>
      </c>
    </row>
    <row r="20" spans="2:9" ht="15" customHeight="1" thickBot="1" x14ac:dyDescent="0.25">
      <c r="B20" s="479"/>
      <c r="C20" s="480"/>
      <c r="D20" s="480"/>
      <c r="E20" s="480"/>
      <c r="F20" s="481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886</v>
      </c>
      <c r="D22" s="365">
        <f>C22</f>
        <v>886</v>
      </c>
      <c r="E22" s="264">
        <f>'3. COMP VR'!C21+'3. COMP VR'!E21</f>
        <v>803543.24000000011</v>
      </c>
      <c r="F22" s="265">
        <f>E22/E25</f>
        <v>0.33433072809748438</v>
      </c>
    </row>
    <row r="23" spans="2:9" x14ac:dyDescent="0.2">
      <c r="B23" s="271" t="s">
        <v>160</v>
      </c>
      <c r="C23" s="267">
        <f>'4. COMP VP'!C24</f>
        <v>834</v>
      </c>
      <c r="D23" s="365">
        <f>C23</f>
        <v>834</v>
      </c>
      <c r="E23" s="264">
        <f>'4. COMP VP'!D24+'4. COMP VP'!F24</f>
        <v>1489715.62</v>
      </c>
      <c r="F23" s="268">
        <f>E23/E25</f>
        <v>0.61982689057628726</v>
      </c>
    </row>
    <row r="24" spans="2:9" ht="13.5" thickBot="1" x14ac:dyDescent="0.25">
      <c r="B24" s="266" t="s">
        <v>161</v>
      </c>
      <c r="C24" s="267">
        <f>'2. COMPR DEV 30%'!B21</f>
        <v>290</v>
      </c>
      <c r="D24" s="365">
        <f>C24</f>
        <v>290</v>
      </c>
      <c r="E24" s="264">
        <f>'2. COMPR DEV 30%'!C21+'2. COMPR DEV 30%'!E21</f>
        <v>110179.32999999999</v>
      </c>
      <c r="F24" s="269">
        <f>E24/E25</f>
        <v>4.584238132622831E-2</v>
      </c>
      <c r="G24" s="178"/>
    </row>
    <row r="25" spans="2:9" ht="13.5" thickBot="1" x14ac:dyDescent="0.25">
      <c r="B25" s="261" t="s">
        <v>0</v>
      </c>
      <c r="C25" s="177">
        <f>C22+C23+C24</f>
        <v>2010</v>
      </c>
      <c r="D25" s="177">
        <f>D22+D23+D24</f>
        <v>2010</v>
      </c>
      <c r="E25" s="179">
        <f>E22+E23+E24</f>
        <v>2403438.1900000004</v>
      </c>
      <c r="F25" s="270">
        <f>SUM(F22:F24)</f>
        <v>1</v>
      </c>
    </row>
    <row r="26" spans="2:9" ht="13.5" customHeight="1" thickBot="1" x14ac:dyDescent="0.25">
      <c r="B26" s="482" t="s">
        <v>162</v>
      </c>
      <c r="C26" s="483"/>
      <c r="D26" s="483"/>
      <c r="E26" s="483"/>
      <c r="F26" s="484"/>
    </row>
    <row r="27" spans="2:9" ht="15.75" customHeight="1" thickBot="1" x14ac:dyDescent="0.25">
      <c r="B27" s="261" t="s">
        <v>107</v>
      </c>
      <c r="C27" s="392">
        <f>C19+C25</f>
        <v>2465</v>
      </c>
      <c r="D27" s="392">
        <f>D19+D25</f>
        <v>2053</v>
      </c>
      <c r="E27" s="391">
        <f>E25+E19</f>
        <v>4723286.28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478011.24000000005</v>
      </c>
      <c r="F31" s="319">
        <f>E31/E42</f>
        <v>0.10120310556318853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1500124.8499999999</v>
      </c>
      <c r="F32" s="162">
        <f>E32/E42</f>
        <v>0.31760193244098678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64114.29</v>
      </c>
      <c r="F33" s="162">
        <f>E33/E42</f>
        <v>1.3574085117703262E-2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10761.9</v>
      </c>
      <c r="F34" s="162">
        <f>E34/E42</f>
        <v>2.2784771792405518E-3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8342.8799999999992</v>
      </c>
      <c r="F35" s="162">
        <f>E35/E42</f>
        <v>1.7663295225882432E-3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26606.71</v>
      </c>
      <c r="F36" s="162">
        <f>E36/E42</f>
        <v>5.6330928135061081E-3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93600.159999999989</v>
      </c>
      <c r="F37" s="162">
        <f>E37/E42</f>
        <v>1.9816745048110863E-2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138286.05999999997</v>
      </c>
      <c r="F38" s="162">
        <f>E38/E42</f>
        <v>2.9277509725707324E-2</v>
      </c>
    </row>
    <row r="39" spans="2:9" ht="15" x14ac:dyDescent="0.2">
      <c r="B39" s="393" t="s">
        <v>159</v>
      </c>
      <c r="C39" s="158">
        <f t="shared" ref="C39:E41" si="2">C22</f>
        <v>886</v>
      </c>
      <c r="D39" s="158">
        <f t="shared" si="2"/>
        <v>886</v>
      </c>
      <c r="E39" s="318">
        <f t="shared" si="2"/>
        <v>803543.24000000011</v>
      </c>
      <c r="F39" s="162">
        <f>E39/E42</f>
        <v>0.17012376391464462</v>
      </c>
    </row>
    <row r="40" spans="2:9" ht="15" x14ac:dyDescent="0.2">
      <c r="B40" s="310" t="s">
        <v>160</v>
      </c>
      <c r="C40" s="158">
        <f t="shared" si="2"/>
        <v>834</v>
      </c>
      <c r="D40" s="158">
        <f t="shared" si="2"/>
        <v>834</v>
      </c>
      <c r="E40" s="318">
        <f t="shared" si="2"/>
        <v>1489715.62</v>
      </c>
      <c r="F40" s="162">
        <f>E40/E42</f>
        <v>0.31539812149603602</v>
      </c>
    </row>
    <row r="41" spans="2:9" ht="15.75" thickBot="1" x14ac:dyDescent="0.3">
      <c r="B41" s="311" t="s">
        <v>161</v>
      </c>
      <c r="C41" s="320">
        <f t="shared" si="2"/>
        <v>290</v>
      </c>
      <c r="D41" s="320">
        <f t="shared" si="2"/>
        <v>290</v>
      </c>
      <c r="E41" s="321">
        <f t="shared" si="2"/>
        <v>110179.32999999999</v>
      </c>
      <c r="F41" s="312">
        <f>E41/E42</f>
        <v>2.3326837178287652E-2</v>
      </c>
    </row>
    <row r="42" spans="2:9" ht="15.75" thickBot="1" x14ac:dyDescent="0.25">
      <c r="B42" s="160" t="s">
        <v>0</v>
      </c>
      <c r="C42" s="159">
        <f>SUM(C31:C41)</f>
        <v>2465</v>
      </c>
      <c r="D42" s="159">
        <f>SUM(D31:D41)</f>
        <v>2053</v>
      </c>
      <c r="E42" s="322">
        <f>SUM(E31:E41)</f>
        <v>4723286.28</v>
      </c>
      <c r="F42" s="324">
        <f>SUM(F31:F41)</f>
        <v>0.99999999999999989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7" zoomScale="98" zoomScaleNormal="98" workbookViewId="0">
      <selection activeCell="G24" sqref="G2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68">
        <f>SUM('1. RESUMEN DE PAGADOS '!E21+'1. RESUMEN DE PAGADOS '!F21)</f>
        <v>39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'!G21</f>
        <v>35999.990000000005</v>
      </c>
      <c r="F6" s="375">
        <f>E6/E16</f>
        <v>0.16481214043188575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'!H21</f>
        <v>160754.23000000001</v>
      </c>
      <c r="F7" s="376">
        <f>E7/E16</f>
        <v>0.73595155803597889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'!I21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'!K21</f>
        <v>1904.76</v>
      </c>
      <c r="F9" s="376">
        <f>E9/E16</f>
        <v>8.7202127725323989E-3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'!M21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'!O21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198658.98000000004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'!J21</f>
        <v>9485.73</v>
      </c>
      <c r="F13" s="304">
        <f>E13/E16</f>
        <v>4.3426774975741697E-2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'!N21</f>
        <v>10285.74</v>
      </c>
      <c r="F14" s="306">
        <f>E14/E16</f>
        <v>4.7089313783861171E-2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19771.47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218430.45000000004</v>
      </c>
      <c r="F16" s="270">
        <f>SUM(F6:F14)</f>
        <v>0.99999999999999989</v>
      </c>
    </row>
    <row r="17" spans="2:7" ht="15" customHeight="1" thickBot="1" x14ac:dyDescent="0.25">
      <c r="B17" s="479"/>
      <c r="C17" s="480"/>
      <c r="D17" s="480"/>
      <c r="E17" s="480"/>
      <c r="F17" s="481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VR'!E19+'3. COMP VR'!C19</f>
        <v>86916.02</v>
      </c>
      <c r="F19" s="265">
        <f>E19/E22</f>
        <v>0.40212441712538111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VP'!D22+'4. COMP VP'!F22</f>
        <v>121142.95</v>
      </c>
      <c r="F20" s="268">
        <f>E20/E22</f>
        <v>0.56047824276352265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30%'!C19+'2. COMPR DEV 30%'!E19</f>
        <v>8083.1399999999994</v>
      </c>
      <c r="F21" s="269">
        <f>E21/E22</f>
        <v>3.7397340111096355E-2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216142.11</v>
      </c>
      <c r="F22" s="270">
        <f>SUM(F19:F21)</f>
        <v>1</v>
      </c>
    </row>
    <row r="23" spans="2:7" ht="13.5" customHeight="1" thickBot="1" x14ac:dyDescent="0.25">
      <c r="B23" s="482" t="s">
        <v>162</v>
      </c>
      <c r="C23" s="483"/>
      <c r="D23" s="483"/>
      <c r="E23" s="483"/>
      <c r="F23" s="484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434572.56000000006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35999.990000000005</v>
      </c>
      <c r="F28" s="319">
        <f>E28/E39</f>
        <v>8.2839997997112377E-2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160754.23000000001</v>
      </c>
      <c r="F29" s="162">
        <f>E29/E39</f>
        <v>0.36991343862115911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1904.76</v>
      </c>
      <c r="F31" s="162">
        <f>E31/E39</f>
        <v>4.383065511545413E-3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9485.73</v>
      </c>
      <c r="F34" s="162">
        <f>E34/E39</f>
        <v>2.1827724235510864E-2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10285.74</v>
      </c>
      <c r="F35" s="162">
        <f>E35/E39</f>
        <v>2.366863660236624E-2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86916.02</v>
      </c>
      <c r="F36" s="162">
        <f>E36/E39</f>
        <v>0.20000347007643554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121142.95</v>
      </c>
      <c r="F37" s="162">
        <f>E37/E39</f>
        <v>0.2787634589721909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8083.1399999999994</v>
      </c>
      <c r="F38" s="312">
        <f>E38/E39</f>
        <v>1.8600207983679409E-2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434572.56000000006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B10" zoomScaleNormal="100" workbookViewId="0">
      <selection activeCell="G21" sqref="G21"/>
    </sheetView>
  </sheetViews>
  <sheetFormatPr baseColWidth="10" defaultColWidth="11.42578125" defaultRowHeight="12.75" x14ac:dyDescent="0.2"/>
  <cols>
    <col min="1" max="1" width="10.28515625" style="2" customWidth="1"/>
    <col min="2" max="2" width="9.28515625" style="2" customWidth="1"/>
    <col min="3" max="3" width="6" style="2" customWidth="1"/>
    <col min="4" max="4" width="7" style="2" customWidth="1"/>
    <col min="5" max="5" width="8.7109375" style="2" customWidth="1"/>
    <col min="6" max="6" width="10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92" t="s">
        <v>170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22" x14ac:dyDescent="0.2">
      <c r="A7" s="492" t="s">
        <v>498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</row>
    <row r="8" spans="1:22" ht="12.75" customHeight="1" thickBot="1" x14ac:dyDescent="0.25"/>
    <row r="9" spans="1:22" ht="12.75" customHeight="1" thickBot="1" x14ac:dyDescent="0.25">
      <c r="A9" s="497" t="s">
        <v>7</v>
      </c>
      <c r="B9" s="493" t="s">
        <v>499</v>
      </c>
      <c r="C9" s="495" t="s">
        <v>500</v>
      </c>
      <c r="D9" s="495" t="s">
        <v>501</v>
      </c>
      <c r="E9" s="485" t="s">
        <v>190</v>
      </c>
      <c r="F9" s="486"/>
      <c r="G9" s="490" t="s">
        <v>139</v>
      </c>
      <c r="H9" s="487" t="s">
        <v>164</v>
      </c>
      <c r="I9" s="488"/>
      <c r="J9" s="488"/>
      <c r="K9" s="488"/>
      <c r="L9" s="489"/>
      <c r="M9" s="486" t="s">
        <v>140</v>
      </c>
      <c r="N9" s="493" t="s">
        <v>141</v>
      </c>
      <c r="O9" s="485" t="s">
        <v>148</v>
      </c>
      <c r="P9" s="500" t="s">
        <v>1</v>
      </c>
      <c r="T9" s="323"/>
      <c r="U9" s="323"/>
    </row>
    <row r="10" spans="1:22" ht="75.75" customHeight="1" thickBot="1" x14ac:dyDescent="0.25">
      <c r="A10" s="498"/>
      <c r="B10" s="494"/>
      <c r="C10" s="496"/>
      <c r="D10" s="496"/>
      <c r="E10" s="168" t="s">
        <v>168</v>
      </c>
      <c r="F10" s="168" t="s">
        <v>169</v>
      </c>
      <c r="G10" s="491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94"/>
      <c r="N10" s="494"/>
      <c r="O10" s="499"/>
      <c r="P10" s="501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76"/>
      <c r="S11" s="477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S12" s="478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S13" s="478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5+4+5+9</f>
        <v>23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S14" s="478"/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(49142.83+0.03)+(7291.42+0.01+2228.57)+(23794.31-0.06+0.01+205.72)+(18628.58-0.01)</f>
        <v>101291.41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8000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>G15+H15+I15+J15+K15+L15+M15+N15+O15</f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S15" s="478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S16" s="478"/>
      <c r="T16" s="323"/>
      <c r="U16" s="426"/>
      <c r="V16" s="394"/>
    </row>
    <row r="17" spans="1:24" ht="23.1" customHeight="1" x14ac:dyDescent="0.2">
      <c r="A17" s="147" t="s">
        <v>9</v>
      </c>
      <c r="B17" s="167">
        <f>9+9+6+8</f>
        <v>32</v>
      </c>
      <c r="C17" s="256">
        <f>1+3+2</f>
        <v>6</v>
      </c>
      <c r="D17" s="256">
        <f>20+18+19+22</f>
        <v>79</v>
      </c>
      <c r="E17" s="167">
        <f>5+6+2+4</f>
        <v>17</v>
      </c>
      <c r="F17" s="167">
        <f>4+4+7+6</f>
        <v>21</v>
      </c>
      <c r="G17" s="165">
        <f>17142.85+18628.57+8537.13+12000</f>
        <v>56308.549999999996</v>
      </c>
      <c r="H17" s="257">
        <f>(22628.56-0.01+0.02)+(42571.43-0.02+0.01)+(29257.12-0.04+0.04+800.01)+(59000.02-0.04)</f>
        <v>154257.09999999998</v>
      </c>
      <c r="I17" s="257">
        <v>0</v>
      </c>
      <c r="J17" s="165">
        <f>571.43+1200+571.43+380.95+571.43+1200+1142.86</f>
        <v>5638.0999999999995</v>
      </c>
      <c r="K17" s="146">
        <v>0</v>
      </c>
      <c r="L17" s="146">
        <v>0</v>
      </c>
      <c r="M17" s="165">
        <f>(571.43)+(1142.86)+(1142.88-0.02)</f>
        <v>2857.15</v>
      </c>
      <c r="N17" s="257">
        <f>14*1142.86</f>
        <v>16000.039999999999</v>
      </c>
      <c r="O17" s="171">
        <v>0</v>
      </c>
      <c r="P17" s="353">
        <f t="shared" si="0"/>
        <v>235060.93999999997</v>
      </c>
      <c r="Q17" s="355">
        <f>P17+'2. COMPR DEV 30%'!C15+'2. COMPR DEV 30%'!E15+'3. COMP VR'!C15+'3. COMP VR'!E15+'4. COMP VP'!D18+'4. COMP VP'!F18</f>
        <v>451243.16</v>
      </c>
      <c r="R17" s="355"/>
      <c r="S17" s="478"/>
      <c r="T17" s="323"/>
      <c r="U17" s="426"/>
      <c r="V17" s="394"/>
    </row>
    <row r="18" spans="1:24" ht="23.1" customHeight="1" x14ac:dyDescent="0.2">
      <c r="A18" s="147" t="s">
        <v>10</v>
      </c>
      <c r="B18" s="167">
        <f>5+11+8+6</f>
        <v>30</v>
      </c>
      <c r="C18" s="256">
        <f>3+1</f>
        <v>4</v>
      </c>
      <c r="D18" s="256">
        <f>9+22+20+14</f>
        <v>65</v>
      </c>
      <c r="E18" s="167">
        <f>4+6+3+2</f>
        <v>15</v>
      </c>
      <c r="F18" s="167">
        <f>1+5+8+5</f>
        <v>19</v>
      </c>
      <c r="G18" s="165">
        <f>6857.14+19714.27+4285.72+6857.14</f>
        <v>37714.270000000004</v>
      </c>
      <c r="H18" s="257">
        <f>(27428.6-0.03)+(59571.42-0.01+0.01)+(18217.17-0.05)+(22000.01-0.01)</f>
        <v>127217.10999999999</v>
      </c>
      <c r="I18" s="257">
        <v>0</v>
      </c>
      <c r="J18" s="165">
        <f>571.43+1142.86+1200+914.29+1028.57+800+190.48+1142.86+190.48+1200+571.43+1142.86+1142.86+1200+1142.86+800</f>
        <v>14380.98</v>
      </c>
      <c r="K18" s="146">
        <v>0</v>
      </c>
      <c r="L18" s="146">
        <v>0</v>
      </c>
      <c r="M18" s="165">
        <f>1142.86</f>
        <v>1142.8599999999999</v>
      </c>
      <c r="N18" s="257">
        <f>17*1142.86</f>
        <v>19428.62</v>
      </c>
      <c r="O18" s="171">
        <f>5956.17+10154.84</f>
        <v>16111.01</v>
      </c>
      <c r="P18" s="353">
        <f t="shared" si="0"/>
        <v>215994.85</v>
      </c>
      <c r="Q18" s="355">
        <f>P18+'2. COMPR DEV 30%'!C16+'2. COMPR DEV 30%'!E16+'3. COMP VR'!C16+'3. COMP VR'!E16+'4. COMP VP'!D19+'4. COMP VP'!F19</f>
        <v>402913.30000000005</v>
      </c>
      <c r="S18" s="478"/>
      <c r="T18" s="323"/>
      <c r="U18" s="426"/>
      <c r="V18" s="394"/>
    </row>
    <row r="19" spans="1:24" ht="23.1" customHeight="1" x14ac:dyDescent="0.2">
      <c r="A19" s="148" t="s">
        <v>12</v>
      </c>
      <c r="B19" s="167">
        <f>9+9+12+9</f>
        <v>39</v>
      </c>
      <c r="C19" s="256">
        <f>4+1+4+1+1+3</f>
        <v>14</v>
      </c>
      <c r="D19" s="256">
        <f>18+1+22+29+1+33</f>
        <v>104</v>
      </c>
      <c r="E19" s="167">
        <f>6+1+5+7+7</f>
        <v>26</v>
      </c>
      <c r="F19" s="167">
        <f>7+8+6+1+5</f>
        <v>27</v>
      </c>
      <c r="G19" s="165">
        <f>(15428.56)+(18514.28)+(25714.27)+18297.14</f>
        <v>77954.25</v>
      </c>
      <c r="H19" s="257">
        <f>(35771.46-0.05)+(33714.29-0.01)+(66085.72-0.04+5057.16)+(48457.14-0.02+0.03+533.34)</f>
        <v>189619.02000000002</v>
      </c>
      <c r="I19" s="257">
        <f>(1428.57)+(10285.71)</f>
        <v>11714.279999999999</v>
      </c>
      <c r="J19" s="165">
        <f>(142.86)+(1028.57)+571.43+571.43+600+142.86+142.86+1200+600+571.43+1200+1142.86</f>
        <v>7914.3</v>
      </c>
      <c r="K19" s="146">
        <v>0</v>
      </c>
      <c r="L19" s="146">
        <v>0</v>
      </c>
      <c r="M19" s="165">
        <f>(571.43)</f>
        <v>571.42999999999995</v>
      </c>
      <c r="N19" s="257">
        <f>8*1142.86</f>
        <v>9142.8799999999992</v>
      </c>
      <c r="O19" s="171">
        <v>0</v>
      </c>
      <c r="P19" s="353">
        <f t="shared" si="0"/>
        <v>296916.16000000003</v>
      </c>
      <c r="Q19" s="355">
        <f>P19+'2. COMPR DEV 30%'!C17+'2. COMPR DEV 30%'!E17+'3. COMP VR'!C17+'3. COMP VR'!E17+'4. COMP VP'!D20+'4. COMP VP'!F20</f>
        <v>501021.40000000008</v>
      </c>
      <c r="R19" s="356"/>
      <c r="S19" s="478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f>8+12+11+9</f>
        <v>40</v>
      </c>
      <c r="C20" s="256">
        <f>5+2+3+3</f>
        <v>13</v>
      </c>
      <c r="D20" s="256">
        <f>31+30+24+25</f>
        <v>110</v>
      </c>
      <c r="E20" s="167">
        <f>6+7+6+6</f>
        <v>25</v>
      </c>
      <c r="F20" s="167">
        <f>7+7+8+6</f>
        <v>28</v>
      </c>
      <c r="G20" s="165">
        <f>13714.28+13714.29+14571.43+18857.14</f>
        <v>60857.14</v>
      </c>
      <c r="H20" s="257">
        <f>(59742.91-0.06+0.01+2647.61)+(31371.67-0.03+0.02)+(37085.73-0.04+0.02+285.72)+(62000.01-0.03+0.01)</f>
        <v>193133.55</v>
      </c>
      <c r="I20" s="257">
        <f>5714.29</f>
        <v>5714.29</v>
      </c>
      <c r="J20" s="165">
        <f>(1142.86)+(571.43)+(1200)+(1142.86)+(1142.86)+(1200)+(1142.86)+(1142.86)+(190.48)+(800)+(1142.86)+(571.43)</f>
        <v>11390.5</v>
      </c>
      <c r="K20" s="146">
        <v>857.14</v>
      </c>
      <c r="L20" s="146">
        <v>0</v>
      </c>
      <c r="M20" s="165">
        <v>0</v>
      </c>
      <c r="N20" s="257">
        <f>18*1142.86</f>
        <v>20571.48</v>
      </c>
      <c r="O20" s="171">
        <v>0</v>
      </c>
      <c r="P20" s="353">
        <f t="shared" si="0"/>
        <v>292524.09999999998</v>
      </c>
      <c r="Q20" s="355">
        <f>P20+'2. COMPR DEV 30%'!C18+'2. COMPR DEV 30%'!E18+'3. COMP VR'!C18+'3. COMP VR'!E18+'4. COMP VP'!D21+'4. COMP VP'!F21</f>
        <v>546814.90999999992</v>
      </c>
      <c r="R20" s="358"/>
      <c r="S20" s="478"/>
      <c r="T20" s="351"/>
      <c r="U20" s="426"/>
      <c r="V20" s="394"/>
    </row>
    <row r="21" spans="1:24" ht="23.1" customHeight="1" x14ac:dyDescent="0.2">
      <c r="A21" s="150" t="s">
        <v>14</v>
      </c>
      <c r="B21" s="167">
        <f>9+9+6+7</f>
        <v>31</v>
      </c>
      <c r="C21" s="256">
        <f>1+2+3+2</f>
        <v>8</v>
      </c>
      <c r="D21" s="256">
        <f>23+20+15+16</f>
        <v>74</v>
      </c>
      <c r="E21" s="167">
        <f>4+4+4+3</f>
        <v>15</v>
      </c>
      <c r="F21" s="167">
        <f>6+7+5+6</f>
        <v>24</v>
      </c>
      <c r="G21" s="165">
        <f>9600+7714.29+7028.56+11657.14</f>
        <v>35999.990000000005</v>
      </c>
      <c r="H21" s="257">
        <f>(47257.15-0.03+0.01)+(27771.41-0.03+0.03)+(36011.43-0.02)+(49714.27+0.01)</f>
        <v>160754.23000000001</v>
      </c>
      <c r="I21" s="257">
        <v>0</v>
      </c>
      <c r="J21" s="165">
        <f>800+1200+1142.86+1142.86+1142.86+1200+1142.86+1142.86+571.43</f>
        <v>9485.73</v>
      </c>
      <c r="K21" s="146">
        <v>1904.76</v>
      </c>
      <c r="L21" s="146">
        <v>0</v>
      </c>
      <c r="M21" s="165">
        <v>0</v>
      </c>
      <c r="N21" s="257">
        <f>9*1142.86</f>
        <v>10285.74</v>
      </c>
      <c r="O21" s="171">
        <v>0</v>
      </c>
      <c r="P21" s="353">
        <f t="shared" si="0"/>
        <v>218430.45000000004</v>
      </c>
      <c r="Q21" s="355">
        <f>P21+'2. COMPR DEV 30%'!C19+'2. COMPR DEV 30%'!E19+'3. COMP VR'!C19+'3. COMP VR'!E19+'4. COMP VP'!D22+'4. COMP VP'!F22</f>
        <v>434572.56</v>
      </c>
      <c r="R21" s="356"/>
      <c r="S21" s="478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243</v>
      </c>
      <c r="C23" s="173">
        <f t="shared" si="1"/>
        <v>189</v>
      </c>
      <c r="D23" s="173">
        <f t="shared" si="1"/>
        <v>854</v>
      </c>
      <c r="E23" s="173">
        <f t="shared" si="1"/>
        <v>181</v>
      </c>
      <c r="F23" s="173">
        <f t="shared" si="1"/>
        <v>251</v>
      </c>
      <c r="G23" s="174">
        <f t="shared" si="1"/>
        <v>478011.24000000005</v>
      </c>
      <c r="H23" s="174">
        <f t="shared" si="1"/>
        <v>1500124.8499999999</v>
      </c>
      <c r="I23" s="174">
        <f t="shared" si="1"/>
        <v>64114.29</v>
      </c>
      <c r="J23" s="174">
        <f t="shared" ref="J23:O23" si="2">SUM(J11:J22)</f>
        <v>93600.159999999989</v>
      </c>
      <c r="K23" s="174">
        <f t="shared" si="2"/>
        <v>10761.9</v>
      </c>
      <c r="L23" s="174">
        <f t="shared" si="2"/>
        <v>0</v>
      </c>
      <c r="M23" s="174">
        <f t="shared" si="2"/>
        <v>8342.8799999999992</v>
      </c>
      <c r="N23" s="174">
        <f t="shared" si="2"/>
        <v>138286.05999999997</v>
      </c>
      <c r="O23" s="175">
        <f t="shared" si="2"/>
        <v>26606.71</v>
      </c>
      <c r="P23" s="359">
        <f>G23+H23+I23+J23+K23+L23+M23+N23+O23</f>
        <v>2319848.09</v>
      </c>
      <c r="Q23" s="360">
        <f>SUM(Q11:Q22)</f>
        <v>4723286.2799999993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517</v>
      </c>
      <c r="O24" s="364"/>
      <c r="Q24" s="354">
        <f>SUM(Q11:Q23)-Q23</f>
        <v>4723286.2799999993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59"/>
      <c r="I32" s="460"/>
      <c r="J32" s="461"/>
      <c r="K32" s="461"/>
      <c r="L32" s="5"/>
      <c r="M32" s="8" t="s">
        <v>128</v>
      </c>
      <c r="N32" s="459"/>
      <c r="O32" s="460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2" t="s">
        <v>486</v>
      </c>
      <c r="I34" s="2"/>
      <c r="J34" s="3"/>
      <c r="K34" s="3"/>
      <c r="L34" s="2"/>
      <c r="M34" s="4"/>
      <c r="N34" s="462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opLeftCell="A11" workbookViewId="0">
      <selection activeCell="G25" sqref="G25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2" t="s">
        <v>68</v>
      </c>
      <c r="B4" s="502"/>
      <c r="C4" s="502"/>
      <c r="D4" s="502"/>
      <c r="E4" s="502"/>
      <c r="F4" s="112"/>
      <c r="G4" s="502" t="s">
        <v>68</v>
      </c>
      <c r="H4" s="502"/>
      <c r="I4" s="502"/>
      <c r="J4" s="502"/>
      <c r="K4" s="502"/>
    </row>
    <row r="5" spans="1:11" s="10" customFormat="1" ht="9" x14ac:dyDescent="0.15">
      <c r="A5" s="502" t="s">
        <v>69</v>
      </c>
      <c r="B5" s="502"/>
      <c r="C5" s="502"/>
      <c r="D5" s="502"/>
      <c r="E5" s="502"/>
      <c r="F5" s="112"/>
      <c r="G5" s="502" t="s">
        <v>69</v>
      </c>
      <c r="H5" s="502"/>
      <c r="I5" s="502"/>
      <c r="J5" s="502"/>
      <c r="K5" s="502"/>
    </row>
    <row r="6" spans="1:11" s="10" customFormat="1" ht="9" x14ac:dyDescent="0.15">
      <c r="A6" s="506" t="s">
        <v>492</v>
      </c>
      <c r="B6" s="506"/>
      <c r="C6" s="506"/>
      <c r="D6" s="506"/>
      <c r="E6" s="506"/>
      <c r="F6" s="112"/>
      <c r="G6" s="506" t="s">
        <v>487</v>
      </c>
      <c r="H6" s="506"/>
      <c r="I6" s="506"/>
      <c r="J6" s="506"/>
      <c r="K6" s="506"/>
    </row>
    <row r="7" spans="1:11" ht="15" customHeight="1" x14ac:dyDescent="0.25">
      <c r="A7" s="127"/>
      <c r="B7" s="503" t="s">
        <v>493</v>
      </c>
      <c r="C7" s="504"/>
      <c r="D7" s="504"/>
      <c r="E7" s="505"/>
      <c r="F7" s="68"/>
      <c r="G7" s="71"/>
      <c r="H7" s="507" t="s">
        <v>491</v>
      </c>
      <c r="I7" s="508"/>
      <c r="J7" s="508"/>
      <c r="K7" s="509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5">
        <f>242.51+51.43+82.49</f>
        <v>376.43</v>
      </c>
      <c r="J12" s="465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f>3+11+1+5+9</f>
        <v>29</v>
      </c>
      <c r="C15" s="280">
        <f>135.17+360.68+57.55+246.38+332.07</f>
        <v>1131.8499999999999</v>
      </c>
      <c r="D15" s="280">
        <f>4505.54+12021.98+1918.28+8212.42+11069.09</f>
        <v>37727.31</v>
      </c>
      <c r="E15" s="279">
        <f>1216.49+3245.92+517.93+2217.35+2988.66</f>
        <v>10186.35</v>
      </c>
      <c r="F15" s="68"/>
      <c r="G15" s="76" t="s">
        <v>62</v>
      </c>
      <c r="H15" s="277">
        <f>11+7+7+6</f>
        <v>31</v>
      </c>
      <c r="I15" s="465">
        <f>316.1+248.18+360.25+269</f>
        <v>1193.53</v>
      </c>
      <c r="J15" s="465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f>5+7+3+7</f>
        <v>22</v>
      </c>
      <c r="C16" s="278">
        <f>163.27+297.78+159.71+230.9</f>
        <v>851.66</v>
      </c>
      <c r="D16" s="278">
        <f>5442.27+9925.96+5323.63+7696.66</f>
        <v>28388.52</v>
      </c>
      <c r="E16" s="279">
        <f>1469.41+2680.02+1437.38+2078.1</f>
        <v>7664.91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f>7+6+11+8</f>
        <v>32</v>
      </c>
      <c r="C17" s="278">
        <f>264.32+212.97+365.75+355.12</f>
        <v>1198.1599999999999</v>
      </c>
      <c r="D17" s="278">
        <f>8810.64+7099.16+12191.31+11837.36</f>
        <v>39938.47</v>
      </c>
      <c r="E17" s="279">
        <f>2378.88+1916.78+3291.64+3196.1</f>
        <v>10783.4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f>4+8+6+8+4</f>
        <v>30</v>
      </c>
      <c r="C18" s="278">
        <f>218.26+238.21+226.56+282.57+113.87</f>
        <v>1079.4699999999998</v>
      </c>
      <c r="D18" s="278">
        <f>7275.72+7940.57+7552.22+9418.93+3795.85</f>
        <v>35983.29</v>
      </c>
      <c r="E18" s="279">
        <f>1964.45+2143.97+2039.12+2543.1+1024.89</f>
        <v>9715.5299999999988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f>3+9+3+8</f>
        <v>23</v>
      </c>
      <c r="C19" s="278">
        <f>113.21+353.88+68.96+272.28</f>
        <v>808.32999999999993</v>
      </c>
      <c r="D19" s="278">
        <f>3773.64+11795.75+2298.55+9075.83</f>
        <v>26943.769999999997</v>
      </c>
      <c r="E19" s="279">
        <f>1018.88+3184.85+620.6+2450.48</f>
        <v>7274.8099999999995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290</v>
      </c>
      <c r="C21" s="284">
        <f>SUM(C9:C20)</f>
        <v>11018.029999999999</v>
      </c>
      <c r="D21" s="285">
        <f>SUM(D9:D20)</f>
        <v>367263.83</v>
      </c>
      <c r="E21" s="286">
        <f>SUM(E9:E20)</f>
        <v>99161.299999999988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3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517</v>
      </c>
    </row>
    <row r="23" spans="1:13" ht="15" x14ac:dyDescent="0.25">
      <c r="A23" s="470" t="s">
        <v>502</v>
      </c>
      <c r="B23" s="471"/>
      <c r="C23" s="471"/>
      <c r="D23" s="471"/>
      <c r="E23" s="471"/>
      <c r="F23" s="68"/>
      <c r="G23" s="70"/>
      <c r="H23" s="70"/>
      <c r="I23" s="70"/>
      <c r="J23" s="70"/>
      <c r="K23" s="70"/>
    </row>
    <row r="24" spans="1:13" ht="15" x14ac:dyDescent="0.25">
      <c r="A24" s="470" t="s">
        <v>503</v>
      </c>
      <c r="B24" s="471"/>
      <c r="C24" s="472"/>
      <c r="D24" s="473"/>
      <c r="E24" s="471"/>
      <c r="F24" s="68"/>
      <c r="G24" s="79"/>
      <c r="H24" s="70"/>
      <c r="I24" s="70"/>
      <c r="J24" s="70"/>
      <c r="K24" s="70"/>
      <c r="M24" s="42"/>
    </row>
    <row r="25" spans="1:13" ht="15" x14ac:dyDescent="0.25">
      <c r="A25" s="470" t="s">
        <v>504</v>
      </c>
      <c r="B25" s="471"/>
      <c r="C25" s="472"/>
      <c r="D25" s="473"/>
      <c r="E25" s="471"/>
      <c r="F25" s="68"/>
      <c r="G25" s="79"/>
      <c r="H25" s="70"/>
      <c r="I25" s="70"/>
      <c r="J25" s="70"/>
      <c r="K25" s="70"/>
      <c r="M25" s="42"/>
    </row>
    <row r="26" spans="1:13" ht="15" x14ac:dyDescent="0.25">
      <c r="A26" s="470" t="s">
        <v>505</v>
      </c>
      <c r="B26" s="471"/>
      <c r="C26" s="472"/>
      <c r="D26" s="473"/>
      <c r="E26" s="471"/>
      <c r="F26" s="68"/>
      <c r="G26" s="79"/>
      <c r="H26" s="70"/>
      <c r="I26" s="70"/>
      <c r="J26" s="70"/>
      <c r="K26" s="70"/>
      <c r="M26" s="42"/>
    </row>
    <row r="27" spans="1:13" ht="15" x14ac:dyDescent="0.25">
      <c r="A27" s="470" t="s">
        <v>506</v>
      </c>
      <c r="B27" s="471"/>
      <c r="C27" s="472"/>
      <c r="D27" s="473"/>
      <c r="E27" s="471"/>
      <c r="F27" s="68"/>
      <c r="G27" s="79"/>
      <c r="H27" s="70"/>
      <c r="I27" s="70"/>
      <c r="J27" s="70"/>
      <c r="K27" s="70"/>
      <c r="M27" s="42"/>
    </row>
    <row r="28" spans="1:13" ht="15" x14ac:dyDescent="0.25">
      <c r="A28" s="470" t="s">
        <v>507</v>
      </c>
      <c r="B28" s="471"/>
      <c r="C28" s="472"/>
      <c r="D28" s="473"/>
      <c r="E28" s="471"/>
      <c r="F28" s="68"/>
      <c r="G28" s="79"/>
      <c r="H28" s="70"/>
      <c r="I28" s="70"/>
      <c r="J28" s="70"/>
      <c r="K28" s="70"/>
      <c r="M28" s="42"/>
    </row>
    <row r="29" spans="1:13" ht="15" x14ac:dyDescent="0.25">
      <c r="A29" s="469"/>
      <c r="B29" s="70"/>
      <c r="C29" s="80"/>
      <c r="D29" s="156"/>
      <c r="E29" s="70"/>
      <c r="F29" s="68"/>
      <c r="G29" s="79"/>
      <c r="H29" s="70"/>
      <c r="I29" s="70"/>
      <c r="J29" s="70"/>
      <c r="K29" s="70"/>
      <c r="M29" s="42"/>
    </row>
    <row r="30" spans="1:13" ht="15" x14ac:dyDescent="0.25">
      <c r="A30" s="79"/>
      <c r="B30" s="70"/>
      <c r="C30" s="80"/>
      <c r="D30" s="156"/>
      <c r="E30" s="70"/>
      <c r="F30" s="68"/>
      <c r="G30" s="79"/>
      <c r="H30" s="70"/>
      <c r="I30" s="70"/>
      <c r="J30" s="70"/>
      <c r="K30" s="70"/>
      <c r="M30" s="42"/>
    </row>
    <row r="31" spans="1:13" x14ac:dyDescent="0.2">
      <c r="A31" s="70"/>
      <c r="B31" s="8" t="s">
        <v>482</v>
      </c>
      <c r="C31" s="459"/>
      <c r="D31" s="460"/>
      <c r="E31" s="461"/>
      <c r="F31" s="461"/>
      <c r="G31" s="5"/>
      <c r="H31" s="8" t="s">
        <v>128</v>
      </c>
      <c r="I31" s="459"/>
      <c r="J31" s="460"/>
      <c r="K31" s="362"/>
    </row>
    <row r="32" spans="1:13" x14ac:dyDescent="0.2">
      <c r="A32" s="79"/>
      <c r="B32" s="15"/>
      <c r="C32" s="9" t="s">
        <v>483</v>
      </c>
      <c r="D32" s="2"/>
      <c r="E32" s="6"/>
      <c r="F32" s="6"/>
      <c r="G32" s="5"/>
      <c r="H32" s="15"/>
      <c r="I32" s="9" t="s">
        <v>485</v>
      </c>
      <c r="J32" s="2"/>
      <c r="K32" s="351"/>
    </row>
    <row r="33" spans="1:11" x14ac:dyDescent="0.2">
      <c r="A33" s="70"/>
      <c r="B33" s="4"/>
      <c r="C33" s="462" t="s">
        <v>486</v>
      </c>
      <c r="D33" s="2"/>
      <c r="E33" s="3"/>
      <c r="F33" s="3"/>
      <c r="G33" s="2"/>
      <c r="H33" s="4"/>
      <c r="I33" s="462" t="s">
        <v>484</v>
      </c>
      <c r="J33" s="2"/>
      <c r="K33" s="351"/>
    </row>
    <row r="34" spans="1:11" ht="15" x14ac:dyDescent="0.25">
      <c r="A34" s="68"/>
      <c r="B34" s="68"/>
      <c r="C34" s="81"/>
      <c r="E34" s="68"/>
      <c r="F34" s="70"/>
      <c r="G34" s="68"/>
      <c r="H34" s="68"/>
      <c r="I34" s="70"/>
      <c r="J34" s="70"/>
      <c r="K34" s="68"/>
    </row>
    <row r="35" spans="1:11" ht="15" x14ac:dyDescent="0.25">
      <c r="A35" s="68"/>
      <c r="B35" s="68"/>
      <c r="C35" s="70"/>
      <c r="E35" s="68"/>
      <c r="F35" s="82"/>
      <c r="G35" s="68"/>
      <c r="H35" s="68"/>
      <c r="I35" s="70"/>
      <c r="J35" s="70"/>
      <c r="K35" s="68"/>
    </row>
    <row r="36" spans="1:11" ht="15" x14ac:dyDescent="0.25">
      <c r="A36" s="83"/>
      <c r="B36" s="68"/>
      <c r="C36" s="70"/>
      <c r="D36" s="42"/>
      <c r="E36" s="68"/>
      <c r="F36" s="79"/>
      <c r="G36" s="83"/>
      <c r="H36" s="68"/>
      <c r="I36" s="70"/>
      <c r="J36" s="70"/>
      <c r="K36" s="68"/>
    </row>
    <row r="37" spans="1:11" ht="15" x14ac:dyDescent="0.25">
      <c r="A37" s="81"/>
      <c r="B37" s="68"/>
      <c r="C37" s="81"/>
      <c r="D37" s="81"/>
      <c r="E37" s="81"/>
      <c r="F37" s="68"/>
      <c r="G37" s="68"/>
      <c r="H37" s="68"/>
      <c r="I37" s="68"/>
      <c r="J37" s="68"/>
      <c r="K37" s="68"/>
    </row>
    <row r="38" spans="1:11" ht="15" x14ac:dyDescent="0.25">
      <c r="A38" s="68"/>
      <c r="B38" s="68"/>
      <c r="C38" s="68"/>
      <c r="D38" s="68"/>
      <c r="E38" s="68"/>
    </row>
    <row r="39" spans="1:11" ht="15" x14ac:dyDescent="0.25">
      <c r="A39" s="68"/>
      <c r="B39" s="68"/>
      <c r="C39" s="68"/>
      <c r="D39" s="68"/>
      <c r="E39" s="68"/>
    </row>
    <row r="40" spans="1:11" ht="15" x14ac:dyDescent="0.25">
      <c r="A40" s="68"/>
      <c r="B40" s="68"/>
      <c r="C40" s="68"/>
      <c r="D40" s="68"/>
      <c r="E40" s="68"/>
    </row>
    <row r="41" spans="1:11" ht="15" x14ac:dyDescent="0.25">
      <c r="A41" s="70"/>
      <c r="B41" s="68"/>
      <c r="C41" s="68"/>
      <c r="D41" s="68"/>
      <c r="E41" s="68"/>
    </row>
    <row r="42" spans="1:11" x14ac:dyDescent="0.2">
      <c r="A42" s="84"/>
      <c r="B42" s="70"/>
      <c r="C42" s="70"/>
      <c r="D42" s="70"/>
      <c r="E42" s="70"/>
    </row>
    <row r="43" spans="1:11" ht="15" x14ac:dyDescent="0.25">
      <c r="A43" s="68"/>
      <c r="B43" s="81"/>
      <c r="C43" s="81"/>
      <c r="D43" s="81"/>
      <c r="E43" s="70"/>
    </row>
    <row r="44" spans="1:11" ht="15" x14ac:dyDescent="0.25">
      <c r="A44" s="68"/>
      <c r="B44" s="81"/>
      <c r="C44" s="81"/>
      <c r="D44" s="81"/>
      <c r="E44" s="70"/>
    </row>
    <row r="45" spans="1:11" x14ac:dyDescent="0.2">
      <c r="A45" s="70"/>
      <c r="B45" s="70"/>
      <c r="C45" s="70"/>
      <c r="D45" s="70"/>
      <c r="E45" s="70"/>
    </row>
    <row r="46" spans="1:11" x14ac:dyDescent="0.2">
      <c r="A46" s="70"/>
      <c r="B46" s="70"/>
      <c r="C46" s="70"/>
      <c r="D46" s="70"/>
      <c r="E46" s="70"/>
    </row>
    <row r="47" spans="1:11" x14ac:dyDescent="0.2">
      <c r="A47" s="70"/>
      <c r="B47" s="70"/>
      <c r="C47" s="70"/>
      <c r="D47" s="70"/>
      <c r="E47" s="70"/>
    </row>
    <row r="48" spans="1:11" x14ac:dyDescent="0.2">
      <c r="A48" s="70"/>
      <c r="B48" s="70"/>
      <c r="C48" s="70"/>
      <c r="D48" s="70"/>
      <c r="E48" s="70"/>
    </row>
    <row r="49" spans="1:5" x14ac:dyDescent="0.2">
      <c r="A49" s="70"/>
      <c r="B49" s="70"/>
      <c r="C49" s="70"/>
      <c r="D49" s="70"/>
      <c r="E49" s="70"/>
    </row>
    <row r="50" spans="1:5" x14ac:dyDescent="0.2">
      <c r="A50" s="70"/>
      <c r="B50" s="70"/>
      <c r="C50" s="70"/>
      <c r="D50" s="70"/>
      <c r="E50" s="70"/>
    </row>
    <row r="51" spans="1:5" x14ac:dyDescent="0.2">
      <c r="A51" s="70"/>
      <c r="B51" s="70"/>
      <c r="C51" s="70"/>
      <c r="D51" s="70"/>
      <c r="E51" s="70"/>
    </row>
    <row r="52" spans="1:5" x14ac:dyDescent="0.2">
      <c r="A52" s="70"/>
      <c r="B52" s="70"/>
      <c r="C52" s="70"/>
      <c r="D52" s="70"/>
      <c r="E52" s="70"/>
    </row>
    <row r="53" spans="1:5" x14ac:dyDescent="0.2">
      <c r="A53" s="70"/>
      <c r="B53" s="70"/>
      <c r="C53" s="70"/>
      <c r="D53" s="70"/>
      <c r="E53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D25" sqref="D25"/>
    </sheetView>
  </sheetViews>
  <sheetFormatPr baseColWidth="10" defaultRowHeight="12.75" x14ac:dyDescent="0.2"/>
  <cols>
    <col min="1" max="1" width="12.710937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57031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10" t="s">
        <v>76</v>
      </c>
      <c r="B4" s="510"/>
      <c r="C4" s="510"/>
      <c r="D4" s="510"/>
      <c r="E4" s="510"/>
      <c r="F4" s="2"/>
      <c r="G4" s="510" t="s">
        <v>76</v>
      </c>
      <c r="H4" s="510"/>
      <c r="I4" s="510"/>
      <c r="J4" s="510"/>
      <c r="K4" s="510"/>
    </row>
    <row r="5" spans="1:14" x14ac:dyDescent="0.2">
      <c r="A5" s="510" t="s">
        <v>494</v>
      </c>
      <c r="B5" s="510"/>
      <c r="C5" s="510"/>
      <c r="D5" s="510"/>
      <c r="E5" s="510"/>
      <c r="F5" s="2"/>
      <c r="G5" s="510" t="s">
        <v>488</v>
      </c>
      <c r="H5" s="510"/>
      <c r="I5" s="510"/>
      <c r="J5" s="510"/>
      <c r="K5" s="510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3" t="str">
        <f>'2. COMPR DEV 30%'!B7:E7</f>
        <v>DEL 01 DE ENERO AL 31 DE DICIEMBRE DEL AÑO 2023</v>
      </c>
      <c r="C7" s="504"/>
      <c r="D7" s="504"/>
      <c r="E7" s="505"/>
      <c r="G7" s="19"/>
      <c r="H7" s="511" t="s">
        <v>491</v>
      </c>
      <c r="I7" s="512"/>
      <c r="J7" s="512"/>
      <c r="K7" s="513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6">
        <f>8.12+14.53+8.48+22.13</f>
        <v>53.26</v>
      </c>
      <c r="J9" s="466">
        <f>4728.27+10811.43+13975.72+19573.03</f>
        <v>49088.45</v>
      </c>
      <c r="K9" s="466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6">
        <f>41.5+12.89+44.41+57.64</f>
        <v>156.44</v>
      </c>
      <c r="J10" s="466">
        <f>38034.94+12572.96+26573.64+38432.83</f>
        <v>115614.37000000001</v>
      </c>
      <c r="K10" s="466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6">
        <f>26.4+17.8+13.36+30.92+8.19</f>
        <v>96.67</v>
      </c>
      <c r="J11" s="466">
        <f>16989.91+11625.92+19453.72+23149.07+10675.57</f>
        <v>81894.19</v>
      </c>
      <c r="K11" s="466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6">
        <f>30.2+35.31+42.06</f>
        <v>107.57000000000001</v>
      </c>
      <c r="J12" s="466">
        <f>12705.15+19827.01+22146.87</f>
        <v>54679.03</v>
      </c>
      <c r="K12" s="466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6">
        <f>35.73+15.82+22.98+36.68+35.24</f>
        <v>146.45000000000002</v>
      </c>
      <c r="J13" s="466">
        <f>14318.02+11688.94+16149.98+21805.3+21142.34</f>
        <v>85104.58</v>
      </c>
      <c r="K13" s="466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6">
        <f>7.88+18.04+28.04+33.37</f>
        <v>87.329999999999984</v>
      </c>
      <c r="J14" s="466">
        <f>7397.12+13551.25+14063.32+22236.39</f>
        <v>57248.08</v>
      </c>
      <c r="K14" s="466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f>12+12+30+19</f>
        <v>73</v>
      </c>
      <c r="C15" s="300">
        <f>23.1+35.52+29.12+2.52</f>
        <v>90.26</v>
      </c>
      <c r="D15" s="300">
        <f>10693.5+17083.91+22091.59+11362.91</f>
        <v>61231.91</v>
      </c>
      <c r="E15" s="300">
        <f>9973.89+17051.17+22062.47+9400.43</f>
        <v>58487.96</v>
      </c>
      <c r="G15" s="29" t="s">
        <v>62</v>
      </c>
      <c r="H15" s="299">
        <f>15+16+17+13</f>
        <v>61</v>
      </c>
      <c r="I15" s="466">
        <f>13.06+31.69+28.21+20.17</f>
        <v>93.13000000000001</v>
      </c>
      <c r="J15" s="466">
        <f>16970.02+16378.84+14596.22+16761.39</f>
        <v>64706.47</v>
      </c>
      <c r="K15" s="466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f>12+28+26+23</f>
        <v>89</v>
      </c>
      <c r="C16" s="300">
        <f>27.82+25.62+55.7+14.53</f>
        <v>123.67</v>
      </c>
      <c r="D16" s="300">
        <f>13874.57+22360.14+35389.12+18086.16</f>
        <v>89709.99</v>
      </c>
      <c r="E16" s="300">
        <f>12993.52+20630.33+32222.33+15860.49</f>
        <v>81706.670000000013</v>
      </c>
      <c r="G16" s="29" t="s">
        <v>63</v>
      </c>
      <c r="H16" s="299">
        <f>14+9+17+9</f>
        <v>49</v>
      </c>
      <c r="I16" s="466">
        <f>8.01+12.93+29.54+12.78</f>
        <v>63.26</v>
      </c>
      <c r="J16" s="466">
        <f>15853.38+15638.17+15574.26+6631.89</f>
        <v>53697.7</v>
      </c>
      <c r="K16" s="466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f>29+14+26+16</f>
        <v>85</v>
      </c>
      <c r="C17" s="300">
        <f>57.9+15.97+57.94+18.01</f>
        <v>149.82</v>
      </c>
      <c r="D17" s="300">
        <f>27631.42+9825.47+20194.73+14356.08</f>
        <v>72007.7</v>
      </c>
      <c r="E17" s="300">
        <f>26050.88+8544.02+18317.1+12776.04</f>
        <v>65688.040000000008</v>
      </c>
      <c r="G17" s="29" t="s">
        <v>75</v>
      </c>
      <c r="H17" s="299">
        <f>1+23+18+19+19</f>
        <v>80</v>
      </c>
      <c r="I17" s="466">
        <f>36.69+24.64+5.04+28.53</f>
        <v>94.9</v>
      </c>
      <c r="J17" s="466">
        <f>864.96+21628.69+13168.03+17408.72+20975.4</f>
        <v>74045.8</v>
      </c>
      <c r="K17" s="466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f>9+28+16+22+11</f>
        <v>86</v>
      </c>
      <c r="C18" s="300">
        <f>1.27+41.73+25.7+27.88+4.38</f>
        <v>100.96</v>
      </c>
      <c r="D18" s="300">
        <f>5550.69+33969.78+13216.32+18174.21+21323.19</f>
        <v>92234.19</v>
      </c>
      <c r="E18" s="300">
        <f>4695.32+32047.11+12485+16469.09+19412.49</f>
        <v>85109.010000000009</v>
      </c>
      <c r="G18" s="29" t="s">
        <v>64</v>
      </c>
      <c r="H18" s="299">
        <f>17+20+22+29</f>
        <v>88</v>
      </c>
      <c r="I18" s="467">
        <f>45.78+37.74+17.88+19.76</f>
        <v>121.16000000000001</v>
      </c>
      <c r="J18" s="467">
        <f>21139.22+22583.36+22775.29+23556.79</f>
        <v>90054.66</v>
      </c>
      <c r="K18" s="467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f>12+24+35+23</f>
        <v>94</v>
      </c>
      <c r="C19" s="300">
        <f>16.51+40.02+45.11+58.52</f>
        <v>160.16</v>
      </c>
      <c r="D19" s="300">
        <f>11204.46+23798.16+31994.89+26764.5</f>
        <v>93762.01</v>
      </c>
      <c r="E19" s="300">
        <f>10710.23+21799.75+29106.43+25139.45</f>
        <v>86755.86</v>
      </c>
      <c r="G19" s="29" t="s">
        <v>65</v>
      </c>
      <c r="H19" s="299">
        <f>14+13+22+29+21</f>
        <v>99</v>
      </c>
      <c r="I19" s="466">
        <f>16.01+10.29+41.89+33.05+17.36</f>
        <v>118.6</v>
      </c>
      <c r="J19" s="466">
        <f>9760.16+14945.96+23225.65+26435.06+15518.42</f>
        <v>89885.25</v>
      </c>
      <c r="K19" s="466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6">
        <f>37.7+20.34+64.07</f>
        <v>122.11</v>
      </c>
      <c r="J20" s="466">
        <f>21120.52+29838.32+45065.01</f>
        <v>96023.85</v>
      </c>
      <c r="K20" s="466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886</v>
      </c>
      <c r="C21" s="157">
        <f>SUM(C9:C20)</f>
        <v>1272.68</v>
      </c>
      <c r="D21" s="157">
        <f>SUM(D9:D20)</f>
        <v>864136.99</v>
      </c>
      <c r="E21" s="157">
        <f>SUM(E9:E20)</f>
        <v>802270.56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517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5"/>
      <c r="D27" s="435"/>
      <c r="E27" s="435"/>
      <c r="F27" s="2"/>
    </row>
    <row r="28" spans="1:14" x14ac:dyDescent="0.2">
      <c r="A28" s="5"/>
      <c r="B28" s="8" t="s">
        <v>482</v>
      </c>
      <c r="C28" s="459"/>
      <c r="D28" s="460"/>
      <c r="E28" s="461"/>
      <c r="F28" s="461"/>
      <c r="G28" s="5"/>
      <c r="H28" s="8" t="s">
        <v>128</v>
      </c>
      <c r="I28" s="459"/>
      <c r="J28" s="460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2" t="s">
        <v>486</v>
      </c>
      <c r="D30" s="2"/>
      <c r="E30" s="3"/>
      <c r="F30" s="3"/>
      <c r="G30" s="2"/>
      <c r="H30" s="4"/>
      <c r="I30" s="462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8"/>
  <sheetViews>
    <sheetView topLeftCell="A10" workbookViewId="0">
      <selection activeCell="B22" sqref="B22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0" t="s">
        <v>77</v>
      </c>
      <c r="C8" s="510"/>
      <c r="D8" s="510"/>
      <c r="E8" s="510"/>
      <c r="F8" s="510"/>
      <c r="G8" s="2"/>
      <c r="H8" s="510" t="s">
        <v>77</v>
      </c>
      <c r="I8" s="510"/>
      <c r="J8" s="510"/>
      <c r="K8" s="510"/>
      <c r="L8" s="510"/>
    </row>
    <row r="9" spans="2:15" x14ac:dyDescent="0.2">
      <c r="B9" s="514" t="s">
        <v>495</v>
      </c>
      <c r="C9" s="514"/>
      <c r="D9" s="514"/>
      <c r="E9" s="514"/>
      <c r="F9" s="514"/>
      <c r="G9" s="2"/>
      <c r="H9" s="514" t="s">
        <v>497</v>
      </c>
      <c r="I9" s="514"/>
      <c r="J9" s="514"/>
      <c r="K9" s="514"/>
      <c r="L9" s="514"/>
    </row>
    <row r="10" spans="2:15" ht="12.75" customHeight="1" x14ac:dyDescent="0.2">
      <c r="B10" s="19"/>
      <c r="C10" s="503" t="s">
        <v>496</v>
      </c>
      <c r="D10" s="504"/>
      <c r="E10" s="504"/>
      <c r="F10" s="505"/>
      <c r="H10" s="19"/>
      <c r="I10" s="511" t="s">
        <v>491</v>
      </c>
      <c r="J10" s="512"/>
      <c r="K10" s="512"/>
      <c r="L10" s="515"/>
    </row>
    <row r="11" spans="2:15" ht="45" x14ac:dyDescent="0.2">
      <c r="B11" s="33" t="s">
        <v>70</v>
      </c>
      <c r="C11" s="40" t="s">
        <v>114</v>
      </c>
      <c r="D11" s="35" t="s">
        <v>72</v>
      </c>
      <c r="E11" s="431" t="s">
        <v>73</v>
      </c>
      <c r="F11" s="433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6">
        <f>57.24+183.18+41.57+116.58</f>
        <v>398.57</v>
      </c>
      <c r="K12" s="466">
        <f>10856.4+33025.8+8155.8+20548.8</f>
        <v>72586.8</v>
      </c>
      <c r="L12" s="466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2">
        <f>51419.4+8106+11406.6+6557.15</f>
        <v>77489.149999999994</v>
      </c>
      <c r="F13" s="434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2">
        <f>16264.2+31936.2+36779.4+13489.8</f>
        <v>98469.6</v>
      </c>
      <c r="L13" s="434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f>13+19+29+17</f>
        <v>78</v>
      </c>
      <c r="D18" s="36">
        <f>103.54+157.78+307.18+116.19</f>
        <v>684.69</v>
      </c>
      <c r="E18" s="36">
        <f>18964.84+38175.95+58957.72+20552.57</f>
        <v>136651.07999999999</v>
      </c>
      <c r="F18" s="30">
        <f>19896.47+41556.53+62549.99+21598.12</f>
        <v>145601.10999999999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f>14+25+15+1+5</f>
        <v>60</v>
      </c>
      <c r="D19" s="36">
        <f>88.19+172.57+113.22+8.08+50.56</f>
        <v>432.62</v>
      </c>
      <c r="E19" s="36">
        <f>17503.8+43598.4+19439.4+1062+8065.8</f>
        <v>89669.400000000009</v>
      </c>
      <c r="F19" s="30">
        <f>18768.97+47256.05+20458.24+1134.78+8520.88</f>
        <v>96138.920000000013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f>15+29+21+3</f>
        <v>68</v>
      </c>
      <c r="D20" s="36">
        <f>109.35+226.7+176.15+13</f>
        <v>525.19999999999993</v>
      </c>
      <c r="E20" s="36">
        <f>29462.4+50230.2+30810.09+6233.4</f>
        <v>116736.09</v>
      </c>
      <c r="F20" s="30">
        <f>32462.1+54059.07+32395.3+6844.15</f>
        <v>125760.62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15+29+20+10+6</f>
        <v>80</v>
      </c>
      <c r="D21" s="36">
        <f>203.23+327.56+195.47+101.58+25.32</f>
        <v>853.16000000000008</v>
      </c>
      <c r="E21" s="36">
        <f>35110.8+60391.2+32902.87+16698.6+4318.2</f>
        <v>149421.67000000001</v>
      </c>
      <c r="F21" s="30">
        <f>36939.65+63672.48+34661.71+17612.72+4546.12</f>
        <v>157432.68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f>18+22+16+9</f>
        <v>65</v>
      </c>
      <c r="D22" s="36">
        <f>197.11+188.43+143.22+108.15</f>
        <v>636.91</v>
      </c>
      <c r="E22" s="36">
        <f>35172+35662.8+23710.8+19719.6</f>
        <v>114265.20000000001</v>
      </c>
      <c r="F22" s="30">
        <f>36945.77+37525.89+24999.68+21034.7</f>
        <v>120506.04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834</v>
      </c>
      <c r="D24" s="37">
        <f>SUM(D12:D23)</f>
        <v>7424.07</v>
      </c>
      <c r="E24" s="105">
        <f>SUM(E12:E23)</f>
        <v>1402236.5299999998</v>
      </c>
      <c r="F24" s="32">
        <f>SUM(F12:F23)</f>
        <v>1482291.55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517</v>
      </c>
      <c r="L25" s="8"/>
      <c r="M25" s="42"/>
    </row>
    <row r="26" spans="1:16" x14ac:dyDescent="0.2">
      <c r="I26" s="5"/>
      <c r="N26" s="11"/>
    </row>
    <row r="27" spans="1:16" x14ac:dyDescent="0.2">
      <c r="B27" s="470" t="s">
        <v>508</v>
      </c>
      <c r="C27" s="471"/>
      <c r="D27" s="471"/>
      <c r="E27" s="471"/>
      <c r="F27" s="471"/>
      <c r="I27" s="5"/>
      <c r="N27" s="11"/>
    </row>
    <row r="28" spans="1:16" x14ac:dyDescent="0.2">
      <c r="B28" s="470" t="s">
        <v>511</v>
      </c>
      <c r="C28" s="471"/>
      <c r="D28" s="472"/>
      <c r="E28" s="473"/>
      <c r="F28" s="471"/>
      <c r="I28" s="5"/>
      <c r="N28" s="11"/>
    </row>
    <row r="29" spans="1:16" x14ac:dyDescent="0.2">
      <c r="B29" s="470" t="s">
        <v>509</v>
      </c>
      <c r="C29" s="471"/>
      <c r="D29" s="472"/>
      <c r="E29" s="473"/>
      <c r="F29" s="471"/>
      <c r="I29" s="5"/>
      <c r="N29" s="11"/>
    </row>
    <row r="30" spans="1:16" x14ac:dyDescent="0.2">
      <c r="B30" s="470" t="s">
        <v>510</v>
      </c>
      <c r="C30" s="471"/>
      <c r="D30" s="472"/>
      <c r="E30" s="473"/>
      <c r="F30" s="471"/>
      <c r="I30" s="5"/>
      <c r="N30" s="11"/>
    </row>
    <row r="31" spans="1:16" x14ac:dyDescent="0.2">
      <c r="B31" s="470" t="s">
        <v>512</v>
      </c>
      <c r="C31" s="471"/>
      <c r="D31" s="472"/>
      <c r="E31" s="473"/>
      <c r="F31" s="471"/>
      <c r="I31" s="5"/>
      <c r="N31" s="11"/>
    </row>
    <row r="32" spans="1:16" x14ac:dyDescent="0.2">
      <c r="A32" s="5"/>
      <c r="B32" s="470" t="s">
        <v>513</v>
      </c>
      <c r="C32" s="471"/>
      <c r="D32" s="472"/>
      <c r="E32" s="473"/>
      <c r="F32" s="471"/>
      <c r="G32" s="2"/>
    </row>
    <row r="33" spans="1:14" x14ac:dyDescent="0.2">
      <c r="B33" s="470" t="s">
        <v>514</v>
      </c>
      <c r="C33" s="471"/>
      <c r="D33" s="472"/>
      <c r="E33" s="473"/>
      <c r="F33" s="471"/>
    </row>
    <row r="34" spans="1:14" x14ac:dyDescent="0.2">
      <c r="B34" s="470" t="s">
        <v>516</v>
      </c>
      <c r="C34" s="471"/>
      <c r="D34" s="472"/>
      <c r="E34" s="473"/>
      <c r="F34" s="471"/>
      <c r="N34" s="11"/>
    </row>
    <row r="35" spans="1:14" x14ac:dyDescent="0.2">
      <c r="B35" s="470" t="s">
        <v>515</v>
      </c>
      <c r="C35" s="474"/>
      <c r="D35" s="475"/>
      <c r="E35" s="475"/>
      <c r="F35" s="474"/>
    </row>
    <row r="36" spans="1:14" x14ac:dyDescent="0.2">
      <c r="B36" s="469"/>
      <c r="D36" s="4"/>
      <c r="E36" s="4"/>
    </row>
    <row r="37" spans="1:14" x14ac:dyDescent="0.2">
      <c r="B37" s="2"/>
      <c r="C37" s="8" t="s">
        <v>482</v>
      </c>
      <c r="D37" s="459"/>
      <c r="E37" s="460"/>
      <c r="F37" s="461"/>
      <c r="G37" s="461"/>
      <c r="H37" s="5"/>
      <c r="I37" s="8" t="s">
        <v>128</v>
      </c>
      <c r="J37" s="459"/>
      <c r="K37" s="460"/>
      <c r="L37" s="362"/>
    </row>
    <row r="38" spans="1:14" x14ac:dyDescent="0.2">
      <c r="A38" s="2"/>
      <c r="B38" s="34"/>
      <c r="C38" s="15"/>
      <c r="D38" s="9" t="s">
        <v>483</v>
      </c>
      <c r="E38" s="2"/>
      <c r="F38" s="6"/>
      <c r="G38" s="6"/>
      <c r="H38" s="5"/>
      <c r="I38" s="15"/>
      <c r="J38" s="9" t="s">
        <v>485</v>
      </c>
      <c r="K38" s="2"/>
      <c r="L38" s="351"/>
      <c r="M38" s="5"/>
    </row>
    <row r="39" spans="1:14" x14ac:dyDescent="0.2">
      <c r="A39" s="41"/>
      <c r="B39" s="41"/>
      <c r="C39" s="4"/>
      <c r="D39" s="462" t="s">
        <v>486</v>
      </c>
      <c r="E39" s="2"/>
      <c r="F39" s="3"/>
      <c r="G39" s="3"/>
      <c r="H39" s="2"/>
      <c r="I39" s="4"/>
      <c r="J39" s="462" t="s">
        <v>484</v>
      </c>
      <c r="K39" s="2"/>
      <c r="L39" s="351"/>
      <c r="M39" s="5"/>
    </row>
    <row r="40" spans="1:14" x14ac:dyDescent="0.2">
      <c r="B40" s="5"/>
      <c r="C40" s="2"/>
      <c r="D40" s="2"/>
      <c r="E40" s="2"/>
      <c r="F40" s="5"/>
      <c r="G40" s="5"/>
      <c r="H40" s="5"/>
      <c r="I40" s="5"/>
      <c r="J40" s="5"/>
      <c r="K40" s="5"/>
      <c r="L40" s="5"/>
      <c r="M40" s="5"/>
    </row>
    <row r="41" spans="1:14" x14ac:dyDescent="0.2">
      <c r="B41" s="2"/>
      <c r="C41" s="2"/>
      <c r="D41" s="2"/>
      <c r="E41" s="2"/>
      <c r="F41" s="2"/>
      <c r="G41" s="2"/>
    </row>
    <row r="42" spans="1:14" x14ac:dyDescent="0.2">
      <c r="F42" s="2"/>
      <c r="G42" s="2"/>
    </row>
    <row r="43" spans="1:14" x14ac:dyDescent="0.2">
      <c r="F43" s="2"/>
      <c r="G43" s="2"/>
    </row>
    <row r="44" spans="1:14" x14ac:dyDescent="0.2">
      <c r="F44" s="2"/>
      <c r="G44" s="2"/>
    </row>
    <row r="45" spans="1:14" x14ac:dyDescent="0.2">
      <c r="B45" s="2"/>
      <c r="C45" s="2"/>
      <c r="D45" s="2"/>
      <c r="E45" s="2"/>
      <c r="F45" s="2"/>
      <c r="G45" s="2"/>
    </row>
    <row r="46" spans="1:14" x14ac:dyDescent="0.2">
      <c r="B46" s="2"/>
      <c r="C46" s="2"/>
      <c r="D46" s="2"/>
      <c r="E46" s="2"/>
      <c r="F46" s="2"/>
      <c r="G46" s="2"/>
    </row>
    <row r="47" spans="1:14" x14ac:dyDescent="0.2">
      <c r="B47" s="2"/>
      <c r="C47" s="2"/>
      <c r="D47" s="2"/>
      <c r="E47" s="2"/>
      <c r="F47" s="2"/>
      <c r="G47" s="2"/>
    </row>
    <row r="48" spans="1:14" x14ac:dyDescent="0.2">
      <c r="B48" s="2"/>
      <c r="C48" s="2"/>
      <c r="D48" s="2"/>
      <c r="E48" s="2"/>
      <c r="F48" s="2"/>
      <c r="G48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41" t="s">
        <v>194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2:18" x14ac:dyDescent="0.2">
      <c r="B4" s="538" t="s">
        <v>474</v>
      </c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2" t="s">
        <v>202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296">
        <f>C25</f>
        <v>48</v>
      </c>
      <c r="N6" s="187"/>
      <c r="O6" s="187"/>
      <c r="P6" s="187"/>
    </row>
    <row r="7" spans="2:18" ht="12" thickBot="1" x14ac:dyDescent="0.25"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</row>
    <row r="8" spans="2:18" ht="12.75" thickBot="1" x14ac:dyDescent="0.25">
      <c r="B8" s="544" t="s">
        <v>19</v>
      </c>
      <c r="C8" s="545"/>
      <c r="D8" s="544" t="s">
        <v>172</v>
      </c>
      <c r="E8" s="546"/>
      <c r="F8" s="538"/>
      <c r="G8" s="525" t="s">
        <v>21</v>
      </c>
      <c r="H8" s="527"/>
      <c r="I8" s="537">
        <f>SUM(I10:I32)</f>
        <v>0</v>
      </c>
      <c r="J8" s="525" t="s">
        <v>20</v>
      </c>
      <c r="K8" s="527"/>
      <c r="L8" s="524"/>
      <c r="M8" s="525" t="s">
        <v>22</v>
      </c>
      <c r="N8" s="526"/>
      <c r="O8" s="526"/>
      <c r="P8" s="527"/>
    </row>
    <row r="9" spans="2:18" ht="12.75" thickBot="1" x14ac:dyDescent="0.25">
      <c r="B9" s="516" t="s">
        <v>23</v>
      </c>
      <c r="C9" s="517"/>
      <c r="D9" s="225" t="s">
        <v>173</v>
      </c>
      <c r="E9" s="224" t="s">
        <v>174</v>
      </c>
      <c r="F9" s="538"/>
      <c r="G9" s="518" t="s">
        <v>26</v>
      </c>
      <c r="H9" s="519"/>
      <c r="I9" s="537"/>
      <c r="J9" s="518" t="s">
        <v>25</v>
      </c>
      <c r="K9" s="519"/>
      <c r="L9" s="524"/>
      <c r="M9" s="520" t="s">
        <v>27</v>
      </c>
      <c r="N9" s="521"/>
      <c r="O9" s="522" t="s">
        <v>29</v>
      </c>
      <c r="P9" s="523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8"/>
      <c r="G10" s="221" t="s">
        <v>184</v>
      </c>
      <c r="H10" s="234">
        <v>0</v>
      </c>
      <c r="I10" s="537"/>
      <c r="J10" s="190" t="s">
        <v>152</v>
      </c>
      <c r="K10" s="228">
        <v>0</v>
      </c>
      <c r="L10" s="524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8"/>
      <c r="G11" s="207" t="s">
        <v>185</v>
      </c>
      <c r="H11" s="232">
        <v>5</v>
      </c>
      <c r="I11" s="537"/>
      <c r="J11" s="190" t="s">
        <v>177</v>
      </c>
      <c r="K11" s="228">
        <v>1</v>
      </c>
      <c r="L11" s="524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8"/>
      <c r="G12" s="207" t="s">
        <v>35</v>
      </c>
      <c r="H12" s="232">
        <v>7</v>
      </c>
      <c r="I12" s="537"/>
      <c r="J12" s="190" t="s">
        <v>110</v>
      </c>
      <c r="K12" s="228">
        <v>1</v>
      </c>
      <c r="L12" s="524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8"/>
      <c r="G13" s="207" t="s">
        <v>38</v>
      </c>
      <c r="H13" s="232">
        <v>11</v>
      </c>
      <c r="I13" s="537"/>
      <c r="J13" s="190" t="s">
        <v>111</v>
      </c>
      <c r="K13" s="228">
        <v>0</v>
      </c>
      <c r="L13" s="524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8"/>
      <c r="G14" s="207" t="s">
        <v>181</v>
      </c>
      <c r="H14" s="232">
        <v>10</v>
      </c>
      <c r="I14" s="537"/>
      <c r="J14" s="190" t="s">
        <v>186</v>
      </c>
      <c r="K14" s="228">
        <v>0</v>
      </c>
      <c r="L14" s="524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8"/>
      <c r="G15" s="222" t="s">
        <v>182</v>
      </c>
      <c r="H15" s="232">
        <v>11</v>
      </c>
      <c r="I15" s="537"/>
      <c r="J15" s="190" t="s">
        <v>112</v>
      </c>
      <c r="K15" s="228">
        <v>0</v>
      </c>
      <c r="L15" s="524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8"/>
      <c r="G16" s="222" t="s">
        <v>183</v>
      </c>
      <c r="H16" s="232">
        <v>4</v>
      </c>
      <c r="I16" s="537"/>
      <c r="J16" s="190" t="s">
        <v>47</v>
      </c>
      <c r="K16" s="228">
        <v>1</v>
      </c>
      <c r="L16" s="524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8"/>
      <c r="G17" s="223" t="s">
        <v>138</v>
      </c>
      <c r="H17" s="233">
        <v>0</v>
      </c>
      <c r="I17" s="537"/>
      <c r="J17" s="190" t="s">
        <v>136</v>
      </c>
      <c r="K17" s="228">
        <v>1</v>
      </c>
      <c r="L17" s="524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8"/>
      <c r="G18" s="220" t="s">
        <v>0</v>
      </c>
      <c r="H18" s="235">
        <f>SUM(H10:H17)</f>
        <v>48</v>
      </c>
      <c r="I18" s="537"/>
      <c r="J18" s="190" t="s">
        <v>142</v>
      </c>
      <c r="K18" s="228">
        <v>1</v>
      </c>
      <c r="L18" s="524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8"/>
      <c r="I19" s="537"/>
      <c r="J19" s="190" t="s">
        <v>135</v>
      </c>
      <c r="K19" s="228">
        <v>2</v>
      </c>
      <c r="L19" s="524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8"/>
      <c r="G20" s="539" t="s">
        <v>24</v>
      </c>
      <c r="H20" s="540"/>
      <c r="I20" s="537"/>
      <c r="J20" s="191" t="s">
        <v>188</v>
      </c>
      <c r="K20" s="228">
        <v>6</v>
      </c>
      <c r="L20" s="524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8"/>
      <c r="G21" s="211" t="s">
        <v>32</v>
      </c>
      <c r="H21" s="236">
        <v>16</v>
      </c>
      <c r="I21" s="537"/>
      <c r="J21" s="191" t="s">
        <v>171</v>
      </c>
      <c r="K21" s="228">
        <v>1</v>
      </c>
      <c r="L21" s="524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8"/>
      <c r="G22" s="208" t="s">
        <v>34</v>
      </c>
      <c r="H22" s="237">
        <v>3</v>
      </c>
      <c r="I22" s="537"/>
      <c r="J22" s="191" t="s">
        <v>189</v>
      </c>
      <c r="K22" s="228">
        <v>0</v>
      </c>
      <c r="L22" s="524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8"/>
      <c r="G23" s="208" t="s">
        <v>37</v>
      </c>
      <c r="H23" s="237">
        <v>24</v>
      </c>
      <c r="I23" s="537"/>
      <c r="J23" s="190" t="s">
        <v>54</v>
      </c>
      <c r="K23" s="228">
        <v>0</v>
      </c>
      <c r="L23" s="524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8"/>
      <c r="G24" s="208" t="s">
        <v>40</v>
      </c>
      <c r="H24" s="237">
        <v>4</v>
      </c>
      <c r="I24" s="537"/>
      <c r="J24" s="190" t="s">
        <v>133</v>
      </c>
      <c r="K24" s="228">
        <v>0</v>
      </c>
      <c r="L24" s="524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8"/>
      <c r="G25" s="209" t="s">
        <v>42</v>
      </c>
      <c r="H25" s="237">
        <v>1</v>
      </c>
      <c r="I25" s="537"/>
      <c r="J25" s="190" t="s">
        <v>132</v>
      </c>
      <c r="K25" s="228">
        <v>1</v>
      </c>
      <c r="L25" s="524"/>
      <c r="M25" s="533" t="s">
        <v>30</v>
      </c>
      <c r="N25" s="534"/>
      <c r="O25" s="535" t="s">
        <v>28</v>
      </c>
      <c r="P25" s="536"/>
    </row>
    <row r="26" spans="2:18" ht="12" thickBot="1" x14ac:dyDescent="0.25">
      <c r="B26" s="121" t="s">
        <v>149</v>
      </c>
      <c r="C26" s="188"/>
      <c r="D26" s="188"/>
      <c r="E26" s="188"/>
      <c r="F26" s="538"/>
      <c r="G26" s="209" t="s">
        <v>44</v>
      </c>
      <c r="H26" s="237">
        <v>0</v>
      </c>
      <c r="I26" s="537"/>
      <c r="J26" s="190" t="s">
        <v>55</v>
      </c>
      <c r="K26" s="228">
        <v>9</v>
      </c>
      <c r="L26" s="524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8"/>
      <c r="G27" s="210" t="s">
        <v>118</v>
      </c>
      <c r="H27" s="238">
        <v>0</v>
      </c>
      <c r="I27" s="537"/>
      <c r="J27" s="190" t="s">
        <v>123</v>
      </c>
      <c r="K27" s="228">
        <v>0</v>
      </c>
      <c r="L27" s="524"/>
      <c r="M27" s="528"/>
      <c r="N27" s="528"/>
      <c r="O27" s="528"/>
      <c r="P27" s="529"/>
    </row>
    <row r="28" spans="2:18" ht="12" thickBot="1" x14ac:dyDescent="0.25">
      <c r="B28" s="259"/>
      <c r="C28" s="188"/>
      <c r="D28" s="188"/>
      <c r="E28" s="188"/>
      <c r="F28" s="538"/>
      <c r="G28" s="218" t="s">
        <v>0</v>
      </c>
      <c r="H28" s="219">
        <f>H21+H22+H23+H24+H25+H26+H27</f>
        <v>48</v>
      </c>
      <c r="I28" s="537"/>
      <c r="J28" s="190" t="s">
        <v>143</v>
      </c>
      <c r="K28" s="228">
        <v>3</v>
      </c>
      <c r="L28" s="524"/>
      <c r="M28" s="530" t="s">
        <v>113</v>
      </c>
      <c r="N28" s="531"/>
      <c r="O28" s="531"/>
      <c r="P28" s="532"/>
    </row>
    <row r="29" spans="2:18" ht="16.5" x14ac:dyDescent="0.2">
      <c r="B29" s="259"/>
      <c r="C29" s="188"/>
      <c r="D29" s="188"/>
      <c r="E29" s="188"/>
      <c r="F29" s="538"/>
      <c r="I29" s="537"/>
      <c r="J29" s="190" t="s">
        <v>127</v>
      </c>
      <c r="K29" s="228">
        <v>0</v>
      </c>
      <c r="L29" s="524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8"/>
      <c r="I30" s="537"/>
      <c r="J30" s="214" t="s">
        <v>134</v>
      </c>
      <c r="K30" s="228">
        <v>0</v>
      </c>
      <c r="L30" s="524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8"/>
      <c r="G31" s="188"/>
      <c r="H31" s="188"/>
      <c r="I31" s="537"/>
      <c r="J31" s="214" t="s">
        <v>205</v>
      </c>
      <c r="K31" s="228">
        <v>13</v>
      </c>
      <c r="L31" s="524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8"/>
      <c r="G32" s="188"/>
      <c r="H32" s="188"/>
      <c r="I32" s="537"/>
      <c r="J32" s="214" t="s">
        <v>187</v>
      </c>
      <c r="K32" s="228">
        <v>8</v>
      </c>
      <c r="L32" s="524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8"/>
      <c r="G33" s="189"/>
      <c r="H33" s="189"/>
      <c r="I33" s="537"/>
      <c r="J33" s="215" t="s">
        <v>0</v>
      </c>
      <c r="K33" s="217">
        <f>SUM(K10:K32)</f>
        <v>48</v>
      </c>
      <c r="L33" s="524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2" t="s">
        <v>98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x14ac:dyDescent="0.2">
      <c r="A4" s="2"/>
      <c r="B4" s="492" t="s">
        <v>99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x14ac:dyDescent="0.2">
      <c r="A5" s="2"/>
      <c r="B5" s="492" t="s">
        <v>137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9" t="s">
        <v>489</v>
      </c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50" t="s">
        <v>100</v>
      </c>
      <c r="D8" s="551"/>
      <c r="E8" s="551"/>
      <c r="F8" s="551"/>
      <c r="G8" s="552"/>
      <c r="H8" s="46"/>
      <c r="I8" s="550" t="s">
        <v>101</v>
      </c>
      <c r="J8" s="551"/>
      <c r="K8" s="551"/>
      <c r="L8" s="551"/>
      <c r="M8" s="552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4">
        <v>12</v>
      </c>
      <c r="E10" s="464">
        <v>22</v>
      </c>
      <c r="F10" s="464">
        <v>1</v>
      </c>
      <c r="G10" s="403">
        <v>0</v>
      </c>
      <c r="H10" s="397">
        <f>SUM(D10:G10)</f>
        <v>35</v>
      </c>
      <c r="I10" s="398">
        <v>33</v>
      </c>
      <c r="J10" s="464">
        <v>7</v>
      </c>
      <c r="K10" s="464">
        <v>21</v>
      </c>
      <c r="L10" s="464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1"/>
    </row>
    <row r="34" spans="1:17" ht="15.95" customHeight="1" x14ac:dyDescent="0.2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1"/>
    </row>
    <row r="35" spans="1:17" ht="15.95" customHeight="1" x14ac:dyDescent="0.2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  <c r="N37" s="547"/>
      <c r="O37" s="547"/>
      <c r="P37" s="54"/>
    </row>
    <row r="38" spans="1:17" ht="21.95" customHeight="1" x14ac:dyDescent="0.2">
      <c r="B38" s="53"/>
      <c r="C38" s="548"/>
      <c r="D38" s="548"/>
      <c r="E38" s="548"/>
      <c r="F38" s="548"/>
      <c r="G38" s="548"/>
      <c r="H38" s="55"/>
      <c r="I38" s="548"/>
      <c r="J38" s="548"/>
      <c r="K38" s="548"/>
      <c r="L38" s="548"/>
      <c r="M38" s="548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53" t="s">
        <v>475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6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6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6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6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6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6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6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6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6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6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6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6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6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6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6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6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6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6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6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6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6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6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6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6" t="s">
        <v>364</v>
      </c>
      <c r="D28" s="437" t="s">
        <v>365</v>
      </c>
      <c r="E28" s="438" t="s">
        <v>366</v>
      </c>
      <c r="F28" s="439">
        <v>63</v>
      </c>
      <c r="G28" s="343" t="s">
        <v>209</v>
      </c>
      <c r="H28" s="439" t="s">
        <v>37</v>
      </c>
      <c r="I28" s="440">
        <v>4</v>
      </c>
      <c r="J28" s="441">
        <v>0</v>
      </c>
      <c r="K28" s="441">
        <v>5714.29</v>
      </c>
      <c r="L28" s="441">
        <v>0</v>
      </c>
      <c r="M28" s="441">
        <v>1142.8599999999999</v>
      </c>
      <c r="N28" s="441">
        <v>0</v>
      </c>
      <c r="O28" s="442">
        <v>44070</v>
      </c>
      <c r="P28" s="443" t="s">
        <v>367</v>
      </c>
      <c r="Q28" s="444" t="s">
        <v>368</v>
      </c>
      <c r="R28" s="444" t="s">
        <v>91</v>
      </c>
      <c r="S28" s="445">
        <v>44217</v>
      </c>
    </row>
    <row r="29" spans="1:19" ht="46.5" customHeight="1" x14ac:dyDescent="0.2">
      <c r="A29" s="182">
        <v>24</v>
      </c>
      <c r="B29" s="340" t="s">
        <v>240</v>
      </c>
      <c r="C29" s="436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6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6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6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6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6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6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6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6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6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6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6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6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6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6" t="s">
        <v>422</v>
      </c>
      <c r="D43" s="437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7">
        <v>3428.57</v>
      </c>
      <c r="K43" s="447">
        <v>3428.57</v>
      </c>
      <c r="L43" s="447">
        <v>0</v>
      </c>
      <c r="M43" s="447">
        <v>0</v>
      </c>
      <c r="N43" s="447">
        <v>0</v>
      </c>
      <c r="O43" s="346">
        <v>44167</v>
      </c>
      <c r="P43" s="347" t="s">
        <v>425</v>
      </c>
      <c r="Q43" s="348" t="s">
        <v>426</v>
      </c>
      <c r="R43" s="446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6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8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6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6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6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6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6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6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6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6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49" t="s">
        <v>303</v>
      </c>
      <c r="D53" s="450" t="s">
        <v>304</v>
      </c>
      <c r="E53" s="451" t="s">
        <v>305</v>
      </c>
      <c r="F53" s="452">
        <v>46</v>
      </c>
      <c r="G53" s="339" t="s">
        <v>254</v>
      </c>
      <c r="H53" s="452" t="s">
        <v>32</v>
      </c>
      <c r="I53" s="453">
        <v>4</v>
      </c>
      <c r="J53" s="454">
        <v>3428.57</v>
      </c>
      <c r="K53" s="454">
        <v>15000</v>
      </c>
      <c r="L53" s="454">
        <v>0</v>
      </c>
      <c r="M53" s="454">
        <v>1142.8599999999999</v>
      </c>
      <c r="N53" s="454">
        <v>0</v>
      </c>
      <c r="O53" s="455">
        <v>44143</v>
      </c>
      <c r="P53" s="456" t="s">
        <v>306</v>
      </c>
      <c r="Q53" s="457" t="s">
        <v>90</v>
      </c>
      <c r="R53" s="457" t="s">
        <v>46</v>
      </c>
      <c r="S53" s="458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  <vt:lpstr>'1. RESUMEN DE PAGADOS '!Área_de_impresión</vt:lpstr>
      <vt:lpstr>'2. COMPR DEV 30%'!Área_de_impresión</vt:lpstr>
      <vt:lpstr>'3. COMP VR'!Área_de_impresión</vt:lpstr>
      <vt:lpstr>'4. COMP VP'!Área_de_impresión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2023-12-06T19:28:50Z</cp:lastPrinted>
  <dcterms:created xsi:type="dcterms:W3CDTF">2002-04-29T19:59:45Z</dcterms:created>
  <dcterms:modified xsi:type="dcterms:W3CDTF">2024-01-15T15:34:47Z</dcterms:modified>
</cp:coreProperties>
</file>