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3/OIR/Información Oficiosa/estadisticas/"/>
    </mc:Choice>
  </mc:AlternateContent>
  <xr:revisionPtr revIDLastSave="0" documentId="8_{E60DCC87-A1EB-4012-8459-F4CD2EFA2924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/>
  <c r="E20" i="25"/>
  <c r="E19" i="25"/>
  <c r="E14" i="25"/>
  <c r="E13" i="25"/>
  <c r="E11" i="25"/>
  <c r="E10" i="25"/>
  <c r="E9" i="25"/>
  <c r="E8" i="25"/>
  <c r="E7" i="25"/>
  <c r="E6" i="25"/>
  <c r="H19" i="4" l="1"/>
  <c r="J19" i="4"/>
  <c r="N19" i="4"/>
  <c r="C19" i="4"/>
  <c r="B19" i="4"/>
  <c r="F19" i="4"/>
  <c r="E19" i="4"/>
  <c r="D19" i="4"/>
  <c r="G19" i="4"/>
  <c r="F20" i="18"/>
  <c r="E20" i="18"/>
  <c r="D20" i="18"/>
  <c r="C20" i="18"/>
  <c r="E17" i="17"/>
  <c r="D17" i="17"/>
  <c r="C17" i="17"/>
  <c r="B17" i="17"/>
  <c r="E17" i="16"/>
  <c r="D17" i="16"/>
  <c r="C17" i="16"/>
  <c r="B17" i="16"/>
  <c r="I19" i="4"/>
  <c r="M19" i="4"/>
  <c r="P15" i="4"/>
  <c r="H15" i="4"/>
  <c r="H18" i="4" l="1"/>
  <c r="G18" i="4"/>
  <c r="F18" i="4"/>
  <c r="E18" i="4"/>
  <c r="D18" i="4"/>
  <c r="C18" i="4"/>
  <c r="B18" i="4"/>
  <c r="O18" i="4"/>
  <c r="M18" i="4"/>
  <c r="N18" i="4"/>
  <c r="J18" i="4"/>
  <c r="E16" i="17"/>
  <c r="D16" i="17"/>
  <c r="C16" i="17"/>
  <c r="B16" i="17"/>
  <c r="F19" i="18"/>
  <c r="E19" i="18"/>
  <c r="D19" i="18"/>
  <c r="C19" i="18"/>
  <c r="E16" i="16" l="1"/>
  <c r="D16" i="16"/>
  <c r="C16" i="16"/>
  <c r="B16" i="16"/>
  <c r="N17" i="4"/>
  <c r="J17" i="4"/>
  <c r="C17" i="4"/>
  <c r="B17" i="4"/>
  <c r="D17" i="4"/>
  <c r="F17" i="4"/>
  <c r="E17" i="4"/>
  <c r="M17" i="4"/>
  <c r="H17" i="4"/>
  <c r="G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C16" i="4"/>
  <c r="B16" i="4"/>
  <c r="D16" i="4"/>
  <c r="F16" i="4"/>
  <c r="E16" i="4"/>
  <c r="J16" i="4"/>
  <c r="N16" i="4"/>
  <c r="O16" i="4"/>
  <c r="H16" i="4" l="1"/>
  <c r="G16" i="4"/>
  <c r="M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J15" i="4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G15" i="4"/>
  <c r="C21" i="17"/>
  <c r="E21" i="17"/>
  <c r="F14" i="4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7" i="25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D20" i="25" s="1"/>
  <c r="D37" i="25" s="1"/>
  <c r="E9" i="17"/>
  <c r="D9" i="17"/>
  <c r="C9" i="17"/>
  <c r="B9" i="17"/>
  <c r="E9" i="16"/>
  <c r="D9" i="16"/>
  <c r="C9" i="16"/>
  <c r="B9" i="16"/>
  <c r="D21" i="25" s="1"/>
  <c r="C11" i="4"/>
  <c r="F11" i="4"/>
  <c r="E11" i="4"/>
  <c r="D11" i="4"/>
  <c r="H11" i="4"/>
  <c r="G11" i="4"/>
  <c r="M11" i="4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I21" i="16" s="1"/>
  <c r="H9" i="16"/>
  <c r="D19" i="25"/>
  <c r="D36" i="25"/>
  <c r="D13" i="25"/>
  <c r="D15" i="25" s="1"/>
  <c r="D11" i="25"/>
  <c r="D10" i="25"/>
  <c r="D32" i="25" s="1"/>
  <c r="D8" i="25"/>
  <c r="D30" i="25"/>
  <c r="D7" i="25"/>
  <c r="D6" i="25"/>
  <c r="D28" i="25" s="1"/>
  <c r="D12" i="25"/>
  <c r="E31" i="25"/>
  <c r="E28" i="25"/>
  <c r="E32" i="25"/>
  <c r="I23" i="4"/>
  <c r="E11" i="27" s="1"/>
  <c r="E33" i="27" s="1"/>
  <c r="E34" i="25"/>
  <c r="P22" i="4"/>
  <c r="Q22" i="4"/>
  <c r="P21" i="4"/>
  <c r="Q21" i="4"/>
  <c r="P20" i="4"/>
  <c r="Q20" i="4"/>
  <c r="P19" i="4"/>
  <c r="Q19" i="4" s="1"/>
  <c r="P18" i="4"/>
  <c r="Q18" i="4" s="1"/>
  <c r="P17" i="4"/>
  <c r="Q17" i="4" s="1"/>
  <c r="P16" i="4"/>
  <c r="Q16" i="4" s="1"/>
  <c r="P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 s="1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D29" i="25"/>
  <c r="M23" i="4"/>
  <c r="E13" i="27" s="1"/>
  <c r="E35" i="27" s="1"/>
  <c r="D35" i="25"/>
  <c r="D33" i="25"/>
  <c r="D31" i="25"/>
  <c r="C35" i="25"/>
  <c r="C34" i="25"/>
  <c r="C31" i="25"/>
  <c r="B7" i="17"/>
  <c r="L23" i="4"/>
  <c r="C33" i="25"/>
  <c r="K23" i="4"/>
  <c r="E12" i="27" s="1"/>
  <c r="E34" i="27" s="1"/>
  <c r="E30" i="25"/>
  <c r="C15" i="27"/>
  <c r="C19" i="27"/>
  <c r="D15" i="27"/>
  <c r="D19" i="27"/>
  <c r="P11" i="4"/>
  <c r="C25" i="29"/>
  <c r="M6" i="29"/>
  <c r="P21" i="11"/>
  <c r="P19" i="11"/>
  <c r="P17" i="11"/>
  <c r="P16" i="11"/>
  <c r="B21" i="17"/>
  <c r="C22" i="27" s="1"/>
  <c r="C39" i="27" s="1"/>
  <c r="O23" i="4"/>
  <c r="E14" i="27" s="1"/>
  <c r="E36" i="27" s="1"/>
  <c r="C30" i="25"/>
  <c r="H23" i="4"/>
  <c r="E10" i="27" s="1"/>
  <c r="E32" i="27" s="1"/>
  <c r="H22" i="11"/>
  <c r="O22" i="11"/>
  <c r="P10" i="11"/>
  <c r="P22" i="11"/>
  <c r="E15" i="25"/>
  <c r="D34" i="25" l="1"/>
  <c r="F24" i="18"/>
  <c r="J24" i="18"/>
  <c r="C24" i="18"/>
  <c r="C23" i="27" s="1"/>
  <c r="D23" i="27" s="1"/>
  <c r="D40" i="27" s="1"/>
  <c r="I24" i="18"/>
  <c r="K24" i="18"/>
  <c r="L24" i="18"/>
  <c r="E24" i="18"/>
  <c r="C22" i="25"/>
  <c r="C24" i="25" s="1"/>
  <c r="Q11" i="4"/>
  <c r="J21" i="16"/>
  <c r="E38" i="25"/>
  <c r="C38" i="25"/>
  <c r="C39" i="25" s="1"/>
  <c r="H21" i="16"/>
  <c r="E21" i="16"/>
  <c r="K21" i="16"/>
  <c r="Q12" i="4"/>
  <c r="D22" i="25"/>
  <c r="D38" i="25"/>
  <c r="D39" i="25" s="1"/>
  <c r="Q13" i="4"/>
  <c r="B21" i="16"/>
  <c r="C24" i="27" s="1"/>
  <c r="D24" i="27" s="1"/>
  <c r="J23" i="4"/>
  <c r="E16" i="27" s="1"/>
  <c r="Q15" i="4"/>
  <c r="D21" i="16"/>
  <c r="D24" i="18"/>
  <c r="P14" i="4"/>
  <c r="Q14" i="4" s="1"/>
  <c r="G23" i="4"/>
  <c r="E9" i="27" s="1"/>
  <c r="E31" i="27" s="1"/>
  <c r="E22" i="25"/>
  <c r="F19" i="25" s="1"/>
  <c r="E16" i="25"/>
  <c r="F13" i="25" s="1"/>
  <c r="E33" i="25"/>
  <c r="D22" i="27"/>
  <c r="D39" i="27" s="1"/>
  <c r="E22" i="27"/>
  <c r="E39" i="27" s="1"/>
  <c r="C21" i="16"/>
  <c r="D16" i="25"/>
  <c r="E39" i="25" l="1"/>
  <c r="F29" i="25" s="1"/>
  <c r="E23" i="27"/>
  <c r="E40" i="27" s="1"/>
  <c r="C40" i="27"/>
  <c r="E24" i="27"/>
  <c r="E41" i="27" s="1"/>
  <c r="D24" i="25"/>
  <c r="C41" i="27"/>
  <c r="C25" i="27"/>
  <c r="C27" i="27" s="1"/>
  <c r="F21" i="25"/>
  <c r="E15" i="27"/>
  <c r="Q23" i="4"/>
  <c r="Q24" i="4" s="1"/>
  <c r="I14" i="27"/>
  <c r="P23" i="4"/>
  <c r="E18" i="27"/>
  <c r="E37" i="27"/>
  <c r="F20" i="25"/>
  <c r="F8" i="25"/>
  <c r="F14" i="25"/>
  <c r="F9" i="25"/>
  <c r="F10" i="25"/>
  <c r="F7" i="25"/>
  <c r="F11" i="25"/>
  <c r="E24" i="25"/>
  <c r="F6" i="25"/>
  <c r="D41" i="27"/>
  <c r="D42" i="27" s="1"/>
  <c r="D25" i="27"/>
  <c r="D27" i="27" s="1"/>
  <c r="F33" i="25" l="1"/>
  <c r="F34" i="25"/>
  <c r="F31" i="25"/>
  <c r="F30" i="25"/>
  <c r="F28" i="25"/>
  <c r="F36" i="25"/>
  <c r="F35" i="25"/>
  <c r="F32" i="25"/>
  <c r="F38" i="25"/>
  <c r="F37" i="25"/>
  <c r="F16" i="25"/>
  <c r="C42" i="27"/>
  <c r="E25" i="27"/>
  <c r="F24" i="27" s="1"/>
  <c r="F22" i="25"/>
  <c r="E19" i="27"/>
  <c r="F14" i="27" s="1"/>
  <c r="E42" i="27"/>
  <c r="F41" i="27" s="1"/>
  <c r="F39" i="25" l="1"/>
  <c r="F22" i="27"/>
  <c r="F23" i="27"/>
  <c r="F10" i="27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 l="1"/>
  <c r="F19" i="27"/>
  <c r="F42" i="27"/>
</calcChain>
</file>

<file path=xl/sharedStrings.xml><?xml version="1.0" encoding="utf-8"?>
<sst xmlns="http://schemas.openxmlformats.org/spreadsheetml/2006/main" count="915" uniqueCount="518">
  <si>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</si>
  <si>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</si>
  <si>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</si>
  <si>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</si>
  <si>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</si>
  <si>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</si>
  <si>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</si>
  <si>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</si>
  <si>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</si>
  <si>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</si>
  <si>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</si>
  <si>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</si>
  <si>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</si>
  <si>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</si>
  <si>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</si>
  <si>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</si>
  <si>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</si>
  <si>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</si>
  <si>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</si>
  <si>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</si>
  <si>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</si>
  <si>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</si>
  <si>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</si>
  <si>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</si>
  <si>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</si>
  <si>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</si>
  <si>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</si>
  <si>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</si>
  <si>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</si>
  <si>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</si>
  <si>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</si>
  <si>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</si>
  <si>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</si>
  <si>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</si>
  <si>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</si>
  <si>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</si>
  <si>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</si>
  <si>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</si>
  <si>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</si>
  <si>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</si>
  <si>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</si>
  <si>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</si>
  <si>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</si>
  <si>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</si>
  <si>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</si>
  <si>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</si>
  <si>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</si>
  <si>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</si>
  <si>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</si>
  <si>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</si>
  <si>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</si>
  <si>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</si>
  <si>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</si>
  <si>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</si>
  <si>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</si>
  <si>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</si>
  <si>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</si>
  <si>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</si>
  <si>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</si>
  <si>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</si>
  <si>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</si>
  <si>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</si>
  <si>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</si>
  <si>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</si>
  <si>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</si>
  <si>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</si>
  <si>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</si>
  <si>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</si>
  <si>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</si>
  <si>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</si>
  <si>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</si>
  <si>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</si>
  <si>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</si>
  <si>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</si>
  <si>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</si>
  <si>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</si>
  <si>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</si>
  <si>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</si>
  <si>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</si>
  <si>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</si>
  <si>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</si>
  <si>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</si>
  <si>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</si>
  <si>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</si>
  <si>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</si>
  <si>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</si>
  <si>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</si>
  <si>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</si>
  <si>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</si>
  <si>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</si>
  <si>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</si>
  <si>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</si>
  <si>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</si>
  <si>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</si>
  <si>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</si>
  <si>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</si>
  <si>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</si>
  <si>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</si>
  <si>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</si>
  <si>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</si>
  <si>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</si>
  <si>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</si>
  <si>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</si>
  <si>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</si>
  <si>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</si>
  <si>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</si>
  <si>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</si>
  <si>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</si>
  <si>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</si>
  <si>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</si>
  <si>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</si>
  <si>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</si>
  <si>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</si>
  <si>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</si>
  <si>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</si>
  <si>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</si>
  <si>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</si>
  <si>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</si>
  <si>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</si>
  <si>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</si>
  <si>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</si>
  <si>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</si>
  <si>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</si>
  <si>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</si>
  <si>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</si>
  <si>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</si>
  <si>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</si>
  <si>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</si>
  <si>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</si>
  <si>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</si>
  <si>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</si>
  <si>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</si>
  <si>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</si>
  <si>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</si>
  <si>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</si>
  <si>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</si>
  <si>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</si>
  <si>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</si>
  <si>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</si>
  <si>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</si>
  <si>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</si>
  <si>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</si>
  <si>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</si>
  <si>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</si>
  <si>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</si>
  <si>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</si>
  <si>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</si>
  <si>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</si>
  <si>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</si>
  <si>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</si>
  <si>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</si>
  <si>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</si>
  <si>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</si>
  <si>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</si>
  <si>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</si>
  <si>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</si>
  <si>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</si>
  <si>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</si>
  <si>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</si>
  <si>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</si>
  <si>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</si>
  <si>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</si>
  <si>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</si>
  <si>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</si>
  <si>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</si>
  <si>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</si>
  <si>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</si>
  <si>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</si>
  <si>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</si>
  <si>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</si>
  <si>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</si>
  <si>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</si>
  <si>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</si>
  <si>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</si>
  <si>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</si>
  <si>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</si>
  <si>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</si>
  <si>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</si>
  <si>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</si>
  <si>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</si>
  <si>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</si>
  <si>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</si>
  <si>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</si>
  <si>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</si>
  <si>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</si>
  <si>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</si>
  <si>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</si>
  <si>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</si>
  <si>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</si>
  <si>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</si>
  <si>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</si>
  <si>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</si>
  <si>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</si>
  <si>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</si>
  <si>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</si>
  <si>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</si>
  <si>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</si>
  <si>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</si>
  <si>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</si>
  <si>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</si>
  <si>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</si>
  <si>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</si>
  <si>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</si>
  <si>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</si>
  <si>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</si>
  <si>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</si>
  <si>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</si>
  <si>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</si>
  <si>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</si>
  <si>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</si>
  <si>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</si>
  <si>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</si>
  <si>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</si>
  <si>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</si>
  <si>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</si>
  <si>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</si>
  <si>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</si>
  <si>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</si>
  <si>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</si>
  <si>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</si>
  <si>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</si>
  <si>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</si>
  <si>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</si>
  <si>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</si>
  <si>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</si>
  <si>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</si>
  <si>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</si>
  <si>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</si>
  <si>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</si>
  <si>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</si>
  <si>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</si>
  <si>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</si>
  <si>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</si>
  <si>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</si>
  <si>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</si>
  <si>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</si>
  <si>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</si>
  <si>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</si>
  <si>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</si>
  <si>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</si>
  <si>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</si>
  <si>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</si>
  <si>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</si>
  <si>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</si>
  <si>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</si>
  <si>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</si>
  <si>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</si>
  <si>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</si>
  <si>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</si>
  <si>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</si>
  <si>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</si>
  <si>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</si>
  <si>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</si>
  <si>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</si>
  <si>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</si>
  <si>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</si>
  <si>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</si>
  <si>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</si>
  <si>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</si>
  <si>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</si>
  <si>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</si>
  <si>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</si>
  <si>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</si>
  <si>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</si>
  <si>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</si>
  <si>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</si>
  <si>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</si>
  <si>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</si>
  <si>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</si>
  <si>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</si>
  <si>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</si>
  <si>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</si>
  <si>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</si>
  <si>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</si>
  <si>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</si>
  <si>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</si>
  <si>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</si>
  <si>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</si>
  <si>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</si>
  <si>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</si>
  <si>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</si>
  <si>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</si>
  <si>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</si>
  <si>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</si>
  <si>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</si>
  <si>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</si>
  <si>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</si>
  <si>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</si>
  <si>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</si>
  <si>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</si>
  <si>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</si>
  <si>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</si>
  <si>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</si>
  <si>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</si>
  <si>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</si>
  <si>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</si>
  <si>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</si>
  <si>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</si>
  <si>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</si>
  <si>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</si>
  <si>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</si>
  <si>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</si>
  <si>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</si>
  <si>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</si>
  <si>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</si>
  <si>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</si>
  <si>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</si>
  <si>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</si>
  <si>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</si>
  <si>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</si>
  <si>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</si>
  <si>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</si>
  <si>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</si>
  <si>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</si>
  <si>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</si>
  <si>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</si>
  <si>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</si>
  <si>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</si>
  <si>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</si>
  <si>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</si>
  <si>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</si>
  <si>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</si>
  <si>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</si>
  <si>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</si>
  <si>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</si>
  <si>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</si>
  <si>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</si>
  <si>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</si>
  <si>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</si>
  <si>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</si>
  <si>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</si>
  <si>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</si>
  <si>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</si>
  <si>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</si>
  <si>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</si>
  <si>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</si>
  <si>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</si>
  <si>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</si>
  <si>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</si>
  <si>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</si>
  <si>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</si>
  <si>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</si>
  <si>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</si>
  <si>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</si>
  <si>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</si>
  <si>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</si>
  <si>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</si>
  <si>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</si>
  <si>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</si>
  <si>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</si>
  <si>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</si>
  <si>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</si>
  <si>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</si>
  <si>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</si>
  <si>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</si>
  <si>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</si>
  <si>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</si>
  <si>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</si>
  <si>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</si>
  <si>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</si>
  <si>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</si>
  <si>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</si>
  <si>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</si>
  <si>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</si>
  <si>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</si>
  <si>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</si>
  <si>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</si>
  <si>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</si>
  <si>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</si>
  <si>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</si>
  <si>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</si>
  <si>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</si>
  <si>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</si>
  <si>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</si>
  <si>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</si>
  <si>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</si>
  <si>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</si>
  <si>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</si>
  <si>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</si>
  <si>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</si>
  <si>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</si>
  <si>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</si>
  <si>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</si>
  <si>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</si>
  <si>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</si>
  <si>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</si>
  <si>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</si>
  <si>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</si>
  <si>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</si>
  <si>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</si>
  <si>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</si>
  <si>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</si>
  <si>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</si>
  <si>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</si>
  <si>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</si>
  <si>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</si>
  <si>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</si>
  <si>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</si>
  <si>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</si>
  <si>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</si>
  <si>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</si>
  <si>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</si>
  <si>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</si>
  <si>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</si>
  <si>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</si>
  <si>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</si>
  <si>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</si>
  <si>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</si>
  <si>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</si>
  <si>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</si>
  <si>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</si>
  <si>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</si>
  <si>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</si>
  <si>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</si>
  <si>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</si>
  <si>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</si>
  <si>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</si>
  <si>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</si>
  <si>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</si>
  <si>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</si>
  <si>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</si>
  <si>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</si>
  <si>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</si>
  <si>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</si>
  <si>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</si>
  <si>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</si>
  <si>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</si>
  <si>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</si>
  <si>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</si>
  <si>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</si>
  <si>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</si>
  <si>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</si>
  <si>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</si>
  <si>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</si>
  <si>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</si>
  <si>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</si>
  <si>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</si>
  <si>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</si>
  <si>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</si>
  <si>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</si>
  <si>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</si>
  <si>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</si>
  <si>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</si>
  <si>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</si>
  <si>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</si>
  <si>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</si>
  <si>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</si>
  <si>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</si>
  <si>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</si>
  <si>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</si>
  <si>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</si>
  <si>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</si>
  <si>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</si>
  <si>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</si>
  <si>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</si>
  <si>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</si>
  <si>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</si>
  <si>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</si>
  <si>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</si>
  <si>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</si>
  <si>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</si>
  <si>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</si>
  <si>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</si>
  <si>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</si>
  <si>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</si>
  <si>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</si>
  <si>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</si>
  <si>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</si>
  <si>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</si>
  <si>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</si>
  <si>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</si>
  <si>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</si>
  <si>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</si>
  <si>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</si>
  <si>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</si>
  <si>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</si>
  <si>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</si>
  <si>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</si>
  <si>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</si>
  <si>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</si>
  <si>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</si>
  <si>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</si>
  <si>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</si>
  <si>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</si>
  <si>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</si>
  <si>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</si>
  <si>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</si>
  <si>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</si>
  <si>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</si>
  <si>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</si>
  <si>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</si>
  <si>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</si>
  <si>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</si>
  <si>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</si>
  <si>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</si>
  <si>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</si>
  <si>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</si>
  <si>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</si>
  <si>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</si>
  <si>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</si>
  <si>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</si>
  <si>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</si>
  <si>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 xml:space="preserve">***NOTA: en el mes de julio, se le pagó a la heredera Marta Alicia </t>
  </si>
  <si>
    <t>Zavala de Herrera, porcentaje del 30% que le correspondía</t>
  </si>
  <si>
    <t>al asegurado Julio César Herrera c/p Julio César Herrera Carrillo</t>
  </si>
  <si>
    <t>quien falleció el 02/02/2021 y afianzó el derecho del 30% sobre</t>
  </si>
  <si>
    <t>los aportes del SVO, pero al no realizar el trámite en mención se</t>
  </si>
  <si>
    <t>se declaró heredera a la esposa del asegurado ya fallecido.</t>
  </si>
  <si>
    <t>***NOTA: en el mes de agosto, se le pagó a los herederos</t>
  </si>
  <si>
    <t>el vencimiento de plazo para cinco que le correspondía a la</t>
  </si>
  <si>
    <t xml:space="preserve">asegurada María Herminia Menjívar Torres c/p María Herminia </t>
  </si>
  <si>
    <t xml:space="preserve">Verónica Ruth y Karl Harold ambos de apellidos Velásquez Menjívar, </t>
  </si>
  <si>
    <t>Menjívar y por Herminia Menjívar, quien falleció el 20/04/2022</t>
  </si>
  <si>
    <t>y afianzó el derecho al vencimiento de plazo del SVD (5 años),</t>
  </si>
  <si>
    <t>pero al no realizar el trámite en mención, los hijos de la</t>
  </si>
  <si>
    <t>Herencia, declarádolos herederos en partes iguales.</t>
  </si>
  <si>
    <t xml:space="preserve">asegurada ya fallecida, promovieron Diligencias de Aceptación de </t>
  </si>
  <si>
    <t>San Salvador, 30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</si>
</sst>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3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2" fillId="0" borderId="0" xfId="7" applyFont="1"/>
    <xf numFmtId="0" fontId="2" fillId="4" borderId="0" xfId="7" applyFont="1" applyFill="1"/>
    <xf numFmtId="0" fontId="4" fillId="4" borderId="0" xfId="7" applyFont="1" applyFill="1"/>
    <xf numFmtId="166" fontId="4" fillId="4" borderId="0" xfId="7" applyNumberFormat="1" applyFont="1" applyFill="1"/>
    <xf numFmtId="167" fontId="4" fillId="4" borderId="0" xfId="7" applyNumberFormat="1" applyFont="1" applyFill="1"/>
    <xf numFmtId="0" fontId="0" fillId="4" borderId="0" xfId="0" applyFill="1"/>
    <xf numFmtId="0" fontId="9" fillId="4" borderId="0" xfId="0" applyFont="1" applyFill="1"/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381154.11000000004</c:v>
                </c:pt>
                <c:pt idx="1">
                  <c:v>1146237.0699999998</c:v>
                </c:pt>
                <c:pt idx="2">
                  <c:v>8342.8799999999992</c:v>
                </c:pt>
                <c:pt idx="3">
                  <c:v>26606.71</c:v>
                </c:pt>
                <c:pt idx="4">
                  <c:v>72723.929999999993</c:v>
                </c:pt>
                <c:pt idx="5">
                  <c:v>107428.83999999998</c:v>
                </c:pt>
                <c:pt idx="6">
                  <c:v>631417.25000000012</c:v>
                </c:pt>
                <c:pt idx="7">
                  <c:v>1210286.83</c:v>
                </c:pt>
                <c:pt idx="8">
                  <c:v>91301.189999999988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SEPTIEMBRE 2023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77954.25</c:v>
                </c:pt>
                <c:pt idx="1">
                  <c:v>189619.02000000002</c:v>
                </c:pt>
                <c:pt idx="2">
                  <c:v>11714.279999999999</c:v>
                </c:pt>
                <c:pt idx="3">
                  <c:v>0</c:v>
                </c:pt>
                <c:pt idx="4">
                  <c:v>571.42999999999995</c:v>
                </c:pt>
                <c:pt idx="5">
                  <c:v>0</c:v>
                </c:pt>
                <c:pt idx="6">
                  <c:v>7914.3</c:v>
                </c:pt>
                <c:pt idx="7">
                  <c:v>9142.8799999999992</c:v>
                </c:pt>
                <c:pt idx="8">
                  <c:v>65837.860000000015</c:v>
                </c:pt>
                <c:pt idx="9">
                  <c:v>126285.81999999999</c:v>
                </c:pt>
                <c:pt idx="10">
                  <c:v>11981.56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381154.11000000004</v>
      </c>
      <c r="F9" s="375">
        <f>E9/E19</f>
        <v>0.21071118978068776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1146237.0699999998</v>
      </c>
      <c r="F10" s="376">
        <f>E10/E19</f>
        <v>0.63366751257235399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58400</v>
      </c>
      <c r="F11" s="376">
        <f>E11/E19</f>
        <v>3.2284929272288744E-2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8000</v>
      </c>
      <c r="F12" s="376">
        <f>E12/E19</f>
        <v>4.4225930509984579E-3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8342.8799999999992</v>
      </c>
      <c r="F13" s="376">
        <f>E13/E19</f>
        <v>4.612145389164251E-3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26606.71</v>
      </c>
      <c r="F14" s="376">
        <f>E14/E19</f>
        <v>1.4708831344491396E-2</v>
      </c>
      <c r="I14" s="178">
        <f>E9+E10+E13</f>
        <v>1535734.0599999998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1628740.7699999998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72723.929999999993</v>
      </c>
      <c r="F16" s="304">
        <f>E16/E19</f>
        <v>4.0203543432412281E-2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107428.83999999998</v>
      </c>
      <c r="F17" s="306">
        <f>E17/E19</f>
        <v>5.9389255157603134E-2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180152.76999999996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1808893.5399999998</v>
      </c>
      <c r="F19" s="270">
        <f>SUM(F9:F17)</f>
        <v>1</v>
      </c>
    </row>
    <row r="20" spans="2:9" ht="15" customHeight="1" thickBot="1" x14ac:dyDescent="0.25">
      <c r="B20" s="478"/>
      <c r="C20" s="479"/>
      <c r="D20" s="479"/>
      <c r="E20" s="479"/>
      <c r="F20" s="480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706</v>
      </c>
      <c r="D22" s="365">
        <f>C22</f>
        <v>706</v>
      </c>
      <c r="E22" s="264">
        <f>'3. COMP VR'!C21+'3. COMP VR'!E21</f>
        <v>631417.25000000012</v>
      </c>
      <c r="F22" s="265">
        <f>E22/E25</f>
        <v>0.32665055796769771</v>
      </c>
    </row>
    <row r="23" spans="2:9" x14ac:dyDescent="0.2">
      <c r="B23" s="271" t="s">
        <v>160</v>
      </c>
      <c r="C23" s="267">
        <f>'4. COMP VP'!C24</f>
        <v>689</v>
      </c>
      <c r="D23" s="365">
        <f>C23</f>
        <v>689</v>
      </c>
      <c r="E23" s="264">
        <f>'4. COMP VP'!D24+'4. COMP VP'!F24</f>
        <v>1210286.83</v>
      </c>
      <c r="F23" s="268">
        <f>E23/E25</f>
        <v>0.62611667375330027</v>
      </c>
    </row>
    <row r="24" spans="2:9" ht="13.5" thickBot="1" x14ac:dyDescent="0.25">
      <c r="B24" s="266" t="s">
        <v>161</v>
      </c>
      <c r="C24" s="267">
        <f>'2. COMPR DEV 30%'!B21</f>
        <v>237</v>
      </c>
      <c r="D24" s="365">
        <f>C24</f>
        <v>237</v>
      </c>
      <c r="E24" s="264">
        <f>'2. COMPR DEV 30%'!C21+'2. COMPR DEV 30%'!E21</f>
        <v>91301.189999999988</v>
      </c>
      <c r="F24" s="269">
        <f>E24/E25</f>
        <v>4.7232768279002149E-2</v>
      </c>
      <c r="G24" s="178"/>
    </row>
    <row r="25" spans="2:9" ht="13.5" thickBot="1" x14ac:dyDescent="0.25">
      <c r="B25" s="261" t="s">
        <v>0</v>
      </c>
      <c r="C25" s="177">
        <f>C22+C23+C24</f>
        <v>1632</v>
      </c>
      <c r="D25" s="177">
        <f>D22+D23+D24</f>
        <v>1632</v>
      </c>
      <c r="E25" s="179">
        <f>E22+E23+E24</f>
        <v>1933005.27</v>
      </c>
      <c r="F25" s="270">
        <f>SUM(F22:F24)</f>
        <v>1.0000000000000002</v>
      </c>
    </row>
    <row r="26" spans="2:9" ht="13.5" customHeight="1" thickBot="1" x14ac:dyDescent="0.25">
      <c r="B26" s="481" t="s">
        <v>162</v>
      </c>
      <c r="C26" s="482"/>
      <c r="D26" s="482"/>
      <c r="E26" s="482"/>
      <c r="F26" s="483"/>
    </row>
    <row r="27" spans="2:9" ht="15.75" customHeight="1" thickBot="1" x14ac:dyDescent="0.25">
      <c r="B27" s="261" t="s">
        <v>107</v>
      </c>
      <c r="C27" s="392">
        <f>C19+C25</f>
        <v>2087</v>
      </c>
      <c r="D27" s="392">
        <f>D19+D25</f>
        <v>1675</v>
      </c>
      <c r="E27" s="391">
        <f>E25+E19</f>
        <v>3741898.8099999996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381154.11000000004</v>
      </c>
      <c r="F31" s="319">
        <f>E31/E42</f>
        <v>0.10186114840449147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1146237.0699999998</v>
      </c>
      <c r="F32" s="162">
        <f>E32/E42</f>
        <v>0.30632497782589685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58400</v>
      </c>
      <c r="F33" s="162">
        <f>E33/E42</f>
        <v>1.5607049512918282E-2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8000</v>
      </c>
      <c r="F34" s="162">
        <f>E34/E42</f>
        <v>2.1379519880709973E-3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8342.8799999999992</v>
      </c>
      <c r="F35" s="162">
        <f>E35/E42</f>
        <v>2.2295846102797202E-3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26606.71</v>
      </c>
      <c r="F36" s="162">
        <f>E36/E42</f>
        <v>7.1104835675660609E-3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72723.929999999993</v>
      </c>
      <c r="F37" s="162">
        <f>E37/E42</f>
        <v>1.9435033840479506E-2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107428.83999999998</v>
      </c>
      <c r="F38" s="162">
        <f>E38/E42</f>
        <v>2.8709712756770134E-2</v>
      </c>
    </row>
    <row r="39" spans="2:9" ht="15" x14ac:dyDescent="0.2">
      <c r="B39" s="393" t="s">
        <v>159</v>
      </c>
      <c r="C39" s="158">
        <f t="shared" ref="C39:E41" si="2">C22</f>
        <v>706</v>
      </c>
      <c r="D39" s="158">
        <f t="shared" si="2"/>
        <v>706</v>
      </c>
      <c r="E39" s="318">
        <f t="shared" si="2"/>
        <v>631417.25000000012</v>
      </c>
      <c r="F39" s="162">
        <f>E39/E42</f>
        <v>0.1687424706174778</v>
      </c>
    </row>
    <row r="40" spans="2:9" ht="15" x14ac:dyDescent="0.2">
      <c r="B40" s="310" t="s">
        <v>160</v>
      </c>
      <c r="C40" s="158">
        <f t="shared" si="2"/>
        <v>689</v>
      </c>
      <c r="D40" s="158">
        <f t="shared" si="2"/>
        <v>689</v>
      </c>
      <c r="E40" s="318">
        <f t="shared" si="2"/>
        <v>1210286.83</v>
      </c>
      <c r="F40" s="162">
        <f>E40/E42</f>
        <v>0.32344189179183069</v>
      </c>
    </row>
    <row r="41" spans="2:9" ht="15.75" thickBot="1" x14ac:dyDescent="0.3">
      <c r="B41" s="311" t="s">
        <v>161</v>
      </c>
      <c r="C41" s="320">
        <f t="shared" si="2"/>
        <v>237</v>
      </c>
      <c r="D41" s="320">
        <f t="shared" si="2"/>
        <v>237</v>
      </c>
      <c r="E41" s="321">
        <f t="shared" si="2"/>
        <v>91301.189999999988</v>
      </c>
      <c r="F41" s="312">
        <f>E41/E42</f>
        <v>2.4399695084218482E-2</v>
      </c>
    </row>
    <row r="42" spans="2:9" ht="15.75" thickBot="1" x14ac:dyDescent="0.25">
      <c r="B42" s="160" t="s">
        <v>0</v>
      </c>
      <c r="C42" s="159">
        <f>SUM(C31:C41)</f>
        <v>2087</v>
      </c>
      <c r="D42" s="159">
        <f>SUM(D31:D41)</f>
        <v>1675</v>
      </c>
      <c r="E42" s="322">
        <f>SUM(E31:E41)</f>
        <v>3741898.81</v>
      </c>
      <c r="F42" s="324">
        <f>SUM(F31:F41)</f>
        <v>1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E4" sqref="E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f>SUM('1. RESUMEN DE PAGADOS '!E19+'1. RESUMEN DE PAGADOS '!F19)</f>
        <v>53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'!G19</f>
        <v>77954.25</v>
      </c>
      <c r="F6" s="375">
        <f>E6/E16</f>
        <v>0.26254633631258062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'!H19</f>
        <v>189619.02000000002</v>
      </c>
      <c r="F7" s="376">
        <f>E7/E16</f>
        <v>0.63862815685074192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'!I19</f>
        <v>11714.279999999999</v>
      </c>
      <c r="F8" s="376">
        <f>E8/E16</f>
        <v>3.9453157416558256E-2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'!K19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'!M19</f>
        <v>571.42999999999995</v>
      </c>
      <c r="F10" s="376">
        <f>E10/E16</f>
        <v>1.9245500143878996E-3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'!O19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279858.98000000004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'!J19</f>
        <v>7914.3</v>
      </c>
      <c r="F13" s="304">
        <f>E13/E16</f>
        <v>2.6654999175524833E-2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'!N19</f>
        <v>9142.8799999999992</v>
      </c>
      <c r="F14" s="306">
        <f>E14/E16</f>
        <v>3.0792800230206394E-2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17057.18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296916.16000000003</v>
      </c>
      <c r="F16" s="270">
        <f>SUM(F6:F14)</f>
        <v>0.99999999999999989</v>
      </c>
    </row>
    <row r="17" spans="2:7" ht="15" customHeight="1" thickBot="1" x14ac:dyDescent="0.25">
      <c r="B17" s="478"/>
      <c r="C17" s="479"/>
      <c r="D17" s="479"/>
      <c r="E17" s="479"/>
      <c r="F17" s="480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VR'!E17+'3. COMP VR'!C17</f>
        <v>65837.860000000015</v>
      </c>
      <c r="F19" s="265">
        <f>E19/E22</f>
        <v>0.32256820060082741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VP'!D20+'4. COMP VP'!F20</f>
        <v>126285.81999999999</v>
      </c>
      <c r="F20" s="268">
        <f>E20/E22</f>
        <v>0.6187289459104528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30%'!C17+'2. COMPR DEV 30%'!E17</f>
        <v>11981.56</v>
      </c>
      <c r="F21" s="269">
        <f>E21/E22</f>
        <v>5.8702853488719842E-2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204105.24</v>
      </c>
      <c r="F22" s="270">
        <f>SUM(F19:F21)</f>
        <v>1</v>
      </c>
    </row>
    <row r="23" spans="2:7" ht="13.5" customHeight="1" thickBot="1" x14ac:dyDescent="0.25">
      <c r="B23" s="481" t="s">
        <v>162</v>
      </c>
      <c r="C23" s="482"/>
      <c r="D23" s="482"/>
      <c r="E23" s="482"/>
      <c r="F23" s="483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501021.4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77954.25</v>
      </c>
      <c r="F28" s="319">
        <f>E28/E39</f>
        <v>0.15559065940097569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189619.02000000002</v>
      </c>
      <c r="F29" s="162">
        <f>E29/E39</f>
        <v>0.37846491187801562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11714.279999999999</v>
      </c>
      <c r="F30" s="162">
        <f>E30/E39</f>
        <v>2.3380797706445269E-2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571.42999999999995</v>
      </c>
      <c r="F32" s="162">
        <f>E32/E39</f>
        <v>1.1405301250605262E-3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7914.3</v>
      </c>
      <c r="F34" s="162">
        <f>E34/E39</f>
        <v>1.5796331254513279E-2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9142.8799999999992</v>
      </c>
      <c r="F35" s="162">
        <f>E35/E39</f>
        <v>1.824848200096842E-2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65837.860000000015</v>
      </c>
      <c r="F36" s="162">
        <f>E36/E39</f>
        <v>0.13140728120595249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126285.81999999999</v>
      </c>
      <c r="F37" s="162">
        <f>E37/E39</f>
        <v>0.25205673849460319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11981.56</v>
      </c>
      <c r="F38" s="312">
        <f>E38/E39</f>
        <v>2.3914267933465516E-2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501021.4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10" zoomScale="106" zoomScaleNormal="106" workbookViewId="0">
      <selection activeCell="E19" sqref="E19:F19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91" t="s">
        <v>170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</row>
    <row r="7" spans="1:22" x14ac:dyDescent="0.2">
      <c r="A7" s="491" t="s">
        <v>498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</row>
    <row r="8" spans="1:22" ht="12.75" customHeight="1" thickBot="1" x14ac:dyDescent="0.25"/>
    <row r="9" spans="1:22" ht="12.75" customHeight="1" thickBot="1" x14ac:dyDescent="0.25">
      <c r="A9" s="496" t="s">
        <v>7</v>
      </c>
      <c r="B9" s="492" t="s">
        <v>499</v>
      </c>
      <c r="C9" s="494" t="s">
        <v>500</v>
      </c>
      <c r="D9" s="494" t="s">
        <v>501</v>
      </c>
      <c r="E9" s="484" t="s">
        <v>190</v>
      </c>
      <c r="F9" s="485"/>
      <c r="G9" s="489" t="s">
        <v>139</v>
      </c>
      <c r="H9" s="486" t="s">
        <v>164</v>
      </c>
      <c r="I9" s="487"/>
      <c r="J9" s="487"/>
      <c r="K9" s="487"/>
      <c r="L9" s="488"/>
      <c r="M9" s="485" t="s">
        <v>140</v>
      </c>
      <c r="N9" s="492" t="s">
        <v>141</v>
      </c>
      <c r="O9" s="484" t="s">
        <v>148</v>
      </c>
      <c r="P9" s="499" t="s">
        <v>1</v>
      </c>
      <c r="T9" s="323"/>
      <c r="U9" s="323"/>
    </row>
    <row r="10" spans="1:22" ht="75.75" customHeight="1" thickBot="1" x14ac:dyDescent="0.25">
      <c r="A10" s="497"/>
      <c r="B10" s="493"/>
      <c r="C10" s="495"/>
      <c r="D10" s="495"/>
      <c r="E10" s="168" t="s">
        <v>168</v>
      </c>
      <c r="F10" s="168" t="s">
        <v>169</v>
      </c>
      <c r="G10" s="490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93"/>
      <c r="N10" s="493"/>
      <c r="O10" s="498"/>
      <c r="P10" s="500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4+4+5+9</f>
        <v>22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(49142.83+0.03)+(7291.42+0.01+2228.57)+(23794.31-0.06+0.01+205.72)+(18628.58-0.01)</f>
        <v>101291.41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8000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>G15+H15+I15+J15+K15+L15+M15+N15+O15</f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f>4+7+4+5</f>
        <v>20</v>
      </c>
      <c r="C16" s="256">
        <f>3+4+1+5+1</f>
        <v>14</v>
      </c>
      <c r="D16" s="256">
        <f>14+18+2+13+11</f>
        <v>58</v>
      </c>
      <c r="E16" s="167">
        <f>3+5+1+5+2</f>
        <v>16</v>
      </c>
      <c r="F16" s="167">
        <f>4+6+4+4</f>
        <v>18</v>
      </c>
      <c r="G16" s="165">
        <f>9428.56+10114.28+685.71+4457.14</f>
        <v>24685.69</v>
      </c>
      <c r="H16" s="257">
        <f>(48285.71-0.01+0.01)+(44719.98-0.01+0.02)+(33417.15-0.04+0.01+5800)+(47828.58-0.02+0.01)</f>
        <v>180051.39</v>
      </c>
      <c r="I16" s="257">
        <v>0</v>
      </c>
      <c r="J16" s="165">
        <f>571.43+571.43+(190.48+190.46+190.48)+1142.86+1200+1142.86+1142.86+914.29+(380.95+380.96)+1142.86</f>
        <v>9161.9199999999983</v>
      </c>
      <c r="K16" s="146">
        <v>0</v>
      </c>
      <c r="L16" s="146">
        <v>0</v>
      </c>
      <c r="M16" s="165">
        <f>(571.43+571.43)+342.86</f>
        <v>1485.7199999999998</v>
      </c>
      <c r="N16" s="257">
        <f>15*1142.86</f>
        <v>17142.899999999998</v>
      </c>
      <c r="O16" s="171">
        <f>10495.7</f>
        <v>10495.7</v>
      </c>
      <c r="P16" s="353">
        <f t="shared" si="0"/>
        <v>243023.32</v>
      </c>
      <c r="Q16" s="355">
        <f>P16+'2. COMPR DEV 30%'!C14+'2. COMPR DEV 30%'!E14+'3. COMP VR'!C14+'3. COMP VR'!E14+'4. COMP VP'!D17+'4. COMP VP'!F17</f>
        <v>474922.75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f>9+9+6+8</f>
        <v>32</v>
      </c>
      <c r="C17" s="256">
        <f>1+3+2</f>
        <v>6</v>
      </c>
      <c r="D17" s="256">
        <f>20+18+19+22</f>
        <v>79</v>
      </c>
      <c r="E17" s="167">
        <f>5+6+2+4</f>
        <v>17</v>
      </c>
      <c r="F17" s="167">
        <f>4+4+7+6</f>
        <v>21</v>
      </c>
      <c r="G17" s="165">
        <f>17142.85+18628.57+8537.13+12000</f>
        <v>56308.549999999996</v>
      </c>
      <c r="H17" s="257">
        <f>(22628.56-0.01+0.02)+(42571.43-0.02+0.01)+(29257.12-0.04+0.04+800.01)+(59000.02-0.04)</f>
        <v>154257.09999999998</v>
      </c>
      <c r="I17" s="257">
        <v>0</v>
      </c>
      <c r="J17" s="165">
        <f>571.43+1200+571.43+380.95+571.43+1200+1142.86</f>
        <v>5638.0999999999995</v>
      </c>
      <c r="K17" s="146">
        <v>0</v>
      </c>
      <c r="L17" s="146">
        <v>0</v>
      </c>
      <c r="M17" s="165">
        <f>(571.43)+(1142.86)+(1142.88-0.02)</f>
        <v>2857.15</v>
      </c>
      <c r="N17" s="257">
        <f>14*1142.86</f>
        <v>16000.039999999999</v>
      </c>
      <c r="O17" s="171">
        <v>0</v>
      </c>
      <c r="P17" s="353">
        <f t="shared" si="0"/>
        <v>235060.93999999997</v>
      </c>
      <c r="Q17" s="355">
        <f>P17+'2. COMPR DEV 30%'!C15+'2. COMPR DEV 30%'!E15+'3. COMP VR'!C15+'3. COMP VR'!E15+'4. COMP VP'!D18+'4. COMP VP'!F18</f>
        <v>451243.16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f>5+11+8+6</f>
        <v>30</v>
      </c>
      <c r="C18" s="256">
        <f>3+1</f>
        <v>4</v>
      </c>
      <c r="D18" s="256">
        <f>9+22+20+14</f>
        <v>65</v>
      </c>
      <c r="E18" s="167">
        <f>4+6+3+2</f>
        <v>15</v>
      </c>
      <c r="F18" s="167">
        <f>1+5+8+5</f>
        <v>19</v>
      </c>
      <c r="G18" s="165">
        <f>6857.14+19714.27+4285.72+6857.14</f>
        <v>37714.270000000004</v>
      </c>
      <c r="H18" s="257">
        <f>(27428.6-0.03)+(59571.42-0.01+0.01)+(18217.17-0.05)+(22000.01-0.01)</f>
        <v>127217.10999999999</v>
      </c>
      <c r="I18" s="257">
        <v>0</v>
      </c>
      <c r="J18" s="165">
        <f>571.43+1142.86+1200+914.29+1028.57+800+190.48+1142.86+190.48+1200+571.43+1142.86+1142.86+1200+1142.86+800</f>
        <v>14380.98</v>
      </c>
      <c r="K18" s="146">
        <v>0</v>
      </c>
      <c r="L18" s="146">
        <v>0</v>
      </c>
      <c r="M18" s="165">
        <f>1142.86</f>
        <v>1142.8599999999999</v>
      </c>
      <c r="N18" s="257">
        <f>17*1142.86</f>
        <v>19428.62</v>
      </c>
      <c r="O18" s="171">
        <f>5956.17+10154.84</f>
        <v>16111.01</v>
      </c>
      <c r="P18" s="353">
        <f t="shared" si="0"/>
        <v>215994.85</v>
      </c>
      <c r="Q18" s="355">
        <f>P18+'2. COMPR DEV 30%'!C16+'2. COMPR DEV 30%'!E16+'3. COMP VR'!C16+'3. COMP VR'!E16+'4. COMP VP'!D19+'4. COMP VP'!F19</f>
        <v>402913.30000000005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f>9+9+12+9</f>
        <v>39</v>
      </c>
      <c r="C19" s="256">
        <f>4+1+4+1+1+3</f>
        <v>14</v>
      </c>
      <c r="D19" s="256">
        <f>18+1+22+29+1+33</f>
        <v>104</v>
      </c>
      <c r="E19" s="167">
        <f>6+1+5+7+7</f>
        <v>26</v>
      </c>
      <c r="F19" s="167">
        <f>7+8+6+1+5</f>
        <v>27</v>
      </c>
      <c r="G19" s="165">
        <f>(15428.56)+(18514.28)+(25714.27)+18297.14</f>
        <v>77954.25</v>
      </c>
      <c r="H19" s="257">
        <f>(35771.46-0.05)+(33714.29-0.01)+(66085.72-0.04+5057.16)+(48457.14-0.02+0.03+533.34)</f>
        <v>189619.02000000002</v>
      </c>
      <c r="I19" s="257">
        <f>(1428.57)+(10285.71)</f>
        <v>11714.279999999999</v>
      </c>
      <c r="J19" s="165">
        <f>(142.86)+(1028.57)+571.43+571.43+600+142.86+142.86+1200+600+571.43+1200+1142.86</f>
        <v>7914.3</v>
      </c>
      <c r="K19" s="146">
        <v>0</v>
      </c>
      <c r="L19" s="146">
        <v>0</v>
      </c>
      <c r="M19" s="165">
        <f>(571.43)</f>
        <v>571.42999999999995</v>
      </c>
      <c r="N19" s="257">
        <f>8*1142.86</f>
        <v>9142.8799999999992</v>
      </c>
      <c r="O19" s="171">
        <v>0</v>
      </c>
      <c r="P19" s="353">
        <f t="shared" si="0"/>
        <v>296916.16000000003</v>
      </c>
      <c r="Q19" s="355">
        <f>P19+'2. COMPR DEV 30%'!C17+'2. COMPR DEV 30%'!E17+'3. COMP VR'!C17+'3. COMP VR'!E17+'4. COMP VP'!D20+'4. COMP VP'!F20</f>
        <v>501021.40000000008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172</v>
      </c>
      <c r="C23" s="173">
        <f t="shared" si="1"/>
        <v>168</v>
      </c>
      <c r="D23" s="173">
        <f t="shared" si="1"/>
        <v>670</v>
      </c>
      <c r="E23" s="173">
        <f t="shared" si="1"/>
        <v>141</v>
      </c>
      <c r="F23" s="173">
        <f t="shared" si="1"/>
        <v>198</v>
      </c>
      <c r="G23" s="174">
        <f t="shared" si="1"/>
        <v>381154.11000000004</v>
      </c>
      <c r="H23" s="174">
        <f t="shared" si="1"/>
        <v>1146237.0699999998</v>
      </c>
      <c r="I23" s="174">
        <f t="shared" si="1"/>
        <v>58400</v>
      </c>
      <c r="J23" s="174">
        <f t="shared" ref="J23:O23" si="2">SUM(J11:J22)</f>
        <v>72723.929999999993</v>
      </c>
      <c r="K23" s="174">
        <f t="shared" si="2"/>
        <v>8000</v>
      </c>
      <c r="L23" s="174">
        <f t="shared" si="2"/>
        <v>0</v>
      </c>
      <c r="M23" s="174">
        <f t="shared" si="2"/>
        <v>8342.8799999999992</v>
      </c>
      <c r="N23" s="174">
        <f t="shared" si="2"/>
        <v>107428.83999999998</v>
      </c>
      <c r="O23" s="175">
        <f t="shared" si="2"/>
        <v>26606.71</v>
      </c>
      <c r="P23" s="359">
        <f>G23+H23+I23+J23+K23+L23+M23+N23+O23</f>
        <v>1808893.5399999998</v>
      </c>
      <c r="Q23" s="360">
        <f>SUM(Q11:Q22)</f>
        <v>3741898.81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517</v>
      </c>
      <c r="O24" s="364"/>
      <c r="Q24" s="354">
        <f>SUM(Q11:Q23)-Q23</f>
        <v>3741898.81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topLeftCell="A8" workbookViewId="0">
      <selection activeCell="I23" sqref="I2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1" t="s">
        <v>68</v>
      </c>
      <c r="B4" s="501"/>
      <c r="C4" s="501"/>
      <c r="D4" s="501"/>
      <c r="E4" s="501"/>
      <c r="F4" s="112"/>
      <c r="G4" s="501" t="s">
        <v>68</v>
      </c>
      <c r="H4" s="501"/>
      <c r="I4" s="501"/>
      <c r="J4" s="501"/>
      <c r="K4" s="501"/>
    </row>
    <row r="5" spans="1:11" s="10" customFormat="1" ht="9" x14ac:dyDescent="0.15">
      <c r="A5" s="501" t="s">
        <v>69</v>
      </c>
      <c r="B5" s="501"/>
      <c r="C5" s="501"/>
      <c r="D5" s="501"/>
      <c r="E5" s="501"/>
      <c r="F5" s="112"/>
      <c r="G5" s="501" t="s">
        <v>69</v>
      </c>
      <c r="H5" s="501"/>
      <c r="I5" s="501"/>
      <c r="J5" s="501"/>
      <c r="K5" s="501"/>
    </row>
    <row r="6" spans="1:11" s="10" customFormat="1" ht="9" x14ac:dyDescent="0.15">
      <c r="A6" s="505" t="s">
        <v>492</v>
      </c>
      <c r="B6" s="505"/>
      <c r="C6" s="505"/>
      <c r="D6" s="505"/>
      <c r="E6" s="505"/>
      <c r="F6" s="112"/>
      <c r="G6" s="505" t="s">
        <v>487</v>
      </c>
      <c r="H6" s="505"/>
      <c r="I6" s="505"/>
      <c r="J6" s="505"/>
      <c r="K6" s="505"/>
    </row>
    <row r="7" spans="1:11" ht="15" customHeight="1" x14ac:dyDescent="0.25">
      <c r="A7" s="127"/>
      <c r="B7" s="502" t="s">
        <v>493</v>
      </c>
      <c r="C7" s="503"/>
      <c r="D7" s="503"/>
      <c r="E7" s="504"/>
      <c r="F7" s="68"/>
      <c r="G7" s="71"/>
      <c r="H7" s="506" t="s">
        <v>491</v>
      </c>
      <c r="I7" s="507"/>
      <c r="J7" s="507"/>
      <c r="K7" s="508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f>11+11+2+3</f>
        <v>27</v>
      </c>
      <c r="C14" s="278">
        <f>320.52+441.94+98.65+103.41</f>
        <v>964.52</v>
      </c>
      <c r="D14" s="278">
        <f>10683.8+14731.55+3288.48+3447.14</f>
        <v>32150.969999999998</v>
      </c>
      <c r="E14" s="279">
        <f>2884.63+3977.54+887.89+930.73</f>
        <v>8680.7900000000009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f>3+11+1+5+9</f>
        <v>29</v>
      </c>
      <c r="C15" s="280">
        <f>135.17+360.68+57.55+246.38+332.07</f>
        <v>1131.8499999999999</v>
      </c>
      <c r="D15" s="280">
        <f>4505.54+12021.98+1918.28+8212.42+11069.09</f>
        <v>37727.31</v>
      </c>
      <c r="E15" s="279">
        <f>1216.49+3245.92+517.93+2217.35+2988.66</f>
        <v>10186.35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f>5+7+3+7</f>
        <v>22</v>
      </c>
      <c r="C16" s="278">
        <f>163.27+297.78+159.71+230.9</f>
        <v>851.66</v>
      </c>
      <c r="D16" s="278">
        <f>5442.27+9925.96+5323.63+7696.66</f>
        <v>28388.52</v>
      </c>
      <c r="E16" s="279">
        <f>1469.41+2680.02+1437.38+2078.1</f>
        <v>7664.91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f>7+6+11+8</f>
        <v>32</v>
      </c>
      <c r="C17" s="278">
        <f>264.32+212.97+365.75+355.12</f>
        <v>1198.1599999999999</v>
      </c>
      <c r="D17" s="278">
        <f>8810.64+7099.16+12191.31+11837.36</f>
        <v>39938.47</v>
      </c>
      <c r="E17" s="279">
        <f>2378.88+1916.78+3291.64+3196.1</f>
        <v>10783.4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237</v>
      </c>
      <c r="C21" s="284">
        <f>SUM(C9:C20)</f>
        <v>9130.23</v>
      </c>
      <c r="D21" s="285">
        <f>SUM(D9:D20)</f>
        <v>304336.77</v>
      </c>
      <c r="E21" s="286">
        <f>SUM(E9:E20)</f>
        <v>82170.959999999992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517</v>
      </c>
    </row>
    <row r="23" spans="1:13" ht="15" x14ac:dyDescent="0.25">
      <c r="A23" s="472" t="s">
        <v>502</v>
      </c>
      <c r="B23" s="473"/>
      <c r="C23" s="473"/>
      <c r="D23" s="473"/>
      <c r="E23" s="473"/>
      <c r="F23" s="68"/>
      <c r="G23" s="70"/>
      <c r="H23" s="70"/>
      <c r="I23" s="70"/>
      <c r="J23" s="70"/>
      <c r="K23" s="70"/>
    </row>
    <row r="24" spans="1:13" ht="15" x14ac:dyDescent="0.25">
      <c r="A24" s="472" t="s">
        <v>503</v>
      </c>
      <c r="B24" s="473"/>
      <c r="C24" s="474"/>
      <c r="D24" s="475"/>
      <c r="E24" s="473"/>
      <c r="F24" s="68"/>
      <c r="G24" s="79"/>
      <c r="H24" s="70"/>
      <c r="I24" s="70"/>
      <c r="J24" s="70"/>
      <c r="K24" s="70"/>
      <c r="M24" s="42"/>
    </row>
    <row r="25" spans="1:13" ht="15" x14ac:dyDescent="0.25">
      <c r="A25" s="472" t="s">
        <v>504</v>
      </c>
      <c r="B25" s="473"/>
      <c r="C25" s="474"/>
      <c r="D25" s="475"/>
      <c r="E25" s="473"/>
      <c r="F25" s="68"/>
      <c r="G25" s="79"/>
      <c r="H25" s="70"/>
      <c r="I25" s="70"/>
      <c r="J25" s="70"/>
      <c r="K25" s="70"/>
      <c r="M25" s="42"/>
    </row>
    <row r="26" spans="1:13" ht="15" x14ac:dyDescent="0.25">
      <c r="A26" s="472" t="s">
        <v>505</v>
      </c>
      <c r="B26" s="473"/>
      <c r="C26" s="474"/>
      <c r="D26" s="475"/>
      <c r="E26" s="473"/>
      <c r="F26" s="68"/>
      <c r="G26" s="79"/>
      <c r="H26" s="70"/>
      <c r="I26" s="70"/>
      <c r="J26" s="70"/>
      <c r="K26" s="70"/>
      <c r="M26" s="42"/>
    </row>
    <row r="27" spans="1:13" ht="15" x14ac:dyDescent="0.25">
      <c r="A27" s="472" t="s">
        <v>506</v>
      </c>
      <c r="B27" s="473"/>
      <c r="C27" s="474"/>
      <c r="D27" s="475"/>
      <c r="E27" s="473"/>
      <c r="F27" s="68"/>
      <c r="G27" s="79"/>
      <c r="H27" s="70"/>
      <c r="I27" s="70"/>
      <c r="J27" s="70"/>
      <c r="K27" s="70"/>
      <c r="M27" s="42"/>
    </row>
    <row r="28" spans="1:13" ht="15" x14ac:dyDescent="0.25">
      <c r="A28" s="472" t="s">
        <v>507</v>
      </c>
      <c r="B28" s="473"/>
      <c r="C28" s="474"/>
      <c r="D28" s="475"/>
      <c r="E28" s="473"/>
      <c r="F28" s="68"/>
      <c r="G28" s="79"/>
      <c r="H28" s="70"/>
      <c r="I28" s="70"/>
      <c r="J28" s="70"/>
      <c r="K28" s="70"/>
      <c r="M28" s="42"/>
    </row>
    <row r="29" spans="1:13" ht="15" x14ac:dyDescent="0.25">
      <c r="A29" s="471"/>
      <c r="B29" s="70"/>
      <c r="C29" s="80"/>
      <c r="D29" s="156"/>
      <c r="E29" s="70"/>
      <c r="F29" s="68"/>
      <c r="G29" s="79"/>
      <c r="H29" s="70"/>
      <c r="I29" s="70"/>
      <c r="J29" s="70"/>
      <c r="K29" s="70"/>
      <c r="M29" s="42"/>
    </row>
    <row r="30" spans="1:13" ht="15" x14ac:dyDescent="0.25">
      <c r="A30" s="79"/>
      <c r="B30" s="70"/>
      <c r="C30" s="80"/>
      <c r="D30" s="156"/>
      <c r="E30" s="70"/>
      <c r="F30" s="68"/>
      <c r="G30" s="79"/>
      <c r="H30" s="70"/>
      <c r="I30" s="70"/>
      <c r="J30" s="70"/>
      <c r="K30" s="70"/>
      <c r="M30" s="42"/>
    </row>
    <row r="31" spans="1:13" x14ac:dyDescent="0.2">
      <c r="A31" s="70"/>
      <c r="B31" s="8" t="s">
        <v>482</v>
      </c>
      <c r="C31" s="460"/>
      <c r="D31" s="461"/>
      <c r="E31" s="462"/>
      <c r="F31" s="462"/>
      <c r="G31" s="5"/>
      <c r="H31" s="8" t="s">
        <v>128</v>
      </c>
      <c r="I31" s="460"/>
      <c r="J31" s="461"/>
      <c r="K31" s="362"/>
    </row>
    <row r="32" spans="1:13" x14ac:dyDescent="0.2">
      <c r="A32" s="79"/>
      <c r="B32" s="15"/>
      <c r="C32" s="9" t="s">
        <v>483</v>
      </c>
      <c r="D32" s="2"/>
      <c r="E32" s="6"/>
      <c r="F32" s="6"/>
      <c r="G32" s="5"/>
      <c r="H32" s="15"/>
      <c r="I32" s="9" t="s">
        <v>485</v>
      </c>
      <c r="J32" s="2"/>
      <c r="K32" s="351"/>
    </row>
    <row r="33" spans="1:11" x14ac:dyDescent="0.2">
      <c r="A33" s="70"/>
      <c r="B33" s="4"/>
      <c r="C33" s="463" t="s">
        <v>486</v>
      </c>
      <c r="D33" s="2"/>
      <c r="E33" s="3"/>
      <c r="F33" s="3"/>
      <c r="G33" s="2"/>
      <c r="H33" s="4"/>
      <c r="I33" s="463" t="s">
        <v>484</v>
      </c>
      <c r="J33" s="2"/>
      <c r="K33" s="351"/>
    </row>
    <row r="34" spans="1:11" ht="15" x14ac:dyDescent="0.25">
      <c r="A34" s="68"/>
      <c r="B34" s="68"/>
      <c r="C34" s="81"/>
      <c r="E34" s="68"/>
      <c r="F34" s="70"/>
      <c r="G34" s="68"/>
      <c r="H34" s="68"/>
      <c r="I34" s="70"/>
      <c r="J34" s="70"/>
      <c r="K34" s="68"/>
    </row>
    <row r="35" spans="1:11" ht="15" x14ac:dyDescent="0.25">
      <c r="A35" s="68"/>
      <c r="B35" s="68"/>
      <c r="C35" s="70"/>
      <c r="E35" s="68"/>
      <c r="F35" s="82"/>
      <c r="G35" s="68"/>
      <c r="H35" s="68"/>
      <c r="I35" s="70"/>
      <c r="J35" s="70"/>
      <c r="K35" s="68"/>
    </row>
    <row r="36" spans="1:11" ht="15" x14ac:dyDescent="0.25">
      <c r="A36" s="83"/>
      <c r="B36" s="68"/>
      <c r="C36" s="70"/>
      <c r="D36" s="42"/>
      <c r="E36" s="68"/>
      <c r="F36" s="79"/>
      <c r="G36" s="83"/>
      <c r="H36" s="68"/>
      <c r="I36" s="70"/>
      <c r="J36" s="70"/>
      <c r="K36" s="68"/>
    </row>
    <row r="37" spans="1:11" ht="15" x14ac:dyDescent="0.25">
      <c r="A37" s="81"/>
      <c r="B37" s="68"/>
      <c r="C37" s="81"/>
      <c r="D37" s="81"/>
      <c r="E37" s="81"/>
      <c r="F37" s="68"/>
      <c r="G37" s="68"/>
      <c r="H37" s="68"/>
      <c r="I37" s="68"/>
      <c r="J37" s="68"/>
      <c r="K37" s="68"/>
    </row>
    <row r="38" spans="1:11" ht="15" x14ac:dyDescent="0.25">
      <c r="A38" s="68"/>
      <c r="B38" s="68"/>
      <c r="C38" s="68"/>
      <c r="D38" s="68"/>
      <c r="E38" s="68"/>
    </row>
    <row r="39" spans="1:11" ht="15" x14ac:dyDescent="0.25">
      <c r="A39" s="68"/>
      <c r="B39" s="68"/>
      <c r="C39" s="68"/>
      <c r="D39" s="68"/>
      <c r="E39" s="68"/>
    </row>
    <row r="40" spans="1:11" ht="15" x14ac:dyDescent="0.25">
      <c r="A40" s="68"/>
      <c r="B40" s="68"/>
      <c r="C40" s="68"/>
      <c r="D40" s="68"/>
      <c r="E40" s="68"/>
    </row>
    <row r="41" spans="1:11" ht="15" x14ac:dyDescent="0.25">
      <c r="A41" s="70"/>
      <c r="B41" s="68"/>
      <c r="C41" s="68"/>
      <c r="D41" s="68"/>
      <c r="E41" s="68"/>
    </row>
    <row r="42" spans="1:11" x14ac:dyDescent="0.2">
      <c r="A42" s="84"/>
      <c r="B42" s="70"/>
      <c r="C42" s="70"/>
      <c r="D42" s="70"/>
      <c r="E42" s="70"/>
    </row>
    <row r="43" spans="1:11" ht="15" x14ac:dyDescent="0.25">
      <c r="A43" s="68"/>
      <c r="B43" s="81"/>
      <c r="C43" s="81"/>
      <c r="D43" s="81"/>
      <c r="E43" s="70"/>
    </row>
    <row r="44" spans="1:11" ht="15" x14ac:dyDescent="0.25">
      <c r="A44" s="68"/>
      <c r="B44" s="81"/>
      <c r="C44" s="81"/>
      <c r="D44" s="81"/>
      <c r="E44" s="70"/>
    </row>
    <row r="45" spans="1:11" x14ac:dyDescent="0.2">
      <c r="A45" s="70"/>
      <c r="B45" s="70"/>
      <c r="C45" s="70"/>
      <c r="D45" s="70"/>
      <c r="E45" s="70"/>
    </row>
    <row r="46" spans="1:11" x14ac:dyDescent="0.2">
      <c r="A46" s="70"/>
      <c r="B46" s="70"/>
      <c r="C46" s="70"/>
      <c r="D46" s="70"/>
      <c r="E46" s="70"/>
    </row>
    <row r="47" spans="1:11" x14ac:dyDescent="0.2">
      <c r="A47" s="70"/>
      <c r="B47" s="70"/>
      <c r="C47" s="70"/>
      <c r="D47" s="70"/>
      <c r="E47" s="70"/>
    </row>
    <row r="48" spans="1:11" x14ac:dyDescent="0.2">
      <c r="A48" s="70"/>
      <c r="B48" s="70"/>
      <c r="C48" s="70"/>
      <c r="D48" s="70"/>
      <c r="E48" s="70"/>
    </row>
    <row r="49" spans="1:5" x14ac:dyDescent="0.2">
      <c r="A49" s="70"/>
      <c r="B49" s="70"/>
      <c r="C49" s="70"/>
      <c r="D49" s="70"/>
      <c r="E49" s="70"/>
    </row>
    <row r="50" spans="1:5" x14ac:dyDescent="0.2">
      <c r="A50" s="70"/>
      <c r="B50" s="70"/>
      <c r="C50" s="70"/>
      <c r="D50" s="70"/>
      <c r="E50" s="70"/>
    </row>
    <row r="51" spans="1:5" x14ac:dyDescent="0.2">
      <c r="A51" s="70"/>
      <c r="B51" s="70"/>
      <c r="C51" s="70"/>
      <c r="D51" s="70"/>
      <c r="E51" s="70"/>
    </row>
    <row r="52" spans="1:5" x14ac:dyDescent="0.2">
      <c r="A52" s="70"/>
      <c r="B52" s="70"/>
      <c r="C52" s="70"/>
      <c r="D52" s="70"/>
      <c r="E52" s="70"/>
    </row>
    <row r="53" spans="1:5" x14ac:dyDescent="0.2">
      <c r="A53" s="70"/>
      <c r="B53" s="70"/>
      <c r="C53" s="70"/>
      <c r="D53" s="70"/>
      <c r="E53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3" zoomScaleNormal="100" workbookViewId="0">
      <selection activeCell="I23" sqref="I23"/>
    </sheetView>
  </sheetViews>
  <sheetFormatPr baseColWidth="10" defaultRowHeight="12.75" x14ac:dyDescent="0.2"/>
  <cols>
    <col min="1" max="1" width="12.710937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9" t="s">
        <v>76</v>
      </c>
      <c r="B4" s="509"/>
      <c r="C4" s="509"/>
      <c r="D4" s="509"/>
      <c r="E4" s="509"/>
      <c r="F4" s="2"/>
      <c r="G4" s="509" t="s">
        <v>76</v>
      </c>
      <c r="H4" s="509"/>
      <c r="I4" s="509"/>
      <c r="J4" s="509"/>
      <c r="K4" s="509"/>
    </row>
    <row r="5" spans="1:14" x14ac:dyDescent="0.2">
      <c r="A5" s="509" t="s">
        <v>494</v>
      </c>
      <c r="B5" s="509"/>
      <c r="C5" s="509"/>
      <c r="D5" s="509"/>
      <c r="E5" s="509"/>
      <c r="F5" s="2"/>
      <c r="G5" s="509" t="s">
        <v>488</v>
      </c>
      <c r="H5" s="509"/>
      <c r="I5" s="509"/>
      <c r="J5" s="509"/>
      <c r="K5" s="509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2" t="str">
        <f>'2. COMPR DEV 30%'!B7:E7</f>
        <v>DEL 01 DE ENERO AL 31 DE DICIEMBRE DEL AÑO 2023</v>
      </c>
      <c r="C7" s="503"/>
      <c r="D7" s="503"/>
      <c r="E7" s="504"/>
      <c r="G7" s="19"/>
      <c r="H7" s="510" t="s">
        <v>491</v>
      </c>
      <c r="I7" s="511"/>
      <c r="J7" s="511"/>
      <c r="K7" s="512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f>16+32+23+14</f>
        <v>85</v>
      </c>
      <c r="C14" s="300">
        <f>19.89+50.98+24.45+31.15</f>
        <v>126.47</v>
      </c>
      <c r="D14" s="300">
        <f>14063.04+39579.12+18950.1+17139.88</f>
        <v>89732.140000000014</v>
      </c>
      <c r="E14" s="300">
        <f>12664.02+38627.06+16717.89+16404.24</f>
        <v>84413.21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f>12+12+30+19</f>
        <v>73</v>
      </c>
      <c r="C15" s="300">
        <f>23.1+35.52+29.12+2.52</f>
        <v>90.26</v>
      </c>
      <c r="D15" s="300">
        <f>10693.5+17083.91+22091.59+11362.91</f>
        <v>61231.91</v>
      </c>
      <c r="E15" s="300">
        <f>9973.89+17051.17+22062.47+9400.43</f>
        <v>58487.96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f>12+28+26+23</f>
        <v>89</v>
      </c>
      <c r="C16" s="300">
        <f>27.82+25.62+55.7+14.53</f>
        <v>123.67</v>
      </c>
      <c r="D16" s="300">
        <f>13874.57+22360.14+35389.12+18086.16</f>
        <v>89709.99</v>
      </c>
      <c r="E16" s="300">
        <f>12993.52+20630.33+32222.33+15860.49</f>
        <v>81706.670000000013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f>29+14+26+16</f>
        <v>85</v>
      </c>
      <c r="C17" s="300">
        <f>57.9+15.97+57.94+18.01</f>
        <v>149.82</v>
      </c>
      <c r="D17" s="300">
        <f>27631.42+9825.47+20194.73+14356.08</f>
        <v>72007.7</v>
      </c>
      <c r="E17" s="300">
        <f>26050.88+8544.02+18317.1+12776.04</f>
        <v>65688.040000000008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706</v>
      </c>
      <c r="C21" s="157">
        <f>SUM(C9:C20)</f>
        <v>1011.56</v>
      </c>
      <c r="D21" s="157">
        <f>SUM(D9:D20)</f>
        <v>678140.78999999992</v>
      </c>
      <c r="E21" s="157">
        <f>SUM(E9:E20)</f>
        <v>630405.69000000006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517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8"/>
  <sheetViews>
    <sheetView topLeftCell="A8" workbookViewId="0">
      <selection activeCell="J26" sqref="J26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9" t="s">
        <v>77</v>
      </c>
      <c r="C8" s="509"/>
      <c r="D8" s="509"/>
      <c r="E8" s="509"/>
      <c r="F8" s="509"/>
      <c r="G8" s="2"/>
      <c r="H8" s="509" t="s">
        <v>77</v>
      </c>
      <c r="I8" s="509"/>
      <c r="J8" s="509"/>
      <c r="K8" s="509"/>
      <c r="L8" s="509"/>
    </row>
    <row r="9" spans="2:15" x14ac:dyDescent="0.2">
      <c r="B9" s="513" t="s">
        <v>495</v>
      </c>
      <c r="C9" s="513"/>
      <c r="D9" s="513"/>
      <c r="E9" s="513"/>
      <c r="F9" s="513"/>
      <c r="G9" s="2"/>
      <c r="H9" s="513" t="s">
        <v>497</v>
      </c>
      <c r="I9" s="513"/>
      <c r="J9" s="513"/>
      <c r="K9" s="513"/>
      <c r="L9" s="513"/>
    </row>
    <row r="10" spans="2:15" ht="12.75" customHeight="1" x14ac:dyDescent="0.2">
      <c r="B10" s="19"/>
      <c r="C10" s="502" t="s">
        <v>496</v>
      </c>
      <c r="D10" s="503"/>
      <c r="E10" s="503"/>
      <c r="F10" s="504"/>
      <c r="H10" s="19"/>
      <c r="I10" s="510" t="s">
        <v>491</v>
      </c>
      <c r="J10" s="511"/>
      <c r="K10" s="511"/>
      <c r="L10" s="514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f>29+42+8+5</f>
        <v>84</v>
      </c>
      <c r="D17" s="36">
        <f>311.42+297.85+65.14+18.14</f>
        <v>692.55</v>
      </c>
      <c r="E17" s="36">
        <f>56214.6+57647.4+11920.2+4273.2</f>
        <v>130055.4</v>
      </c>
      <c r="F17" s="30">
        <f>59117.19+60845.1+12506.3+4553.3</f>
        <v>137021.88999999998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f>13+19+29+17</f>
        <v>78</v>
      </c>
      <c r="D18" s="36">
        <f>103.54+157.78+307.18+116.19</f>
        <v>684.69</v>
      </c>
      <c r="E18" s="36">
        <f>18964.84+38175.95+58957.72+20552.57</f>
        <v>136651.07999999999</v>
      </c>
      <c r="F18" s="30">
        <f>19896.47+41556.53+62549.99+21598.12</f>
        <v>145601.10999999999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f>14+25+15+1+5</f>
        <v>60</v>
      </c>
      <c r="D19" s="36">
        <f>88.19+172.57+113.22+8.08+50.56</f>
        <v>432.62</v>
      </c>
      <c r="E19" s="36">
        <f>17503.8+43598.4+19439.4+1062+8065.8</f>
        <v>89669.400000000009</v>
      </c>
      <c r="F19" s="30">
        <f>18768.97+47256.05+20458.24+1134.78+8520.88</f>
        <v>96138.920000000013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f>15+29+21+3</f>
        <v>68</v>
      </c>
      <c r="D20" s="36">
        <f>109.35+226.7+176.15+13</f>
        <v>525.19999999999993</v>
      </c>
      <c r="E20" s="36">
        <f>29462.4+50230.2+30810.09+6233.4</f>
        <v>116736.09</v>
      </c>
      <c r="F20" s="30">
        <f>32462.1+54059.07+32395.3+6844.15</f>
        <v>125760.62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689</v>
      </c>
      <c r="D24" s="37">
        <f>SUM(D12:D23)</f>
        <v>5934</v>
      </c>
      <c r="E24" s="105">
        <f>SUM(E12:E23)</f>
        <v>1138549.6599999999</v>
      </c>
      <c r="F24" s="32">
        <f>SUM(F12:F23)</f>
        <v>1204352.83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517</v>
      </c>
      <c r="L25" s="8"/>
      <c r="M25" s="42"/>
    </row>
    <row r="26" spans="1:16" x14ac:dyDescent="0.2">
      <c r="I26" s="5"/>
      <c r="N26" s="11"/>
    </row>
    <row r="27" spans="1:16" x14ac:dyDescent="0.2">
      <c r="B27" s="472" t="s">
        <v>508</v>
      </c>
      <c r="C27" s="473"/>
      <c r="D27" s="473"/>
      <c r="E27" s="473"/>
      <c r="F27" s="473"/>
      <c r="I27" s="5"/>
      <c r="N27" s="11"/>
    </row>
    <row r="28" spans="1:16" x14ac:dyDescent="0.2">
      <c r="B28" s="472" t="s">
        <v>511</v>
      </c>
      <c r="C28" s="473"/>
      <c r="D28" s="474"/>
      <c r="E28" s="475"/>
      <c r="F28" s="473"/>
      <c r="I28" s="5"/>
      <c r="N28" s="11"/>
    </row>
    <row r="29" spans="1:16" x14ac:dyDescent="0.2">
      <c r="B29" s="472" t="s">
        <v>509</v>
      </c>
      <c r="C29" s="473"/>
      <c r="D29" s="474"/>
      <c r="E29" s="475"/>
      <c r="F29" s="473"/>
      <c r="I29" s="5"/>
      <c r="N29" s="11"/>
    </row>
    <row r="30" spans="1:16" x14ac:dyDescent="0.2">
      <c r="B30" s="472" t="s">
        <v>510</v>
      </c>
      <c r="C30" s="473"/>
      <c r="D30" s="474"/>
      <c r="E30" s="475"/>
      <c r="F30" s="473"/>
      <c r="I30" s="5"/>
      <c r="N30" s="11"/>
    </row>
    <row r="31" spans="1:16" x14ac:dyDescent="0.2">
      <c r="B31" s="472" t="s">
        <v>512</v>
      </c>
      <c r="C31" s="473"/>
      <c r="D31" s="474"/>
      <c r="E31" s="475"/>
      <c r="F31" s="473"/>
      <c r="I31" s="5"/>
      <c r="N31" s="11"/>
    </row>
    <row r="32" spans="1:16" x14ac:dyDescent="0.2">
      <c r="A32" s="5"/>
      <c r="B32" s="472" t="s">
        <v>513</v>
      </c>
      <c r="C32" s="473"/>
      <c r="D32" s="474"/>
      <c r="E32" s="475"/>
      <c r="F32" s="473"/>
      <c r="G32" s="2"/>
    </row>
    <row r="33" spans="1:14" x14ac:dyDescent="0.2">
      <c r="B33" s="472" t="s">
        <v>514</v>
      </c>
      <c r="C33" s="473"/>
      <c r="D33" s="474"/>
      <c r="E33" s="475"/>
      <c r="F33" s="473"/>
    </row>
    <row r="34" spans="1:14" x14ac:dyDescent="0.2">
      <c r="B34" s="472" t="s">
        <v>516</v>
      </c>
      <c r="C34" s="473"/>
      <c r="D34" s="474"/>
      <c r="E34" s="475"/>
      <c r="F34" s="473"/>
      <c r="N34" s="11"/>
    </row>
    <row r="35" spans="1:14" x14ac:dyDescent="0.2">
      <c r="B35" s="472" t="s">
        <v>515</v>
      </c>
      <c r="C35" s="476"/>
      <c r="D35" s="477"/>
      <c r="E35" s="477"/>
      <c r="F35" s="476"/>
    </row>
    <row r="36" spans="1:14" x14ac:dyDescent="0.2">
      <c r="B36" s="471"/>
      <c r="D36" s="4"/>
      <c r="E36" s="4"/>
    </row>
    <row r="37" spans="1:14" x14ac:dyDescent="0.2">
      <c r="B37" s="2"/>
      <c r="C37" s="8" t="s">
        <v>482</v>
      </c>
      <c r="D37" s="460"/>
      <c r="E37" s="461"/>
      <c r="F37" s="462"/>
      <c r="G37" s="462"/>
      <c r="H37" s="5"/>
      <c r="I37" s="8" t="s">
        <v>128</v>
      </c>
      <c r="J37" s="460"/>
      <c r="K37" s="461"/>
      <c r="L37" s="362"/>
    </row>
    <row r="38" spans="1:14" x14ac:dyDescent="0.2">
      <c r="A38" s="2"/>
      <c r="B38" s="34"/>
      <c r="C38" s="15"/>
      <c r="D38" s="9" t="s">
        <v>483</v>
      </c>
      <c r="E38" s="2"/>
      <c r="F38" s="6"/>
      <c r="G38" s="6"/>
      <c r="H38" s="5"/>
      <c r="I38" s="15"/>
      <c r="J38" s="9" t="s">
        <v>485</v>
      </c>
      <c r="K38" s="2"/>
      <c r="L38" s="351"/>
      <c r="M38" s="5"/>
    </row>
    <row r="39" spans="1:14" x14ac:dyDescent="0.2">
      <c r="A39" s="41"/>
      <c r="B39" s="41"/>
      <c r="C39" s="4"/>
      <c r="D39" s="463" t="s">
        <v>486</v>
      </c>
      <c r="E39" s="2"/>
      <c r="F39" s="3"/>
      <c r="G39" s="3"/>
      <c r="H39" s="2"/>
      <c r="I39" s="4"/>
      <c r="J39" s="463" t="s">
        <v>484</v>
      </c>
      <c r="K39" s="2"/>
      <c r="L39" s="351"/>
      <c r="M39" s="5"/>
    </row>
    <row r="40" spans="1:14" x14ac:dyDescent="0.2">
      <c r="B40" s="5"/>
      <c r="C40" s="2"/>
      <c r="D40" s="2"/>
      <c r="E40" s="2"/>
      <c r="F40" s="5"/>
      <c r="G40" s="5"/>
      <c r="H40" s="5"/>
      <c r="I40" s="5"/>
      <c r="J40" s="5"/>
      <c r="K40" s="5"/>
      <c r="L40" s="5"/>
      <c r="M40" s="5"/>
    </row>
    <row r="41" spans="1:14" x14ac:dyDescent="0.2">
      <c r="B41" s="2"/>
      <c r="C41" s="2"/>
      <c r="D41" s="2"/>
      <c r="E41" s="2"/>
      <c r="F41" s="2"/>
      <c r="G41" s="2"/>
    </row>
    <row r="42" spans="1:14" x14ac:dyDescent="0.2">
      <c r="F42" s="2"/>
      <c r="G42" s="2"/>
    </row>
    <row r="43" spans="1:14" x14ac:dyDescent="0.2">
      <c r="F43" s="2"/>
      <c r="G43" s="2"/>
    </row>
    <row r="44" spans="1:14" x14ac:dyDescent="0.2">
      <c r="F44" s="2"/>
      <c r="G44" s="2"/>
    </row>
    <row r="45" spans="1:14" x14ac:dyDescent="0.2">
      <c r="B45" s="2"/>
      <c r="C45" s="2"/>
      <c r="D45" s="2"/>
      <c r="E45" s="2"/>
      <c r="F45" s="2"/>
      <c r="G45" s="2"/>
    </row>
    <row r="46" spans="1:14" x14ac:dyDescent="0.2">
      <c r="B46" s="2"/>
      <c r="C46" s="2"/>
      <c r="D46" s="2"/>
      <c r="E46" s="2"/>
      <c r="F46" s="2"/>
      <c r="G46" s="2"/>
    </row>
    <row r="47" spans="1:14" x14ac:dyDescent="0.2">
      <c r="B47" s="2"/>
      <c r="C47" s="2"/>
      <c r="D47" s="2"/>
      <c r="E47" s="2"/>
      <c r="F47" s="2"/>
      <c r="G47" s="2"/>
    </row>
    <row r="48" spans="1:14" x14ac:dyDescent="0.2">
      <c r="B48" s="2"/>
      <c r="C48" s="2"/>
      <c r="D48" s="2"/>
      <c r="E48" s="2"/>
      <c r="F48" s="2"/>
      <c r="G48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40" t="s">
        <v>194</v>
      </c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</row>
    <row r="4" spans="2:18" x14ac:dyDescent="0.2">
      <c r="B4" s="537" t="s">
        <v>474</v>
      </c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41" t="s">
        <v>202</v>
      </c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296">
        <f>C25</f>
        <v>48</v>
      </c>
      <c r="N6" s="187"/>
      <c r="O6" s="187"/>
      <c r="P6" s="187"/>
    </row>
    <row r="7" spans="2:18" ht="12" thickBot="1" x14ac:dyDescent="0.25"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</row>
    <row r="8" spans="2:18" ht="12.75" thickBot="1" x14ac:dyDescent="0.25">
      <c r="B8" s="543" t="s">
        <v>19</v>
      </c>
      <c r="C8" s="544"/>
      <c r="D8" s="543" t="s">
        <v>172</v>
      </c>
      <c r="E8" s="545"/>
      <c r="F8" s="537"/>
      <c r="G8" s="524" t="s">
        <v>21</v>
      </c>
      <c r="H8" s="526"/>
      <c r="I8" s="536">
        <f>SUM(I10:I32)</f>
        <v>0</v>
      </c>
      <c r="J8" s="524" t="s">
        <v>20</v>
      </c>
      <c r="K8" s="526"/>
      <c r="L8" s="523"/>
      <c r="M8" s="524" t="s">
        <v>22</v>
      </c>
      <c r="N8" s="525"/>
      <c r="O8" s="525"/>
      <c r="P8" s="526"/>
    </row>
    <row r="9" spans="2:18" ht="12.75" thickBot="1" x14ac:dyDescent="0.25">
      <c r="B9" s="515" t="s">
        <v>23</v>
      </c>
      <c r="C9" s="516"/>
      <c r="D9" s="225" t="s">
        <v>173</v>
      </c>
      <c r="E9" s="224" t="s">
        <v>174</v>
      </c>
      <c r="F9" s="537"/>
      <c r="G9" s="517" t="s">
        <v>26</v>
      </c>
      <c r="H9" s="518"/>
      <c r="I9" s="536"/>
      <c r="J9" s="517" t="s">
        <v>25</v>
      </c>
      <c r="K9" s="518"/>
      <c r="L9" s="523"/>
      <c r="M9" s="519" t="s">
        <v>27</v>
      </c>
      <c r="N9" s="520"/>
      <c r="O9" s="521" t="s">
        <v>29</v>
      </c>
      <c r="P9" s="522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7"/>
      <c r="G10" s="221" t="s">
        <v>184</v>
      </c>
      <c r="H10" s="234">
        <v>0</v>
      </c>
      <c r="I10" s="536"/>
      <c r="J10" s="190" t="s">
        <v>152</v>
      </c>
      <c r="K10" s="228">
        <v>0</v>
      </c>
      <c r="L10" s="523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7"/>
      <c r="G11" s="207" t="s">
        <v>185</v>
      </c>
      <c r="H11" s="232">
        <v>5</v>
      </c>
      <c r="I11" s="536"/>
      <c r="J11" s="190" t="s">
        <v>177</v>
      </c>
      <c r="K11" s="228">
        <v>1</v>
      </c>
      <c r="L11" s="523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7"/>
      <c r="G12" s="207" t="s">
        <v>35</v>
      </c>
      <c r="H12" s="232">
        <v>7</v>
      </c>
      <c r="I12" s="536"/>
      <c r="J12" s="190" t="s">
        <v>110</v>
      </c>
      <c r="K12" s="228">
        <v>1</v>
      </c>
      <c r="L12" s="523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7"/>
      <c r="G13" s="207" t="s">
        <v>38</v>
      </c>
      <c r="H13" s="232">
        <v>11</v>
      </c>
      <c r="I13" s="536"/>
      <c r="J13" s="190" t="s">
        <v>111</v>
      </c>
      <c r="K13" s="228">
        <v>0</v>
      </c>
      <c r="L13" s="523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7"/>
      <c r="G14" s="207" t="s">
        <v>181</v>
      </c>
      <c r="H14" s="232">
        <v>10</v>
      </c>
      <c r="I14" s="536"/>
      <c r="J14" s="190" t="s">
        <v>186</v>
      </c>
      <c r="K14" s="228">
        <v>0</v>
      </c>
      <c r="L14" s="523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7"/>
      <c r="G15" s="222" t="s">
        <v>182</v>
      </c>
      <c r="H15" s="232">
        <v>11</v>
      </c>
      <c r="I15" s="536"/>
      <c r="J15" s="190" t="s">
        <v>112</v>
      </c>
      <c r="K15" s="228">
        <v>0</v>
      </c>
      <c r="L15" s="523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7"/>
      <c r="G16" s="222" t="s">
        <v>183</v>
      </c>
      <c r="H16" s="232">
        <v>4</v>
      </c>
      <c r="I16" s="536"/>
      <c r="J16" s="190" t="s">
        <v>47</v>
      </c>
      <c r="K16" s="228">
        <v>1</v>
      </c>
      <c r="L16" s="523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7"/>
      <c r="G17" s="223" t="s">
        <v>138</v>
      </c>
      <c r="H17" s="233">
        <v>0</v>
      </c>
      <c r="I17" s="536"/>
      <c r="J17" s="190" t="s">
        <v>136</v>
      </c>
      <c r="K17" s="228">
        <v>1</v>
      </c>
      <c r="L17" s="523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7"/>
      <c r="G18" s="220" t="s">
        <v>0</v>
      </c>
      <c r="H18" s="235">
        <f>SUM(H10:H17)</f>
        <v>48</v>
      </c>
      <c r="I18" s="536"/>
      <c r="J18" s="190" t="s">
        <v>142</v>
      </c>
      <c r="K18" s="228">
        <v>1</v>
      </c>
      <c r="L18" s="523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7"/>
      <c r="I19" s="536"/>
      <c r="J19" s="190" t="s">
        <v>135</v>
      </c>
      <c r="K19" s="228">
        <v>2</v>
      </c>
      <c r="L19" s="523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7"/>
      <c r="G20" s="538" t="s">
        <v>24</v>
      </c>
      <c r="H20" s="539"/>
      <c r="I20" s="536"/>
      <c r="J20" s="191" t="s">
        <v>188</v>
      </c>
      <c r="K20" s="228">
        <v>6</v>
      </c>
      <c r="L20" s="523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7"/>
      <c r="G21" s="211" t="s">
        <v>32</v>
      </c>
      <c r="H21" s="236">
        <v>16</v>
      </c>
      <c r="I21" s="536"/>
      <c r="J21" s="191" t="s">
        <v>171</v>
      </c>
      <c r="K21" s="228">
        <v>1</v>
      </c>
      <c r="L21" s="523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7"/>
      <c r="G22" s="208" t="s">
        <v>34</v>
      </c>
      <c r="H22" s="237">
        <v>3</v>
      </c>
      <c r="I22" s="536"/>
      <c r="J22" s="191" t="s">
        <v>189</v>
      </c>
      <c r="K22" s="228">
        <v>0</v>
      </c>
      <c r="L22" s="523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7"/>
      <c r="G23" s="208" t="s">
        <v>37</v>
      </c>
      <c r="H23" s="237">
        <v>24</v>
      </c>
      <c r="I23" s="536"/>
      <c r="J23" s="190" t="s">
        <v>54</v>
      </c>
      <c r="K23" s="228">
        <v>0</v>
      </c>
      <c r="L23" s="523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37"/>
      <c r="G24" s="208" t="s">
        <v>40</v>
      </c>
      <c r="H24" s="237">
        <v>4</v>
      </c>
      <c r="I24" s="536"/>
      <c r="J24" s="190" t="s">
        <v>133</v>
      </c>
      <c r="K24" s="228">
        <v>0</v>
      </c>
      <c r="L24" s="523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7"/>
      <c r="G25" s="209" t="s">
        <v>42</v>
      </c>
      <c r="H25" s="237">
        <v>1</v>
      </c>
      <c r="I25" s="536"/>
      <c r="J25" s="190" t="s">
        <v>132</v>
      </c>
      <c r="K25" s="228">
        <v>1</v>
      </c>
      <c r="L25" s="523"/>
      <c r="M25" s="532" t="s">
        <v>30</v>
      </c>
      <c r="N25" s="533"/>
      <c r="O25" s="534" t="s">
        <v>28</v>
      </c>
      <c r="P25" s="535"/>
    </row>
    <row r="26" spans="2:18" ht="12" thickBot="1" x14ac:dyDescent="0.25">
      <c r="B26" s="121" t="s">
        <v>149</v>
      </c>
      <c r="C26" s="188"/>
      <c r="D26" s="188"/>
      <c r="E26" s="188"/>
      <c r="F26" s="537"/>
      <c r="G26" s="209" t="s">
        <v>44</v>
      </c>
      <c r="H26" s="237">
        <v>0</v>
      </c>
      <c r="I26" s="536"/>
      <c r="J26" s="190" t="s">
        <v>55</v>
      </c>
      <c r="K26" s="228">
        <v>9</v>
      </c>
      <c r="L26" s="523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7"/>
      <c r="G27" s="210" t="s">
        <v>118</v>
      </c>
      <c r="H27" s="238">
        <v>0</v>
      </c>
      <c r="I27" s="536"/>
      <c r="J27" s="190" t="s">
        <v>123</v>
      </c>
      <c r="K27" s="228">
        <v>0</v>
      </c>
      <c r="L27" s="523"/>
      <c r="M27" s="527"/>
      <c r="N27" s="527"/>
      <c r="O27" s="527"/>
      <c r="P27" s="528"/>
    </row>
    <row r="28" spans="2:18" ht="12" thickBot="1" x14ac:dyDescent="0.25">
      <c r="B28" s="259"/>
      <c r="C28" s="188"/>
      <c r="D28" s="188"/>
      <c r="E28" s="188"/>
      <c r="F28" s="537"/>
      <c r="G28" s="218" t="s">
        <v>0</v>
      </c>
      <c r="H28" s="219">
        <f>H21+H22+H23+H24+H25+H26+H27</f>
        <v>48</v>
      </c>
      <c r="I28" s="536"/>
      <c r="J28" s="190" t="s">
        <v>143</v>
      </c>
      <c r="K28" s="228">
        <v>3</v>
      </c>
      <c r="L28" s="523"/>
      <c r="M28" s="529" t="s">
        <v>113</v>
      </c>
      <c r="N28" s="530"/>
      <c r="O28" s="530"/>
      <c r="P28" s="531"/>
    </row>
    <row r="29" spans="2:18" ht="16.5" x14ac:dyDescent="0.2">
      <c r="B29" s="259"/>
      <c r="C29" s="188"/>
      <c r="D29" s="188"/>
      <c r="E29" s="188"/>
      <c r="F29" s="537"/>
      <c r="I29" s="536"/>
      <c r="J29" s="190" t="s">
        <v>127</v>
      </c>
      <c r="K29" s="228">
        <v>0</v>
      </c>
      <c r="L29" s="523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7"/>
      <c r="I30" s="536"/>
      <c r="J30" s="214" t="s">
        <v>134</v>
      </c>
      <c r="K30" s="228">
        <v>0</v>
      </c>
      <c r="L30" s="523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37"/>
      <c r="G31" s="188"/>
      <c r="H31" s="188"/>
      <c r="I31" s="536"/>
      <c r="J31" s="214" t="s">
        <v>205</v>
      </c>
      <c r="K31" s="228">
        <v>13</v>
      </c>
      <c r="L31" s="523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7"/>
      <c r="G32" s="188"/>
      <c r="H32" s="188"/>
      <c r="I32" s="536"/>
      <c r="J32" s="214" t="s">
        <v>187</v>
      </c>
      <c r="K32" s="228">
        <v>8</v>
      </c>
      <c r="L32" s="523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37"/>
      <c r="G33" s="189"/>
      <c r="H33" s="189"/>
      <c r="I33" s="536"/>
      <c r="J33" s="215" t="s">
        <v>0</v>
      </c>
      <c r="K33" s="217">
        <f>SUM(K10:K32)</f>
        <v>48</v>
      </c>
      <c r="L33" s="523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1" t="s">
        <v>98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4" spans="1:20" x14ac:dyDescent="0.2">
      <c r="A4" s="2"/>
      <c r="B4" s="491" t="s">
        <v>99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1:20" x14ac:dyDescent="0.2">
      <c r="A5" s="2"/>
      <c r="B5" s="491" t="s">
        <v>137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8" t="s">
        <v>489</v>
      </c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9" t="s">
        <v>100</v>
      </c>
      <c r="D8" s="550"/>
      <c r="E8" s="550"/>
      <c r="F8" s="550"/>
      <c r="G8" s="551"/>
      <c r="H8" s="46"/>
      <c r="I8" s="549" t="s">
        <v>101</v>
      </c>
      <c r="J8" s="550"/>
      <c r="K8" s="550"/>
      <c r="L8" s="550"/>
      <c r="M8" s="551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1"/>
    </row>
    <row r="34" spans="1:17" ht="15.95" customHeight="1" x14ac:dyDescent="0.2">
      <c r="B34" s="491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1"/>
    </row>
    <row r="35" spans="1:17" ht="15.95" customHeight="1" x14ac:dyDescent="0.2"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"/>
    </row>
    <row r="38" spans="1:17" ht="21.95" customHeight="1" x14ac:dyDescent="0.2">
      <c r="B38" s="53"/>
      <c r="C38" s="547"/>
      <c r="D38" s="547"/>
      <c r="E38" s="547"/>
      <c r="F38" s="547"/>
      <c r="G38" s="547"/>
      <c r="H38" s="55"/>
      <c r="I38" s="547"/>
      <c r="J38" s="547"/>
      <c r="K38" s="547"/>
      <c r="L38" s="547"/>
      <c r="M38" s="547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52" t="s">
        <v>475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2022-04-07T13:03:42Z</cp:lastPrinted>
  <dcterms:created xsi:type="dcterms:W3CDTF">2002-04-29T19:59:45Z</dcterms:created>
  <dcterms:modified xsi:type="dcterms:W3CDTF">2023-10-27T13:40:08Z</dcterms:modified>
</cp:coreProperties>
</file>