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3/ESTADISTICAS BLANCA BATRES/"/>
    </mc:Choice>
  </mc:AlternateContent>
  <xr:revisionPtr revIDLastSave="208" documentId="13_ncr:1_{FCA6C2CC-C18D-4D25-9326-45288331894B}" xr6:coauthVersionLast="47" xr6:coauthVersionMax="47" xr10:uidLastSave="{EF3E8DEA-0103-41D0-B451-237AA29E5EBB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14" i="25"/>
  <c r="E13" i="25"/>
  <c r="E11" i="25"/>
  <c r="E10" i="25"/>
  <c r="E9" i="25"/>
  <c r="E8" i="25"/>
  <c r="E7" i="25"/>
  <c r="E6" i="25"/>
  <c r="C16" i="4"/>
  <c r="B16" i="4"/>
  <c r="D16" i="4"/>
  <c r="F16" i="4"/>
  <c r="E16" i="4"/>
  <c r="J16" i="4"/>
  <c r="N16" i="4"/>
  <c r="O16" i="4"/>
  <c r="H16" i="4" l="1"/>
  <c r="G16" i="4"/>
  <c r="M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J15" i="4"/>
  <c r="I15" i="4"/>
  <c r="C15" i="4"/>
  <c r="E15" i="4"/>
  <c r="D15" i="4"/>
  <c r="F16" i="18"/>
  <c r="E16" i="18"/>
  <c r="D16" i="18"/>
  <c r="C16" i="18"/>
  <c r="E13" i="17"/>
  <c r="D13" i="17"/>
  <c r="C13" i="17"/>
  <c r="B13" i="17"/>
  <c r="E13" i="16"/>
  <c r="D13" i="16"/>
  <c r="C13" i="16"/>
  <c r="B13" i="16"/>
  <c r="N14" i="4"/>
  <c r="N15" i="4" l="1"/>
  <c r="N23" i="4" s="1"/>
  <c r="E17" i="27" s="1"/>
  <c r="E38" i="27" s="1"/>
  <c r="C23" i="4"/>
  <c r="B15" i="4"/>
  <c r="F15" i="4"/>
  <c r="F23" i="4" s="1"/>
  <c r="B23" i="4"/>
  <c r="D23" i="4"/>
  <c r="H15" i="4"/>
  <c r="G15" i="4"/>
  <c r="C24" i="18"/>
  <c r="C23" i="27" s="1"/>
  <c r="D23" i="27" s="1"/>
  <c r="D40" i="27" s="1"/>
  <c r="C21" i="17"/>
  <c r="E21" i="16"/>
  <c r="F24" i="18"/>
  <c r="E21" i="17"/>
  <c r="B21" i="16"/>
  <c r="C24" i="27" s="1"/>
  <c r="E24" i="18"/>
  <c r="F14" i="4"/>
  <c r="E14" i="4"/>
  <c r="E23" i="4"/>
  <c r="D14" i="4"/>
  <c r="B14" i="4"/>
  <c r="C14" i="4"/>
  <c r="G14" i="4"/>
  <c r="H14" i="4"/>
  <c r="J14" i="4"/>
  <c r="F15" i="18"/>
  <c r="E15" i="18"/>
  <c r="D15" i="18"/>
  <c r="C15" i="18"/>
  <c r="E12" i="17"/>
  <c r="D12" i="17"/>
  <c r="D21" i="17" s="1"/>
  <c r="C12" i="17"/>
  <c r="B12" i="17"/>
  <c r="E12" i="16"/>
  <c r="D12" i="16"/>
  <c r="C12" i="16"/>
  <c r="B12" i="16"/>
  <c r="E36" i="25"/>
  <c r="E35" i="25"/>
  <c r="E12" i="25"/>
  <c r="E29" i="25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E9" i="17"/>
  <c r="D9" i="17"/>
  <c r="C9" i="17"/>
  <c r="B9" i="17"/>
  <c r="E9" i="16"/>
  <c r="D9" i="16"/>
  <c r="C9" i="16"/>
  <c r="B9" i="16"/>
  <c r="C11" i="4"/>
  <c r="F11" i="4"/>
  <c r="E11" i="4"/>
  <c r="D11" i="4"/>
  <c r="H11" i="4"/>
  <c r="G11" i="4"/>
  <c r="M11" i="4"/>
  <c r="L24" i="18"/>
  <c r="K24" i="18"/>
  <c r="I24" i="18"/>
  <c r="J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1" i="16"/>
  <c r="J21" i="16"/>
  <c r="I21" i="16"/>
  <c r="H21" i="16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H9" i="16"/>
  <c r="D19" i="25"/>
  <c r="D36" i="25"/>
  <c r="D13" i="25"/>
  <c r="D15" i="25" s="1"/>
  <c r="D11" i="25"/>
  <c r="D33" i="25" s="1"/>
  <c r="D10" i="25"/>
  <c r="D8" i="25"/>
  <c r="D30" i="25"/>
  <c r="D7" i="25"/>
  <c r="D29" i="25" s="1"/>
  <c r="D6" i="25"/>
  <c r="D28" i="25" s="1"/>
  <c r="D39" i="25" s="1"/>
  <c r="E31" i="25"/>
  <c r="D20" i="25"/>
  <c r="D37" i="25"/>
  <c r="E28" i="25"/>
  <c r="E32" i="25"/>
  <c r="I23" i="4"/>
  <c r="E11" i="27"/>
  <c r="E33" i="27" s="1"/>
  <c r="E34" i="25"/>
  <c r="E38" i="25"/>
  <c r="D21" i="25"/>
  <c r="D38" i="25"/>
  <c r="P22" i="4"/>
  <c r="Q22" i="4"/>
  <c r="P21" i="4"/>
  <c r="Q21" i="4"/>
  <c r="P20" i="4"/>
  <c r="Q20" i="4"/>
  <c r="P19" i="4"/>
  <c r="P18" i="4"/>
  <c r="Q18" i="4"/>
  <c r="P17" i="4"/>
  <c r="P16" i="4"/>
  <c r="Q16" i="4" s="1"/>
  <c r="P13" i="4"/>
  <c r="Q13" i="4"/>
  <c r="P12" i="4"/>
  <c r="Q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/>
  <c r="M23" i="4"/>
  <c r="E13" i="27" s="1"/>
  <c r="E35" i="27" s="1"/>
  <c r="D35" i="25"/>
  <c r="D32" i="25"/>
  <c r="D31" i="25"/>
  <c r="C35" i="25"/>
  <c r="C34" i="25"/>
  <c r="C31" i="25"/>
  <c r="Q19" i="4"/>
  <c r="B7" i="17"/>
  <c r="Q17" i="4"/>
  <c r="L23" i="4"/>
  <c r="C33" i="25"/>
  <c r="K23" i="4"/>
  <c r="E12" i="27"/>
  <c r="E34" i="27"/>
  <c r="E30" i="25"/>
  <c r="C15" i="27"/>
  <c r="C19" i="27"/>
  <c r="D15" i="27"/>
  <c r="D19" i="27"/>
  <c r="P11" i="4"/>
  <c r="Q11" i="4"/>
  <c r="C25" i="29"/>
  <c r="M6" i="29"/>
  <c r="P21" i="11"/>
  <c r="P19" i="11"/>
  <c r="P17" i="11"/>
  <c r="P16" i="11"/>
  <c r="B21" i="17"/>
  <c r="C22" i="27" s="1"/>
  <c r="C39" i="27" s="1"/>
  <c r="O23" i="4"/>
  <c r="E14" i="27"/>
  <c r="E36" i="27"/>
  <c r="C30" i="25"/>
  <c r="H23" i="4"/>
  <c r="E10" i="27" s="1"/>
  <c r="E32" i="27" s="1"/>
  <c r="C22" i="25"/>
  <c r="C24" i="25"/>
  <c r="H22" i="11"/>
  <c r="O22" i="11"/>
  <c r="P10" i="11"/>
  <c r="P22" i="11"/>
  <c r="C39" i="25"/>
  <c r="E15" i="25"/>
  <c r="D34" i="25"/>
  <c r="D22" i="25"/>
  <c r="E37" i="25"/>
  <c r="D12" i="25" l="1"/>
  <c r="D16" i="25" s="1"/>
  <c r="D24" i="25" s="1"/>
  <c r="J23" i="4"/>
  <c r="E16" i="27" s="1"/>
  <c r="P15" i="4"/>
  <c r="Q15" i="4" s="1"/>
  <c r="D21" i="16"/>
  <c r="D24" i="18"/>
  <c r="E23" i="27" s="1"/>
  <c r="E40" i="27" s="1"/>
  <c r="P14" i="4"/>
  <c r="Q14" i="4" s="1"/>
  <c r="G23" i="4"/>
  <c r="E9" i="27" s="1"/>
  <c r="E31" i="27" s="1"/>
  <c r="E22" i="25"/>
  <c r="F19" i="25" s="1"/>
  <c r="E16" i="25"/>
  <c r="F13" i="25" s="1"/>
  <c r="E33" i="25"/>
  <c r="E39" i="25"/>
  <c r="F29" i="25" s="1"/>
  <c r="D22" i="27"/>
  <c r="D39" i="27" s="1"/>
  <c r="C40" i="27"/>
  <c r="E22" i="27"/>
  <c r="E39" i="27" s="1"/>
  <c r="C21" i="16"/>
  <c r="E24" i="27" s="1"/>
  <c r="D24" i="27"/>
  <c r="C25" i="27"/>
  <c r="C27" i="27" s="1"/>
  <c r="C41" i="27"/>
  <c r="F21" i="25" l="1"/>
  <c r="E15" i="27"/>
  <c r="Q23" i="4"/>
  <c r="Q24" i="4" s="1"/>
  <c r="I14" i="27"/>
  <c r="P23" i="4"/>
  <c r="E18" i="27"/>
  <c r="E37" i="27"/>
  <c r="F20" i="25"/>
  <c r="F22" i="25" s="1"/>
  <c r="F8" i="25"/>
  <c r="F14" i="25"/>
  <c r="F9" i="25"/>
  <c r="F10" i="25"/>
  <c r="F7" i="25"/>
  <c r="F11" i="25"/>
  <c r="E24" i="25"/>
  <c r="F6" i="25"/>
  <c r="F30" i="25"/>
  <c r="F32" i="25"/>
  <c r="F37" i="25"/>
  <c r="F34" i="25"/>
  <c r="F38" i="25"/>
  <c r="F35" i="25"/>
  <c r="F36" i="25"/>
  <c r="F28" i="25"/>
  <c r="F31" i="25"/>
  <c r="F33" i="25"/>
  <c r="C42" i="27"/>
  <c r="E25" i="27"/>
  <c r="F24" i="27" s="1"/>
  <c r="E41" i="27"/>
  <c r="D41" i="27"/>
  <c r="D42" i="27" s="1"/>
  <c r="D25" i="27"/>
  <c r="D27" i="27" s="1"/>
  <c r="F16" i="25" l="1"/>
  <c r="E19" i="27"/>
  <c r="F14" i="27" s="1"/>
  <c r="F39" i="25"/>
  <c r="F23" i="27"/>
  <c r="F22" i="27"/>
  <c r="E42" i="27"/>
  <c r="F41" i="27" s="1"/>
  <c r="F10" i="27" l="1"/>
  <c r="F16" i="27"/>
  <c r="F9" i="27"/>
  <c r="F17" i="27"/>
  <c r="E27" i="27"/>
  <c r="F11" i="27"/>
  <c r="F13" i="27"/>
  <c r="F12" i="27"/>
  <c r="F36" i="27"/>
  <c r="F39" i="27"/>
  <c r="F33" i="27"/>
  <c r="F40" i="27"/>
  <c r="F38" i="27"/>
  <c r="F34" i="27"/>
  <c r="F31" i="27"/>
  <c r="F32" i="27"/>
  <c r="F37" i="27"/>
  <c r="F35" i="27"/>
  <c r="I42" i="27"/>
  <c r="F25" i="27"/>
  <c r="F19" i="27" l="1"/>
  <c r="F42" i="27"/>
</calcChain>
</file>

<file path=xl/sharedStrings.xml><?xml version="1.0" encoding="utf-8"?>
<sst xmlns="http://schemas.openxmlformats.org/spreadsheetml/2006/main" count="900" uniqueCount="503">
  <si>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</si>
  <si>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</si>
  <si>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</si>
  <si>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</si>
  <si>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</si>
  <si>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</si>
  <si>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</si>
  <si>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</si>
  <si>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</si>
  <si>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</si>
  <si>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</si>
  <si>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</si>
  <si>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</si>
  <si>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</si>
  <si>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</si>
  <si>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</si>
  <si>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</si>
  <si>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</si>
  <si>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</si>
  <si>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</si>
  <si>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</si>
  <si>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</si>
  <si>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</si>
  <si>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</si>
  <si>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</si>
  <si>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</si>
  <si>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</si>
  <si>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</si>
  <si>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</si>
  <si>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</si>
  <si>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</si>
  <si>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</si>
  <si>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</si>
  <si>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</si>
  <si>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</si>
  <si>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</si>
  <si>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</si>
  <si>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</si>
  <si>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</si>
  <si>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</si>
  <si>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</si>
  <si>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</si>
  <si>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</si>
  <si>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</si>
  <si>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</si>
  <si>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</si>
  <si>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</si>
  <si>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</si>
  <si>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</si>
  <si>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</si>
  <si>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</si>
  <si>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</si>
  <si>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</si>
  <si>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</si>
  <si>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</si>
  <si>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</si>
  <si>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</si>
  <si>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</si>
  <si>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</si>
  <si>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</si>
  <si>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</si>
  <si>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</si>
  <si>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</si>
  <si>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</si>
  <si>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</si>
  <si>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</si>
  <si>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</si>
  <si>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</si>
  <si>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</si>
  <si>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</si>
  <si>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</si>
  <si>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</si>
  <si>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</si>
  <si>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</si>
  <si>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</si>
  <si>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</si>
  <si>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</si>
  <si>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</si>
  <si>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</si>
  <si>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</si>
  <si>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</si>
  <si>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</si>
  <si>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</si>
  <si>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</si>
  <si>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</si>
  <si>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</si>
  <si>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</si>
  <si>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</si>
  <si>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</si>
  <si>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</si>
  <si>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</si>
  <si>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</si>
  <si>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</si>
  <si>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</si>
  <si>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</si>
  <si>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</si>
  <si>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</si>
  <si>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</si>
  <si>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</si>
  <si>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</si>
  <si>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</si>
  <si>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</si>
  <si>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</si>
  <si>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</si>
  <si>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</si>
  <si>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</si>
  <si>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</si>
  <si>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</si>
  <si>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</si>
  <si>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</si>
  <si>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</si>
  <si>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</si>
  <si>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</si>
  <si>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</si>
  <si>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</si>
  <si>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</si>
  <si>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</si>
  <si>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</si>
  <si>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</si>
  <si>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</si>
  <si>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</si>
  <si>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</si>
  <si>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</si>
  <si>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</si>
  <si>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</si>
  <si>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</si>
  <si>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</si>
  <si>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</si>
  <si>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</si>
  <si>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</si>
  <si>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</si>
  <si>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</si>
  <si>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</si>
  <si>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</si>
  <si>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</si>
  <si>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</si>
  <si>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</si>
  <si>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</si>
  <si>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</si>
  <si>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</si>
  <si>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</si>
  <si>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</si>
  <si>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</si>
  <si>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</si>
  <si>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</si>
  <si>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</si>
  <si>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</si>
  <si>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</si>
  <si>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</si>
  <si>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</si>
  <si>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</si>
  <si>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</si>
  <si>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</si>
  <si>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</si>
  <si>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</si>
  <si>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</si>
  <si>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</si>
  <si>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</si>
  <si>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</si>
  <si>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</si>
  <si>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</si>
  <si>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</si>
  <si>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</si>
  <si>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</si>
  <si>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</si>
  <si>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</si>
  <si>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</si>
  <si>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</si>
  <si>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</si>
  <si>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</si>
  <si>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</si>
  <si>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</si>
  <si>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</si>
  <si>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</si>
  <si>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</si>
  <si>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</si>
  <si>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</si>
  <si>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</si>
  <si>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</si>
  <si>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</si>
  <si>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</si>
  <si>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</si>
  <si>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</si>
  <si>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</si>
  <si>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</si>
  <si>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</si>
  <si>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</si>
  <si>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</si>
  <si>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</si>
  <si>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</si>
  <si>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</si>
  <si>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</si>
  <si>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</si>
  <si>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</si>
  <si>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</si>
  <si>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</si>
  <si>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</si>
  <si>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</si>
  <si>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</si>
  <si>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</si>
  <si>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</si>
  <si>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</si>
  <si>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</si>
  <si>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</si>
  <si>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</si>
  <si>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</si>
  <si>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</si>
  <si>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</si>
  <si>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</si>
  <si>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</si>
  <si>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</si>
  <si>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</si>
  <si>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</si>
  <si>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</si>
  <si>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</si>
  <si>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</si>
  <si>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</si>
  <si>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</si>
  <si>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</si>
  <si>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</si>
  <si>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</si>
  <si>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</si>
  <si>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</si>
  <si>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</si>
  <si>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</si>
  <si>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</si>
  <si>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</si>
  <si>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</si>
  <si>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</si>
  <si>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</si>
  <si>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</si>
  <si>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</si>
  <si>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</si>
  <si>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</si>
  <si>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</si>
  <si>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</si>
  <si>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</si>
  <si>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</si>
  <si>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</si>
  <si>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</si>
  <si>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</si>
  <si>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</si>
  <si>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</si>
  <si>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</si>
  <si>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</si>
  <si>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</si>
  <si>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</si>
  <si>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</si>
  <si>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</si>
  <si>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</si>
  <si>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</si>
  <si>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</si>
  <si>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</si>
  <si>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</si>
  <si>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</si>
  <si>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</si>
  <si>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</si>
  <si>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</si>
  <si>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</si>
  <si>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</si>
  <si>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</si>
  <si>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</si>
  <si>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</si>
  <si>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</si>
  <si>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</si>
  <si>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</si>
  <si>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</si>
  <si>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</si>
  <si>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</si>
  <si>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</si>
  <si>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</si>
  <si>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</si>
  <si>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</si>
  <si>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</si>
  <si>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</si>
  <si>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</si>
  <si>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</si>
  <si>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</si>
  <si>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</si>
  <si>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</si>
  <si>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</si>
  <si>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</si>
  <si>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</si>
  <si>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</si>
  <si>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</si>
  <si>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</si>
  <si>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</si>
  <si>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</si>
  <si>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</si>
  <si>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</si>
  <si>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</si>
  <si>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</si>
  <si>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</si>
  <si>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</si>
  <si>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</si>
  <si>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</si>
  <si>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</si>
  <si>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</si>
  <si>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</si>
  <si>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</si>
  <si>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</si>
  <si>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</si>
  <si>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</si>
  <si>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</si>
  <si>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</si>
  <si>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</si>
  <si>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</si>
  <si>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</si>
  <si>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</si>
  <si>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</si>
  <si>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</si>
  <si>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</si>
  <si>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</si>
  <si>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</si>
  <si>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</si>
  <si>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</si>
  <si>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</si>
  <si>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</si>
  <si>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</si>
  <si>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</si>
  <si>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</si>
  <si>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</si>
  <si>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</si>
  <si>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</si>
  <si>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</si>
  <si>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</si>
  <si>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</si>
  <si>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</si>
  <si>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</si>
  <si>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</si>
  <si>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</si>
  <si>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</si>
  <si>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</si>
  <si>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</si>
  <si>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</si>
  <si>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</si>
  <si>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</si>
  <si>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</si>
  <si>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</si>
  <si>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</si>
  <si>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</si>
  <si>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</si>
  <si>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</si>
  <si>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</si>
  <si>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</si>
  <si>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</si>
  <si>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</si>
  <si>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</si>
  <si>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</si>
  <si>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</si>
  <si>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</si>
  <si>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</si>
  <si>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</si>
  <si>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</si>
  <si>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</si>
  <si>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</si>
  <si>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</si>
  <si>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</si>
  <si>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</si>
  <si>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</si>
  <si>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</si>
  <si>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</si>
  <si>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</si>
  <si>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</si>
  <si>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</si>
  <si>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</si>
  <si>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</si>
  <si>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</si>
  <si>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</si>
  <si>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</si>
  <si>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</si>
  <si>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</si>
  <si>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</si>
  <si>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</si>
  <si>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</si>
  <si>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</si>
  <si>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</si>
  <si>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</si>
  <si>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</si>
  <si>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</si>
  <si>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</si>
  <si>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</si>
  <si>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</si>
  <si>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</si>
  <si>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</si>
  <si>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</si>
  <si>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</si>
  <si>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</si>
  <si>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</si>
  <si>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</si>
  <si>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</si>
  <si>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</si>
  <si>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</si>
  <si>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</si>
  <si>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</si>
  <si>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</si>
  <si>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</si>
  <si>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</si>
  <si>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</si>
  <si>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</si>
  <si>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</si>
  <si>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</si>
  <si>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</si>
  <si>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</si>
  <si>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</si>
  <si>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</si>
  <si>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</si>
  <si>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</si>
  <si>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</si>
  <si>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</si>
  <si>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</si>
  <si>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</si>
  <si>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</si>
  <si>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</si>
  <si>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</si>
  <si>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</si>
  <si>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</si>
  <si>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</si>
  <si>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</si>
  <si>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</si>
  <si>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</si>
  <si>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</si>
  <si>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</si>
  <si>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</si>
  <si>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</si>
  <si>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</si>
  <si>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</si>
  <si>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</si>
  <si>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</si>
  <si>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</si>
  <si>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</si>
  <si>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</si>
  <si>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</si>
  <si>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</si>
  <si>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</si>
  <si>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</si>
  <si>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</si>
  <si>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</si>
  <si>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</si>
  <si>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</si>
  <si>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</si>
  <si>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</si>
  <si>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</si>
  <si>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</si>
  <si>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</si>
  <si>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</si>
  <si>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</si>
  <si>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</si>
  <si>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</si>
  <si>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</si>
  <si>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</si>
  <si>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</si>
  <si>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</si>
  <si>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</si>
  <si>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</si>
  <si>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</si>
  <si>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</si>
  <si>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</si>
  <si>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</si>
  <si>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</si>
  <si>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</si>
  <si>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</si>
  <si>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</si>
  <si>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</si>
  <si>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</si>
  <si>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</si>
  <si>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</si>
  <si>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</si>
  <si>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</si>
  <si>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</si>
  <si>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</si>
  <si>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</si>
  <si>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</si>
  <si>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</si>
  <si>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</si>
  <si>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</si>
  <si>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</si>
  <si>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</si>
  <si>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</si>
  <si>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</si>
  <si>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</si>
  <si>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</si>
  <si>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</si>
  <si>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</si>
  <si>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</si>
  <si>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</si>
  <si>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</si>
  <si>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</si>
  <si>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</si>
  <si>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</si>
  <si>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</si>
  <si>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</si>
  <si>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</si>
  <si>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</si>
  <si>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</si>
  <si>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</si>
  <si>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</si>
  <si>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</si>
  <si>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</si>
  <si>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</si>
  <si>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</si>
  <si>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Nº DE BENEF. A LOS QUE SE LES HA PAGADO EN EL AÑO 2023 (CUADROS APROBADOS POR CD + CASOS DE INV)</t>
  </si>
  <si>
    <t>San Salvador, 31 de mayo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</si>
</sst>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6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209177.04</c:v>
                </c:pt>
                <c:pt idx="1">
                  <c:v>683143.84</c:v>
                </c:pt>
                <c:pt idx="2">
                  <c:v>3771.4399999999996</c:v>
                </c:pt>
                <c:pt idx="3">
                  <c:v>10495.7</c:v>
                </c:pt>
                <c:pt idx="4">
                  <c:v>44790.549999999988</c:v>
                </c:pt>
                <c:pt idx="5">
                  <c:v>62857.299999999988</c:v>
                </c:pt>
                <c:pt idx="6">
                  <c:v>425170.83</c:v>
                </c:pt>
                <c:pt idx="7">
                  <c:v>841143.67</c:v>
                </c:pt>
                <c:pt idx="8">
                  <c:v>59484.86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24685.69</c:v>
                </c:pt>
                <c:pt idx="1">
                  <c:v>180051.39</c:v>
                </c:pt>
                <c:pt idx="2">
                  <c:v>0</c:v>
                </c:pt>
                <c:pt idx="3">
                  <c:v>0</c:v>
                </c:pt>
                <c:pt idx="4">
                  <c:v>1485.7199999999998</c:v>
                </c:pt>
                <c:pt idx="5">
                  <c:v>10495.7</c:v>
                </c:pt>
                <c:pt idx="6">
                  <c:v>9161.9199999999983</c:v>
                </c:pt>
                <c:pt idx="7">
                  <c:v>17142.899999999998</c:v>
                </c:pt>
                <c:pt idx="8">
                  <c:v>84539.680000000008</c:v>
                </c:pt>
                <c:pt idx="9">
                  <c:v>137714.43999999997</c:v>
                </c:pt>
                <c:pt idx="10">
                  <c:v>9645.3100000000013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209177.04</v>
      </c>
      <c r="F9" s="375">
        <f>E9/E19</f>
        <v>0.19716540974531402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683143.84</v>
      </c>
      <c r="F10" s="376">
        <f>E10/E19</f>
        <v>0.64391548483804539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46685.72</v>
      </c>
      <c r="F11" s="376">
        <f>E11/E19</f>
        <v>4.4004873159382125E-2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0</v>
      </c>
      <c r="F12" s="376">
        <f>E12/E19</f>
        <v>0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3771.4399999999996</v>
      </c>
      <c r="F13" s="376">
        <f>E13/E19</f>
        <v>3.5548715716116211E-3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10495.7</v>
      </c>
      <c r="F14" s="376">
        <f>E14/E19</f>
        <v>9.8930025545054673E-3</v>
      </c>
      <c r="I14" s="178">
        <f>E9+E10+E13</f>
        <v>896092.32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953273.73999999987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44790.549999999988</v>
      </c>
      <c r="F16" s="304">
        <f>E16/E19</f>
        <v>4.2218530023505313E-2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62857.299999999988</v>
      </c>
      <c r="F17" s="306">
        <f>E17/E19</f>
        <v>5.9247828107636111E-2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107647.84999999998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1060921.5899999999</v>
      </c>
      <c r="F19" s="270">
        <f>SUM(F9:F17)</f>
        <v>1</v>
      </c>
    </row>
    <row r="20" spans="2:9" ht="15" customHeight="1" thickBot="1" x14ac:dyDescent="0.25">
      <c r="B20" s="471"/>
      <c r="C20" s="472"/>
      <c r="D20" s="472"/>
      <c r="E20" s="472"/>
      <c r="F20" s="473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459</v>
      </c>
      <c r="D22" s="365">
        <f>C22</f>
        <v>459</v>
      </c>
      <c r="E22" s="264">
        <f>'3. COMP VR'!C21+'3. COMP VR'!E21</f>
        <v>425170.83</v>
      </c>
      <c r="F22" s="265">
        <f>E22/E25</f>
        <v>0.32069017592526217</v>
      </c>
    </row>
    <row r="23" spans="2:9" x14ac:dyDescent="0.2">
      <c r="B23" s="271" t="s">
        <v>160</v>
      </c>
      <c r="C23" s="267">
        <f>'4. COMP VP'!C24</f>
        <v>483</v>
      </c>
      <c r="D23" s="365">
        <f>C23</f>
        <v>483</v>
      </c>
      <c r="E23" s="264">
        <f>'4. COMP VP'!D24+'4. COMP VP'!F24</f>
        <v>841143.67</v>
      </c>
      <c r="F23" s="268">
        <f>E23/E25</f>
        <v>0.63444265805046096</v>
      </c>
    </row>
    <row r="24" spans="2:9" ht="13.5" thickBot="1" x14ac:dyDescent="0.25">
      <c r="B24" s="266" t="s">
        <v>161</v>
      </c>
      <c r="C24" s="267">
        <f>'2. COMPR DEV 30%'!B21</f>
        <v>154</v>
      </c>
      <c r="D24" s="365">
        <f>C24</f>
        <v>154</v>
      </c>
      <c r="E24" s="264">
        <f>'2. COMPR DEV 30%'!C21+'2. COMPR DEV 30%'!E21</f>
        <v>59484.86</v>
      </c>
      <c r="F24" s="269">
        <f>E24/E25</f>
        <v>4.4867166024276851E-2</v>
      </c>
      <c r="G24" s="178"/>
    </row>
    <row r="25" spans="2:9" ht="13.5" thickBot="1" x14ac:dyDescent="0.25">
      <c r="B25" s="261" t="s">
        <v>0</v>
      </c>
      <c r="C25" s="177">
        <f>C22+C23+C24</f>
        <v>1096</v>
      </c>
      <c r="D25" s="177">
        <f>D22+D23+D24</f>
        <v>1096</v>
      </c>
      <c r="E25" s="179">
        <f>E22+E23+E24</f>
        <v>1325799.3600000001</v>
      </c>
      <c r="F25" s="270">
        <f>SUM(F22:F24)</f>
        <v>1</v>
      </c>
    </row>
    <row r="26" spans="2:9" ht="13.5" customHeight="1" thickBot="1" x14ac:dyDescent="0.25">
      <c r="B26" s="474" t="s">
        <v>162</v>
      </c>
      <c r="C26" s="475"/>
      <c r="D26" s="475"/>
      <c r="E26" s="475"/>
      <c r="F26" s="476"/>
    </row>
    <row r="27" spans="2:9" ht="15.75" customHeight="1" thickBot="1" x14ac:dyDescent="0.25">
      <c r="B27" s="261" t="s">
        <v>107</v>
      </c>
      <c r="C27" s="392">
        <f>C19+C25</f>
        <v>1551</v>
      </c>
      <c r="D27" s="392">
        <f>D19+D25</f>
        <v>1139</v>
      </c>
      <c r="E27" s="391">
        <f>E25+E19</f>
        <v>2386720.9500000002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209177.04</v>
      </c>
      <c r="F31" s="319">
        <f>E31/E42</f>
        <v>8.764201780689948E-2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683143.84</v>
      </c>
      <c r="F32" s="162">
        <f>E32/E42</f>
        <v>0.28622694245005897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46685.72</v>
      </c>
      <c r="F33" s="162">
        <f>E33/E42</f>
        <v>1.9560610971299349E-2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0</v>
      </c>
      <c r="F34" s="162">
        <f>E34/E42</f>
        <v>0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3771.4399999999996</v>
      </c>
      <c r="F35" s="162">
        <f>E35/E42</f>
        <v>1.5801763503186243E-3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10495.7</v>
      </c>
      <c r="F36" s="162">
        <f>E36/E42</f>
        <v>4.3975396453447991E-3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44790.549999999988</v>
      </c>
      <c r="F37" s="162">
        <f>E37/E42</f>
        <v>1.8766563388987721E-2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62857.299999999988</v>
      </c>
      <c r="F38" s="162">
        <f>E38/E42</f>
        <v>2.633625853914761E-2</v>
      </c>
    </row>
    <row r="39" spans="2:9" ht="15" x14ac:dyDescent="0.2">
      <c r="B39" s="393" t="s">
        <v>159</v>
      </c>
      <c r="C39" s="158">
        <f t="shared" ref="C39:E41" si="2">C22</f>
        <v>459</v>
      </c>
      <c r="D39" s="158">
        <f t="shared" si="2"/>
        <v>459</v>
      </c>
      <c r="E39" s="318">
        <f t="shared" si="2"/>
        <v>425170.83</v>
      </c>
      <c r="F39" s="162">
        <f>E39/E42</f>
        <v>0.1781401508207317</v>
      </c>
    </row>
    <row r="40" spans="2:9" ht="15" x14ac:dyDescent="0.2">
      <c r="B40" s="310" t="s">
        <v>160</v>
      </c>
      <c r="C40" s="158">
        <f t="shared" si="2"/>
        <v>483</v>
      </c>
      <c r="D40" s="158">
        <f t="shared" si="2"/>
        <v>483</v>
      </c>
      <c r="E40" s="318">
        <f t="shared" si="2"/>
        <v>841143.67</v>
      </c>
      <c r="F40" s="162">
        <f>E40/E42</f>
        <v>0.35242648286972977</v>
      </c>
    </row>
    <row r="41" spans="2:9" ht="15.75" thickBot="1" x14ac:dyDescent="0.3">
      <c r="B41" s="311" t="s">
        <v>161</v>
      </c>
      <c r="C41" s="320">
        <f t="shared" si="2"/>
        <v>154</v>
      </c>
      <c r="D41" s="320">
        <f t="shared" si="2"/>
        <v>154</v>
      </c>
      <c r="E41" s="321">
        <f t="shared" si="2"/>
        <v>59484.86</v>
      </c>
      <c r="F41" s="312">
        <f>E41/E42</f>
        <v>2.4923257157482111E-2</v>
      </c>
    </row>
    <row r="42" spans="2:9" ht="15.75" thickBot="1" x14ac:dyDescent="0.25">
      <c r="B42" s="160" t="s">
        <v>0</v>
      </c>
      <c r="C42" s="159">
        <f>SUM(C31:C41)</f>
        <v>1551</v>
      </c>
      <c r="D42" s="159">
        <f>SUM(D31:D41)</f>
        <v>1139</v>
      </c>
      <c r="E42" s="322">
        <f>SUM(E31:E41)</f>
        <v>2386720.9499999997</v>
      </c>
      <c r="F42" s="324">
        <f>SUM(F31:F41)</f>
        <v>1.0000000000000002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K24" sqref="K24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v>34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'!G16</f>
        <v>24685.69</v>
      </c>
      <c r="F6" s="375">
        <f>E6/E16</f>
        <v>0.10157745355466297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'!H16</f>
        <v>180051.39</v>
      </c>
      <c r="F7" s="376">
        <f>E7/E16</f>
        <v>0.7408811220256557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'!I16</f>
        <v>0</v>
      </c>
      <c r="F8" s="376">
        <f>E8/E16</f>
        <v>0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'!K16</f>
        <v>0</v>
      </c>
      <c r="F9" s="376">
        <f>E9/E16</f>
        <v>0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'!M16</f>
        <v>1485.7199999999998</v>
      </c>
      <c r="F10" s="376">
        <f>E10/E16</f>
        <v>6.1134873805526136E-3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'!O16</f>
        <v>10495.7</v>
      </c>
      <c r="F11" s="376">
        <f>E11/E16</f>
        <v>4.3188036440288936E-2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216718.50000000003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'!J16</f>
        <v>9161.9199999999983</v>
      </c>
      <c r="F13" s="304">
        <f>E13/E16</f>
        <v>3.769975655011213E-2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'!N16</f>
        <v>17142.899999999998</v>
      </c>
      <c r="F14" s="306">
        <f>E14/E16</f>
        <v>7.0540144048727479E-2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26304.819999999996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243023.32000000004</v>
      </c>
      <c r="F16" s="270">
        <f>SUM(F6:F14)</f>
        <v>0.99999999999999978</v>
      </c>
    </row>
    <row r="17" spans="2:7" ht="15" customHeight="1" thickBot="1" x14ac:dyDescent="0.25">
      <c r="B17" s="471"/>
      <c r="C17" s="472"/>
      <c r="D17" s="472"/>
      <c r="E17" s="472"/>
      <c r="F17" s="473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VR'!E14+'3. COMP VR'!C14</f>
        <v>84539.680000000008</v>
      </c>
      <c r="F19" s="265">
        <f>E19/E22</f>
        <v>0.3645532030846303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VP'!D17+'4. COMP VP'!F17</f>
        <v>137714.43999999997</v>
      </c>
      <c r="F20" s="268">
        <f>E20/E22</f>
        <v>0.59385415479460202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30%'!C14+'2. COMPR DEV 30%'!E14</f>
        <v>9645.3100000000013</v>
      </c>
      <c r="F21" s="269">
        <f>E21/E22</f>
        <v>4.1592642120767617E-2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231899.43</v>
      </c>
      <c r="F22" s="270">
        <f>SUM(F19:F21)</f>
        <v>0.99999999999999989</v>
      </c>
    </row>
    <row r="23" spans="2:7" ht="13.5" customHeight="1" thickBot="1" x14ac:dyDescent="0.25">
      <c r="B23" s="474" t="s">
        <v>162</v>
      </c>
      <c r="C23" s="475"/>
      <c r="D23" s="475"/>
      <c r="E23" s="475"/>
      <c r="F23" s="476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474922.75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24685.69</v>
      </c>
      <c r="F28" s="319">
        <f>E28/E39</f>
        <v>5.1978327001601828E-2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180051.39</v>
      </c>
      <c r="F29" s="162">
        <f>E29/E39</f>
        <v>0.37911721432590878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0</v>
      </c>
      <c r="F30" s="162">
        <f>E30/E39</f>
        <v>0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0</v>
      </c>
      <c r="F31" s="162">
        <f>E31/E39</f>
        <v>0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1485.7199999999998</v>
      </c>
      <c r="F32" s="162">
        <f>E32/E39</f>
        <v>3.1283403458773023E-3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10495.7</v>
      </c>
      <c r="F33" s="162">
        <f>E33/E39</f>
        <v>2.2099804652440842E-2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9161.9199999999983</v>
      </c>
      <c r="F34" s="162">
        <f>E34/E39</f>
        <v>1.9291390020798112E-2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17142.899999999998</v>
      </c>
      <c r="F35" s="162">
        <f>E35/E39</f>
        <v>3.6096186169224352E-2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84539.680000000008</v>
      </c>
      <c r="F36" s="162">
        <f>E36/E39</f>
        <v>0.17800722327999657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137714.43999999997</v>
      </c>
      <c r="F37" s="162">
        <f>E37/E39</f>
        <v>0.28997229549437242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9645.3100000000013</v>
      </c>
      <c r="F38" s="312">
        <f>E38/E39</f>
        <v>2.0309218709779642E-2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474922.75000000006</v>
      </c>
      <c r="F39" s="324">
        <f>SUM(F28:F38)</f>
        <v>0.99999999999999989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C10" zoomScale="106" zoomScaleNormal="106" workbookViewId="0">
      <selection activeCell="G16" sqref="G16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84" t="s">
        <v>170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</row>
    <row r="7" spans="1:22" x14ac:dyDescent="0.2">
      <c r="A7" s="484" t="s">
        <v>498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</row>
    <row r="8" spans="1:22" ht="12.75" customHeight="1" thickBot="1" x14ac:dyDescent="0.25"/>
    <row r="9" spans="1:22" ht="12.75" customHeight="1" thickBot="1" x14ac:dyDescent="0.25">
      <c r="A9" s="489" t="s">
        <v>7</v>
      </c>
      <c r="B9" s="485" t="s">
        <v>499</v>
      </c>
      <c r="C9" s="487" t="s">
        <v>500</v>
      </c>
      <c r="D9" s="487" t="s">
        <v>501</v>
      </c>
      <c r="E9" s="477" t="s">
        <v>190</v>
      </c>
      <c r="F9" s="478"/>
      <c r="G9" s="482" t="s">
        <v>139</v>
      </c>
      <c r="H9" s="479" t="s">
        <v>164</v>
      </c>
      <c r="I9" s="480"/>
      <c r="J9" s="480"/>
      <c r="K9" s="480"/>
      <c r="L9" s="481"/>
      <c r="M9" s="478" t="s">
        <v>140</v>
      </c>
      <c r="N9" s="485" t="s">
        <v>141</v>
      </c>
      <c r="O9" s="477" t="s">
        <v>148</v>
      </c>
      <c r="P9" s="492" t="s">
        <v>1</v>
      </c>
      <c r="T9" s="323"/>
      <c r="U9" s="323"/>
    </row>
    <row r="10" spans="1:22" ht="75.75" customHeight="1" thickBot="1" x14ac:dyDescent="0.25">
      <c r="A10" s="490"/>
      <c r="B10" s="486"/>
      <c r="C10" s="488"/>
      <c r="D10" s="488"/>
      <c r="E10" s="168" t="s">
        <v>168</v>
      </c>
      <c r="F10" s="168" t="s">
        <v>169</v>
      </c>
      <c r="G10" s="483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86"/>
      <c r="N10" s="486"/>
      <c r="O10" s="491"/>
      <c r="P10" s="493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f>4+3+5</f>
        <v>12</v>
      </c>
      <c r="C14" s="256">
        <f>2+5+7+5</f>
        <v>19</v>
      </c>
      <c r="D14" s="256">
        <f>13+7+17+16</f>
        <v>53</v>
      </c>
      <c r="E14" s="167">
        <f>1+1+5+1</f>
        <v>8</v>
      </c>
      <c r="F14" s="167">
        <f>4+4+5+9</f>
        <v>22</v>
      </c>
      <c r="G14" s="165">
        <f>5142.85+10285.71+16457.15+6857.14</f>
        <v>38742.85</v>
      </c>
      <c r="H14" s="257">
        <f>(7817.16-0.03+285.72)+(1714.29)+(27771.42)+(35337.15-0.02)</f>
        <v>72925.69</v>
      </c>
      <c r="I14" s="257">
        <v>0</v>
      </c>
      <c r="J14" s="165">
        <f>1142.86+571.43+1142.86+1142.86</f>
        <v>4000.0099999999993</v>
      </c>
      <c r="K14" s="146">
        <v>0</v>
      </c>
      <c r="L14" s="146">
        <v>0</v>
      </c>
      <c r="M14" s="165">
        <v>0</v>
      </c>
      <c r="N14" s="257">
        <f>2*1142.86</f>
        <v>2285.7199999999998</v>
      </c>
      <c r="O14" s="171">
        <v>0</v>
      </c>
      <c r="P14" s="353">
        <f t="shared" si="0"/>
        <v>117954.27</v>
      </c>
      <c r="Q14" s="355">
        <f>P14+'2. COMPR DEV 30%'!C12+'2. COMPR DEV 30%'!E12+'3. COMP VR'!C12+'3. COMP VR'!E12+'4. COMP VP'!D15+'4. COMP VP'!F15</f>
        <v>314325.89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f>3+6+5+7</f>
        <v>21</v>
      </c>
      <c r="C15" s="256">
        <f>5+1+1+3+1+2+1</f>
        <v>14</v>
      </c>
      <c r="D15" s="256">
        <f>22+12+2+16+2+13+1</f>
        <v>68</v>
      </c>
      <c r="E15" s="167">
        <f>3+2+4+1+6+1</f>
        <v>17</v>
      </c>
      <c r="F15" s="167">
        <f>5+5+1+4+3</f>
        <v>18</v>
      </c>
      <c r="G15" s="165">
        <f>18857.14+7714.28+11417.14</f>
        <v>37988.559999999998</v>
      </c>
      <c r="H15" s="257">
        <f>(57142.83+0.03)+(7291.42+0.01+2228.57)+(23794.31-0.06+0.01+205.72)+(18628.58-0.01)</f>
        <v>109291.41</v>
      </c>
      <c r="I15" s="257">
        <f>(5714.29-0.01+5714.29)+(1428.57+1428.57+0.01)+(5714.29)</f>
        <v>20000.009999999998</v>
      </c>
      <c r="J15" s="165">
        <f>800+1142.86+1200+1200+600+1142.86+571.43+1142.86+571.43+1200+1142.86+285.71+571.43</f>
        <v>11571.439999999999</v>
      </c>
      <c r="K15" s="146">
        <v>0</v>
      </c>
      <c r="L15" s="146">
        <v>0</v>
      </c>
      <c r="M15" s="165">
        <v>0</v>
      </c>
      <c r="N15" s="257">
        <f>7*1142.86</f>
        <v>8000.0199999999995</v>
      </c>
      <c r="O15" s="171">
        <v>0</v>
      </c>
      <c r="P15" s="353">
        <f t="shared" si="0"/>
        <v>186851.44</v>
      </c>
      <c r="Q15" s="355">
        <f>P15+'2. COMPR DEV 30%'!C13+'2. COMPR DEV 30%'!E13+'3. COMP VR'!C13+'3. COMP VR'!E13+'4. COMP VP'!D16+'4. COMP VP'!F16</f>
        <v>449099.20999999996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f>4+7+4+5</f>
        <v>20</v>
      </c>
      <c r="C16" s="256">
        <f>3+4+1+5+1</f>
        <v>14</v>
      </c>
      <c r="D16" s="256">
        <f>14+18+2+13+11</f>
        <v>58</v>
      </c>
      <c r="E16" s="167">
        <f>3+5+1+5+2</f>
        <v>16</v>
      </c>
      <c r="F16" s="167">
        <f>4+6+4+4</f>
        <v>18</v>
      </c>
      <c r="G16" s="165">
        <f>9428.56+10114.28+685.71+4457.14</f>
        <v>24685.69</v>
      </c>
      <c r="H16" s="257">
        <f>(48285.71-0.01+0.01)+(44719.98-0.01+0.02)+(33417.15-0.04+0.01+5800)+(47828.58-0.02+0.01)</f>
        <v>180051.39</v>
      </c>
      <c r="I16" s="257">
        <v>0</v>
      </c>
      <c r="J16" s="165">
        <f>571.43+571.43+(190.48+190.46+190.48)+1142.86+1200+1142.86+1142.86+914.29+(380.95+380.96)+1142.86</f>
        <v>9161.9199999999983</v>
      </c>
      <c r="K16" s="146">
        <v>0</v>
      </c>
      <c r="L16" s="146">
        <v>0</v>
      </c>
      <c r="M16" s="165">
        <f>(571.43+571.43)+342.86</f>
        <v>1485.7199999999998</v>
      </c>
      <c r="N16" s="257">
        <f>15*1142.86</f>
        <v>17142.899999999998</v>
      </c>
      <c r="O16" s="171">
        <f>10495.7</f>
        <v>10495.7</v>
      </c>
      <c r="P16" s="353">
        <f t="shared" si="0"/>
        <v>243023.32</v>
      </c>
      <c r="Q16" s="355">
        <f>P16+'2. COMPR DEV 30%'!C14+'2. COMPR DEV 30%'!E14+'3. COMP VR'!C14+'3. COMP VR'!E14+'4. COMP VP'!D17+'4. COMP VP'!F17</f>
        <v>474922.75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v>0</v>
      </c>
      <c r="C17" s="256">
        <v>0</v>
      </c>
      <c r="D17" s="256">
        <v>0</v>
      </c>
      <c r="E17" s="167">
        <v>0</v>
      </c>
      <c r="F17" s="167">
        <v>0</v>
      </c>
      <c r="G17" s="165">
        <v>0</v>
      </c>
      <c r="H17" s="257">
        <v>0</v>
      </c>
      <c r="I17" s="257">
        <v>0</v>
      </c>
      <c r="J17" s="165">
        <v>0</v>
      </c>
      <c r="K17" s="146">
        <v>0</v>
      </c>
      <c r="L17" s="146">
        <v>0</v>
      </c>
      <c r="M17" s="165">
        <v>0</v>
      </c>
      <c r="N17" s="257">
        <v>0</v>
      </c>
      <c r="O17" s="171">
        <v>0</v>
      </c>
      <c r="P17" s="353">
        <f t="shared" si="0"/>
        <v>0</v>
      </c>
      <c r="Q17" s="355">
        <f>P17+'2. COMPR DEV 30%'!C15+'2. COMPR DEV 30%'!E15+'3. COMP VR'!C15+'3. COMP VR'!E15+'4. COMP VP'!D18+'4. COMP VP'!F18</f>
        <v>0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v>0</v>
      </c>
      <c r="C18" s="256">
        <v>0</v>
      </c>
      <c r="D18" s="256">
        <v>0</v>
      </c>
      <c r="E18" s="167">
        <v>0</v>
      </c>
      <c r="F18" s="167">
        <v>0</v>
      </c>
      <c r="G18" s="165">
        <v>0</v>
      </c>
      <c r="H18" s="257">
        <v>0</v>
      </c>
      <c r="I18" s="257">
        <v>0</v>
      </c>
      <c r="J18" s="165">
        <v>0</v>
      </c>
      <c r="K18" s="146">
        <v>0</v>
      </c>
      <c r="L18" s="146">
        <v>0</v>
      </c>
      <c r="M18" s="165">
        <v>0</v>
      </c>
      <c r="N18" s="257">
        <v>0</v>
      </c>
      <c r="O18" s="171">
        <v>0</v>
      </c>
      <c r="P18" s="353">
        <f t="shared" si="0"/>
        <v>0</v>
      </c>
      <c r="Q18" s="355">
        <f>P18+'2. COMPR DEV 30%'!C16+'2. COMPR DEV 30%'!E16+'3. COMP VR'!C16+'3. COMP VR'!E16+'4. COMP VP'!D19+'4. COMP VP'!F19</f>
        <v>0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v>0</v>
      </c>
      <c r="C19" s="256">
        <v>0</v>
      </c>
      <c r="D19" s="256">
        <v>0</v>
      </c>
      <c r="E19" s="167">
        <v>0</v>
      </c>
      <c r="F19" s="167">
        <v>0</v>
      </c>
      <c r="G19" s="165">
        <v>0</v>
      </c>
      <c r="H19" s="257">
        <v>0</v>
      </c>
      <c r="I19" s="257">
        <v>0</v>
      </c>
      <c r="J19" s="165">
        <v>0</v>
      </c>
      <c r="K19" s="146">
        <v>0</v>
      </c>
      <c r="L19" s="146">
        <v>0</v>
      </c>
      <c r="M19" s="165">
        <v>0</v>
      </c>
      <c r="N19" s="257">
        <v>0</v>
      </c>
      <c r="O19" s="171">
        <v>0</v>
      </c>
      <c r="P19" s="353">
        <f t="shared" si="0"/>
        <v>0</v>
      </c>
      <c r="Q19" s="355">
        <f>P19+'2. COMPR DEV 30%'!C17+'2. COMPR DEV 30%'!E17+'3. COMP VR'!C17+'3. COMP VR'!E17+'4. COMP VP'!D20+'4. COMP VP'!F20</f>
        <v>0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3">
        <f t="shared" si="0"/>
        <v>0</v>
      </c>
      <c r="Q20" s="355">
        <f>P20+'2. COMPR DEV 30%'!C18+'2. COMPR DEV 30%'!E18+'3. COMP VR'!C18+'3. COMP VR'!E18+'4. COMP VP'!D21+'4. COMP VP'!F21</f>
        <v>0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71</v>
      </c>
      <c r="C23" s="173">
        <f t="shared" si="1"/>
        <v>144</v>
      </c>
      <c r="D23" s="173">
        <f t="shared" si="1"/>
        <v>422</v>
      </c>
      <c r="E23" s="173">
        <f t="shared" si="1"/>
        <v>83</v>
      </c>
      <c r="F23" s="173">
        <f t="shared" si="1"/>
        <v>131</v>
      </c>
      <c r="G23" s="174">
        <f t="shared" si="1"/>
        <v>209177.04</v>
      </c>
      <c r="H23" s="174">
        <f t="shared" si="1"/>
        <v>683143.84</v>
      </c>
      <c r="I23" s="174">
        <f t="shared" si="1"/>
        <v>46685.72</v>
      </c>
      <c r="J23" s="174">
        <f t="shared" ref="J23:O23" si="2">SUM(J11:J22)</f>
        <v>44790.549999999988</v>
      </c>
      <c r="K23" s="174">
        <f t="shared" si="2"/>
        <v>0</v>
      </c>
      <c r="L23" s="174">
        <f t="shared" si="2"/>
        <v>0</v>
      </c>
      <c r="M23" s="174">
        <f t="shared" si="2"/>
        <v>3771.4399999999996</v>
      </c>
      <c r="N23" s="174">
        <f t="shared" si="2"/>
        <v>62857.299999999988</v>
      </c>
      <c r="O23" s="175">
        <f t="shared" si="2"/>
        <v>10495.7</v>
      </c>
      <c r="P23" s="359">
        <f>G23+H23+I23+J23+K23+L23+M23+N23+O23</f>
        <v>1060921.5899999999</v>
      </c>
      <c r="Q23" s="360">
        <f>SUM(Q11:Q22)</f>
        <v>2386720.9499999997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502</v>
      </c>
      <c r="O24" s="364"/>
      <c r="Q24" s="354">
        <f>SUM(Q11:Q23)-Q23</f>
        <v>2386720.9499999997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7" workbookViewId="0">
      <selection activeCell="B14" sqref="B14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494" t="s">
        <v>68</v>
      </c>
      <c r="B4" s="494"/>
      <c r="C4" s="494"/>
      <c r="D4" s="494"/>
      <c r="E4" s="494"/>
      <c r="F4" s="112"/>
      <c r="G4" s="494" t="s">
        <v>68</v>
      </c>
      <c r="H4" s="494"/>
      <c r="I4" s="494"/>
      <c r="J4" s="494"/>
      <c r="K4" s="494"/>
    </row>
    <row r="5" spans="1:11" s="10" customFormat="1" ht="9" x14ac:dyDescent="0.15">
      <c r="A5" s="494" t="s">
        <v>69</v>
      </c>
      <c r="B5" s="494"/>
      <c r="C5" s="494"/>
      <c r="D5" s="494"/>
      <c r="E5" s="494"/>
      <c r="F5" s="112"/>
      <c r="G5" s="494" t="s">
        <v>69</v>
      </c>
      <c r="H5" s="494"/>
      <c r="I5" s="494"/>
      <c r="J5" s="494"/>
      <c r="K5" s="494"/>
    </row>
    <row r="6" spans="1:11" s="10" customFormat="1" ht="9" x14ac:dyDescent="0.15">
      <c r="A6" s="498" t="s">
        <v>492</v>
      </c>
      <c r="B6" s="498"/>
      <c r="C6" s="498"/>
      <c r="D6" s="498"/>
      <c r="E6" s="498"/>
      <c r="F6" s="112"/>
      <c r="G6" s="498" t="s">
        <v>487</v>
      </c>
      <c r="H6" s="498"/>
      <c r="I6" s="498"/>
      <c r="J6" s="498"/>
      <c r="K6" s="498"/>
    </row>
    <row r="7" spans="1:11" ht="15" customHeight="1" x14ac:dyDescent="0.25">
      <c r="A7" s="127"/>
      <c r="B7" s="495" t="s">
        <v>493</v>
      </c>
      <c r="C7" s="496"/>
      <c r="D7" s="496"/>
      <c r="E7" s="497"/>
      <c r="F7" s="68"/>
      <c r="G7" s="71"/>
      <c r="H7" s="499" t="s">
        <v>491</v>
      </c>
      <c r="I7" s="500"/>
      <c r="J7" s="500"/>
      <c r="K7" s="501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8+9+7</f>
        <v>24</v>
      </c>
      <c r="C12" s="280">
        <f>325.23+405.71+245.56</f>
        <v>976.5</v>
      </c>
      <c r="D12" s="280">
        <f>10840.96+13523.36+8185.09</f>
        <v>32549.41</v>
      </c>
      <c r="E12" s="279">
        <f>2927.06+3651.31+2209.98</f>
        <v>8788.35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f>6+3+11+7+2</f>
        <v>29</v>
      </c>
      <c r="C13" s="278">
        <f>310.12+100.2+420.5+241.33+122.35</f>
        <v>1194.4999999999998</v>
      </c>
      <c r="D13" s="278">
        <f>10337.14+3339.91+14016.13+8043.97+4078.36</f>
        <v>39815.51</v>
      </c>
      <c r="E13" s="279">
        <f>2791.02+901.77+3784.35+2171.87+1101.15</f>
        <v>10750.159999999998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f>11+11+2+3</f>
        <v>27</v>
      </c>
      <c r="C14" s="278">
        <f>320.52+441.94+98.65+103.41</f>
        <v>964.52</v>
      </c>
      <c r="D14" s="278">
        <f>10683.8+14731.55+3288.48+3447.14</f>
        <v>32150.969999999998</v>
      </c>
      <c r="E14" s="279">
        <f>2884.63+3977.54+887.89+930.73</f>
        <v>8680.7900000000009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v>0</v>
      </c>
      <c r="C15" s="280">
        <v>0</v>
      </c>
      <c r="D15" s="280">
        <v>0</v>
      </c>
      <c r="E15" s="279">
        <v>0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v>0</v>
      </c>
      <c r="C16" s="278">
        <v>0</v>
      </c>
      <c r="D16" s="278">
        <v>0</v>
      </c>
      <c r="E16" s="279">
        <v>0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v>0</v>
      </c>
      <c r="C17" s="278">
        <v>0</v>
      </c>
      <c r="D17" s="278">
        <v>0</v>
      </c>
      <c r="E17" s="279">
        <v>0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154</v>
      </c>
      <c r="C21" s="284">
        <f>SUM(C9:C20)</f>
        <v>5948.5599999999995</v>
      </c>
      <c r="D21" s="285">
        <f>SUM(D9:D20)</f>
        <v>198282.47</v>
      </c>
      <c r="E21" s="286">
        <f>SUM(E9:E20)</f>
        <v>53536.3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502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482</v>
      </c>
      <c r="C25" s="460"/>
      <c r="D25" s="461"/>
      <c r="E25" s="462"/>
      <c r="F25" s="462"/>
      <c r="G25" s="5"/>
      <c r="H25" s="8" t="s">
        <v>128</v>
      </c>
      <c r="I25" s="460"/>
      <c r="J25" s="461"/>
      <c r="K25" s="362"/>
    </row>
    <row r="26" spans="1:13" x14ac:dyDescent="0.2">
      <c r="A26" s="79"/>
      <c r="B26" s="15"/>
      <c r="C26" s="9" t="s">
        <v>483</v>
      </c>
      <c r="D26" s="2"/>
      <c r="E26" s="6"/>
      <c r="F26" s="6"/>
      <c r="G26" s="5"/>
      <c r="H26" s="15"/>
      <c r="I26" s="9" t="s">
        <v>485</v>
      </c>
      <c r="J26" s="2"/>
      <c r="K26" s="351"/>
    </row>
    <row r="27" spans="1:13" x14ac:dyDescent="0.2">
      <c r="A27" s="70"/>
      <c r="B27" s="4"/>
      <c r="C27" s="463" t="s">
        <v>486</v>
      </c>
      <c r="D27" s="2"/>
      <c r="E27" s="3"/>
      <c r="F27" s="3"/>
      <c r="G27" s="2"/>
      <c r="H27" s="4"/>
      <c r="I27" s="463" t="s">
        <v>484</v>
      </c>
      <c r="J27" s="2"/>
      <c r="K27" s="351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7" zoomScaleNormal="100" workbookViewId="0">
      <selection activeCell="B14" sqref="B14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2" t="s">
        <v>76</v>
      </c>
      <c r="B4" s="502"/>
      <c r="C4" s="502"/>
      <c r="D4" s="502"/>
      <c r="E4" s="502"/>
      <c r="F4" s="2"/>
      <c r="G4" s="502" t="s">
        <v>76</v>
      </c>
      <c r="H4" s="502"/>
      <c r="I4" s="502"/>
      <c r="J4" s="502"/>
      <c r="K4" s="502"/>
    </row>
    <row r="5" spans="1:14" x14ac:dyDescent="0.2">
      <c r="A5" s="502" t="s">
        <v>494</v>
      </c>
      <c r="B5" s="502"/>
      <c r="C5" s="502"/>
      <c r="D5" s="502"/>
      <c r="E5" s="502"/>
      <c r="F5" s="2"/>
      <c r="G5" s="502" t="s">
        <v>488</v>
      </c>
      <c r="H5" s="502"/>
      <c r="I5" s="502"/>
      <c r="J5" s="502"/>
      <c r="K5" s="502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495" t="str">
        <f>'2. COMPR DEV 30%'!B7:E7</f>
        <v>DEL 01 DE ENERO AL 31 DE DICIEMBRE DEL AÑO 2023</v>
      </c>
      <c r="C7" s="496"/>
      <c r="D7" s="496"/>
      <c r="E7" s="497"/>
      <c r="G7" s="19"/>
      <c r="H7" s="503" t="s">
        <v>491</v>
      </c>
      <c r="I7" s="504"/>
      <c r="J7" s="504"/>
      <c r="K7" s="505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15+20+19</f>
        <v>54</v>
      </c>
      <c r="C12" s="300">
        <f>29.21+42.37+11.77</f>
        <v>83.35</v>
      </c>
      <c r="D12" s="300">
        <f>13545.26+19621.81+14284.62</f>
        <v>47451.69</v>
      </c>
      <c r="E12" s="300">
        <f>12932.62+18960.19+12916.17</f>
        <v>44808.979999999996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f>16+11+24+13+23</f>
        <v>87</v>
      </c>
      <c r="C13" s="300">
        <f>7.27+15+55.68+27.61+33.34</f>
        <v>138.9</v>
      </c>
      <c r="D13" s="300">
        <f>10760.03+9818.38+28253.79+15885.82+21656.41</f>
        <v>86374.43</v>
      </c>
      <c r="E13" s="300">
        <f>9390.09+9169.28+26838.83+14710.4+19769.78</f>
        <v>79878.38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f>16+32+23+14</f>
        <v>85</v>
      </c>
      <c r="C14" s="300">
        <f>19.89+50.98+24.45+31.15</f>
        <v>126.47</v>
      </c>
      <c r="D14" s="300">
        <f>14063.04+39579.12+18950.1+17139.88</f>
        <v>89732.140000000014</v>
      </c>
      <c r="E14" s="300">
        <f>12664.02+38627.06+16717.89+16404.24</f>
        <v>84413.21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v>0</v>
      </c>
      <c r="C15" s="300">
        <v>0</v>
      </c>
      <c r="D15" s="300">
        <v>0</v>
      </c>
      <c r="E15" s="300">
        <v>0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v>0</v>
      </c>
      <c r="C16" s="300">
        <v>0</v>
      </c>
      <c r="D16" s="300">
        <v>0</v>
      </c>
      <c r="E16" s="300">
        <v>0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v>0</v>
      </c>
      <c r="C17" s="300">
        <v>0</v>
      </c>
      <c r="D17" s="300">
        <v>0</v>
      </c>
      <c r="E17" s="300">
        <v>0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459</v>
      </c>
      <c r="C21" s="157">
        <f>SUM(C9:C20)</f>
        <v>647.81000000000006</v>
      </c>
      <c r="D21" s="157">
        <f>SUM(D9:D20)</f>
        <v>455191.19</v>
      </c>
      <c r="E21" s="157">
        <f>SUM(E9:E20)</f>
        <v>424523.02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502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6" workbookViewId="0">
      <selection activeCell="D17" sqref="D17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2" t="s">
        <v>77</v>
      </c>
      <c r="C8" s="502"/>
      <c r="D8" s="502"/>
      <c r="E8" s="502"/>
      <c r="F8" s="502"/>
      <c r="G8" s="2"/>
      <c r="H8" s="502" t="s">
        <v>77</v>
      </c>
      <c r="I8" s="502"/>
      <c r="J8" s="502"/>
      <c r="K8" s="502"/>
      <c r="L8" s="502"/>
    </row>
    <row r="9" spans="2:15" x14ac:dyDescent="0.2">
      <c r="B9" s="506" t="s">
        <v>495</v>
      </c>
      <c r="C9" s="506"/>
      <c r="D9" s="506"/>
      <c r="E9" s="506"/>
      <c r="F9" s="506"/>
      <c r="G9" s="2"/>
      <c r="H9" s="506" t="s">
        <v>497</v>
      </c>
      <c r="I9" s="506"/>
      <c r="J9" s="506"/>
      <c r="K9" s="506"/>
      <c r="L9" s="506"/>
    </row>
    <row r="10" spans="2:15" ht="12.75" customHeight="1" x14ac:dyDescent="0.2">
      <c r="B10" s="19"/>
      <c r="C10" s="495" t="s">
        <v>496</v>
      </c>
      <c r="D10" s="496"/>
      <c r="E10" s="496"/>
      <c r="F10" s="497"/>
      <c r="H10" s="19"/>
      <c r="I10" s="503" t="s">
        <v>491</v>
      </c>
      <c r="J10" s="504"/>
      <c r="K10" s="504"/>
      <c r="L10" s="507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3">
        <f>51419.4+8106+11406.6+6557.15</f>
        <v>77489.149999999994</v>
      </c>
      <c r="F13" s="435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37+37+12</f>
        <v>86</v>
      </c>
      <c r="D15" s="36">
        <f>318.34+327.99+84.6</f>
        <v>730.93</v>
      </c>
      <c r="E15" s="36">
        <f>57960+61292.4+15154.2</f>
        <v>134406.6</v>
      </c>
      <c r="F15" s="30">
        <f>60824.58+64243.51+15915.42</f>
        <v>140983.51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f>9+18+31+17+16</f>
        <v>91</v>
      </c>
      <c r="D16" s="36">
        <f>75.77+223.87+344.79+152.95+104.78</f>
        <v>902.16000000000008</v>
      </c>
      <c r="E16" s="36">
        <f>13528.2+39475.8+63409.8+25327.8+19524</f>
        <v>161265.60000000001</v>
      </c>
      <c r="F16" s="30">
        <f>14209.95+41490.42+66512.37+26704.24+20466.69</f>
        <v>169383.66999999998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f>29+42+8+5</f>
        <v>84</v>
      </c>
      <c r="D17" s="36">
        <f>311.42+297.85+65.14+18.14</f>
        <v>692.55</v>
      </c>
      <c r="E17" s="36">
        <f>56214.6+57647.4+11920.2+4273.2</f>
        <v>130055.4</v>
      </c>
      <c r="F17" s="30">
        <f>59117.19+60845.1+12506.3+4553.3</f>
        <v>137021.88999999998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v>0</v>
      </c>
      <c r="D18" s="36">
        <v>0</v>
      </c>
      <c r="E18" s="36">
        <v>0</v>
      </c>
      <c r="F18" s="30">
        <v>0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v>0</v>
      </c>
      <c r="D19" s="36">
        <v>0</v>
      </c>
      <c r="E19" s="36">
        <v>0</v>
      </c>
      <c r="F19" s="30">
        <v>0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v>0</v>
      </c>
      <c r="D20" s="36">
        <v>0</v>
      </c>
      <c r="E20" s="36">
        <v>0</v>
      </c>
      <c r="F20" s="30">
        <v>0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483</v>
      </c>
      <c r="D24" s="37">
        <f>SUM(D12:D23)</f>
        <v>4291.49</v>
      </c>
      <c r="E24" s="105">
        <f>SUM(E12:E23)</f>
        <v>795493.09</v>
      </c>
      <c r="F24" s="32">
        <f>SUM(F12:F23)</f>
        <v>836852.18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502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482</v>
      </c>
      <c r="D31" s="460"/>
      <c r="E31" s="461"/>
      <c r="F31" s="462"/>
      <c r="G31" s="462"/>
      <c r="H31" s="5"/>
      <c r="I31" s="8" t="s">
        <v>128</v>
      </c>
      <c r="J31" s="460"/>
      <c r="K31" s="461"/>
      <c r="L31" s="362"/>
    </row>
    <row r="32" spans="1:16" x14ac:dyDescent="0.2">
      <c r="A32" s="2"/>
      <c r="B32" s="34"/>
      <c r="C32" s="15"/>
      <c r="D32" s="9" t="s">
        <v>483</v>
      </c>
      <c r="E32" s="2"/>
      <c r="F32" s="6"/>
      <c r="G32" s="6"/>
      <c r="H32" s="5"/>
      <c r="I32" s="15"/>
      <c r="J32" s="9" t="s">
        <v>485</v>
      </c>
      <c r="K32" s="2"/>
      <c r="L32" s="351"/>
      <c r="M32" s="5"/>
    </row>
    <row r="33" spans="1:13" x14ac:dyDescent="0.2">
      <c r="A33" s="41"/>
      <c r="B33" s="41"/>
      <c r="C33" s="4"/>
      <c r="D33" s="463" t="s">
        <v>486</v>
      </c>
      <c r="E33" s="2"/>
      <c r="F33" s="3"/>
      <c r="G33" s="3"/>
      <c r="H33" s="2"/>
      <c r="I33" s="4"/>
      <c r="J33" s="463" t="s">
        <v>484</v>
      </c>
      <c r="K33" s="2"/>
      <c r="L33" s="351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08" t="s">
        <v>194</v>
      </c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</row>
    <row r="4" spans="2:18" x14ac:dyDescent="0.2">
      <c r="B4" s="509" t="s">
        <v>474</v>
      </c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10" t="s">
        <v>202</v>
      </c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296">
        <f>C25</f>
        <v>48</v>
      </c>
      <c r="N6" s="187"/>
      <c r="O6" s="187"/>
      <c r="P6" s="187"/>
    </row>
    <row r="7" spans="2:18" ht="12" thickBot="1" x14ac:dyDescent="0.25"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</row>
    <row r="8" spans="2:18" ht="12.75" thickBot="1" x14ac:dyDescent="0.25">
      <c r="B8" s="512" t="s">
        <v>19</v>
      </c>
      <c r="C8" s="513"/>
      <c r="D8" s="512" t="s">
        <v>172</v>
      </c>
      <c r="E8" s="514"/>
      <c r="F8" s="509"/>
      <c r="G8" s="524" t="s">
        <v>21</v>
      </c>
      <c r="H8" s="526"/>
      <c r="I8" s="536">
        <f>SUM(I10:I32)</f>
        <v>0</v>
      </c>
      <c r="J8" s="524" t="s">
        <v>20</v>
      </c>
      <c r="K8" s="526"/>
      <c r="L8" s="523"/>
      <c r="M8" s="524" t="s">
        <v>22</v>
      </c>
      <c r="N8" s="525"/>
      <c r="O8" s="525"/>
      <c r="P8" s="526"/>
    </row>
    <row r="9" spans="2:18" ht="12.75" thickBot="1" x14ac:dyDescent="0.25">
      <c r="B9" s="515" t="s">
        <v>23</v>
      </c>
      <c r="C9" s="516"/>
      <c r="D9" s="225" t="s">
        <v>173</v>
      </c>
      <c r="E9" s="224" t="s">
        <v>174</v>
      </c>
      <c r="F9" s="509"/>
      <c r="G9" s="517" t="s">
        <v>26</v>
      </c>
      <c r="H9" s="518"/>
      <c r="I9" s="536"/>
      <c r="J9" s="517" t="s">
        <v>25</v>
      </c>
      <c r="K9" s="518"/>
      <c r="L9" s="523"/>
      <c r="M9" s="519" t="s">
        <v>27</v>
      </c>
      <c r="N9" s="520"/>
      <c r="O9" s="521" t="s">
        <v>29</v>
      </c>
      <c r="P9" s="522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09"/>
      <c r="G10" s="221" t="s">
        <v>184</v>
      </c>
      <c r="H10" s="234">
        <v>0</v>
      </c>
      <c r="I10" s="536"/>
      <c r="J10" s="190" t="s">
        <v>152</v>
      </c>
      <c r="K10" s="228">
        <v>0</v>
      </c>
      <c r="L10" s="523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09"/>
      <c r="G11" s="207" t="s">
        <v>185</v>
      </c>
      <c r="H11" s="232">
        <v>5</v>
      </c>
      <c r="I11" s="536"/>
      <c r="J11" s="190" t="s">
        <v>177</v>
      </c>
      <c r="K11" s="228">
        <v>1</v>
      </c>
      <c r="L11" s="523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09"/>
      <c r="G12" s="207" t="s">
        <v>35</v>
      </c>
      <c r="H12" s="232">
        <v>7</v>
      </c>
      <c r="I12" s="536"/>
      <c r="J12" s="190" t="s">
        <v>110</v>
      </c>
      <c r="K12" s="228">
        <v>1</v>
      </c>
      <c r="L12" s="523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09"/>
      <c r="G13" s="207" t="s">
        <v>38</v>
      </c>
      <c r="H13" s="232">
        <v>11</v>
      </c>
      <c r="I13" s="536"/>
      <c r="J13" s="190" t="s">
        <v>111</v>
      </c>
      <c r="K13" s="228">
        <v>0</v>
      </c>
      <c r="L13" s="523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09"/>
      <c r="G14" s="207" t="s">
        <v>181</v>
      </c>
      <c r="H14" s="232">
        <v>10</v>
      </c>
      <c r="I14" s="536"/>
      <c r="J14" s="190" t="s">
        <v>186</v>
      </c>
      <c r="K14" s="228">
        <v>0</v>
      </c>
      <c r="L14" s="523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09"/>
      <c r="G15" s="222" t="s">
        <v>182</v>
      </c>
      <c r="H15" s="232">
        <v>11</v>
      </c>
      <c r="I15" s="536"/>
      <c r="J15" s="190" t="s">
        <v>112</v>
      </c>
      <c r="K15" s="228">
        <v>0</v>
      </c>
      <c r="L15" s="523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09"/>
      <c r="G16" s="222" t="s">
        <v>183</v>
      </c>
      <c r="H16" s="232">
        <v>4</v>
      </c>
      <c r="I16" s="536"/>
      <c r="J16" s="190" t="s">
        <v>47</v>
      </c>
      <c r="K16" s="228">
        <v>1</v>
      </c>
      <c r="L16" s="523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09"/>
      <c r="G17" s="223" t="s">
        <v>138</v>
      </c>
      <c r="H17" s="233">
        <v>0</v>
      </c>
      <c r="I17" s="536"/>
      <c r="J17" s="190" t="s">
        <v>136</v>
      </c>
      <c r="K17" s="228">
        <v>1</v>
      </c>
      <c r="L17" s="523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09"/>
      <c r="G18" s="220" t="s">
        <v>0</v>
      </c>
      <c r="H18" s="235">
        <f>SUM(H10:H17)</f>
        <v>48</v>
      </c>
      <c r="I18" s="536"/>
      <c r="J18" s="190" t="s">
        <v>142</v>
      </c>
      <c r="K18" s="228">
        <v>1</v>
      </c>
      <c r="L18" s="523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09"/>
      <c r="I19" s="536"/>
      <c r="J19" s="190" t="s">
        <v>135</v>
      </c>
      <c r="K19" s="228">
        <v>2</v>
      </c>
      <c r="L19" s="523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09"/>
      <c r="G20" s="537" t="s">
        <v>24</v>
      </c>
      <c r="H20" s="538"/>
      <c r="I20" s="536"/>
      <c r="J20" s="191" t="s">
        <v>188</v>
      </c>
      <c r="K20" s="228">
        <v>6</v>
      </c>
      <c r="L20" s="523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09"/>
      <c r="G21" s="211" t="s">
        <v>32</v>
      </c>
      <c r="H21" s="236">
        <v>16</v>
      </c>
      <c r="I21" s="536"/>
      <c r="J21" s="191" t="s">
        <v>171</v>
      </c>
      <c r="K21" s="228">
        <v>1</v>
      </c>
      <c r="L21" s="523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09"/>
      <c r="G22" s="208" t="s">
        <v>34</v>
      </c>
      <c r="H22" s="237">
        <v>3</v>
      </c>
      <c r="I22" s="536"/>
      <c r="J22" s="191" t="s">
        <v>189</v>
      </c>
      <c r="K22" s="228">
        <v>0</v>
      </c>
      <c r="L22" s="523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09"/>
      <c r="G23" s="208" t="s">
        <v>37</v>
      </c>
      <c r="H23" s="237">
        <v>24</v>
      </c>
      <c r="I23" s="536"/>
      <c r="J23" s="190" t="s">
        <v>54</v>
      </c>
      <c r="K23" s="228">
        <v>0</v>
      </c>
      <c r="L23" s="523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09"/>
      <c r="G24" s="208" t="s">
        <v>40</v>
      </c>
      <c r="H24" s="237">
        <v>4</v>
      </c>
      <c r="I24" s="536"/>
      <c r="J24" s="190" t="s">
        <v>133</v>
      </c>
      <c r="K24" s="228">
        <v>0</v>
      </c>
      <c r="L24" s="523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09"/>
      <c r="G25" s="209" t="s">
        <v>42</v>
      </c>
      <c r="H25" s="237">
        <v>1</v>
      </c>
      <c r="I25" s="536"/>
      <c r="J25" s="190" t="s">
        <v>132</v>
      </c>
      <c r="K25" s="228">
        <v>1</v>
      </c>
      <c r="L25" s="523"/>
      <c r="M25" s="532" t="s">
        <v>30</v>
      </c>
      <c r="N25" s="533"/>
      <c r="O25" s="534" t="s">
        <v>28</v>
      </c>
      <c r="P25" s="535"/>
    </row>
    <row r="26" spans="2:18" ht="12" thickBot="1" x14ac:dyDescent="0.25">
      <c r="B26" s="121" t="s">
        <v>149</v>
      </c>
      <c r="C26" s="188"/>
      <c r="D26" s="188"/>
      <c r="E26" s="188"/>
      <c r="F26" s="509"/>
      <c r="G26" s="209" t="s">
        <v>44</v>
      </c>
      <c r="H26" s="237">
        <v>0</v>
      </c>
      <c r="I26" s="536"/>
      <c r="J26" s="190" t="s">
        <v>55</v>
      </c>
      <c r="K26" s="228">
        <v>9</v>
      </c>
      <c r="L26" s="523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09"/>
      <c r="G27" s="210" t="s">
        <v>118</v>
      </c>
      <c r="H27" s="238">
        <v>0</v>
      </c>
      <c r="I27" s="536"/>
      <c r="J27" s="190" t="s">
        <v>123</v>
      </c>
      <c r="K27" s="228">
        <v>0</v>
      </c>
      <c r="L27" s="523"/>
      <c r="M27" s="527"/>
      <c r="N27" s="527"/>
      <c r="O27" s="527"/>
      <c r="P27" s="528"/>
    </row>
    <row r="28" spans="2:18" ht="12" thickBot="1" x14ac:dyDescent="0.25">
      <c r="B28" s="259"/>
      <c r="C28" s="188"/>
      <c r="D28" s="188"/>
      <c r="E28" s="188"/>
      <c r="F28" s="509"/>
      <c r="G28" s="218" t="s">
        <v>0</v>
      </c>
      <c r="H28" s="219">
        <f>H21+H22+H23+H24+H25+H26+H27</f>
        <v>48</v>
      </c>
      <c r="I28" s="536"/>
      <c r="J28" s="190" t="s">
        <v>143</v>
      </c>
      <c r="K28" s="228">
        <v>3</v>
      </c>
      <c r="L28" s="523"/>
      <c r="M28" s="529" t="s">
        <v>113</v>
      </c>
      <c r="N28" s="530"/>
      <c r="O28" s="530"/>
      <c r="P28" s="531"/>
    </row>
    <row r="29" spans="2:18" ht="16.5" x14ac:dyDescent="0.2">
      <c r="B29" s="259"/>
      <c r="C29" s="188"/>
      <c r="D29" s="188"/>
      <c r="E29" s="188"/>
      <c r="F29" s="509"/>
      <c r="I29" s="536"/>
      <c r="J29" s="190" t="s">
        <v>127</v>
      </c>
      <c r="K29" s="228">
        <v>0</v>
      </c>
      <c r="L29" s="523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09"/>
      <c r="I30" s="536"/>
      <c r="J30" s="214" t="s">
        <v>134</v>
      </c>
      <c r="K30" s="228">
        <v>0</v>
      </c>
      <c r="L30" s="523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09"/>
      <c r="G31" s="188"/>
      <c r="H31" s="188"/>
      <c r="I31" s="536"/>
      <c r="J31" s="214" t="s">
        <v>205</v>
      </c>
      <c r="K31" s="228">
        <v>13</v>
      </c>
      <c r="L31" s="523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09"/>
      <c r="G32" s="188"/>
      <c r="H32" s="188"/>
      <c r="I32" s="536"/>
      <c r="J32" s="214" t="s">
        <v>187</v>
      </c>
      <c r="K32" s="228">
        <v>8</v>
      </c>
      <c r="L32" s="523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09"/>
      <c r="G33" s="189"/>
      <c r="H33" s="189"/>
      <c r="I33" s="536"/>
      <c r="J33" s="215" t="s">
        <v>0</v>
      </c>
      <c r="K33" s="217">
        <f>SUM(K10:K32)</f>
        <v>48</v>
      </c>
      <c r="L33" s="523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84" t="s">
        <v>98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</row>
    <row r="4" spans="1:20" x14ac:dyDescent="0.2">
      <c r="A4" s="2"/>
      <c r="B4" s="484" t="s">
        <v>99</v>
      </c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</row>
    <row r="5" spans="1:20" x14ac:dyDescent="0.2">
      <c r="A5" s="2"/>
      <c r="B5" s="484" t="s">
        <v>137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39" t="s">
        <v>489</v>
      </c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0" t="s">
        <v>100</v>
      </c>
      <c r="D8" s="541"/>
      <c r="E8" s="541"/>
      <c r="F8" s="541"/>
      <c r="G8" s="542"/>
      <c r="H8" s="46"/>
      <c r="I8" s="540" t="s">
        <v>101</v>
      </c>
      <c r="J8" s="541"/>
      <c r="K8" s="541"/>
      <c r="L8" s="541"/>
      <c r="M8" s="542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1"/>
    </row>
    <row r="34" spans="1:17" ht="15.95" customHeight="1" x14ac:dyDescent="0.2"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1"/>
    </row>
    <row r="35" spans="1:17" ht="15.95" customHeight="1" x14ac:dyDescent="0.2"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3"/>
      <c r="D37" s="543"/>
      <c r="E37" s="543"/>
      <c r="F37" s="543"/>
      <c r="G37" s="543"/>
      <c r="H37" s="543"/>
      <c r="I37" s="543"/>
      <c r="J37" s="543"/>
      <c r="K37" s="543"/>
      <c r="L37" s="543"/>
      <c r="M37" s="543"/>
      <c r="N37" s="543"/>
      <c r="O37" s="543"/>
      <c r="P37" s="54"/>
    </row>
    <row r="38" spans="1:17" ht="21.95" customHeight="1" x14ac:dyDescent="0.2">
      <c r="B38" s="53"/>
      <c r="C38" s="544"/>
      <c r="D38" s="544"/>
      <c r="E38" s="544"/>
      <c r="F38" s="544"/>
      <c r="G38" s="544"/>
      <c r="H38" s="55"/>
      <c r="I38" s="544"/>
      <c r="J38" s="544"/>
      <c r="K38" s="544"/>
      <c r="L38" s="544"/>
      <c r="M38" s="544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45" t="s">
        <v>475</v>
      </c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2023-07-06T20:18:51Z</dcterms:modified>
</cp:coreProperties>
</file>