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Blanca.Batres\Documents\2023\OIR\Información Oficiosa\estadisticas\"/>
    </mc:Choice>
  </mc:AlternateContent>
  <xr:revisionPtr revIDLastSave="0" documentId="8_{96313BA7-0070-4B26-B885-275624265234}" xr6:coauthVersionLast="47" xr6:coauthVersionMax="47" xr10:uidLastSave="{00000000-0000-0000-0000-000000000000}"/>
  <bookViews>
    <workbookView xWindow="-120" yWindow="-120" windowWidth="20730" windowHeight="11160" tabRatio="601" firstSheet="1" activeTab="2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CAS X REPORTE mensual" sheetId="29" r:id="rId7"/>
    <sheet name="6. REPORTADOS F+ DETALLE-SEG" sheetId="11" r:id="rId8"/>
    <sheet name="8. REPORTE DE FALLECIDOS ENERO" sheetId="2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36" i="25"/>
  <c r="E14" i="25"/>
  <c r="E35" i="25" s="1"/>
  <c r="E13" i="25"/>
  <c r="E11" i="25"/>
  <c r="E12" i="25" s="1"/>
  <c r="E10" i="25"/>
  <c r="E9" i="25"/>
  <c r="E8" i="25"/>
  <c r="E7" i="25"/>
  <c r="E29" i="25" s="1"/>
  <c r="E6" i="25"/>
  <c r="E3" i="25"/>
  <c r="F15" i="18"/>
  <c r="F24" i="18" s="1"/>
  <c r="E15" i="18"/>
  <c r="E24" i="18" s="1"/>
  <c r="D15" i="18"/>
  <c r="C15" i="18"/>
  <c r="C24" i="18" s="1"/>
  <c r="C23" i="27" s="1"/>
  <c r="D23" i="27" s="1"/>
  <c r="D40" i="27" s="1"/>
  <c r="E12" i="17"/>
  <c r="E21" i="17" s="1"/>
  <c r="D12" i="17"/>
  <c r="C12" i="17"/>
  <c r="B12" i="17"/>
  <c r="E12" i="16"/>
  <c r="E21" i="16" s="1"/>
  <c r="D12" i="16"/>
  <c r="C12" i="16"/>
  <c r="B12" i="16"/>
  <c r="F14" i="18"/>
  <c r="E14" i="18"/>
  <c r="D14" i="18"/>
  <c r="C14" i="18"/>
  <c r="J13" i="4"/>
  <c r="N13" i="4"/>
  <c r="E11" i="17"/>
  <c r="D11" i="17"/>
  <c r="C11" i="17"/>
  <c r="B11" i="17"/>
  <c r="E11" i="16"/>
  <c r="D11" i="16"/>
  <c r="C11" i="16"/>
  <c r="B11" i="16"/>
  <c r="C13" i="4"/>
  <c r="B13" i="4"/>
  <c r="D13" i="4"/>
  <c r="F13" i="4"/>
  <c r="E13" i="4"/>
  <c r="H13" i="4"/>
  <c r="G13" i="4"/>
  <c r="F13" i="18"/>
  <c r="E13" i="18"/>
  <c r="D13" i="18"/>
  <c r="C13" i="18"/>
  <c r="E10" i="16"/>
  <c r="D10" i="16"/>
  <c r="C10" i="16"/>
  <c r="B10" i="16"/>
  <c r="E10" i="17"/>
  <c r="D10" i="17"/>
  <c r="C10" i="17"/>
  <c r="B10" i="17"/>
  <c r="J12" i="4"/>
  <c r="N12" i="4"/>
  <c r="H12" i="4"/>
  <c r="G12" i="4"/>
  <c r="F12" i="4"/>
  <c r="E12" i="4"/>
  <c r="D12" i="4"/>
  <c r="B12" i="4"/>
  <c r="C12" i="4"/>
  <c r="I12" i="4"/>
  <c r="M12" i="4"/>
  <c r="J11" i="4"/>
  <c r="N11" i="4"/>
  <c r="F12" i="18"/>
  <c r="E12" i="18"/>
  <c r="D12" i="18"/>
  <c r="C12" i="18"/>
  <c r="E9" i="17"/>
  <c r="D9" i="17"/>
  <c r="C9" i="17"/>
  <c r="B9" i="17"/>
  <c r="E9" i="16"/>
  <c r="D9" i="16"/>
  <c r="C9" i="16"/>
  <c r="B9" i="16"/>
  <c r="C11" i="4"/>
  <c r="F11" i="4"/>
  <c r="E11" i="4"/>
  <c r="D11" i="4"/>
  <c r="H11" i="4"/>
  <c r="G11" i="4"/>
  <c r="M11" i="4"/>
  <c r="L24" i="18"/>
  <c r="K24" i="18"/>
  <c r="I24" i="18"/>
  <c r="J24" i="18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K16" i="18"/>
  <c r="J16" i="18"/>
  <c r="I16" i="18"/>
  <c r="L15" i="18"/>
  <c r="K15" i="18"/>
  <c r="J15" i="18"/>
  <c r="I15" i="18"/>
  <c r="L14" i="18"/>
  <c r="K14" i="18"/>
  <c r="J14" i="18"/>
  <c r="I14" i="18"/>
  <c r="L13" i="18"/>
  <c r="K13" i="18"/>
  <c r="J13" i="18"/>
  <c r="I13" i="18"/>
  <c r="L12" i="18"/>
  <c r="K12" i="18"/>
  <c r="J12" i="18"/>
  <c r="I12" i="18"/>
  <c r="K21" i="17"/>
  <c r="J21" i="17"/>
  <c r="I21" i="17"/>
  <c r="H21" i="17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21" i="16"/>
  <c r="J21" i="16"/>
  <c r="I21" i="16"/>
  <c r="H21" i="16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K14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D21" i="17"/>
  <c r="D19" i="25"/>
  <c r="D36" i="25"/>
  <c r="D13" i="25"/>
  <c r="D15" i="25" s="1"/>
  <c r="D11" i="25"/>
  <c r="D10" i="25"/>
  <c r="D8" i="25"/>
  <c r="D30" i="25"/>
  <c r="D7" i="25"/>
  <c r="D6" i="25"/>
  <c r="D12" i="25"/>
  <c r="E31" i="25"/>
  <c r="D20" i="25"/>
  <c r="D37" i="25"/>
  <c r="E28" i="25"/>
  <c r="E32" i="25"/>
  <c r="I23" i="4"/>
  <c r="E11" i="27"/>
  <c r="E33" i="27"/>
  <c r="E34" i="25"/>
  <c r="D24" i="18"/>
  <c r="D21" i="16"/>
  <c r="E38" i="25"/>
  <c r="D21" i="25"/>
  <c r="D38" i="25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Q13" i="4"/>
  <c r="P12" i="4"/>
  <c r="Q12" i="4"/>
  <c r="P33" i="29"/>
  <c r="N33" i="29"/>
  <c r="K33" i="29"/>
  <c r="H28" i="29"/>
  <c r="P26" i="29"/>
  <c r="N26" i="29"/>
  <c r="E25" i="29"/>
  <c r="D25" i="29"/>
  <c r="P24" i="29"/>
  <c r="N24" i="29"/>
  <c r="C24" i="29"/>
  <c r="C23" i="29"/>
  <c r="C22" i="29"/>
  <c r="C21" i="29"/>
  <c r="C20" i="29"/>
  <c r="C19" i="29"/>
  <c r="H18" i="29"/>
  <c r="C18" i="29"/>
  <c r="C17" i="29"/>
  <c r="C16" i="29"/>
  <c r="C15" i="29"/>
  <c r="C14" i="29"/>
  <c r="C13" i="29"/>
  <c r="C12" i="29"/>
  <c r="C11" i="29"/>
  <c r="C10" i="29"/>
  <c r="I8" i="29"/>
  <c r="H16" i="27"/>
  <c r="C18" i="27"/>
  <c r="C20" i="25"/>
  <c r="C37" i="25"/>
  <c r="C19" i="25"/>
  <c r="C36" i="25"/>
  <c r="C15" i="25"/>
  <c r="C3" i="25"/>
  <c r="C8" i="25"/>
  <c r="C10" i="25"/>
  <c r="C32" i="25"/>
  <c r="C7" i="25"/>
  <c r="C29" i="25"/>
  <c r="C6" i="25"/>
  <c r="C12" i="25"/>
  <c r="C16" i="25"/>
  <c r="C28" i="25"/>
  <c r="M22" i="11"/>
  <c r="L22" i="11"/>
  <c r="K22" i="11"/>
  <c r="J22" i="11"/>
  <c r="I22" i="11"/>
  <c r="G22" i="11"/>
  <c r="F22" i="11"/>
  <c r="E22" i="11"/>
  <c r="D22" i="11"/>
  <c r="C22" i="11"/>
  <c r="O21" i="11"/>
  <c r="N21" i="11"/>
  <c r="H21" i="11"/>
  <c r="O20" i="11"/>
  <c r="N20" i="11"/>
  <c r="P20" i="11"/>
  <c r="H20" i="11"/>
  <c r="O19" i="11"/>
  <c r="N19" i="11"/>
  <c r="H19" i="11"/>
  <c r="O18" i="11"/>
  <c r="N18" i="11"/>
  <c r="P18" i="11"/>
  <c r="H18" i="11"/>
  <c r="O17" i="11"/>
  <c r="N17" i="11"/>
  <c r="H17" i="11"/>
  <c r="O16" i="11"/>
  <c r="N16" i="11"/>
  <c r="H16" i="11"/>
  <c r="O15" i="11"/>
  <c r="N15" i="11"/>
  <c r="P15" i="11"/>
  <c r="H15" i="11"/>
  <c r="O14" i="11"/>
  <c r="N14" i="11"/>
  <c r="H14" i="11"/>
  <c r="P14" i="11"/>
  <c r="O13" i="11"/>
  <c r="N13" i="11"/>
  <c r="H13" i="11"/>
  <c r="P13" i="11"/>
  <c r="O12" i="11"/>
  <c r="N12" i="11"/>
  <c r="H12" i="11"/>
  <c r="P12" i="11"/>
  <c r="O11" i="11"/>
  <c r="N11" i="11"/>
  <c r="H11" i="11"/>
  <c r="P11" i="11"/>
  <c r="O10" i="11"/>
  <c r="N10" i="11"/>
  <c r="N22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/>
  <c r="F23" i="4"/>
  <c r="E23" i="4"/>
  <c r="D23" i="4"/>
  <c r="N23" i="4"/>
  <c r="E17" i="27"/>
  <c r="D29" i="25"/>
  <c r="C23" i="4"/>
  <c r="M23" i="4"/>
  <c r="E13" i="27"/>
  <c r="E35" i="27"/>
  <c r="D35" i="25"/>
  <c r="D33" i="25"/>
  <c r="D32" i="25"/>
  <c r="D31" i="25"/>
  <c r="C35" i="25"/>
  <c r="C34" i="25"/>
  <c r="C31" i="25"/>
  <c r="Q19" i="4"/>
  <c r="B7" i="17"/>
  <c r="Q16" i="4"/>
  <c r="Q17" i="4"/>
  <c r="L23" i="4"/>
  <c r="C33" i="25"/>
  <c r="B23" i="4"/>
  <c r="K23" i="4"/>
  <c r="E12" i="27"/>
  <c r="E34" i="27"/>
  <c r="J23" i="4"/>
  <c r="E16" i="27"/>
  <c r="E37" i="27"/>
  <c r="B21" i="16"/>
  <c r="C24" i="27" s="1"/>
  <c r="E30" i="25"/>
  <c r="C15" i="27"/>
  <c r="C19" i="27"/>
  <c r="D15" i="27"/>
  <c r="D19" i="27"/>
  <c r="P11" i="4"/>
  <c r="Q11" i="4"/>
  <c r="C25" i="29"/>
  <c r="M6" i="29"/>
  <c r="P21" i="11"/>
  <c r="P19" i="11"/>
  <c r="P17" i="11"/>
  <c r="P16" i="11"/>
  <c r="C21" i="17"/>
  <c r="B21" i="17"/>
  <c r="C22" i="27"/>
  <c r="C39" i="27" s="1"/>
  <c r="G23" i="4"/>
  <c r="E9" i="27"/>
  <c r="E31" i="27"/>
  <c r="O23" i="4"/>
  <c r="E14" i="27"/>
  <c r="E36" i="27"/>
  <c r="C30" i="25"/>
  <c r="H23" i="4"/>
  <c r="E10" i="27"/>
  <c r="E32" i="27"/>
  <c r="C22" i="25"/>
  <c r="C24" i="25"/>
  <c r="H22" i="11"/>
  <c r="O22" i="11"/>
  <c r="P10" i="11"/>
  <c r="P22" i="11"/>
  <c r="C39" i="25"/>
  <c r="E15" i="25"/>
  <c r="D28" i="25"/>
  <c r="D39" i="25" s="1"/>
  <c r="D34" i="25"/>
  <c r="D22" i="25"/>
  <c r="E18" i="27"/>
  <c r="E38" i="27"/>
  <c r="P23" i="4"/>
  <c r="I14" i="27"/>
  <c r="E15" i="27"/>
  <c r="E37" i="25"/>
  <c r="E19" i="27"/>
  <c r="F13" i="27"/>
  <c r="F11" i="27"/>
  <c r="F16" i="27"/>
  <c r="F14" i="27"/>
  <c r="F17" i="27"/>
  <c r="F10" i="27"/>
  <c r="F9" i="27"/>
  <c r="F12" i="27"/>
  <c r="F19" i="27"/>
  <c r="E22" i="25" l="1"/>
  <c r="F19" i="25" s="1"/>
  <c r="F21" i="25"/>
  <c r="E16" i="25"/>
  <c r="F13" i="25" s="1"/>
  <c r="E33" i="25"/>
  <c r="E39" i="25"/>
  <c r="F29" i="25" s="1"/>
  <c r="E23" i="27"/>
  <c r="E40" i="27" s="1"/>
  <c r="D22" i="27"/>
  <c r="D39" i="27" s="1"/>
  <c r="C40" i="27"/>
  <c r="E22" i="27"/>
  <c r="E39" i="27" s="1"/>
  <c r="Q14" i="4"/>
  <c r="Q23" i="4" s="1"/>
  <c r="Q24" i="4" s="1"/>
  <c r="C21" i="16"/>
  <c r="E24" i="27" s="1"/>
  <c r="D24" i="27"/>
  <c r="C25" i="27"/>
  <c r="C27" i="27" s="1"/>
  <c r="C41" i="27"/>
  <c r="D16" i="25"/>
  <c r="D24" i="25" s="1"/>
  <c r="F20" i="25" l="1"/>
  <c r="F22" i="25" s="1"/>
  <c r="F8" i="25"/>
  <c r="F14" i="25"/>
  <c r="F16" i="25" s="1"/>
  <c r="F9" i="25"/>
  <c r="F10" i="25"/>
  <c r="F7" i="25"/>
  <c r="F11" i="25"/>
  <c r="E24" i="25"/>
  <c r="F6" i="25"/>
  <c r="F30" i="25"/>
  <c r="F32" i="25"/>
  <c r="F37" i="25"/>
  <c r="F34" i="25"/>
  <c r="F38" i="25"/>
  <c r="F35" i="25"/>
  <c r="F36" i="25"/>
  <c r="F28" i="25"/>
  <c r="F31" i="25"/>
  <c r="F33" i="25"/>
  <c r="C42" i="27"/>
  <c r="E25" i="27"/>
  <c r="F24" i="27" s="1"/>
  <c r="E41" i="27"/>
  <c r="D41" i="27"/>
  <c r="D42" i="27" s="1"/>
  <c r="D25" i="27"/>
  <c r="D27" i="27" s="1"/>
  <c r="F39" i="25" l="1"/>
  <c r="E27" i="27"/>
  <c r="F23" i="27"/>
  <c r="F22" i="27"/>
  <c r="E42" i="27"/>
  <c r="F41" i="27" s="1"/>
  <c r="F36" i="27" l="1"/>
  <c r="F39" i="27"/>
  <c r="F33" i="27"/>
  <c r="F40" i="27"/>
  <c r="F38" i="27"/>
  <c r="F34" i="27"/>
  <c r="F31" i="27"/>
  <c r="F32" i="27"/>
  <c r="F37" i="27"/>
  <c r="F35" i="27"/>
  <c r="I42" i="27"/>
  <c r="F25" i="27"/>
  <c r="F42" i="27" l="1"/>
</calcChain>
</file>

<file path=xl/sharedStrings.xml><?xml version="1.0" encoding="utf-8"?>
<sst xmlns="http://schemas.openxmlformats.org/spreadsheetml/2006/main" count="900" uniqueCount="504">
  <si>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</si>
  <si>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</si>
  <si>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</si>
  <si>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</si>
  <si>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</si>
  <si>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</si>
  <si>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</si>
  <si>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</si>
  <si>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</si>
  <si>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</si>
  <si>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</si>
  <si>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</si>
  <si>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</si>
  <si>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</si>
  <si>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</si>
  <si>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</si>
  <si>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</si>
  <si>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</si>
  <si>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</si>
  <si>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</si>
  <si>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</si>
  <si>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</si>
  <si>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</si>
  <si>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</si>
  <si>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</si>
  <si>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</si>
  <si>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</si>
  <si>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</si>
  <si>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</si>
  <si>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</si>
  <si>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</si>
  <si>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</si>
  <si>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</si>
  <si>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</si>
  <si>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</si>
  <si>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</si>
  <si>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</si>
  <si>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</si>
  <si>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</si>
  <si>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</si>
  <si>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</si>
  <si>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</si>
  <si>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</si>
  <si>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</si>
  <si>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</si>
  <si>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</si>
  <si>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</si>
  <si>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</si>
  <si>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</si>
  <si>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</si>
  <si>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</si>
  <si>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</si>
  <si>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</si>
  <si>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</si>
  <si>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</si>
  <si>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</si>
  <si>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</si>
  <si>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</si>
  <si>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</si>
  <si>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</si>
  <si>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</si>
  <si>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</si>
  <si>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</si>
  <si>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</si>
  <si>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</si>
  <si>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</si>
  <si>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Jefa Unidad de Seguros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</si>
  <si>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</si>
  <si>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</si>
  <si>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</si>
  <si>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</si>
  <si>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</si>
  <si>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</si>
  <si>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</si>
  <si>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</si>
  <si>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</si>
  <si>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</si>
  <si>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</si>
  <si>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</si>
  <si>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</si>
  <si>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Dina Lariza Rivera Menjívar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</si>
  <si>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</si>
  <si>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</si>
  <si>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</si>
  <si>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</si>
  <si>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</si>
  <si>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</si>
  <si>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</si>
  <si>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</si>
  <si>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</si>
  <si>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</si>
  <si>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</si>
  <si>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</si>
  <si>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</si>
  <si>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</si>
  <si>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</si>
  <si>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</si>
  <si>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</si>
  <si>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</si>
  <si>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</si>
  <si>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</si>
  <si>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         TIPOS DE SEGUROS RECLAMADOS</t>
  </si>
  <si>
    <t>HOMBRES FALLECIDOS</t>
  </si>
  <si>
    <t>OPCIONAL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</si>
  <si>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</si>
  <si>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</si>
  <si>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</si>
  <si>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</si>
  <si>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</si>
  <si>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</si>
  <si>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</si>
  <si>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</si>
  <si>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</si>
  <si>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</si>
  <si>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</si>
  <si>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</si>
  <si>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</si>
  <si>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</si>
  <si>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</si>
  <si>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</si>
  <si>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</si>
  <si>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</si>
  <si>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</si>
  <si>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</si>
  <si>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</si>
  <si>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</si>
  <si>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</si>
  <si>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</si>
  <si>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</si>
  <si>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</si>
  <si>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</si>
  <si>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</si>
  <si>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</si>
  <si>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</si>
  <si>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</si>
  <si>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</si>
  <si>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</si>
  <si>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</si>
  <si>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</si>
  <si>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</si>
  <si>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DE VIDA DOTAL</t>
  </si>
  <si>
    <t>PAGADO EN SEGURO POR SEPELIO</t>
  </si>
  <si>
    <t xml:space="preserve">ENFERMEDADES O FALLAS HEPATICAS; CIRROSIS </t>
  </si>
  <si>
    <t>SHOCK SÉPTICOS; SÉPSIS O SEPTICEMIAS</t>
  </si>
  <si>
    <t xml:space="preserve">Dina Lariza Rivera Menjívar 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</si>
  <si>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</si>
  <si>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</si>
  <si>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</si>
  <si>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</si>
  <si>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</si>
  <si>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</si>
  <si>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 xml:space="preserve">   Jefa Unidad de Seguros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</si>
  <si>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</si>
  <si>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</si>
  <si>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</si>
  <si>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</si>
  <si>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</si>
  <si>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</si>
  <si>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</si>
  <si>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</si>
  <si>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</si>
  <si>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</si>
  <si>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</si>
  <si>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</si>
  <si>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</si>
  <si>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</si>
  <si>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</si>
  <si>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</si>
  <si>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</si>
  <si>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</si>
  <si>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</si>
  <si>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</si>
  <si>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</si>
  <si>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</si>
  <si>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</si>
  <si>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</si>
  <si>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</si>
  <si>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</si>
  <si>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</si>
  <si>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</si>
  <si>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</si>
  <si>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</si>
  <si>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</si>
  <si>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</si>
  <si>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</si>
  <si>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</si>
  <si>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</si>
  <si>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</si>
  <si>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</si>
  <si>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</si>
  <si>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</si>
  <si>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</si>
  <si>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</si>
  <si>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</si>
  <si>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</si>
  <si>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</si>
  <si>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</si>
  <si>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</si>
  <si>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</si>
  <si>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</si>
  <si>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</si>
  <si>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</si>
  <si>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 xml:space="preserve">ASEGURADOS  FALLECIDOS REPORTADOS EN EL MES  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</si>
  <si>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</si>
  <si>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</si>
  <si>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</si>
  <si>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</si>
  <si>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</si>
  <si>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>1</t>
  </si>
  <si>
    <t>MASCULINO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</si>
  <si>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</si>
  <si>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</si>
  <si>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</si>
  <si>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</si>
  <si>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</si>
  <si>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</si>
  <si>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</si>
  <si>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</si>
  <si>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</si>
  <si>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</si>
  <si>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</si>
  <si>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</si>
  <si>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</si>
  <si>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</si>
  <si>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</si>
  <si>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</si>
  <si>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</si>
  <si>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</si>
  <si>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</si>
  <si>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</si>
  <si>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</si>
  <si>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</si>
  <si>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</si>
  <si>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</si>
  <si>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</si>
  <si>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</si>
  <si>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</si>
  <si>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No.</t>
  </si>
  <si>
    <t>SANTA TECLA, LA LIBERTAD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</si>
  <si>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</si>
  <si>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</si>
  <si>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</si>
  <si>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</si>
  <si>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</si>
  <si>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</si>
  <si>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</si>
  <si>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</si>
  <si>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</si>
  <si>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</si>
  <si>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</si>
  <si>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</si>
  <si>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</si>
  <si>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</si>
  <si>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CHALCHUAPA, SANTA ANA</t>
  </si>
  <si>
    <t>FEMENINO</t>
  </si>
  <si>
    <t>PARO CARDIO RESPIRATORIO</t>
  </si>
  <si>
    <t>MEJICANOS, SAN SALVADOR</t>
  </si>
  <si>
    <t>NO. DE BENEFICIARIOS</t>
  </si>
  <si>
    <t>FECHA DE FALLECIMIENTO</t>
  </si>
  <si>
    <t>No. 2</t>
  </si>
  <si>
    <t>GF</t>
  </si>
  <si>
    <t>CMCD04.5.2.1/R2021-001</t>
  </si>
  <si>
    <t>20282</t>
  </si>
  <si>
    <t>VIRGINIA ORELLANA VDA. DE COLOCHO</t>
  </si>
  <si>
    <t>SHOCK SÉPTICO, NEUMONÍA ASPIRATIVA, ACCIDENTE CEREBRO VASCULAR ISQUÉMICO, DEMENCIA SENIL</t>
  </si>
  <si>
    <t>CMCD04.5.2.1/R2021-002</t>
  </si>
  <si>
    <t>13804</t>
  </si>
  <si>
    <t>VICENTA ANDREA MAZARIEGO QUIJANO</t>
  </si>
  <si>
    <t>SHOCK SÉPTICO, GASTROENTERITIS AGUDA, PANCITOPENIA LEUCEMIA MIELOCITICA AGUDA</t>
  </si>
  <si>
    <t>CMCD04.5.2.1/R2021-003</t>
  </si>
  <si>
    <t>13406</t>
  </si>
  <si>
    <t>JOSÉ ABELINO SALGADO NOLASCO</t>
  </si>
  <si>
    <t>PIELONEFRITIS CRÓNICO</t>
  </si>
  <si>
    <t>CMCD04.5.2.1/R2021-004</t>
  </si>
  <si>
    <t>45348</t>
  </si>
  <si>
    <t>EFRAÍN VÁSQUEZ CERÓN</t>
  </si>
  <si>
    <t>PARO CARDIACO</t>
  </si>
  <si>
    <t>ILOPANGO, SAN SALVADOR</t>
  </si>
  <si>
    <t>CMCD04.5.2.1/R2021-005</t>
  </si>
  <si>
    <t>15601</t>
  </si>
  <si>
    <t>CARLOS FRANCISCO ORTÍZ</t>
  </si>
  <si>
    <t>NEUMONÍA ASPIRATIVA, ENFERMEDAD MULTIORGÁNICA, ANEMÍA, DIABETES MELLITUS TIPO 2</t>
  </si>
  <si>
    <t>CMCD04.5.2.1/R2021-006</t>
  </si>
  <si>
    <t>47426</t>
  </si>
  <si>
    <t>MARVÍN RICARDO ÁLVAREZ QUEZADA</t>
  </si>
  <si>
    <t>FIBRILACIÓN VENTRICULAR, INFARTO AGUDO DE MIOCARDIO ENFERMEDAD RENAL CRÓNICA ESTUDIO V</t>
  </si>
  <si>
    <t>CMCD04.5.2.1/R2021-007</t>
  </si>
  <si>
    <t>03187</t>
  </si>
  <si>
    <t>MARÍA TERESA DE JESÚS LEIVA DE SORTO</t>
  </si>
  <si>
    <t>PARO CARDIORESPIRATORIO,  MUERTE CEREBRAL MÁS EVENTO CEREBROVASCULAR ISQUÉMICO</t>
  </si>
  <si>
    <t>CMCD04.5.2.1/R2021-008</t>
  </si>
  <si>
    <t>24345</t>
  </si>
  <si>
    <t>NELSÓN ANTONIO PÉREZ COREAS</t>
  </si>
  <si>
    <t>DIABETES MELLITUS 2, HIPERTENSIÓN ARTERIAL CRÓNICA, PARO CARDIORESPIRATORIO</t>
  </si>
  <si>
    <t>SANTIAGO DE MARÍA, USULUTÁN</t>
  </si>
  <si>
    <t>CMCD04.5.2.1/R2021-009</t>
  </si>
  <si>
    <t>04631</t>
  </si>
  <si>
    <t>BLANCA IDALIA RODRÍGUEZ PINEDA</t>
  </si>
  <si>
    <t>OTRAS FORMAS DE CHOQUE, SINDROME DE RESPUESTA INFAMATORIA SISTEMICA DE ORIGEN INFECCIOSO, FALLA ÓRGANICA, SOSPECHA COVID-19 VIRUS NO IDENTIFICADO</t>
  </si>
  <si>
    <t>CMCD04.5.2.1/R2021-010</t>
  </si>
  <si>
    <t>17893</t>
  </si>
  <si>
    <t>VICTORINA DE JESÚS DÍAZ</t>
  </si>
  <si>
    <t>CHINAMECA, SAN MIGUEL</t>
  </si>
  <si>
    <t>CMCD04.5.2.1/R2021-011</t>
  </si>
  <si>
    <t>67137</t>
  </si>
  <si>
    <t>ELA CRISTINA TEJADA DE TOLOSA</t>
  </si>
  <si>
    <t>TUMOR MALIGNO DE LA VEJIGA URINARIA, PARTE NO ESPECIFICADA, INFECCIÓN CONSECUTIVA A PROCEDIMIENTO, NO CLASIFICADA EN OTRA PARTE</t>
  </si>
  <si>
    <t>CMCD04.5.2.1/R2021-012</t>
  </si>
  <si>
    <t>30123</t>
  </si>
  <si>
    <t>SALVADOR ANTONIO HERNÁNDEZ PINTO</t>
  </si>
  <si>
    <t>INSUFICIENCIA CARDÍACA, HIPERTENSIÓN ESENCIAL, DIABETES MELLITUS INSULINODEPENDIENTE</t>
  </si>
  <si>
    <t>CMCD04.5.2.1/R2021-013</t>
  </si>
  <si>
    <t>02608</t>
  </si>
  <si>
    <t>ROBERTO PINEDA MORALES</t>
  </si>
  <si>
    <t>ENCEFALOPATÍA HÉPATICA, SÉPSIS, PERÍTONITIS BACTERIANA ESPONTANEA, HEPATOPATÍA CRÓNICA</t>
  </si>
  <si>
    <t>CMCD04.5.2.1/R2021-014</t>
  </si>
  <si>
    <t>21346</t>
  </si>
  <si>
    <t>JOSÉ GUILLERMO FIGUEROA CASTRO</t>
  </si>
  <si>
    <t>INFARTO AGUDO DE MIOCARDIO, INSUFICIENCIA RENAL AGUDA, INSUFICIENCIA CARDÍACA CONGESTIVA</t>
  </si>
  <si>
    <t>CMCD04.5.2.1/R2021-015</t>
  </si>
  <si>
    <t>32279</t>
  </si>
  <si>
    <t>GUSTAVO ADOLFO TURCIOS CASTILLO</t>
  </si>
  <si>
    <t>FALLA MULTIÓRGANICA, SHOCK SÉPTICO, MELANOMA MALIGNO ESTADIO IV</t>
  </si>
  <si>
    <t>CMCD04.5.2.1/R2021-016</t>
  </si>
  <si>
    <t>70052</t>
  </si>
  <si>
    <t>XIOMARA EUNICE HERRERA DE MARTÍNEZ</t>
  </si>
  <si>
    <t>FALLE MULTIPLE DE ÓRGANOS, NEUMONÍA, SOSPECHA DE COVID 19, HIPERTENSIÓN ARTERIAL, OBESIDAD MORBIDA</t>
  </si>
  <si>
    <t>CMCD04.5.2.1/R2021-017</t>
  </si>
  <si>
    <t>16270</t>
  </si>
  <si>
    <t>ELVA LILA VILLEGAS DE GAVIDIA</t>
  </si>
  <si>
    <t>HIPERTENSIÓN ARTERIAL, ENFERMEDAD RENAL CRÓNICA, NEUMONÍA POR COVID GUIÓN DIECINUEVE</t>
  </si>
  <si>
    <t>CMCD04.5.2.1/R2021-018</t>
  </si>
  <si>
    <t>21927</t>
  </si>
  <si>
    <t>ROMULO SERGIO ALVARADO ARÉVALO</t>
  </si>
  <si>
    <t>PARO CARDIO RESPIRATORIO A CONSECUENCIA DE EPILEPSIA, HIPERTENSIÓN ARTERIAL</t>
  </si>
  <si>
    <t>APANECA, AHUACHAPÁN</t>
  </si>
  <si>
    <t>CMCD04.5.2.1/R2021-019</t>
  </si>
  <si>
    <t>22219</t>
  </si>
  <si>
    <t>ROSA AMELIA GARCÍA GÓMEZ</t>
  </si>
  <si>
    <t>SOSPECHA COVID GUIÓN DIECINUEVE, NEUMONÍA ATÍPICA</t>
  </si>
  <si>
    <t>CMCD04.5.2.1/R2021-020</t>
  </si>
  <si>
    <t>21536</t>
  </si>
  <si>
    <t>MARTÍN SALVADOR FIGUEROA GUEVARA</t>
  </si>
  <si>
    <t>CMCD04.5.2.1/R2021-021</t>
  </si>
  <si>
    <t>15850</t>
  </si>
  <si>
    <t>HERMELINDA FIGUEROA SALAZAR</t>
  </si>
  <si>
    <t>NEUMONÍA ATIPICA, SOSPECHA DE COVID-19</t>
  </si>
  <si>
    <t>CMCD04.5.2.1/R2021-022</t>
  </si>
  <si>
    <t>13321</t>
  </si>
  <si>
    <t>MARGARITA GARCÍA DE URQUILLA</t>
  </si>
  <si>
    <t>SOSPECHA NEUMONÍA COVID-19</t>
  </si>
  <si>
    <t>CMCD04.5.2.1/R2021-023</t>
  </si>
  <si>
    <t>16377</t>
  </si>
  <si>
    <t>SANDRA ELIZABETH RODRÍGUEZ DERAS</t>
  </si>
  <si>
    <t>NEUMONÍA VIRAL ASOCIADA A SARS COV GUION DOS, DIABETES MELLITUS TIPO DOS, HIPERTENSIÓN ARTERIAL</t>
  </si>
  <si>
    <t>PLAN MAESTRO</t>
  </si>
  <si>
    <t>CMCD04.5.2.1/R2021-024</t>
  </si>
  <si>
    <t>23659</t>
  </si>
  <si>
    <t>ANA DILIA CASTRO DE GÚZMAN</t>
  </si>
  <si>
    <t>HEMORRAGÍA GASTROINTESTINAL</t>
  </si>
  <si>
    <t>CMCD04.5.2.1/R2021-025</t>
  </si>
  <si>
    <t>11419</t>
  </si>
  <si>
    <t>ROSALINA SANABRIA CHINCHILLA DE FUENTES</t>
  </si>
  <si>
    <t>CARDIORESPIRATORIO</t>
  </si>
  <si>
    <t>CMCD04.5.2.1/R2021-026</t>
  </si>
  <si>
    <t>00070</t>
  </si>
  <si>
    <t>RICARDO BARRERA RIVAS</t>
  </si>
  <si>
    <t>INSUFICIENCIA RENAL</t>
  </si>
  <si>
    <t>JIQUILISCO, USULUTÁN</t>
  </si>
  <si>
    <t>CMCD04.5.2.1/R2021-027</t>
  </si>
  <si>
    <t>48795</t>
  </si>
  <si>
    <t>HÉCTOR JONÁS GONZÁLEZ QUINTANILLA</t>
  </si>
  <si>
    <t>IPERTENSIÓN ARTERIAL, SOSPECHA DE COVID-19</t>
  </si>
  <si>
    <t>CMCD04.5.2.1/R2021-028</t>
  </si>
  <si>
    <t>16813</t>
  </si>
  <si>
    <t>MARÍA ANTONIA ALEMÁN VIUDA DE CASTRO</t>
  </si>
  <si>
    <t>INFARTO AGUDO DE MIOCARDIO, SHOCK HIPOVOLEMICO, DIABETES MELLITUS DESCOMPENSADA</t>
  </si>
  <si>
    <t>CMCD04.5.2.1/R2021-029</t>
  </si>
  <si>
    <t>21883</t>
  </si>
  <si>
    <t>NILCA EMILY ARGUETA DE GARCÍA</t>
  </si>
  <si>
    <t>EDEMA AGUDO DE PULMÓN, TROMBOSIS EN CLAVICULA</t>
  </si>
  <si>
    <t>CMCD04.5.2.1/R2021-030</t>
  </si>
  <si>
    <t>16955</t>
  </si>
  <si>
    <t>JUSTINIANO FILADELFO GARCÍA HERNÁNDEZ</t>
  </si>
  <si>
    <t>PARO CARDIORESPIRATORIO A CAUSA DE NEUMONÍA MÁS INSUFICIENCIA CADÍACA CONGESTIVA</t>
  </si>
  <si>
    <t>CMCD04.5.2.1/R2021-031</t>
  </si>
  <si>
    <t>02554</t>
  </si>
  <si>
    <t>RITA ELEONORA MORÁN DE GUTIÉRREZ</t>
  </si>
  <si>
    <t>CARDIOPATÍA ISQUÉMICA</t>
  </si>
  <si>
    <t>CMCD04.5.2.1/R2021-032</t>
  </si>
  <si>
    <t>23297</t>
  </si>
  <si>
    <t>MARÍA ESTER DUEÑAS VDA. DE GARCÍA</t>
  </si>
  <si>
    <t>PARO CARDIORESPIRATORIO MÁS UROSÉPSIS</t>
  </si>
  <si>
    <t>CMCD04.5.2.1/R2021-033</t>
  </si>
  <si>
    <t>22656</t>
  </si>
  <si>
    <t>MARÍA ELVIRA SÁNCHEZ VDA. DE GÓMEZ</t>
  </si>
  <si>
    <t>ACCIDENTE CEREBRO VASCULAR HEMORRÁGICO, HIPERTENCIÓN ARTERIAL CRÓNICA</t>
  </si>
  <si>
    <t>CMCD04.5.2.1/R2021-034</t>
  </si>
  <si>
    <t>05139</t>
  </si>
  <si>
    <t>JAIME MARROQUÍN VALENCIA</t>
  </si>
  <si>
    <t>ASFIXIA POR ASPIRACIÓN DE CONTENIDO GASTRICO</t>
  </si>
  <si>
    <t>SAN RAFAEL OBRAJUELI, LA PAZ</t>
  </si>
  <si>
    <t>CMCD04.5.2.1/R2021-035</t>
  </si>
  <si>
    <t>10355</t>
  </si>
  <si>
    <t>GRACIELA CARRILLO DURÁN DE HERNÁNDEZ</t>
  </si>
  <si>
    <t>CÁNCER DE MAMA, SANGRADO DE TUBO DIGESTIVO SUPERIOR, DIABETES MELLITUS TIPO 2, HIPERTENSIÓN ARTERIAL CRÓNICA</t>
  </si>
  <si>
    <t>CMCD04.5.2.1/R2021-036</t>
  </si>
  <si>
    <t>37799</t>
  </si>
  <si>
    <t>ANA CRISTINA CHÁVEZ DE SÁNCHEZ</t>
  </si>
  <si>
    <t>SOSPECHA COVID-19 VIRUS NO IDENTIFICADO</t>
  </si>
  <si>
    <t>CMCD04.5.2.1/R2021-037</t>
  </si>
  <si>
    <t>16315</t>
  </si>
  <si>
    <t>MARÍA ERCILIA HERNÁNDEZ DE ALFARO</t>
  </si>
  <si>
    <t>HEMORRAGIA GASTROINTESTINAL, CIRROSIS HÉPATICA</t>
  </si>
  <si>
    <t>CMCD04.5.2.1/R2021-038</t>
  </si>
  <si>
    <t>65565</t>
  </si>
  <si>
    <t>MARÍA GUADALUPE MARTÍNEZ ORTIZ DE ÁGUILA</t>
  </si>
  <si>
    <t>HISTOPLASMA SISTÉMICA</t>
  </si>
  <si>
    <t>CMCD04.5.2.1/R2021-039</t>
  </si>
  <si>
    <t>01477</t>
  </si>
  <si>
    <t>SANTOS LUISA CAMPOS VDA. DE CHÁVEZ</t>
  </si>
  <si>
    <t>COAGULACIÓN INTRAVASCULAR DISEMINADA, DETERIORO DEL ADULTO, INSUFICIENCIA CARDIACA CONGESTIVA, HAPATOPATÍA</t>
  </si>
  <si>
    <t>CMCD04.5.2.1/R2021-040</t>
  </si>
  <si>
    <t>15583</t>
  </si>
  <si>
    <t>LUIS ALONSO MARROQUÍN SALAZAR</t>
  </si>
  <si>
    <t>PARO CARDIORRESPIRATORIO, INFARTO FULMINANTE, DESNUTRICIÓN DEL ADULTO</t>
  </si>
  <si>
    <t>JUAYUA, SONSONATE</t>
  </si>
  <si>
    <t>CMCD04.5.2.1/R2021-041</t>
  </si>
  <si>
    <t>18006</t>
  </si>
  <si>
    <t>SANTOS GODOY CACÉRES DÍAZ</t>
  </si>
  <si>
    <t>NEUMONÍA ATIPICA LEVE COVID-19</t>
  </si>
  <si>
    <t>CMCD04.5.2.1/R2021-042</t>
  </si>
  <si>
    <t>19472</t>
  </si>
  <si>
    <t>FRANCISCA CATALINA CHAVARRÍA DE HERNÁNDEZ</t>
  </si>
  <si>
    <t>SÉPSIS URINARIA</t>
  </si>
  <si>
    <t>CMCD04.5.2.1/R2021-043</t>
  </si>
  <si>
    <t>22842</t>
  </si>
  <si>
    <t>JOSÉ RODRIGO ARRAZOLA RODRÍGUEZ</t>
  </si>
  <si>
    <t>SHOK NEUROGÉNICO</t>
  </si>
  <si>
    <t>JUCUAPA, USULUTAN</t>
  </si>
  <si>
    <t>CMCD04.5.2.1/R2021-045</t>
  </si>
  <si>
    <t>32252</t>
  </si>
  <si>
    <t>ELMER DANILO QUEZADA LEIVA</t>
  </si>
  <si>
    <t>PARO RESPIRATORIO</t>
  </si>
  <si>
    <t>SAN PEDRO PUXTLA, AHUACHAPAN</t>
  </si>
  <si>
    <t>CMCD04.5.2.1/R2021-046</t>
  </si>
  <si>
    <t>18096</t>
  </si>
  <si>
    <t>HEDILBERTO RODRÍGUEZ BONILLA</t>
  </si>
  <si>
    <t>COVID-19 POSITIVO</t>
  </si>
  <si>
    <t>CMCD04.5.2.1/R2021-047</t>
  </si>
  <si>
    <t>61384</t>
  </si>
  <si>
    <t>FRANCISCO ARMANDO SARAVIA TORRES</t>
  </si>
  <si>
    <t>COVID-19 MÁS NEUMONÍA GRAVE</t>
  </si>
  <si>
    <t>NUEVA GUADALUPE, SAN MIGUEL</t>
  </si>
  <si>
    <t>CMCD04.5.2.1/R2021-048</t>
  </si>
  <si>
    <t>47399</t>
  </si>
  <si>
    <t>JAVIER ROLANDO VÁSQUEZ ALVARENGA</t>
  </si>
  <si>
    <t>NEUMONÍA ATIPICA GRAVE, SOSPECHA COVID-19</t>
  </si>
  <si>
    <t>CMCD04.5.2.1/R2021-049</t>
  </si>
  <si>
    <t>20995</t>
  </si>
  <si>
    <t>JOSÉ ARMANDO TESHÉ</t>
  </si>
  <si>
    <t>ENFERMEDAD RENAL CRÓNICA, DERRAME PLEURAL DERECHO, DIABETES MELLITUS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</si>
  <si>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</si>
  <si>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</si>
  <si>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</si>
  <si>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</si>
  <si>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</si>
  <si>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</si>
  <si>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</si>
  <si>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</si>
  <si>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</si>
  <si>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</si>
  <si>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</si>
  <si>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</si>
  <si>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Y POR TIPOS DE SEGUROS DEL 01 AL 31 DE ENERO AÑO 2021</t>
  </si>
  <si>
    <t xml:space="preserve">            REPORTE DE FALLECIDOS DURANTE EL MES DE ENERO 2021</t>
  </si>
  <si>
    <t>No. 4</t>
  </si>
  <si>
    <t>No. 3</t>
  </si>
  <si>
    <t>San Salvador, 11 de febrero de 2021</t>
  </si>
  <si>
    <t>San Salvador, 15 de febrero 2021</t>
  </si>
  <si>
    <t>San Salvador, 15 de enero 2021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</si>
  <si>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</si>
  <si>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</si>
  <si>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</si>
  <si>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</si>
  <si>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</si>
  <si>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</si>
  <si>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</si>
  <si>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 SEGURO DE VIDA DOTAL PAGADOS AÑO 2022</t>
  </si>
  <si>
    <t>DEL 01 AL 31 DE ENERO A ÑO 2022</t>
  </si>
  <si>
    <t>TOTAL SEGUROS RECLAMADOS HOMBRES</t>
  </si>
  <si>
    <t>ESTADÍSTICAS GENERALES 2022</t>
  </si>
  <si>
    <t>ASEGURADOS QUE CUMPLIERON 70 AÑOS DE EDAD DURANTE EL AÑO 2023</t>
  </si>
  <si>
    <t>DEL 01 DE ENERO AL 31 DE DICIEMBRE DEL AÑO 2023</t>
  </si>
  <si>
    <t>DE SEGURO DE VIDA DOTAL PAGADOS AÑO 2023</t>
  </si>
  <si>
    <t>DE VIDA DOTAL POR VENCIMIENTO DE PÓLIZA  AÑO 2023</t>
  </si>
  <si>
    <t>DEL 01  DE ENERO AL 31 DICIEMBRE DEL AÑO 2023</t>
  </si>
  <si>
    <t>DE VIDA DOTAL POR VENCIMIENTO DE PÓLIZA AÑO 2022</t>
  </si>
  <si>
    <t>CORRESPONDIENTE AL PERIODO DEL 01 DE ENERO AL 31 DE DICIEMBRE DEL AÑO 2023</t>
  </si>
  <si>
    <t xml:space="preserve"> FALLECIDOS  AÑO 2023 QUE HAN RECLAMADO Y PAGADO (CUADROS APROBADOS POR CD)</t>
  </si>
  <si>
    <t>SEGUROS PEND. DE PAGO DE OTROS AÑOS, PAGADOS EN EL 2023 (CUADROS APROBADOS POR CD+ CASOS DE INV)</t>
  </si>
  <si>
    <t>San Salvador, 31 de marzo del año 2023</t>
  </si>
  <si>
    <t>Nº DE BENEF. A LOS QUE SE LES HA PAGADO EN EL AÑO 2023 (CUADROS APROBADOS POR CD + CASOS DE INV)</t>
  </si>
  <si>
    <t>San Salvador, 30 de abril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</si>
</sst>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b/>
      <sz val="9"/>
      <name val="Calibri"/>
      <family val="2"/>
      <scheme val="minor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4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0" fillId="0" borderId="0"/>
    <xf numFmtId="0" fontId="4" fillId="0" borderId="0"/>
    <xf numFmtId="0" fontId="4" fillId="0" borderId="0"/>
    <xf numFmtId="0" fontId="40" fillId="0" borderId="0"/>
    <xf numFmtId="9" fontId="1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6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2" fillId="0" borderId="0" xfId="0" applyFont="1"/>
    <xf numFmtId="9" fontId="0" fillId="0" borderId="0" xfId="11" applyFont="1"/>
    <xf numFmtId="0" fontId="10" fillId="0" borderId="0" xfId="0" applyFont="1"/>
    <xf numFmtId="0" fontId="9" fillId="0" borderId="0" xfId="0" applyFont="1" applyAlignment="1">
      <alignment horizontal="center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4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8" fillId="0" borderId="0" xfId="0" applyFont="1"/>
    <xf numFmtId="0" fontId="23" fillId="0" borderId="0" xfId="0" applyFont="1"/>
    <xf numFmtId="0" fontId="20" fillId="0" borderId="1" xfId="0" applyFont="1" applyBorder="1" applyAlignment="1">
      <alignment horizontal="center" vertical="center" wrapText="1"/>
    </xf>
    <xf numFmtId="17" fontId="22" fillId="0" borderId="2" xfId="0" applyNumberFormat="1" applyFont="1" applyBorder="1" applyAlignment="1">
      <alignment horizontal="left"/>
    </xf>
    <xf numFmtId="167" fontId="4" fillId="0" borderId="1" xfId="0" applyNumberFormat="1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0" fillId="0" borderId="0" xfId="0" applyNumberFormat="1"/>
    <xf numFmtId="0" fontId="19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27" fillId="0" borderId="0" xfId="0" applyFont="1" applyAlignment="1">
      <alignment horizontal="center"/>
    </xf>
    <xf numFmtId="0" fontId="31" fillId="0" borderId="0" xfId="0" applyFont="1"/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17" fontId="25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40" fillId="0" borderId="0" xfId="7"/>
    <xf numFmtId="0" fontId="18" fillId="0" borderId="0" xfId="7" applyFont="1" applyAlignment="1">
      <alignment horizontal="center"/>
    </xf>
    <xf numFmtId="0" fontId="4" fillId="0" borderId="0" xfId="7" applyFont="1"/>
    <xf numFmtId="0" fontId="4" fillId="0" borderId="2" xfId="7" applyFont="1" applyBorder="1"/>
    <xf numFmtId="0" fontId="20" fillId="0" borderId="14" xfId="7" applyFont="1" applyBorder="1" applyAlignment="1">
      <alignment horizontal="center" vertical="center" wrapText="1"/>
    </xf>
    <xf numFmtId="0" fontId="20" fillId="0" borderId="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4" xfId="7" applyFont="1" applyBorder="1" applyAlignment="1">
      <alignment horizontal="center" vertical="center" wrapText="1"/>
    </xf>
    <xf numFmtId="17" fontId="22" fillId="0" borderId="5" xfId="7" applyNumberFormat="1" applyFont="1" applyBorder="1" applyAlignment="1">
      <alignment horizontal="left"/>
    </xf>
    <xf numFmtId="0" fontId="2" fillId="0" borderId="5" xfId="7" applyFont="1" applyBorder="1"/>
    <xf numFmtId="0" fontId="23" fillId="0" borderId="0" xfId="7" applyFont="1"/>
    <xf numFmtId="0" fontId="6" fillId="0" borderId="0" xfId="7" applyFont="1"/>
    <xf numFmtId="166" fontId="4" fillId="0" borderId="0" xfId="7" applyNumberFormat="1" applyFont="1"/>
    <xf numFmtId="0" fontId="9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8" fillId="0" borderId="0" xfId="7" applyFont="1"/>
    <xf numFmtId="0" fontId="2" fillId="0" borderId="5" xfId="7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" fontId="22" fillId="0" borderId="16" xfId="0" applyNumberFormat="1" applyFont="1" applyBorder="1" applyAlignment="1">
      <alignment horizontal="left"/>
    </xf>
    <xf numFmtId="17" fontId="22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7" fontId="4" fillId="0" borderId="0" xfId="11" applyNumberFormat="1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5" applyFont="1" applyBorder="1" applyAlignment="1">
      <alignment horizontal="center"/>
    </xf>
    <xf numFmtId="0" fontId="12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2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4" fillId="0" borderId="0" xfId="11" applyNumberFormat="1" applyFont="1"/>
    <xf numFmtId="166" fontId="4" fillId="0" borderId="0" xfId="5" applyFont="1"/>
    <xf numFmtId="167" fontId="2" fillId="0" borderId="19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4" fontId="10" fillId="0" borderId="5" xfId="6" applyFont="1" applyBorder="1" applyAlignment="1">
      <alignment horizontal="center"/>
    </xf>
    <xf numFmtId="167" fontId="10" fillId="0" borderId="5" xfId="7" applyNumberFormat="1" applyFont="1" applyBorder="1" applyAlignment="1">
      <alignment horizontal="center"/>
    </xf>
    <xf numFmtId="0" fontId="44" fillId="0" borderId="0" xfId="7" applyFont="1"/>
    <xf numFmtId="167" fontId="6" fillId="0" borderId="5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45" fillId="0" borderId="0" xfId="0" applyFont="1"/>
    <xf numFmtId="1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0" fontId="9" fillId="0" borderId="0" xfId="0" applyFont="1" applyAlignment="1">
      <alignment horizontal="right"/>
    </xf>
    <xf numFmtId="167" fontId="46" fillId="0" borderId="0" xfId="0" applyNumberFormat="1" applyFont="1"/>
    <xf numFmtId="0" fontId="6" fillId="0" borderId="26" xfId="0" applyFont="1" applyBorder="1" applyAlignment="1">
      <alignment horizontal="center"/>
    </xf>
    <xf numFmtId="0" fontId="4" fillId="0" borderId="2" xfId="9" applyBorder="1"/>
    <xf numFmtId="0" fontId="20" fillId="0" borderId="14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5" xfId="9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7" fontId="35" fillId="0" borderId="28" xfId="0" applyNumberFormat="1" applyFont="1" applyBorder="1" applyAlignment="1">
      <alignment horizontal="left"/>
    </xf>
    <xf numFmtId="17" fontId="35" fillId="0" borderId="29" xfId="0" applyNumberFormat="1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7" fontId="36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6" fillId="0" borderId="37" xfId="5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40" xfId="0" applyNumberFormat="1" applyFont="1" applyBorder="1" applyAlignment="1">
      <alignment horizontal="center"/>
    </xf>
    <xf numFmtId="17" fontId="6" fillId="0" borderId="41" xfId="0" applyNumberFormat="1" applyFont="1" applyBorder="1" applyAlignment="1">
      <alignment horizontal="center"/>
    </xf>
    <xf numFmtId="166" fontId="6" fillId="0" borderId="0" xfId="0" applyNumberFormat="1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167" fontId="4" fillId="0" borderId="0" xfId="7" applyNumberFormat="1" applyFont="1"/>
    <xf numFmtId="166" fontId="2" fillId="0" borderId="6" xfId="4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10" fontId="48" fillId="0" borderId="44" xfId="11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166" fontId="6" fillId="0" borderId="49" xfId="5" applyFont="1" applyBorder="1" applyAlignment="1">
      <alignment horizontal="center"/>
    </xf>
    <xf numFmtId="17" fontId="6" fillId="0" borderId="50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166" fontId="6" fillId="0" borderId="54" xfId="5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166" fontId="7" fillId="0" borderId="55" xfId="4" applyFont="1" applyBorder="1" applyAlignment="1">
      <alignment horizontal="center"/>
    </xf>
    <xf numFmtId="166" fontId="7" fillId="0" borderId="56" xfId="4" applyFont="1" applyBorder="1" applyAlignment="1">
      <alignment horizontal="center"/>
    </xf>
    <xf numFmtId="0" fontId="0" fillId="0" borderId="57" xfId="0" applyBorder="1"/>
    <xf numFmtId="0" fontId="2" fillId="0" borderId="58" xfId="0" applyFont="1" applyBorder="1" applyAlignment="1">
      <alignment horizontal="center"/>
    </xf>
    <xf numFmtId="44" fontId="0" fillId="0" borderId="0" xfId="0" applyNumberFormat="1"/>
    <xf numFmtId="166" fontId="2" fillId="0" borderId="46" xfId="0" applyNumberFormat="1" applyFont="1" applyBorder="1" applyAlignment="1">
      <alignment horizontal="center"/>
    </xf>
    <xf numFmtId="166" fontId="48" fillId="0" borderId="0" xfId="4" applyFont="1" applyBorder="1" applyAlignment="1">
      <alignment horizontal="left" vertical="center" wrapText="1"/>
    </xf>
    <xf numFmtId="0" fontId="4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44" fontId="49" fillId="0" borderId="0" xfId="6" applyFont="1" applyAlignment="1">
      <alignment horizontal="left" vertical="center"/>
    </xf>
    <xf numFmtId="0" fontId="50" fillId="0" borderId="0" xfId="7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33" fillId="0" borderId="40" xfId="0" applyNumberFormat="1" applyFont="1" applyBorder="1" applyAlignment="1">
      <alignment horizontal="left" vertical="center" wrapText="1"/>
    </xf>
    <xf numFmtId="1" fontId="18" fillId="0" borderId="40" xfId="0" applyNumberFormat="1" applyFont="1" applyBorder="1" applyAlignment="1">
      <alignment horizontal="left" vertical="center" wrapText="1"/>
    </xf>
    <xf numFmtId="37" fontId="9" fillId="0" borderId="59" xfId="0" applyNumberFormat="1" applyFont="1" applyBorder="1" applyAlignment="1">
      <alignment horizontal="center"/>
    </xf>
    <xf numFmtId="37" fontId="9" fillId="0" borderId="60" xfId="0" applyNumberFormat="1" applyFont="1" applyBorder="1" applyAlignment="1">
      <alignment horizontal="center"/>
    </xf>
    <xf numFmtId="167" fontId="33" fillId="0" borderId="61" xfId="0" applyNumberFormat="1" applyFont="1" applyBorder="1" applyAlignment="1">
      <alignment horizontal="left" vertical="center" wrapText="1"/>
    </xf>
    <xf numFmtId="167" fontId="33" fillId="0" borderId="40" xfId="0" applyNumberFormat="1" applyFont="1" applyBorder="1" applyAlignment="1">
      <alignment horizontal="left" vertical="center" wrapText="1"/>
    </xf>
    <xf numFmtId="167" fontId="33" fillId="0" borderId="62" xfId="0" applyNumberFormat="1" applyFont="1" applyBorder="1" applyAlignment="1">
      <alignment horizontal="left" vertical="center" wrapText="1"/>
    </xf>
    <xf numFmtId="167" fontId="6" fillId="0" borderId="40" xfId="0" applyNumberFormat="1" applyFont="1" applyBorder="1" applyAlignment="1">
      <alignment horizontal="center"/>
    </xf>
    <xf numFmtId="168" fontId="6" fillId="0" borderId="0" xfId="5" applyNumberFormat="1" applyFont="1" applyBorder="1"/>
    <xf numFmtId="168" fontId="6" fillId="0" borderId="40" xfId="5" applyNumberFormat="1" applyFont="1" applyBorder="1"/>
    <xf numFmtId="168" fontId="6" fillId="0" borderId="40" xfId="5" applyNumberFormat="1" applyFont="1" applyBorder="1" applyAlignment="1">
      <alignment horizontal="center"/>
    </xf>
    <xf numFmtId="168" fontId="6" fillId="0" borderId="40" xfId="5" applyNumberFormat="1" applyFont="1" applyFill="1" applyBorder="1" applyAlignment="1">
      <alignment horizontal="center"/>
    </xf>
    <xf numFmtId="168" fontId="6" fillId="0" borderId="62" xfId="5" applyNumberFormat="1" applyFont="1" applyFill="1" applyBorder="1" applyAlignment="1">
      <alignment horizontal="center"/>
    </xf>
    <xf numFmtId="167" fontId="6" fillId="0" borderId="51" xfId="0" applyNumberFormat="1" applyFont="1" applyBorder="1" applyAlignment="1">
      <alignment horizontal="center"/>
    </xf>
    <xf numFmtId="167" fontId="6" fillId="0" borderId="47" xfId="0" applyNumberFormat="1" applyFont="1" applyBorder="1" applyAlignment="1">
      <alignment horizontal="center"/>
    </xf>
    <xf numFmtId="167" fontId="6" fillId="0" borderId="63" xfId="0" applyNumberFormat="1" applyFont="1" applyBorder="1" applyAlignment="1">
      <alignment horizontal="center"/>
    </xf>
    <xf numFmtId="167" fontId="6" fillId="0" borderId="37" xfId="0" applyNumberFormat="1" applyFont="1" applyBorder="1" applyAlignment="1">
      <alignment horizontal="center"/>
    </xf>
    <xf numFmtId="1" fontId="12" fillId="0" borderId="40" xfId="0" applyNumberFormat="1" applyFont="1" applyBorder="1" applyAlignment="1">
      <alignment horizontal="left"/>
    </xf>
    <xf numFmtId="1" fontId="6" fillId="0" borderId="40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 wrapText="1"/>
    </xf>
    <xf numFmtId="1" fontId="6" fillId="0" borderId="41" xfId="0" applyNumberFormat="1" applyFont="1" applyBorder="1" applyAlignment="1">
      <alignment horizontal="left"/>
    </xf>
    <xf numFmtId="1" fontId="6" fillId="0" borderId="63" xfId="0" applyNumberFormat="1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1" fontId="33" fillId="0" borderId="41" xfId="0" applyNumberFormat="1" applyFont="1" applyBorder="1" applyAlignment="1">
      <alignment horizontal="left" vertical="center" wrapText="1"/>
    </xf>
    <xf numFmtId="0" fontId="7" fillId="0" borderId="64" xfId="0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" fontId="10" fillId="0" borderId="65" xfId="0" applyNumberFormat="1" applyFont="1" applyBorder="1" applyAlignment="1">
      <alignment horizontal="center" vertical="center"/>
    </xf>
    <xf numFmtId="1" fontId="7" fillId="0" borderId="64" xfId="0" applyNumberFormat="1" applyFont="1" applyBorder="1" applyAlignment="1">
      <alignment horizontal="center" vertical="center"/>
    </xf>
    <xf numFmtId="1" fontId="7" fillId="0" borderId="65" xfId="0" applyNumberFormat="1" applyFont="1" applyBorder="1" applyAlignment="1">
      <alignment horizontal="center" vertical="center"/>
    </xf>
    <xf numFmtId="1" fontId="7" fillId="0" borderId="47" xfId="0" applyNumberFormat="1" applyFont="1" applyBorder="1" applyAlignment="1">
      <alignment horizontal="center" vertical="center"/>
    </xf>
    <xf numFmtId="1" fontId="12" fillId="0" borderId="61" xfId="0" applyNumberFormat="1" applyFont="1" applyBorder="1" applyAlignment="1">
      <alignment horizontal="left"/>
    </xf>
    <xf numFmtId="0" fontId="6" fillId="0" borderId="40" xfId="0" applyFont="1" applyBorder="1"/>
    <xf numFmtId="1" fontId="12" fillId="0" borderId="62" xfId="0" applyNumberFormat="1" applyFont="1" applyBorder="1" applyAlignment="1">
      <alignment horizontal="left"/>
    </xf>
    <xf numFmtId="0" fontId="8" fillId="0" borderId="42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1" fontId="6" fillId="0" borderId="54" xfId="0" applyNumberFormat="1" applyFont="1" applyBorder="1" applyAlignment="1">
      <alignment horizontal="center"/>
    </xf>
    <xf numFmtId="1" fontId="6" fillId="0" borderId="63" xfId="0" applyNumberFormat="1" applyFont="1" applyBorder="1" applyAlignment="1">
      <alignment horizontal="center"/>
    </xf>
    <xf numFmtId="1" fontId="6" fillId="0" borderId="66" xfId="0" applyNumberFormat="1" applyFont="1" applyBorder="1" applyAlignment="1">
      <alignment horizontal="center"/>
    </xf>
    <xf numFmtId="1" fontId="6" fillId="0" borderId="40" xfId="0" applyNumberFormat="1" applyFont="1" applyBorder="1" applyAlignment="1">
      <alignment horizontal="center"/>
    </xf>
    <xf numFmtId="1" fontId="6" fillId="0" borderId="59" xfId="0" applyNumberFormat="1" applyFont="1" applyBorder="1" applyAlignment="1">
      <alignment horizontal="center"/>
    </xf>
    <xf numFmtId="1" fontId="6" fillId="0" borderId="67" xfId="0" applyNumberFormat="1" applyFont="1" applyBorder="1" applyAlignment="1">
      <alignment horizontal="center"/>
    </xf>
    <xf numFmtId="0" fontId="6" fillId="0" borderId="59" xfId="0" applyFont="1" applyBorder="1" applyAlignment="1">
      <alignment horizontal="center" vertical="center"/>
    </xf>
    <xf numFmtId="1" fontId="6" fillId="0" borderId="60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37" fontId="6" fillId="0" borderId="66" xfId="0" applyNumberFormat="1" applyFont="1" applyBorder="1" applyAlignment="1">
      <alignment horizontal="center"/>
    </xf>
    <xf numFmtId="37" fontId="6" fillId="0" borderId="59" xfId="0" applyNumberFormat="1" applyFont="1" applyBorder="1" applyAlignment="1">
      <alignment horizontal="center"/>
    </xf>
    <xf numFmtId="37" fontId="6" fillId="0" borderId="70" xfId="0" applyNumberFormat="1" applyFont="1" applyBorder="1" applyAlignment="1">
      <alignment horizontal="center"/>
    </xf>
    <xf numFmtId="1" fontId="7" fillId="0" borderId="5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left" vertical="center" wrapText="1"/>
    </xf>
    <xf numFmtId="0" fontId="33" fillId="0" borderId="40" xfId="0" applyFont="1" applyBorder="1" applyAlignment="1">
      <alignment horizontal="center"/>
    </xf>
    <xf numFmtId="0" fontId="33" fillId="0" borderId="62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37" fontId="6" fillId="0" borderId="60" xfId="0" applyNumberFormat="1" applyFont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37" fontId="10" fillId="0" borderId="58" xfId="0" applyNumberFormat="1" applyFont="1" applyBorder="1" applyAlignment="1">
      <alignment horizontal="center"/>
    </xf>
    <xf numFmtId="37" fontId="7" fillId="0" borderId="69" xfId="0" applyNumberFormat="1" applyFont="1" applyBorder="1" applyAlignment="1">
      <alignment horizontal="center"/>
    </xf>
    <xf numFmtId="0" fontId="10" fillId="0" borderId="45" xfId="0" applyFont="1" applyBorder="1" applyAlignment="1">
      <alignment horizontal="center" vertical="center"/>
    </xf>
    <xf numFmtId="37" fontId="6" fillId="0" borderId="68" xfId="0" applyNumberFormat="1" applyFont="1" applyBorder="1" applyAlignment="1">
      <alignment horizontal="center"/>
    </xf>
    <xf numFmtId="37" fontId="6" fillId="0" borderId="0" xfId="0" applyNumberFormat="1" applyFont="1"/>
    <xf numFmtId="0" fontId="6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166" fontId="6" fillId="3" borderId="49" xfId="5" applyFont="1" applyFill="1" applyBorder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wrapText="1"/>
    </xf>
    <xf numFmtId="0" fontId="0" fillId="3" borderId="0" xfId="0" applyFill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0" fontId="38" fillId="0" borderId="75" xfId="0" applyFont="1" applyBorder="1" applyAlignment="1">
      <alignment horizontal="justify" vertical="center" wrapText="1"/>
    </xf>
    <xf numFmtId="0" fontId="4" fillId="0" borderId="75" xfId="0" applyFont="1" applyBorder="1" applyAlignment="1">
      <alignment horizontal="center"/>
    </xf>
    <xf numFmtId="166" fontId="52" fillId="0" borderId="54" xfId="4" applyFont="1" applyBorder="1" applyAlignment="1">
      <alignment horizontal="justify" vertical="center" wrapText="1"/>
    </xf>
    <xf numFmtId="10" fontId="52" fillId="0" borderId="75" xfId="11" applyNumberFormat="1" applyFont="1" applyBorder="1" applyAlignment="1">
      <alignment horizontal="center" vertical="center" wrapText="1"/>
    </xf>
    <xf numFmtId="0" fontId="38" fillId="0" borderId="76" xfId="0" applyFont="1" applyBorder="1"/>
    <xf numFmtId="0" fontId="4" fillId="0" borderId="44" xfId="0" applyFont="1" applyBorder="1" applyAlignment="1">
      <alignment horizontal="center"/>
    </xf>
    <xf numFmtId="10" fontId="52" fillId="0" borderId="44" xfId="11" applyNumberFormat="1" applyFont="1" applyBorder="1" applyAlignment="1">
      <alignment horizontal="center" vertical="center" wrapText="1"/>
    </xf>
    <xf numFmtId="10" fontId="52" fillId="0" borderId="76" xfId="11" applyNumberFormat="1" applyFont="1" applyBorder="1" applyAlignment="1">
      <alignment horizontal="center" vertical="center" wrapText="1"/>
    </xf>
    <xf numFmtId="10" fontId="51" fillId="0" borderId="45" xfId="11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justify" vertical="center" wrapText="1"/>
    </xf>
    <xf numFmtId="166" fontId="52" fillId="0" borderId="77" xfId="4" applyFont="1" applyBorder="1" applyAlignment="1">
      <alignment horizontal="left" vertical="center" wrapText="1"/>
    </xf>
    <xf numFmtId="0" fontId="52" fillId="0" borderId="44" xfId="0" applyFont="1" applyBorder="1" applyAlignment="1">
      <alignment horizontal="left" vertical="center" wrapText="1"/>
    </xf>
    <xf numFmtId="0" fontId="52" fillId="0" borderId="76" xfId="0" applyFont="1" applyBorder="1" applyAlignment="1">
      <alignment horizontal="left" vertical="center" wrapText="1"/>
    </xf>
    <xf numFmtId="0" fontId="52" fillId="0" borderId="75" xfId="0" applyFont="1" applyBorder="1" applyAlignment="1">
      <alignment horizontal="left" vertical="center" wrapText="1"/>
    </xf>
    <xf numFmtId="17" fontId="53" fillId="0" borderId="5" xfId="7" applyNumberFormat="1" applyFont="1" applyBorder="1" applyAlignment="1">
      <alignment horizontal="left"/>
    </xf>
    <xf numFmtId="0" fontId="53" fillId="0" borderId="5" xfId="7" applyFont="1" applyBorder="1" applyAlignment="1">
      <alignment horizontal="center"/>
    </xf>
    <xf numFmtId="44" fontId="53" fillId="0" borderId="5" xfId="6" applyFont="1" applyBorder="1" applyAlignment="1">
      <alignment horizontal="center"/>
    </xf>
    <xf numFmtId="167" fontId="53" fillId="0" borderId="5" xfId="7" applyNumberFormat="1" applyFont="1" applyBorder="1" applyAlignment="1">
      <alignment horizontal="center"/>
    </xf>
    <xf numFmtId="44" fontId="40" fillId="0" borderId="5" xfId="6" applyFont="1" applyBorder="1"/>
    <xf numFmtId="17" fontId="53" fillId="0" borderId="5" xfId="9" applyNumberFormat="1" applyFont="1" applyBorder="1" applyAlignment="1">
      <alignment horizontal="left"/>
    </xf>
    <xf numFmtId="0" fontId="54" fillId="0" borderId="5" xfId="7" applyFont="1" applyBorder="1"/>
    <xf numFmtId="0" fontId="54" fillId="0" borderId="6" xfId="0" applyFont="1" applyBorder="1" applyAlignment="1">
      <alignment horizontal="center"/>
    </xf>
    <xf numFmtId="44" fontId="54" fillId="0" borderId="6" xfId="0" applyNumberFormat="1" applyFont="1" applyBorder="1" applyAlignment="1">
      <alignment horizontal="center"/>
    </xf>
    <xf numFmtId="167" fontId="54" fillId="0" borderId="6" xfId="0" applyNumberFormat="1" applyFont="1" applyBorder="1" applyAlignment="1">
      <alignment horizontal="center"/>
    </xf>
    <xf numFmtId="167" fontId="54" fillId="0" borderId="1" xfId="0" applyNumberFormat="1" applyFont="1" applyBorder="1" applyAlignment="1">
      <alignment horizontal="center"/>
    </xf>
    <xf numFmtId="166" fontId="49" fillId="0" borderId="0" xfId="4" applyFont="1"/>
    <xf numFmtId="0" fontId="12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166" fontId="49" fillId="0" borderId="0" xfId="4" applyFont="1" applyBorder="1" applyAlignment="1">
      <alignment horizontal="left"/>
    </xf>
    <xf numFmtId="0" fontId="49" fillId="0" borderId="0" xfId="0" applyFont="1"/>
    <xf numFmtId="166" fontId="49" fillId="0" borderId="0" xfId="4" applyFont="1" applyAlignment="1">
      <alignment horizontal="right"/>
    </xf>
    <xf numFmtId="0" fontId="50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1" fontId="7" fillId="0" borderId="5" xfId="0" applyNumberFormat="1" applyFont="1" applyBorder="1" applyAlignment="1">
      <alignment horizontal="center" vertical="center" wrapText="1"/>
    </xf>
    <xf numFmtId="37" fontId="7" fillId="0" borderId="42" xfId="0" applyNumberFormat="1" applyFont="1" applyBorder="1" applyAlignment="1">
      <alignment horizontal="center"/>
    </xf>
    <xf numFmtId="17" fontId="4" fillId="0" borderId="16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6" fontId="4" fillId="0" borderId="5" xfId="4" applyFont="1" applyBorder="1" applyAlignment="1">
      <alignment horizontal="center" vertical="center"/>
    </xf>
    <xf numFmtId="17" fontId="4" fillId="0" borderId="78" xfId="0" applyNumberFormat="1" applyFont="1" applyBorder="1" applyAlignment="1">
      <alignment horizontal="left"/>
    </xf>
    <xf numFmtId="166" fontId="52" fillId="0" borderId="0" xfId="4" applyFont="1" applyBorder="1" applyAlignment="1">
      <alignment horizontal="left" vertical="center" wrapText="1"/>
    </xf>
    <xf numFmtId="10" fontId="52" fillId="0" borderId="0" xfId="11" applyNumberFormat="1" applyFont="1" applyBorder="1" applyAlignment="1">
      <alignment horizontal="center" vertical="center" wrapText="1"/>
    </xf>
    <xf numFmtId="10" fontId="52" fillId="0" borderId="79" xfId="11" applyNumberFormat="1" applyFont="1" applyBorder="1" applyAlignment="1">
      <alignment horizontal="center" vertical="center" wrapText="1"/>
    </xf>
    <xf numFmtId="166" fontId="2" fillId="0" borderId="80" xfId="0" applyNumberFormat="1" applyFont="1" applyBorder="1" applyAlignment="1">
      <alignment horizontal="center"/>
    </xf>
    <xf numFmtId="10" fontId="52" fillId="0" borderId="45" xfId="11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horizontal="left" vertical="center" wrapText="1"/>
    </xf>
    <xf numFmtId="0" fontId="52" fillId="0" borderId="81" xfId="0" applyFont="1" applyBorder="1" applyAlignment="1">
      <alignment horizontal="left" vertical="center" wrapText="1"/>
    </xf>
    <xf numFmtId="0" fontId="48" fillId="0" borderId="82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justify" vertical="center" wrapText="1"/>
    </xf>
    <xf numFmtId="0" fontId="37" fillId="0" borderId="82" xfId="0" applyFont="1" applyBorder="1"/>
    <xf numFmtId="10" fontId="48" fillId="0" borderId="76" xfId="11" applyNumberFormat="1" applyFont="1" applyBorder="1" applyAlignment="1">
      <alignment horizontal="center" vertical="center" wrapText="1"/>
    </xf>
    <xf numFmtId="0" fontId="48" fillId="0" borderId="83" xfId="0" applyFont="1" applyBorder="1" applyAlignment="1">
      <alignment horizontal="left" vertical="center" wrapText="1"/>
    </xf>
    <xf numFmtId="0" fontId="0" fillId="0" borderId="7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166" fontId="48" fillId="0" borderId="79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left" vertical="center" wrapText="1"/>
    </xf>
    <xf numFmtId="166" fontId="48" fillId="0" borderId="44" xfId="4" applyFont="1" applyBorder="1" applyAlignment="1">
      <alignment horizontal="justify" vertical="center" wrapText="1"/>
    </xf>
    <xf numFmtId="10" fontId="48" fillId="0" borderId="79" xfId="11" applyNumberFormat="1" applyFont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166" fontId="48" fillId="0" borderId="76" xfId="4" applyFont="1" applyBorder="1" applyAlignment="1">
      <alignment horizontal="justify" vertical="center" wrapText="1"/>
    </xf>
    <xf numFmtId="166" fontId="2" fillId="0" borderId="45" xfId="0" applyNumberFormat="1" applyFont="1" applyBorder="1" applyAlignment="1">
      <alignment horizontal="center"/>
    </xf>
    <xf numFmtId="0" fontId="55" fillId="0" borderId="0" xfId="0" applyFont="1"/>
    <xf numFmtId="10" fontId="47" fillId="0" borderId="45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48" fillId="0" borderId="0" xfId="11" applyNumberFormat="1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6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 wrapText="1"/>
    </xf>
    <xf numFmtId="0" fontId="56" fillId="0" borderId="5" xfId="0" applyFont="1" applyBorder="1" applyAlignment="1">
      <alignment horizontal="center"/>
    </xf>
    <xf numFmtId="0" fontId="42" fillId="0" borderId="5" xfId="0" applyFont="1" applyBorder="1" applyAlignment="1">
      <alignment horizontal="center" wrapText="1"/>
    </xf>
    <xf numFmtId="0" fontId="42" fillId="0" borderId="5" xfId="0" applyFont="1" applyBorder="1" applyAlignment="1">
      <alignment horizontal="center"/>
    </xf>
    <xf numFmtId="0" fontId="58" fillId="0" borderId="5" xfId="0" applyFont="1" applyBorder="1" applyAlignment="1">
      <alignment horizontal="center" wrapText="1"/>
    </xf>
    <xf numFmtId="169" fontId="56" fillId="0" borderId="5" xfId="0" applyNumberFormat="1" applyFont="1" applyBorder="1" applyAlignment="1">
      <alignment horizontal="center" wrapText="1"/>
    </xf>
    <xf numFmtId="0" fontId="57" fillId="0" borderId="5" xfId="0" applyFont="1" applyBorder="1" applyAlignment="1">
      <alignment horizontal="left" wrapText="1"/>
    </xf>
    <xf numFmtId="169" fontId="57" fillId="0" borderId="5" xfId="0" applyNumberFormat="1" applyFont="1" applyBorder="1" applyAlignment="1">
      <alignment horizontal="center" wrapText="1"/>
    </xf>
    <xf numFmtId="0" fontId="59" fillId="0" borderId="37" xfId="0" applyFont="1" applyBorder="1" applyAlignment="1">
      <alignment horizontal="center"/>
    </xf>
    <xf numFmtId="49" fontId="57" fillId="0" borderId="37" xfId="0" applyNumberFormat="1" applyFont="1" applyBorder="1" applyAlignment="1">
      <alignment horizontal="center"/>
    </xf>
    <xf numFmtId="49" fontId="59" fillId="0" borderId="5" xfId="0" applyNumberFormat="1" applyFont="1" applyBorder="1" applyAlignment="1">
      <alignment horizontal="center"/>
    </xf>
    <xf numFmtId="0" fontId="59" fillId="0" borderId="5" xfId="0" applyFont="1" applyBorder="1" applyAlignment="1">
      <alignment wrapText="1"/>
    </xf>
    <xf numFmtId="0" fontId="59" fillId="0" borderId="5" xfId="0" applyFont="1" applyBorder="1" applyAlignment="1">
      <alignment horizontal="center"/>
    </xf>
    <xf numFmtId="1" fontId="59" fillId="0" borderId="5" xfId="0" applyNumberFormat="1" applyFont="1" applyBorder="1" applyAlignment="1">
      <alignment horizontal="center"/>
    </xf>
    <xf numFmtId="166" fontId="59" fillId="0" borderId="5" xfId="4" applyFont="1" applyBorder="1"/>
    <xf numFmtId="169" fontId="60" fillId="0" borderId="5" xfId="0" applyNumberFormat="1" applyFont="1" applyBorder="1" applyAlignment="1">
      <alignment horizontal="center" wrapText="1"/>
    </xf>
    <xf numFmtId="0" fontId="44" fillId="0" borderId="5" xfId="0" applyFont="1" applyBorder="1" applyAlignment="1">
      <alignment horizontal="left" wrapText="1"/>
    </xf>
    <xf numFmtId="0" fontId="60" fillId="0" borderId="5" xfId="0" applyFont="1" applyBorder="1" applyAlignment="1">
      <alignment wrapText="1"/>
    </xf>
    <xf numFmtId="169" fontId="59" fillId="0" borderId="5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46" fillId="0" borderId="0" xfId="0" applyFont="1"/>
    <xf numFmtId="0" fontId="61" fillId="0" borderId="0" xfId="0" applyFont="1" applyAlignment="1">
      <alignment horizontal="center" wrapText="1"/>
    </xf>
    <xf numFmtId="166" fontId="45" fillId="0" borderId="84" xfId="5" applyFont="1" applyBorder="1" applyAlignment="1">
      <alignment horizontal="center"/>
    </xf>
    <xf numFmtId="164" fontId="46" fillId="0" borderId="0" xfId="0" applyNumberFormat="1" applyFont="1"/>
    <xf numFmtId="166" fontId="46" fillId="0" borderId="0" xfId="0" applyNumberFormat="1" applyFont="1"/>
    <xf numFmtId="44" fontId="46" fillId="0" borderId="0" xfId="0" applyNumberFormat="1" applyFont="1"/>
    <xf numFmtId="44" fontId="62" fillId="0" borderId="0" xfId="0" applyNumberFormat="1" applyFont="1"/>
    <xf numFmtId="166" fontId="45" fillId="0" borderId="0" xfId="5" applyFont="1" applyFill="1" applyBorder="1" applyAlignment="1">
      <alignment horizontal="center"/>
    </xf>
    <xf numFmtId="166" fontId="63" fillId="0" borderId="45" xfId="4" applyFont="1" applyBorder="1" applyAlignment="1">
      <alignment horizontal="center"/>
    </xf>
    <xf numFmtId="166" fontId="63" fillId="0" borderId="0" xfId="4" applyFont="1" applyBorder="1" applyAlignment="1">
      <alignment horizontal="center"/>
    </xf>
    <xf numFmtId="164" fontId="64" fillId="0" borderId="0" xfId="11" applyNumberFormat="1" applyFont="1"/>
    <xf numFmtId="0" fontId="45" fillId="0" borderId="77" xfId="0" applyFont="1" applyBorder="1"/>
    <xf numFmtId="9" fontId="46" fillId="0" borderId="0" xfId="11" applyFont="1"/>
    <xf numFmtId="0" fontId="64" fillId="0" borderId="0" xfId="0" applyFont="1"/>
    <xf numFmtId="0" fontId="4" fillId="0" borderId="77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47" fillId="0" borderId="85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/>
    </xf>
    <xf numFmtId="0" fontId="52" fillId="0" borderId="7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166" fontId="52" fillId="0" borderId="73" xfId="4" applyFont="1" applyBorder="1" applyAlignment="1">
      <alignment horizontal="left" vertical="center" wrapText="1"/>
    </xf>
    <xf numFmtId="0" fontId="51" fillId="0" borderId="5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/>
    </xf>
    <xf numFmtId="0" fontId="52" fillId="0" borderId="44" xfId="0" applyFont="1" applyBorder="1" applyAlignment="1">
      <alignment horizontal="center" vertical="center" wrapText="1"/>
    </xf>
    <xf numFmtId="10" fontId="52" fillId="0" borderId="86" xfId="11" applyNumberFormat="1" applyFont="1" applyBorder="1" applyAlignment="1">
      <alignment horizontal="center" vertical="center" wrapText="1"/>
    </xf>
    <xf numFmtId="10" fontId="52" fillId="0" borderId="67" xfId="11" applyNumberFormat="1" applyFont="1" applyBorder="1" applyAlignment="1">
      <alignment horizontal="center" vertical="center" wrapText="1"/>
    </xf>
    <xf numFmtId="10" fontId="52" fillId="0" borderId="42" xfId="11" applyNumberFormat="1" applyFont="1" applyBorder="1" applyAlignment="1">
      <alignment horizontal="center" vertical="center"/>
    </xf>
    <xf numFmtId="166" fontId="52" fillId="0" borderId="75" xfId="4" applyFont="1" applyBorder="1" applyAlignment="1">
      <alignment horizontal="left" vertical="center" wrapText="1"/>
    </xf>
    <xf numFmtId="166" fontId="52" fillId="0" borderId="44" xfId="4" applyFont="1" applyBorder="1" applyAlignment="1">
      <alignment horizontal="left" vertical="center" wrapText="1"/>
    </xf>
    <xf numFmtId="166" fontId="51" fillId="0" borderId="25" xfId="4" applyFont="1" applyBorder="1" applyAlignment="1">
      <alignment horizontal="left" vertical="center"/>
    </xf>
    <xf numFmtId="0" fontId="52" fillId="0" borderId="83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right" vertical="center" wrapText="1"/>
    </xf>
    <xf numFmtId="0" fontId="4" fillId="3" borderId="87" xfId="0" applyFont="1" applyFill="1" applyBorder="1" applyAlignment="1">
      <alignment horizontal="center"/>
    </xf>
    <xf numFmtId="166" fontId="51" fillId="0" borderId="58" xfId="4" applyFont="1" applyBorder="1" applyAlignment="1">
      <alignment horizontal="left" vertical="center" wrapText="1"/>
    </xf>
    <xf numFmtId="0" fontId="4" fillId="0" borderId="88" xfId="0" applyFont="1" applyBorder="1" applyAlignment="1">
      <alignment horizontal="center"/>
    </xf>
    <xf numFmtId="0" fontId="4" fillId="3" borderId="76" xfId="0" applyFont="1" applyFill="1" applyBorder="1" applyAlignment="1">
      <alignment horizontal="center"/>
    </xf>
    <xf numFmtId="0" fontId="51" fillId="0" borderId="46" xfId="0" applyFont="1" applyBorder="1" applyAlignment="1">
      <alignment horizontal="right" vertical="center" wrapText="1"/>
    </xf>
    <xf numFmtId="0" fontId="2" fillId="3" borderId="46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25" xfId="0" applyNumberFormat="1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7" fillId="0" borderId="44" xfId="0" applyFont="1" applyBorder="1" applyAlignment="1">
      <alignment horizontal="justify" vertical="center" wrapText="1"/>
    </xf>
    <xf numFmtId="44" fontId="4" fillId="0" borderId="0" xfId="0" applyNumberFormat="1" applyFont="1"/>
    <xf numFmtId="17" fontId="65" fillId="0" borderId="89" xfId="0" applyNumberFormat="1" applyFont="1" applyBorder="1" applyAlignment="1">
      <alignment horizontal="left"/>
    </xf>
    <xf numFmtId="0" fontId="66" fillId="2" borderId="90" xfId="0" applyFont="1" applyFill="1" applyBorder="1" applyAlignment="1">
      <alignment horizontal="center"/>
    </xf>
    <xf numFmtId="0" fontId="67" fillId="0" borderId="26" xfId="0" applyFont="1" applyBorder="1" applyAlignment="1">
      <alignment horizontal="center"/>
    </xf>
    <xf numFmtId="0" fontId="66" fillId="2" borderId="91" xfId="0" applyFont="1" applyFill="1" applyBorder="1" applyAlignment="1">
      <alignment horizontal="center"/>
    </xf>
    <xf numFmtId="0" fontId="68" fillId="2" borderId="71" xfId="0" applyFont="1" applyFill="1" applyBorder="1" applyAlignment="1">
      <alignment horizontal="center"/>
    </xf>
    <xf numFmtId="0" fontId="69" fillId="0" borderId="86" xfId="0" applyFont="1" applyBorder="1" applyAlignment="1">
      <alignment horizontal="center"/>
    </xf>
    <xf numFmtId="17" fontId="65" fillId="0" borderId="92" xfId="0" applyNumberFormat="1" applyFont="1" applyBorder="1" applyAlignment="1">
      <alignment horizontal="left"/>
    </xf>
    <xf numFmtId="0" fontId="66" fillId="2" borderId="93" xfId="0" applyFont="1" applyFill="1" applyBorder="1" applyAlignment="1">
      <alignment horizontal="center"/>
    </xf>
    <xf numFmtId="0" fontId="67" fillId="0" borderId="93" xfId="0" applyFont="1" applyBorder="1" applyAlignment="1">
      <alignment horizontal="center"/>
    </xf>
    <xf numFmtId="0" fontId="68" fillId="2" borderId="18" xfId="0" applyFont="1" applyFill="1" applyBorder="1" applyAlignment="1">
      <alignment horizontal="center"/>
    </xf>
    <xf numFmtId="0" fontId="69" fillId="0" borderId="67" xfId="0" applyFont="1" applyBorder="1" applyAlignment="1">
      <alignment horizontal="center"/>
    </xf>
    <xf numFmtId="17" fontId="65" fillId="0" borderId="94" xfId="0" applyNumberFormat="1" applyFont="1" applyBorder="1" applyAlignment="1">
      <alignment horizontal="left"/>
    </xf>
    <xf numFmtId="0" fontId="44" fillId="0" borderId="5" xfId="0" applyFont="1" applyBorder="1" applyAlignment="1">
      <alignment horizontal="left" vertical="center" wrapText="1"/>
    </xf>
    <xf numFmtId="0" fontId="49" fillId="0" borderId="0" xfId="0" applyFont="1" applyAlignment="1">
      <alignment horizontal="right" vertical="center"/>
    </xf>
    <xf numFmtId="0" fontId="50" fillId="0" borderId="0" xfId="7" applyFont="1" applyAlignment="1">
      <alignment vertical="center" wrapText="1"/>
    </xf>
    <xf numFmtId="44" fontId="49" fillId="0" borderId="0" xfId="6" applyFont="1" applyFill="1" applyAlignment="1">
      <alignment horizontal="left" vertical="center"/>
    </xf>
    <xf numFmtId="17" fontId="70" fillId="0" borderId="95" xfId="0" applyNumberFormat="1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2" borderId="18" xfId="0" applyFont="1" applyFill="1" applyBorder="1" applyAlignment="1">
      <alignment horizontal="center"/>
    </xf>
    <xf numFmtId="0" fontId="72" fillId="0" borderId="27" xfId="0" applyFont="1" applyBorder="1" applyAlignment="1">
      <alignment horizontal="center"/>
    </xf>
    <xf numFmtId="17" fontId="70" fillId="0" borderId="96" xfId="0" applyNumberFormat="1" applyFont="1" applyBorder="1" applyAlignment="1">
      <alignment horizontal="left"/>
    </xf>
    <xf numFmtId="171" fontId="46" fillId="0" borderId="0" xfId="0" applyNumberFormat="1" applyFont="1"/>
    <xf numFmtId="49" fontId="73" fillId="0" borderId="37" xfId="0" applyNumberFormat="1" applyFont="1" applyBorder="1" applyAlignment="1">
      <alignment horizontal="center"/>
    </xf>
    <xf numFmtId="0" fontId="52" fillId="0" borderId="97" xfId="0" applyFont="1" applyBorder="1" applyAlignment="1">
      <alignment horizontal="left" vertical="center" wrapText="1"/>
    </xf>
    <xf numFmtId="0" fontId="51" fillId="0" borderId="88" xfId="0" applyFont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/>
    <xf numFmtId="0" fontId="55" fillId="0" borderId="0" xfId="0" applyFont="1" applyAlignment="1">
      <alignment horizontal="right"/>
    </xf>
    <xf numFmtId="166" fontId="52" fillId="0" borderId="98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2" fillId="0" borderId="25" xfId="0" applyNumberFormat="1" applyFont="1" applyBorder="1" applyAlignment="1">
      <alignment horizontal="center"/>
    </xf>
    <xf numFmtId="44" fontId="76" fillId="0" borderId="0" xfId="0" applyNumberFormat="1" applyFont="1"/>
    <xf numFmtId="0" fontId="77" fillId="0" borderId="0" xfId="0" applyFont="1"/>
    <xf numFmtId="0" fontId="63" fillId="0" borderId="0" xfId="0" applyFont="1"/>
    <xf numFmtId="0" fontId="78" fillId="0" borderId="0" xfId="0" applyFont="1"/>
    <xf numFmtId="3" fontId="46" fillId="0" borderId="0" xfId="0" applyNumberFormat="1" applyFont="1"/>
    <xf numFmtId="17" fontId="46" fillId="0" borderId="0" xfId="0" applyNumberFormat="1" applyFont="1" applyAlignment="1">
      <alignment horizontal="right"/>
    </xf>
    <xf numFmtId="0" fontId="21" fillId="0" borderId="99" xfId="9" applyFont="1" applyBorder="1" applyAlignment="1">
      <alignment horizontal="center" vertical="center" wrapText="1"/>
    </xf>
    <xf numFmtId="167" fontId="4" fillId="0" borderId="19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0" fontId="59" fillId="0" borderId="5" xfId="0" applyFont="1" applyBorder="1" applyAlignment="1">
      <alignment horizontal="center" wrapText="1"/>
    </xf>
    <xf numFmtId="49" fontId="79" fillId="0" borderId="5" xfId="0" applyNumberFormat="1" applyFont="1" applyBorder="1" applyAlignment="1">
      <alignment horizontal="center"/>
    </xf>
    <xf numFmtId="0" fontId="79" fillId="0" borderId="5" xfId="0" applyFont="1" applyBorder="1" applyAlignment="1">
      <alignment wrapText="1"/>
    </xf>
    <xf numFmtId="0" fontId="79" fillId="0" borderId="5" xfId="0" applyFont="1" applyBorder="1" applyAlignment="1">
      <alignment horizontal="center"/>
    </xf>
    <xf numFmtId="1" fontId="79" fillId="0" borderId="5" xfId="0" applyNumberFormat="1" applyFont="1" applyBorder="1" applyAlignment="1">
      <alignment horizontal="center"/>
    </xf>
    <xf numFmtId="166" fontId="79" fillId="0" borderId="5" xfId="4" applyFont="1" applyBorder="1"/>
    <xf numFmtId="169" fontId="80" fillId="0" borderId="5" xfId="0" applyNumberFormat="1" applyFont="1" applyBorder="1" applyAlignment="1">
      <alignment horizontal="center" wrapText="1"/>
    </xf>
    <xf numFmtId="0" fontId="49" fillId="0" borderId="5" xfId="0" applyFont="1" applyBorder="1" applyAlignment="1">
      <alignment horizontal="left" wrapText="1"/>
    </xf>
    <xf numFmtId="0" fontId="80" fillId="0" borderId="5" xfId="0" applyFont="1" applyBorder="1" applyAlignment="1">
      <alignment wrapText="1"/>
    </xf>
    <xf numFmtId="169" fontId="79" fillId="0" borderId="5" xfId="0" applyNumberFormat="1" applyFont="1" applyBorder="1" applyAlignment="1">
      <alignment horizontal="center"/>
    </xf>
    <xf numFmtId="0" fontId="44" fillId="0" borderId="5" xfId="0" applyFont="1" applyBorder="1" applyAlignment="1">
      <alignment wrapText="1"/>
    </xf>
    <xf numFmtId="166" fontId="59" fillId="0" borderId="5" xfId="4" applyFont="1" applyBorder="1" applyAlignment="1"/>
    <xf numFmtId="0" fontId="60" fillId="0" borderId="5" xfId="0" applyFont="1" applyBorder="1" applyAlignment="1">
      <alignment vertical="center" wrapText="1"/>
    </xf>
    <xf numFmtId="0" fontId="59" fillId="0" borderId="51" xfId="0" applyFont="1" applyBorder="1" applyAlignment="1">
      <alignment horizontal="center" wrapText="1"/>
    </xf>
    <xf numFmtId="49" fontId="59" fillId="0" borderId="51" xfId="0" applyNumberFormat="1" applyFont="1" applyBorder="1" applyAlignment="1">
      <alignment horizontal="center"/>
    </xf>
    <xf numFmtId="0" fontId="59" fillId="0" borderId="51" xfId="0" applyFont="1" applyBorder="1" applyAlignment="1">
      <alignment wrapText="1"/>
    </xf>
    <xf numFmtId="0" fontId="59" fillId="0" borderId="51" xfId="0" applyFont="1" applyBorder="1" applyAlignment="1">
      <alignment horizontal="center"/>
    </xf>
    <xf numFmtId="1" fontId="59" fillId="0" borderId="51" xfId="0" applyNumberFormat="1" applyFont="1" applyBorder="1" applyAlignment="1">
      <alignment horizontal="center"/>
    </xf>
    <xf numFmtId="166" fontId="59" fillId="0" borderId="51" xfId="4" applyFont="1" applyBorder="1"/>
    <xf numFmtId="169" fontId="60" fillId="0" borderId="51" xfId="0" applyNumberFormat="1" applyFont="1" applyBorder="1" applyAlignment="1">
      <alignment horizontal="center" wrapText="1"/>
    </xf>
    <xf numFmtId="0" fontId="44" fillId="0" borderId="51" xfId="0" applyFont="1" applyBorder="1" applyAlignment="1">
      <alignment horizontal="left" vertical="center" wrapText="1"/>
    </xf>
    <xf numFmtId="0" fontId="60" fillId="0" borderId="51" xfId="0" applyFont="1" applyBorder="1" applyAlignment="1">
      <alignment wrapText="1"/>
    </xf>
    <xf numFmtId="169" fontId="59" fillId="0" borderId="51" xfId="0" applyNumberFormat="1" applyFont="1" applyBorder="1" applyAlignment="1">
      <alignment horizontal="center"/>
    </xf>
    <xf numFmtId="0" fontId="4" fillId="0" borderId="77" xfId="0" applyFont="1" applyBorder="1"/>
    <xf numFmtId="0" fontId="6" fillId="0" borderId="77" xfId="0" applyFont="1" applyBorder="1"/>
    <xf numFmtId="166" fontId="7" fillId="0" borderId="0" xfId="0" applyNumberFormat="1" applyFont="1"/>
    <xf numFmtId="0" fontId="9" fillId="0" borderId="0" xfId="0" applyFont="1" applyAlignment="1">
      <alignment horizontal="left"/>
    </xf>
    <xf numFmtId="167" fontId="10" fillId="0" borderId="5" xfId="6" applyNumberFormat="1" applyFont="1" applyBorder="1" applyAlignment="1">
      <alignment horizontal="center"/>
    </xf>
    <xf numFmtId="0" fontId="45" fillId="0" borderId="90" xfId="0" applyFont="1" applyBorder="1" applyAlignment="1">
      <alignment horizontal="center"/>
    </xf>
    <xf numFmtId="44" fontId="1" fillId="0" borderId="5" xfId="6" applyFont="1" applyBorder="1"/>
    <xf numFmtId="166" fontId="4" fillId="0" borderId="5" xfId="5" applyFont="1" applyBorder="1" applyAlignment="1">
      <alignment horizontal="center" vertical="center"/>
    </xf>
    <xf numFmtId="166" fontId="4" fillId="0" borderId="5" xfId="5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right"/>
    </xf>
    <xf numFmtId="0" fontId="52" fillId="0" borderId="73" xfId="4" applyNumberFormat="1" applyFont="1" applyBorder="1" applyAlignment="1">
      <alignment horizontal="center" vertical="center" wrapText="1"/>
    </xf>
    <xf numFmtId="0" fontId="47" fillId="0" borderId="100" xfId="0" applyFont="1" applyBorder="1" applyAlignment="1">
      <alignment horizontal="center" vertical="center" wrapText="1"/>
    </xf>
    <xf numFmtId="0" fontId="47" fillId="0" borderId="10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/>
    </xf>
    <xf numFmtId="0" fontId="4" fillId="0" borderId="85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0" fontId="8" fillId="0" borderId="103" xfId="0" applyFont="1" applyBorder="1" applyAlignment="1">
      <alignment horizontal="center" vertical="center" wrapText="1" shrinkToFit="1"/>
    </xf>
    <xf numFmtId="0" fontId="8" fillId="0" borderId="10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8" fillId="0" borderId="107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8" fillId="0" borderId="102" xfId="0" applyFont="1" applyBorder="1" applyAlignment="1">
      <alignment horizontal="center" vertical="center" wrapText="1" shrinkToFit="1"/>
    </xf>
    <xf numFmtId="0" fontId="8" fillId="0" borderId="51" xfId="0" applyFont="1" applyBorder="1" applyAlignment="1">
      <alignment horizontal="center" vertical="center" wrapText="1" shrinkToFit="1"/>
    </xf>
    <xf numFmtId="0" fontId="34" fillId="0" borderId="102" xfId="0" applyFont="1" applyBorder="1" applyAlignment="1">
      <alignment horizontal="center" vertical="center" wrapText="1" shrinkToFit="1"/>
    </xf>
    <xf numFmtId="0" fontId="34" fillId="0" borderId="51" xfId="0" applyFont="1" applyBorder="1" applyAlignment="1">
      <alignment horizontal="center" vertical="center" wrapText="1" shrinkToFit="1"/>
    </xf>
    <xf numFmtId="0" fontId="8" fillId="0" borderId="61" xfId="0" applyFont="1" applyBorder="1" applyAlignment="1">
      <alignment horizontal="center" vertical="center" wrapText="1" shrinkToFit="1"/>
    </xf>
    <xf numFmtId="0" fontId="8" fillId="0" borderId="62" xfId="0" applyFont="1" applyBorder="1" applyAlignment="1">
      <alignment horizontal="center" vertical="center" wrapText="1" shrinkToFit="1"/>
    </xf>
    <xf numFmtId="0" fontId="8" fillId="0" borderId="104" xfId="0" applyFont="1" applyBorder="1" applyAlignment="1">
      <alignment horizontal="center" vertical="center" wrapText="1" shrinkToFit="1"/>
    </xf>
    <xf numFmtId="0" fontId="61" fillId="0" borderId="88" xfId="0" applyFont="1" applyBorder="1" applyAlignment="1">
      <alignment horizontal="center" vertical="center" wrapText="1" shrinkToFit="1"/>
    </xf>
    <xf numFmtId="0" fontId="61" fillId="0" borderId="105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108" xfId="9" applyFont="1" applyBorder="1" applyAlignment="1">
      <alignment horizontal="center" vertical="center" wrapText="1"/>
    </xf>
    <xf numFmtId="0" fontId="21" fillId="0" borderId="109" xfId="9" applyFont="1" applyBorder="1" applyAlignment="1">
      <alignment horizontal="center" vertical="center" wrapText="1"/>
    </xf>
    <xf numFmtId="0" fontId="21" fillId="0" borderId="110" xfId="9" applyFont="1" applyBorder="1" applyAlignment="1">
      <alignment horizontal="center" vertical="center" wrapText="1"/>
    </xf>
    <xf numFmtId="0" fontId="24" fillId="0" borderId="111" xfId="7" applyFont="1" applyBorder="1" applyAlignment="1">
      <alignment horizontal="center"/>
    </xf>
    <xf numFmtId="0" fontId="20" fillId="0" borderId="108" xfId="7" applyFont="1" applyBorder="1" applyAlignment="1">
      <alignment horizontal="center" wrapText="1"/>
    </xf>
    <xf numFmtId="0" fontId="20" fillId="0" borderId="109" xfId="7" applyFont="1" applyBorder="1" applyAlignment="1">
      <alignment horizontal="center" wrapText="1"/>
    </xf>
    <xf numFmtId="0" fontId="20" fillId="0" borderId="110" xfId="7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08" xfId="0" applyFont="1" applyBorder="1" applyAlignment="1">
      <alignment horizontal="center" wrapText="1"/>
    </xf>
    <xf numFmtId="0" fontId="20" fillId="0" borderId="109" xfId="0" applyFont="1" applyBorder="1" applyAlignment="1">
      <alignment horizontal="center" wrapText="1"/>
    </xf>
    <xf numFmtId="0" fontId="20" fillId="0" borderId="110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4" xfId="0" applyFont="1" applyBorder="1" applyAlignment="1">
      <alignment horizontal="center" wrapText="1"/>
    </xf>
    <xf numFmtId="0" fontId="7" fillId="0" borderId="5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10" fillId="0" borderId="47" xfId="0" applyFont="1" applyBorder="1" applyAlignment="1">
      <alignment horizontal="center" wrapText="1"/>
    </xf>
    <xf numFmtId="0" fontId="10" fillId="0" borderId="69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4" xfId="0" applyFont="1" applyBorder="1" applyAlignment="1">
      <alignment horizontal="center" wrapText="1"/>
    </xf>
    <xf numFmtId="0" fontId="10" fillId="0" borderId="55" xfId="0" applyFont="1" applyBorder="1" applyAlignment="1">
      <alignment horizontal="center" wrapText="1"/>
    </xf>
    <xf numFmtId="0" fontId="10" fillId="0" borderId="65" xfId="0" applyFont="1" applyBorder="1" applyAlignment="1">
      <alignment horizontal="center" wrapText="1"/>
    </xf>
    <xf numFmtId="0" fontId="64" fillId="0" borderId="85" xfId="0" applyFont="1" applyBorder="1" applyAlignment="1">
      <alignment horizontal="center"/>
    </xf>
    <xf numFmtId="0" fontId="64" fillId="0" borderId="112" xfId="0" applyFont="1" applyBorder="1" applyAlignment="1">
      <alignment horizontal="center"/>
    </xf>
    <xf numFmtId="0" fontId="33" fillId="0" borderId="46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167" fontId="10" fillId="0" borderId="46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0" fillId="0" borderId="0" xfId="7" applyFont="1" applyAlignment="1">
      <alignment horizontal="center" vertical="center" wrapText="1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107759.94</c:v>
                </c:pt>
                <c:pt idx="1">
                  <c:v>320875.34999999998</c:v>
                </c:pt>
                <c:pt idx="2">
                  <c:v>2285.7199999999998</c:v>
                </c:pt>
                <c:pt idx="3">
                  <c:v>0</c:v>
                </c:pt>
                <c:pt idx="4">
                  <c:v>20057.179999999997</c:v>
                </c:pt>
                <c:pt idx="5">
                  <c:v>35428.659999999996</c:v>
                </c:pt>
                <c:pt idx="6">
                  <c:v>247685.93000000002</c:v>
                </c:pt>
                <c:pt idx="7">
                  <c:v>517143.37999999995</c:v>
                </c:pt>
                <c:pt idx="8">
                  <c:v>35439.350000000006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43131.409999999996</c:v>
                </c:pt>
                <c:pt idx="1">
                  <c:v>90980.989999999991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6342.869999999999</c:v>
                </c:pt>
                <c:pt idx="7">
                  <c:v>14857.179999999998</c:v>
                </c:pt>
                <c:pt idx="8">
                  <c:v>84865.87999999999</c:v>
                </c:pt>
                <c:pt idx="9">
                  <c:v>168571.6</c:v>
                </c:pt>
                <c:pt idx="10">
                  <c:v>8250.11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8" name="Imagen 2">
          <a:extLst>
            <a:ext uri="{FF2B5EF4-FFF2-40B4-BE49-F238E27FC236}">
              <a16:creationId xmlns:a16="http://schemas.microsoft.com/office/drawing/2014/main" id="{00000000-0008-0000-0600-000028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8" name="Picture 2">
          <a:extLst>
            <a:ext uri="{FF2B5EF4-FFF2-40B4-BE49-F238E27FC236}">
              <a16:creationId xmlns:a16="http://schemas.microsoft.com/office/drawing/2014/main" id="{00000000-0008-0000-0700-00009A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79" name="Picture 3">
          <a:extLst>
            <a:ext uri="{FF2B5EF4-FFF2-40B4-BE49-F238E27FC236}">
              <a16:creationId xmlns:a16="http://schemas.microsoft.com/office/drawing/2014/main" id="{00000000-0008-0000-0700-00009B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80" name="Imagen 4">
          <a:extLst>
            <a:ext uri="{FF2B5EF4-FFF2-40B4-BE49-F238E27FC236}">
              <a16:creationId xmlns:a16="http://schemas.microsoft.com/office/drawing/2014/main" id="{00000000-0008-0000-0700-00009C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3</xdr:row>
      <xdr:rowOff>95250</xdr:rowOff>
    </xdr:to>
    <xdr:pic>
      <xdr:nvPicPr>
        <xdr:cNvPr id="18128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id="{00000000-0008-0000-0800-0000D0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73" t="s">
        <v>233</v>
      </c>
      <c r="C6" s="368">
        <f>'1. RESUMEN DE PAGADOS '!B21+'1. RESUMEN DE PAGADOS '!C21</f>
        <v>0</v>
      </c>
      <c r="D6" s="267"/>
      <c r="E6" s="371"/>
      <c r="F6" s="268"/>
    </row>
    <row r="7" spans="2:9" ht="13.5" thickBot="1" x14ac:dyDescent="0.25"/>
    <row r="8" spans="2:9" ht="39" thickBot="1" x14ac:dyDescent="0.25">
      <c r="B8" s="261" t="s">
        <v>153</v>
      </c>
      <c r="C8" s="261" t="s">
        <v>155</v>
      </c>
      <c r="D8" s="261" t="s">
        <v>232</v>
      </c>
      <c r="E8" s="261" t="s">
        <v>154</v>
      </c>
      <c r="F8" s="372" t="s">
        <v>163</v>
      </c>
    </row>
    <row r="9" spans="2:9" ht="15.75" customHeight="1" x14ac:dyDescent="0.2">
      <c r="B9" s="381" t="s">
        <v>156</v>
      </c>
      <c r="C9" s="263">
        <v>152</v>
      </c>
      <c r="D9" s="263">
        <v>0</v>
      </c>
      <c r="E9" s="378">
        <f>'1. RESUMEN DE PAGADOS '!G23</f>
        <v>107759.94</v>
      </c>
      <c r="F9" s="375">
        <f>E9/E19</f>
        <v>0.210020468821454</v>
      </c>
    </row>
    <row r="10" spans="2:9" x14ac:dyDescent="0.2">
      <c r="B10" s="308" t="s">
        <v>157</v>
      </c>
      <c r="C10" s="373">
        <v>248</v>
      </c>
      <c r="D10" s="267">
        <v>0</v>
      </c>
      <c r="E10" s="378">
        <f>'1. RESUMEN DE PAGADOS '!H23</f>
        <v>320875.34999999998</v>
      </c>
      <c r="F10" s="376">
        <f>E10/E19</f>
        <v>0.6253751759721482</v>
      </c>
    </row>
    <row r="11" spans="2:9" ht="25.5" x14ac:dyDescent="0.2">
      <c r="B11" s="308" t="s">
        <v>236</v>
      </c>
      <c r="C11" s="373">
        <v>8</v>
      </c>
      <c r="D11" s="267">
        <v>0</v>
      </c>
      <c r="E11" s="378">
        <f>'1. RESUMEN DE PAGADOS '!I23</f>
        <v>26685.71</v>
      </c>
      <c r="F11" s="376">
        <f>E11/E19</f>
        <v>5.2009543853062307E-2</v>
      </c>
    </row>
    <row r="12" spans="2:9" ht="25.5" x14ac:dyDescent="0.2">
      <c r="B12" s="308" t="s">
        <v>200</v>
      </c>
      <c r="C12" s="374">
        <v>2</v>
      </c>
      <c r="D12" s="369">
        <v>0</v>
      </c>
      <c r="E12" s="378">
        <f>'1. RESUMEN DE PAGADOS '!K23</f>
        <v>0</v>
      </c>
      <c r="F12" s="376">
        <f>E12/E19</f>
        <v>0</v>
      </c>
    </row>
    <row r="13" spans="2:9" x14ac:dyDescent="0.2">
      <c r="B13" s="308" t="s">
        <v>158</v>
      </c>
      <c r="C13" s="267">
        <v>8</v>
      </c>
      <c r="D13" s="263">
        <v>0</v>
      </c>
      <c r="E13" s="378">
        <f>'1. RESUMEN DE PAGADOS '!M23</f>
        <v>2285.7199999999998</v>
      </c>
      <c r="F13" s="376">
        <f>E13/E19</f>
        <v>4.4547907691352999E-3</v>
      </c>
    </row>
    <row r="14" spans="2:9" x14ac:dyDescent="0.2">
      <c r="B14" s="308" t="s">
        <v>195</v>
      </c>
      <c r="C14" s="267">
        <v>9</v>
      </c>
      <c r="D14" s="267">
        <v>0</v>
      </c>
      <c r="E14" s="379">
        <f>'1. RESUMEN DE PAGADOS '!O23</f>
        <v>0</v>
      </c>
      <c r="F14" s="376">
        <f>E14/E19</f>
        <v>0</v>
      </c>
      <c r="I14" s="178">
        <f>E9+E10+E13</f>
        <v>430921.00999999995</v>
      </c>
    </row>
    <row r="15" spans="2:9" ht="13.5" thickBot="1" x14ac:dyDescent="0.25">
      <c r="B15" s="382" t="s">
        <v>198</v>
      </c>
      <c r="C15" s="370">
        <f>C9+C10+C11+C12+C13+C14</f>
        <v>427</v>
      </c>
      <c r="D15" s="370">
        <f>D9+D10+D11+D12+D13+D14</f>
        <v>0</v>
      </c>
      <c r="E15" s="380">
        <f>SUM(E9:E14)</f>
        <v>457606.72</v>
      </c>
      <c r="F15" s="377"/>
    </row>
    <row r="16" spans="2:9" ht="13.5" thickBot="1" x14ac:dyDescent="0.25">
      <c r="B16" s="275" t="s">
        <v>231</v>
      </c>
      <c r="C16" s="365">
        <v>16</v>
      </c>
      <c r="D16" s="385">
        <v>31</v>
      </c>
      <c r="E16" s="378">
        <f>'1. RESUMEN DE PAGADOS '!J23</f>
        <v>20057.179999999997</v>
      </c>
      <c r="F16" s="304">
        <f>E16/E19</f>
        <v>3.9090763662603098E-2</v>
      </c>
      <c r="H16">
        <f>C9+C10+C11+C12+C13+C14</f>
        <v>427</v>
      </c>
    </row>
    <row r="17" spans="2:9" ht="13.5" thickBot="1" x14ac:dyDescent="0.25">
      <c r="B17" s="274" t="s">
        <v>197</v>
      </c>
      <c r="C17" s="383">
        <v>12</v>
      </c>
      <c r="D17" s="386">
        <v>12</v>
      </c>
      <c r="E17" s="423">
        <f>'1. RESUMEN DE PAGADOS '!N23</f>
        <v>35428.659999999996</v>
      </c>
      <c r="F17" s="306">
        <f>E17/E19</f>
        <v>6.9049256921597149E-2</v>
      </c>
      <c r="I17" s="178"/>
    </row>
    <row r="18" spans="2:9" ht="13.5" thickBot="1" x14ac:dyDescent="0.25">
      <c r="B18" s="387" t="s">
        <v>198</v>
      </c>
      <c r="C18" s="388">
        <f>C16+C17</f>
        <v>28</v>
      </c>
      <c r="D18" s="389">
        <f>D16+D17</f>
        <v>43</v>
      </c>
      <c r="E18" s="424">
        <f>E16+E17</f>
        <v>55485.84</v>
      </c>
      <c r="F18" s="303"/>
    </row>
    <row r="19" spans="2:9" ht="13.5" thickBot="1" x14ac:dyDescent="0.25">
      <c r="B19" s="261" t="s">
        <v>0</v>
      </c>
      <c r="C19" s="177">
        <f>C15+C18</f>
        <v>455</v>
      </c>
      <c r="D19" s="366">
        <f>D15+D18</f>
        <v>43</v>
      </c>
      <c r="E19" s="425">
        <f>E15+E18</f>
        <v>513092.55999999994</v>
      </c>
      <c r="F19" s="270">
        <f>SUM(F9:F17)</f>
        <v>1.0000000000000002</v>
      </c>
    </row>
    <row r="20" spans="2:9" ht="15" customHeight="1" thickBot="1" x14ac:dyDescent="0.25">
      <c r="B20" s="471"/>
      <c r="C20" s="472"/>
      <c r="D20" s="472"/>
      <c r="E20" s="472"/>
      <c r="F20" s="473"/>
    </row>
    <row r="21" spans="2:9" ht="39" thickBot="1" x14ac:dyDescent="0.25">
      <c r="B21" s="261" t="s">
        <v>203</v>
      </c>
      <c r="C21" s="261" t="s">
        <v>155</v>
      </c>
      <c r="D21" s="261" t="s">
        <v>235</v>
      </c>
      <c r="E21" s="261" t="s">
        <v>154</v>
      </c>
      <c r="F21" s="261" t="s">
        <v>163</v>
      </c>
    </row>
    <row r="22" spans="2:9" x14ac:dyDescent="0.2">
      <c r="B22" s="262" t="s">
        <v>159</v>
      </c>
      <c r="C22" s="263">
        <f>'3. COMP VR'!B21</f>
        <v>268</v>
      </c>
      <c r="D22" s="365">
        <f>C22</f>
        <v>268</v>
      </c>
      <c r="E22" s="264">
        <f>'3. COMP VR'!C21+'3. COMP VR'!E21</f>
        <v>247685.93000000002</v>
      </c>
      <c r="F22" s="265">
        <f>E22/E25</f>
        <v>0.30950347349601326</v>
      </c>
    </row>
    <row r="23" spans="2:9" x14ac:dyDescent="0.2">
      <c r="B23" s="271" t="s">
        <v>160</v>
      </c>
      <c r="C23" s="267">
        <f>'4. COMP VP'!C24</f>
        <v>296</v>
      </c>
      <c r="D23" s="365">
        <f>C23</f>
        <v>296</v>
      </c>
      <c r="E23" s="264">
        <f>'4. COMP VP'!D24+'4. COMP VP'!F24</f>
        <v>517143.37999999995</v>
      </c>
      <c r="F23" s="268">
        <f>E23/E25</f>
        <v>0.64621221078431335</v>
      </c>
    </row>
    <row r="24" spans="2:9" ht="13.5" thickBot="1" x14ac:dyDescent="0.25">
      <c r="B24" s="266" t="s">
        <v>161</v>
      </c>
      <c r="C24" s="267">
        <f>'2. COMPR DEV 30%'!B21</f>
        <v>91</v>
      </c>
      <c r="D24" s="365">
        <f>C24</f>
        <v>91</v>
      </c>
      <c r="E24" s="264">
        <f>'2. COMPR DEV 30%'!C21+'2. COMPR DEV 30%'!E21</f>
        <v>35439.350000000006</v>
      </c>
      <c r="F24" s="269">
        <f>E24/E25</f>
        <v>4.428431571967345E-2</v>
      </c>
      <c r="G24" s="178"/>
    </row>
    <row r="25" spans="2:9" ht="13.5" thickBot="1" x14ac:dyDescent="0.25">
      <c r="B25" s="261" t="s">
        <v>0</v>
      </c>
      <c r="C25" s="177">
        <f>C22+C23+C24</f>
        <v>655</v>
      </c>
      <c r="D25" s="177">
        <f>D22+D23+D24</f>
        <v>655</v>
      </c>
      <c r="E25" s="179">
        <f>E22+E23+E24</f>
        <v>800268.65999999992</v>
      </c>
      <c r="F25" s="270">
        <f>SUM(F22:F24)</f>
        <v>1</v>
      </c>
    </row>
    <row r="26" spans="2:9" ht="13.5" customHeight="1" thickBot="1" x14ac:dyDescent="0.25">
      <c r="B26" s="474" t="s">
        <v>162</v>
      </c>
      <c r="C26" s="475"/>
      <c r="D26" s="475"/>
      <c r="E26" s="475"/>
      <c r="F26" s="476"/>
    </row>
    <row r="27" spans="2:9" ht="15.75" customHeight="1" thickBot="1" x14ac:dyDescent="0.25">
      <c r="B27" s="261" t="s">
        <v>107</v>
      </c>
      <c r="C27" s="392">
        <f>C19+C25</f>
        <v>1110</v>
      </c>
      <c r="D27" s="392">
        <f>D19+D25</f>
        <v>698</v>
      </c>
      <c r="E27" s="391">
        <f>E25+E19</f>
        <v>1313361.2199999997</v>
      </c>
      <c r="F27" s="390"/>
    </row>
    <row r="28" spans="2:9" ht="15" x14ac:dyDescent="0.2">
      <c r="B28" s="325"/>
      <c r="C28" s="325"/>
      <c r="D28" s="325"/>
      <c r="E28" s="325"/>
      <c r="F28" s="326"/>
    </row>
    <row r="29" spans="2:9" ht="15.75" thickBot="1" x14ac:dyDescent="0.25">
      <c r="B29" s="161"/>
      <c r="C29" s="260"/>
      <c r="D29" s="260"/>
      <c r="E29" s="180"/>
      <c r="F29" s="326"/>
    </row>
    <row r="30" spans="2:9" ht="45.75" thickBot="1" x14ac:dyDescent="0.25">
      <c r="B30" s="327" t="s">
        <v>153</v>
      </c>
      <c r="C30" s="328" t="s">
        <v>155</v>
      </c>
      <c r="D30" s="367" t="s">
        <v>234</v>
      </c>
      <c r="E30" s="327" t="s">
        <v>154</v>
      </c>
      <c r="F30" s="327" t="s">
        <v>163</v>
      </c>
    </row>
    <row r="31" spans="2:9" ht="15" x14ac:dyDescent="0.2">
      <c r="B31" s="313" t="s">
        <v>156</v>
      </c>
      <c r="C31" s="314">
        <f>C9</f>
        <v>152</v>
      </c>
      <c r="D31" s="314">
        <f>D9</f>
        <v>0</v>
      </c>
      <c r="E31" s="316">
        <f>E9</f>
        <v>107759.94</v>
      </c>
      <c r="F31" s="319">
        <f>E31/E42</f>
        <v>8.204897354895252E-2</v>
      </c>
    </row>
    <row r="32" spans="2:9" ht="15" x14ac:dyDescent="0.2">
      <c r="B32" s="307" t="s">
        <v>157</v>
      </c>
      <c r="C32" s="158">
        <f t="shared" ref="C32:E36" si="0">C10</f>
        <v>248</v>
      </c>
      <c r="D32" s="158">
        <f>D10</f>
        <v>0</v>
      </c>
      <c r="E32" s="317">
        <f t="shared" si="0"/>
        <v>320875.34999999998</v>
      </c>
      <c r="F32" s="162">
        <f>E32/E42</f>
        <v>0.24431614479982894</v>
      </c>
    </row>
    <row r="33" spans="2:9" ht="25.5" hidden="1" x14ac:dyDescent="0.2">
      <c r="B33" s="308" t="s">
        <v>204</v>
      </c>
      <c r="C33" s="158">
        <f>C11</f>
        <v>8</v>
      </c>
      <c r="D33" s="158">
        <f>D11</f>
        <v>0</v>
      </c>
      <c r="E33" s="317">
        <f t="shared" si="0"/>
        <v>26685.71</v>
      </c>
      <c r="F33" s="162">
        <f>E33/E42</f>
        <v>2.0318637092086516E-2</v>
      </c>
    </row>
    <row r="34" spans="2:9" ht="19.5" hidden="1" customHeight="1" x14ac:dyDescent="0.2">
      <c r="B34" s="307" t="s">
        <v>200</v>
      </c>
      <c r="C34" s="158">
        <f t="shared" si="0"/>
        <v>2</v>
      </c>
      <c r="D34" s="158">
        <f>D12</f>
        <v>0</v>
      </c>
      <c r="E34" s="317">
        <f t="shared" si="0"/>
        <v>0</v>
      </c>
      <c r="F34" s="162">
        <f>E34/E42</f>
        <v>0</v>
      </c>
    </row>
    <row r="35" spans="2:9" ht="15" x14ac:dyDescent="0.2">
      <c r="B35" s="307" t="s">
        <v>158</v>
      </c>
      <c r="C35" s="158">
        <f t="shared" si="0"/>
        <v>8</v>
      </c>
      <c r="D35" s="158">
        <f>D13</f>
        <v>0</v>
      </c>
      <c r="E35" s="317">
        <f>E13</f>
        <v>2285.7199999999998</v>
      </c>
      <c r="F35" s="162">
        <f>E35/E42</f>
        <v>1.7403589851693656E-3</v>
      </c>
    </row>
    <row r="36" spans="2:9" ht="30" x14ac:dyDescent="0.2">
      <c r="B36" s="307" t="s">
        <v>195</v>
      </c>
      <c r="C36" s="158">
        <f t="shared" si="0"/>
        <v>9</v>
      </c>
      <c r="D36" s="158">
        <f>D14</f>
        <v>0</v>
      </c>
      <c r="E36" s="317">
        <f t="shared" si="0"/>
        <v>0</v>
      </c>
      <c r="F36" s="162">
        <f>E36/E42</f>
        <v>0</v>
      </c>
    </row>
    <row r="37" spans="2:9" ht="15" x14ac:dyDescent="0.2">
      <c r="B37" s="307" t="s">
        <v>196</v>
      </c>
      <c r="C37" s="158">
        <f t="shared" ref="C37:E38" si="1">C16</f>
        <v>16</v>
      </c>
      <c r="D37" s="158">
        <f t="shared" si="1"/>
        <v>31</v>
      </c>
      <c r="E37" s="317">
        <f t="shared" si="1"/>
        <v>20057.179999999997</v>
      </c>
      <c r="F37" s="162">
        <f>E37/E42</f>
        <v>1.5271640196594199E-2</v>
      </c>
    </row>
    <row r="38" spans="2:9" ht="15" x14ac:dyDescent="0.2">
      <c r="B38" s="309" t="s">
        <v>197</v>
      </c>
      <c r="C38" s="315">
        <f t="shared" si="1"/>
        <v>12</v>
      </c>
      <c r="D38" s="315">
        <f t="shared" si="1"/>
        <v>12</v>
      </c>
      <c r="E38" s="317">
        <f t="shared" si="1"/>
        <v>35428.659999999996</v>
      </c>
      <c r="F38" s="162">
        <f>E38/E42</f>
        <v>2.6975564270125166E-2</v>
      </c>
    </row>
    <row r="39" spans="2:9" ht="15" x14ac:dyDescent="0.2">
      <c r="B39" s="393" t="s">
        <v>159</v>
      </c>
      <c r="C39" s="158">
        <f t="shared" ref="C39:E41" si="2">C22</f>
        <v>268</v>
      </c>
      <c r="D39" s="158">
        <f t="shared" si="2"/>
        <v>268</v>
      </c>
      <c r="E39" s="318">
        <f t="shared" si="2"/>
        <v>247685.93000000002</v>
      </c>
      <c r="F39" s="162">
        <f>E39/E42</f>
        <v>0.18858934330343638</v>
      </c>
    </row>
    <row r="40" spans="2:9" ht="15" x14ac:dyDescent="0.2">
      <c r="B40" s="310" t="s">
        <v>160</v>
      </c>
      <c r="C40" s="158">
        <f t="shared" si="2"/>
        <v>296</v>
      </c>
      <c r="D40" s="158">
        <f t="shared" si="2"/>
        <v>296</v>
      </c>
      <c r="E40" s="318">
        <f t="shared" si="2"/>
        <v>517143.37999999995</v>
      </c>
      <c r="F40" s="162">
        <f>E40/E42</f>
        <v>0.3937556341126015</v>
      </c>
    </row>
    <row r="41" spans="2:9" ht="15.75" thickBot="1" x14ac:dyDescent="0.3">
      <c r="B41" s="311" t="s">
        <v>161</v>
      </c>
      <c r="C41" s="320">
        <f t="shared" si="2"/>
        <v>91</v>
      </c>
      <c r="D41" s="320">
        <f t="shared" si="2"/>
        <v>91</v>
      </c>
      <c r="E41" s="321">
        <f t="shared" si="2"/>
        <v>35439.350000000006</v>
      </c>
      <c r="F41" s="312">
        <f>E41/E42</f>
        <v>2.6983703691205386E-2</v>
      </c>
    </row>
    <row r="42" spans="2:9" ht="15.75" thickBot="1" x14ac:dyDescent="0.25">
      <c r="B42" s="160" t="s">
        <v>0</v>
      </c>
      <c r="C42" s="159">
        <f>SUM(C31:C41)</f>
        <v>1110</v>
      </c>
      <c r="D42" s="159">
        <f>SUM(D31:D41)</f>
        <v>698</v>
      </c>
      <c r="E42" s="322">
        <f>SUM(E31:E41)</f>
        <v>1313361.22</v>
      </c>
      <c r="F42" s="324">
        <f>SUM(F31:F41)</f>
        <v>1</v>
      </c>
      <c r="G42" s="14"/>
      <c r="H42" s="11"/>
      <c r="I42" s="178">
        <f>E42-'1. RESUMEN DE PAGADOS '!Q23</f>
        <v>0</v>
      </c>
    </row>
    <row r="43" spans="2:9" ht="15" x14ac:dyDescent="0.2">
      <c r="B43" s="161"/>
      <c r="C43" s="161"/>
      <c r="D43" s="161"/>
      <c r="E43" s="16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zoomScale="98" zoomScaleNormal="98" workbookViewId="0">
      <selection activeCell="H18" sqref="H18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273" t="s">
        <v>233</v>
      </c>
      <c r="C3" s="368">
        <f>'1. RESUMEN DE PAGADOS '!B22+'1. RESUMEN DE PAGADOS '!C22</f>
        <v>0</v>
      </c>
      <c r="D3" s="267"/>
      <c r="E3" s="470">
        <f>SUM('1. RESUMEN DE PAGADOS '!E13+'1. RESUMEN DE PAGADOS '!F13)</f>
        <v>39</v>
      </c>
      <c r="F3" s="268"/>
    </row>
    <row r="4" spans="2:9" ht="13.5" thickBot="1" x14ac:dyDescent="0.25"/>
    <row r="5" spans="2:9" ht="39" thickBot="1" x14ac:dyDescent="0.25">
      <c r="B5" s="419" t="s">
        <v>153</v>
      </c>
      <c r="C5" s="261" t="s">
        <v>155</v>
      </c>
      <c r="D5" s="261" t="s">
        <v>232</v>
      </c>
      <c r="E5" s="261" t="s">
        <v>154</v>
      </c>
      <c r="F5" s="372" t="s">
        <v>163</v>
      </c>
    </row>
    <row r="6" spans="2:9" ht="15.75" customHeight="1" x14ac:dyDescent="0.2">
      <c r="B6" s="418" t="s">
        <v>156</v>
      </c>
      <c r="C6" s="263">
        <f>6+11+2+4</f>
        <v>23</v>
      </c>
      <c r="D6" s="263">
        <f>[1]TOTALES!$D$4</f>
        <v>52</v>
      </c>
      <c r="E6" s="378">
        <f>'1. RESUMEN DE PAGADOS '!G13</f>
        <v>43131.409999999996</v>
      </c>
      <c r="F6" s="375">
        <f>E6/E16</f>
        <v>0.27770735700840465</v>
      </c>
    </row>
    <row r="7" spans="2:9" x14ac:dyDescent="0.2">
      <c r="B7" s="308" t="s">
        <v>157</v>
      </c>
      <c r="C7" s="373">
        <f>10+10+7+8</f>
        <v>35</v>
      </c>
      <c r="D7" s="267">
        <f>[1]TOTALES!$D$6</f>
        <v>74</v>
      </c>
      <c r="E7" s="378">
        <f>'1. RESUMEN DE PAGADOS '!H13</f>
        <v>90980.989999999991</v>
      </c>
      <c r="F7" s="376">
        <f>E7/E16</f>
        <v>0.58579328315276724</v>
      </c>
    </row>
    <row r="8" spans="2:9" ht="25.5" x14ac:dyDescent="0.2">
      <c r="B8" s="308" t="s">
        <v>236</v>
      </c>
      <c r="C8" s="373">
        <f>1+1+1+1+1</f>
        <v>5</v>
      </c>
      <c r="D8" s="267">
        <f>7</f>
        <v>7</v>
      </c>
      <c r="E8" s="378">
        <f>'1. RESUMEN DE PAGADOS '!I13</f>
        <v>0</v>
      </c>
      <c r="F8" s="376">
        <f>E8/E16</f>
        <v>0</v>
      </c>
    </row>
    <row r="9" spans="2:9" ht="25.5" x14ac:dyDescent="0.2">
      <c r="B9" s="308" t="s">
        <v>200</v>
      </c>
      <c r="C9" s="374">
        <v>0</v>
      </c>
      <c r="D9" s="369">
        <v>2</v>
      </c>
      <c r="E9" s="378">
        <f>'1. RESUMEN DE PAGADOS '!K13</f>
        <v>0</v>
      </c>
      <c r="F9" s="376">
        <f>E9/E16</f>
        <v>0</v>
      </c>
    </row>
    <row r="10" spans="2:9" x14ac:dyDescent="0.2">
      <c r="B10" s="308" t="s">
        <v>158</v>
      </c>
      <c r="C10" s="267">
        <f>1+1</f>
        <v>2</v>
      </c>
      <c r="D10" s="263">
        <f>[1]TOTALES!$D$12</f>
        <v>3</v>
      </c>
      <c r="E10" s="378">
        <f>'1. RESUMEN DE PAGADOS '!M13</f>
        <v>0</v>
      </c>
      <c r="F10" s="376">
        <f>E10/E16</f>
        <v>0</v>
      </c>
    </row>
    <row r="11" spans="2:9" x14ac:dyDescent="0.2">
      <c r="B11" s="308" t="s">
        <v>195</v>
      </c>
      <c r="C11" s="267">
        <v>0</v>
      </c>
      <c r="D11" s="267">
        <f>[1]TOTALES!$D$14</f>
        <v>2</v>
      </c>
      <c r="E11" s="379">
        <f>'1. RESUMEN DE PAGADOS '!O13</f>
        <v>0</v>
      </c>
      <c r="F11" s="376">
        <f>E11/E16</f>
        <v>0</v>
      </c>
      <c r="I11" s="178"/>
    </row>
    <row r="12" spans="2:9" ht="13.5" thickBot="1" x14ac:dyDescent="0.25">
      <c r="B12" s="382" t="s">
        <v>198</v>
      </c>
      <c r="C12" s="370">
        <f>C6+C7+C8+C9+C10+C11</f>
        <v>65</v>
      </c>
      <c r="D12" s="370">
        <f>D6+D7+D8+D9+D10+D11</f>
        <v>140</v>
      </c>
      <c r="E12" s="380">
        <f>SUM(E6:E11)</f>
        <v>134112.4</v>
      </c>
      <c r="F12" s="377"/>
    </row>
    <row r="13" spans="2:9" ht="13.5" thickBot="1" x14ac:dyDescent="0.25">
      <c r="B13" s="275" t="s">
        <v>231</v>
      </c>
      <c r="C13" s="365">
        <v>11</v>
      </c>
      <c r="D13" s="385">
        <f>[1]TOTALES!$D$10</f>
        <v>28</v>
      </c>
      <c r="E13" s="272">
        <f>'1. RESUMEN DE PAGADOS '!J13</f>
        <v>6342.869999999999</v>
      </c>
      <c r="F13" s="304">
        <f>E13/E16</f>
        <v>4.0839417574057971E-2</v>
      </c>
    </row>
    <row r="14" spans="2:9" ht="13.5" thickBot="1" x14ac:dyDescent="0.25">
      <c r="B14" s="274" t="s">
        <v>197</v>
      </c>
      <c r="C14" s="383">
        <v>12</v>
      </c>
      <c r="D14" s="386">
        <v>12</v>
      </c>
      <c r="E14" s="302">
        <f>'1. RESUMEN DE PAGADOS '!N13</f>
        <v>14857.179999999998</v>
      </c>
      <c r="F14" s="306">
        <f>E14/E16</f>
        <v>9.5659942264770148E-2</v>
      </c>
      <c r="I14" s="178"/>
    </row>
    <row r="15" spans="2:9" ht="13.5" thickBot="1" x14ac:dyDescent="0.25">
      <c r="B15" s="387" t="s">
        <v>198</v>
      </c>
      <c r="C15" s="388">
        <f>C13+C14</f>
        <v>23</v>
      </c>
      <c r="D15" s="389">
        <f>D13+D14</f>
        <v>40</v>
      </c>
      <c r="E15" s="384">
        <f>E13+E14</f>
        <v>21200.049999999996</v>
      </c>
      <c r="F15" s="303"/>
    </row>
    <row r="16" spans="2:9" ht="13.5" thickBot="1" x14ac:dyDescent="0.25">
      <c r="B16" s="261" t="s">
        <v>0</v>
      </c>
      <c r="C16" s="177">
        <f>C12+C15</f>
        <v>88</v>
      </c>
      <c r="D16" s="366">
        <f>D12+D15</f>
        <v>180</v>
      </c>
      <c r="E16" s="305">
        <f>E12+E15</f>
        <v>155312.44999999998</v>
      </c>
      <c r="F16" s="270">
        <f>SUM(F6:F14)</f>
        <v>1</v>
      </c>
    </row>
    <row r="17" spans="2:7" ht="15" customHeight="1" thickBot="1" x14ac:dyDescent="0.25">
      <c r="B17" s="471"/>
      <c r="C17" s="472"/>
      <c r="D17" s="472"/>
      <c r="E17" s="472"/>
      <c r="F17" s="473"/>
    </row>
    <row r="18" spans="2:7" ht="39" thickBot="1" x14ac:dyDescent="0.25">
      <c r="B18" s="261" t="s">
        <v>203</v>
      </c>
      <c r="C18" s="261" t="s">
        <v>155</v>
      </c>
      <c r="D18" s="261" t="s">
        <v>235</v>
      </c>
      <c r="E18" s="261" t="s">
        <v>154</v>
      </c>
      <c r="F18" s="261" t="s">
        <v>163</v>
      </c>
    </row>
    <row r="19" spans="2:7" x14ac:dyDescent="0.2">
      <c r="B19" s="262" t="s">
        <v>159</v>
      </c>
      <c r="C19" s="263">
        <f>'3. COMP VR'!B20</f>
        <v>0</v>
      </c>
      <c r="D19" s="365">
        <f>'3. COMP VR'!B9</f>
        <v>75</v>
      </c>
      <c r="E19" s="264">
        <f>'3. COMP VR'!E11+'3. COMP VR'!C11</f>
        <v>84865.87999999999</v>
      </c>
      <c r="F19" s="265">
        <f>E19/E22</f>
        <v>0.32430227203361078</v>
      </c>
    </row>
    <row r="20" spans="2:7" x14ac:dyDescent="0.2">
      <c r="B20" s="271" t="s">
        <v>160</v>
      </c>
      <c r="C20" s="267">
        <f>'4. COMP VP'!C23</f>
        <v>0</v>
      </c>
      <c r="D20" s="365">
        <f>'4. COMP VP'!C12</f>
        <v>75</v>
      </c>
      <c r="E20" s="264">
        <f>'4. COMP VP'!D14+'4. COMP VP'!F14</f>
        <v>168571.6</v>
      </c>
      <c r="F20" s="268">
        <f>E20/E22</f>
        <v>0.64417116608395542</v>
      </c>
    </row>
    <row r="21" spans="2:7" ht="13.5" thickBot="1" x14ac:dyDescent="0.25">
      <c r="B21" s="266" t="s">
        <v>161</v>
      </c>
      <c r="C21" s="267">
        <f>'2. COMPR DEV 30%'!B20</f>
        <v>0</v>
      </c>
      <c r="D21" s="365">
        <f>'2. COMPR DEV 30%'!B9</f>
        <v>33</v>
      </c>
      <c r="E21" s="264">
        <f>'2. COMPR DEV 30%'!C11+'2. COMPR DEV 30%'!E11</f>
        <v>8250.11</v>
      </c>
      <c r="F21" s="269">
        <f>E21/E22</f>
        <v>3.152656188243394E-2</v>
      </c>
      <c r="G21" s="178"/>
    </row>
    <row r="22" spans="2:7" ht="13.5" thickBot="1" x14ac:dyDescent="0.25">
      <c r="B22" s="261" t="s">
        <v>0</v>
      </c>
      <c r="C22" s="177">
        <f>C19+C20+C21</f>
        <v>0</v>
      </c>
      <c r="D22" s="177">
        <f>D19+D20+D21</f>
        <v>183</v>
      </c>
      <c r="E22" s="179">
        <f>E19+E20+E21</f>
        <v>261687.58999999997</v>
      </c>
      <c r="F22" s="270">
        <f>SUM(F19:F21)</f>
        <v>1</v>
      </c>
    </row>
    <row r="23" spans="2:7" ht="13.5" customHeight="1" thickBot="1" x14ac:dyDescent="0.25">
      <c r="B23" s="474" t="s">
        <v>162</v>
      </c>
      <c r="C23" s="475"/>
      <c r="D23" s="475"/>
      <c r="E23" s="475"/>
      <c r="F23" s="476"/>
    </row>
    <row r="24" spans="2:7" ht="15.75" customHeight="1" thickBot="1" x14ac:dyDescent="0.25">
      <c r="B24" s="261" t="s">
        <v>107</v>
      </c>
      <c r="C24" s="392">
        <f>C16+C22</f>
        <v>88</v>
      </c>
      <c r="D24" s="392">
        <f>D16+D22</f>
        <v>363</v>
      </c>
      <c r="E24" s="391">
        <f>E22+E16</f>
        <v>417000.03999999992</v>
      </c>
      <c r="F24" s="390"/>
    </row>
    <row r="25" spans="2:7" ht="15" x14ac:dyDescent="0.2">
      <c r="B25" s="325"/>
      <c r="C25" s="325"/>
      <c r="D25" s="325"/>
      <c r="E25" s="325"/>
      <c r="F25" s="326"/>
    </row>
    <row r="26" spans="2:7" ht="15.75" thickBot="1" x14ac:dyDescent="0.25">
      <c r="B26" s="161"/>
      <c r="C26" s="260"/>
      <c r="D26" s="260"/>
      <c r="E26" s="180"/>
      <c r="F26" s="326"/>
    </row>
    <row r="27" spans="2:7" ht="45.75" thickBot="1" x14ac:dyDescent="0.25">
      <c r="B27" s="327" t="s">
        <v>153</v>
      </c>
      <c r="C27" s="328" t="s">
        <v>155</v>
      </c>
      <c r="D27" s="367" t="s">
        <v>234</v>
      </c>
      <c r="E27" s="160" t="s">
        <v>154</v>
      </c>
      <c r="F27" s="327" t="s">
        <v>163</v>
      </c>
    </row>
    <row r="28" spans="2:7" ht="15" x14ac:dyDescent="0.2">
      <c r="B28" s="313" t="s">
        <v>156</v>
      </c>
      <c r="C28" s="314">
        <f>C6</f>
        <v>23</v>
      </c>
      <c r="D28" s="314">
        <f>D6</f>
        <v>52</v>
      </c>
      <c r="E28" s="316">
        <f>E6</f>
        <v>43131.409999999996</v>
      </c>
      <c r="F28" s="319">
        <f>E28/E39</f>
        <v>0.10343262796809326</v>
      </c>
    </row>
    <row r="29" spans="2:7" ht="15" x14ac:dyDescent="0.2">
      <c r="B29" s="307" t="s">
        <v>157</v>
      </c>
      <c r="C29" s="158">
        <f t="shared" ref="C29:E33" si="0">C7</f>
        <v>35</v>
      </c>
      <c r="D29" s="158">
        <f>D7</f>
        <v>74</v>
      </c>
      <c r="E29" s="317">
        <f t="shared" si="0"/>
        <v>90980.989999999991</v>
      </c>
      <c r="F29" s="162">
        <f>E29/E39</f>
        <v>0.21817981120577354</v>
      </c>
    </row>
    <row r="30" spans="2:7" ht="25.5" x14ac:dyDescent="0.2">
      <c r="B30" s="308" t="s">
        <v>204</v>
      </c>
      <c r="C30" s="158">
        <f>C8</f>
        <v>5</v>
      </c>
      <c r="D30" s="158">
        <f>D8</f>
        <v>7</v>
      </c>
      <c r="E30" s="317">
        <f t="shared" si="0"/>
        <v>0</v>
      </c>
      <c r="F30" s="162">
        <f>E30/E39</f>
        <v>0</v>
      </c>
    </row>
    <row r="31" spans="2:7" ht="33.75" customHeight="1" x14ac:dyDescent="0.2">
      <c r="B31" s="307" t="s">
        <v>200</v>
      </c>
      <c r="C31" s="158">
        <f t="shared" si="0"/>
        <v>0</v>
      </c>
      <c r="D31" s="158">
        <f>D9</f>
        <v>2</v>
      </c>
      <c r="E31" s="317">
        <f t="shared" si="0"/>
        <v>0</v>
      </c>
      <c r="F31" s="162">
        <f>E31/E39</f>
        <v>0</v>
      </c>
    </row>
    <row r="32" spans="2:7" ht="15" x14ac:dyDescent="0.2">
      <c r="B32" s="307" t="s">
        <v>158</v>
      </c>
      <c r="C32" s="158">
        <f t="shared" si="0"/>
        <v>2</v>
      </c>
      <c r="D32" s="158">
        <f>D10</f>
        <v>3</v>
      </c>
      <c r="E32" s="317">
        <f>E10</f>
        <v>0</v>
      </c>
      <c r="F32" s="162">
        <f>E32/E39</f>
        <v>0</v>
      </c>
    </row>
    <row r="33" spans="2:8" ht="30" x14ac:dyDescent="0.2">
      <c r="B33" s="307" t="s">
        <v>195</v>
      </c>
      <c r="C33" s="158">
        <f t="shared" si="0"/>
        <v>0</v>
      </c>
      <c r="D33" s="158">
        <f>D11</f>
        <v>2</v>
      </c>
      <c r="E33" s="317">
        <f t="shared" si="0"/>
        <v>0</v>
      </c>
      <c r="F33" s="162">
        <f>E33/E39</f>
        <v>0</v>
      </c>
    </row>
    <row r="34" spans="2:8" ht="15" x14ac:dyDescent="0.2">
      <c r="B34" s="307" t="s">
        <v>196</v>
      </c>
      <c r="C34" s="158">
        <f t="shared" ref="C34:E35" si="1">C13</f>
        <v>11</v>
      </c>
      <c r="D34" s="158">
        <f t="shared" si="1"/>
        <v>28</v>
      </c>
      <c r="E34" s="317">
        <f t="shared" si="1"/>
        <v>6342.869999999999</v>
      </c>
      <c r="F34" s="162">
        <f>E34/E39</f>
        <v>1.5210717965398756E-2</v>
      </c>
    </row>
    <row r="35" spans="2:8" ht="15" x14ac:dyDescent="0.2">
      <c r="B35" s="309" t="s">
        <v>197</v>
      </c>
      <c r="C35" s="315">
        <f t="shared" si="1"/>
        <v>12</v>
      </c>
      <c r="D35" s="315">
        <f t="shared" si="1"/>
        <v>12</v>
      </c>
      <c r="E35" s="317">
        <f t="shared" si="1"/>
        <v>14857.179999999998</v>
      </c>
      <c r="F35" s="162">
        <f>E35/E39</f>
        <v>3.5628725599163018E-2</v>
      </c>
    </row>
    <row r="36" spans="2:8" ht="15" x14ac:dyDescent="0.2">
      <c r="B36" s="393" t="s">
        <v>159</v>
      </c>
      <c r="C36" s="158">
        <f t="shared" ref="C36:E38" si="2">C19</f>
        <v>0</v>
      </c>
      <c r="D36" s="158">
        <f t="shared" si="2"/>
        <v>75</v>
      </c>
      <c r="E36" s="318">
        <f t="shared" si="2"/>
        <v>84865.87999999999</v>
      </c>
      <c r="F36" s="162">
        <f>E36/E39</f>
        <v>0.20351528023834245</v>
      </c>
    </row>
    <row r="37" spans="2:8" ht="15" x14ac:dyDescent="0.2">
      <c r="B37" s="310" t="s">
        <v>160</v>
      </c>
      <c r="C37" s="158">
        <f t="shared" si="2"/>
        <v>0</v>
      </c>
      <c r="D37" s="158">
        <f t="shared" si="2"/>
        <v>75</v>
      </c>
      <c r="E37" s="318">
        <f t="shared" si="2"/>
        <v>168571.6</v>
      </c>
      <c r="F37" s="162">
        <f>E37/E39</f>
        <v>0.40424840247017729</v>
      </c>
    </row>
    <row r="38" spans="2:8" ht="15.75" thickBot="1" x14ac:dyDescent="0.3">
      <c r="B38" s="311" t="s">
        <v>161</v>
      </c>
      <c r="C38" s="320">
        <f t="shared" si="2"/>
        <v>0</v>
      </c>
      <c r="D38" s="320">
        <f t="shared" si="2"/>
        <v>33</v>
      </c>
      <c r="E38" s="321">
        <f t="shared" si="2"/>
        <v>8250.11</v>
      </c>
      <c r="F38" s="312">
        <f>E38/E39</f>
        <v>1.9784434553051847E-2</v>
      </c>
    </row>
    <row r="39" spans="2:8" ht="15.75" thickBot="1" x14ac:dyDescent="0.25">
      <c r="B39" s="160" t="s">
        <v>0</v>
      </c>
      <c r="C39" s="159">
        <f>SUM(C28:C38)</f>
        <v>88</v>
      </c>
      <c r="D39" s="159">
        <f>SUM(D28:D38)</f>
        <v>363</v>
      </c>
      <c r="E39" s="322">
        <f>SUM(E28:E38)</f>
        <v>417000.03999999992</v>
      </c>
      <c r="F39" s="324">
        <f>SUM(F28:F38)</f>
        <v>1</v>
      </c>
      <c r="G39" s="14"/>
      <c r="H39" s="11"/>
    </row>
    <row r="40" spans="2:8" ht="15" x14ac:dyDescent="0.2">
      <c r="B40" s="161"/>
      <c r="C40" s="161"/>
      <c r="D40" s="161"/>
      <c r="E40" s="161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abSelected="1" zoomScale="106" zoomScaleNormal="106" workbookViewId="0">
      <selection activeCell="G2" sqref="G2"/>
    </sheetView>
  </sheetViews>
  <sheetFormatPr baseColWidth="10" defaultColWidth="11.42578125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51" customWidth="1"/>
    <col min="17" max="17" width="16" style="351" customWidth="1"/>
    <col min="18" max="18" width="15.42578125" style="351" customWidth="1"/>
    <col min="19" max="19" width="11.42578125" style="351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22" t="s">
        <v>201</v>
      </c>
    </row>
    <row r="6" spans="1:22" x14ac:dyDescent="0.2">
      <c r="A6" s="484" t="s">
        <v>170</v>
      </c>
      <c r="B6" s="484"/>
      <c r="C6" s="484"/>
      <c r="D6" s="484"/>
      <c r="E6" s="484"/>
      <c r="F6" s="484"/>
      <c r="G6" s="484"/>
      <c r="H6" s="484"/>
      <c r="I6" s="484"/>
      <c r="J6" s="484"/>
      <c r="K6" s="484"/>
      <c r="L6" s="484"/>
      <c r="M6" s="484"/>
      <c r="N6" s="484"/>
      <c r="O6" s="484"/>
      <c r="P6" s="484"/>
    </row>
    <row r="7" spans="1:22" x14ac:dyDescent="0.2">
      <c r="A7" s="484" t="s">
        <v>498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1:22" ht="12.75" customHeight="1" thickBot="1" x14ac:dyDescent="0.25"/>
    <row r="9" spans="1:22" ht="12.75" customHeight="1" thickBot="1" x14ac:dyDescent="0.25">
      <c r="A9" s="489" t="s">
        <v>7</v>
      </c>
      <c r="B9" s="485" t="s">
        <v>499</v>
      </c>
      <c r="C9" s="487" t="s">
        <v>500</v>
      </c>
      <c r="D9" s="487" t="s">
        <v>502</v>
      </c>
      <c r="E9" s="477" t="s">
        <v>190</v>
      </c>
      <c r="F9" s="478"/>
      <c r="G9" s="482" t="s">
        <v>139</v>
      </c>
      <c r="H9" s="479" t="s">
        <v>164</v>
      </c>
      <c r="I9" s="480"/>
      <c r="J9" s="480"/>
      <c r="K9" s="480"/>
      <c r="L9" s="481"/>
      <c r="M9" s="478" t="s">
        <v>140</v>
      </c>
      <c r="N9" s="485" t="s">
        <v>141</v>
      </c>
      <c r="O9" s="477" t="s">
        <v>148</v>
      </c>
      <c r="P9" s="492" t="s">
        <v>1</v>
      </c>
      <c r="T9" s="323"/>
      <c r="U9" s="323"/>
    </row>
    <row r="10" spans="1:22" ht="75.75" customHeight="1" thickBot="1" x14ac:dyDescent="0.25">
      <c r="A10" s="490"/>
      <c r="B10" s="486"/>
      <c r="C10" s="488"/>
      <c r="D10" s="488"/>
      <c r="E10" s="168" t="s">
        <v>168</v>
      </c>
      <c r="F10" s="168" t="s">
        <v>169</v>
      </c>
      <c r="G10" s="483"/>
      <c r="H10" s="169" t="s">
        <v>167</v>
      </c>
      <c r="I10" s="169" t="s">
        <v>199</v>
      </c>
      <c r="J10" s="170" t="s">
        <v>18</v>
      </c>
      <c r="K10" s="163" t="s">
        <v>17</v>
      </c>
      <c r="L10" s="164" t="s">
        <v>165</v>
      </c>
      <c r="M10" s="486"/>
      <c r="N10" s="486"/>
      <c r="O10" s="491"/>
      <c r="P10" s="493"/>
      <c r="Q10" s="352"/>
      <c r="R10" s="351" t="s">
        <v>147</v>
      </c>
      <c r="S10" s="351" t="s">
        <v>260</v>
      </c>
      <c r="T10" s="323"/>
      <c r="U10" s="323"/>
    </row>
    <row r="11" spans="1:22" ht="23.1" customHeight="1" x14ac:dyDescent="0.2">
      <c r="A11" s="166" t="s">
        <v>2</v>
      </c>
      <c r="B11" s="167">
        <v>0</v>
      </c>
      <c r="C11" s="256">
        <f>9+10+9+1+7</f>
        <v>36</v>
      </c>
      <c r="D11" s="256">
        <f>27+16+19+2+15</f>
        <v>79</v>
      </c>
      <c r="E11" s="167">
        <f>2+2+1+2</f>
        <v>7</v>
      </c>
      <c r="F11" s="167">
        <f>7+8+8+1+5</f>
        <v>29</v>
      </c>
      <c r="G11" s="165">
        <f>10285.71+6857.14+13199.98+1714.28</f>
        <v>32057.109999999997</v>
      </c>
      <c r="H11" s="257">
        <f>33280.01+(17428.49-0.03)+(38028.6-0.04)+(11371.45-0.03+0.01)</f>
        <v>100108.45999999999</v>
      </c>
      <c r="I11" s="257">
        <v>0</v>
      </c>
      <c r="J11" s="165">
        <f>(1142.86)+(1200)+(1142.86)+(571.43)+(1142.86)+(800)+(1142.86)+(1200)</f>
        <v>8342.869999999999</v>
      </c>
      <c r="K11" s="146">
        <v>0</v>
      </c>
      <c r="L11" s="146">
        <v>0</v>
      </c>
      <c r="M11" s="165">
        <f>1142.86</f>
        <v>1142.8599999999999</v>
      </c>
      <c r="N11" s="257">
        <f>11*1142.86</f>
        <v>12571.46</v>
      </c>
      <c r="O11" s="171">
        <v>0</v>
      </c>
      <c r="P11" s="353">
        <f t="shared" ref="P11:P22" si="0">G11+H11+I11+J11+K11+L11+M11+N11+O11</f>
        <v>154222.75999999995</v>
      </c>
      <c r="Q11" s="354">
        <f>P11+'2. COMPR DEV 30%'!E9+'2. COMPR DEV 30%'!C9+'3. COMP VR'!C9+'3. COMP VR'!E9+'4. COMP VP'!D12+'4. COMP VP'!F12</f>
        <v>372303.76999999996</v>
      </c>
      <c r="R11" s="469"/>
      <c r="S11" s="431"/>
      <c r="T11" s="323"/>
      <c r="U11" s="426"/>
      <c r="V11" s="394"/>
    </row>
    <row r="12" spans="1:22" ht="23.1" customHeight="1" x14ac:dyDescent="0.2">
      <c r="A12" s="147" t="s">
        <v>3</v>
      </c>
      <c r="B12" s="167">
        <f>3</f>
        <v>3</v>
      </c>
      <c r="C12" s="256">
        <f>8+1+1+9+1+10+1+6</f>
        <v>37</v>
      </c>
      <c r="D12" s="256">
        <f>15+2+4+18+3+24+2+16</f>
        <v>84</v>
      </c>
      <c r="E12" s="167">
        <f>4+6+1+2+1+5</f>
        <v>19</v>
      </c>
      <c r="F12" s="167">
        <f>4+1+1+3+8+4</f>
        <v>21</v>
      </c>
      <c r="G12" s="165">
        <f>10285.71+5142.86+10285.71+6857.14</f>
        <v>32571.42</v>
      </c>
      <c r="H12" s="257">
        <f>(41971.43-0.01)+(20628.6-0.04+0.01)+(29471.67-0.04+0.01)+(36971.42-0.01+0.01+742.85)</f>
        <v>129785.9</v>
      </c>
      <c r="I12" s="257">
        <f>(11428.57)+(11428.57)+(1885.72-0.01+1942.86)</f>
        <v>26685.71</v>
      </c>
      <c r="J12" s="165">
        <f>1142.86+1142.86+571.43+571.43+800+1142.86</f>
        <v>5371.44</v>
      </c>
      <c r="K12" s="146">
        <v>0</v>
      </c>
      <c r="L12" s="146">
        <v>0</v>
      </c>
      <c r="M12" s="165">
        <f>1142.86</f>
        <v>1142.8599999999999</v>
      </c>
      <c r="N12" s="257">
        <f>7*1142.86</f>
        <v>8000.0199999999995</v>
      </c>
      <c r="O12" s="171">
        <v>0</v>
      </c>
      <c r="P12" s="353">
        <f t="shared" si="0"/>
        <v>203557.34999999998</v>
      </c>
      <c r="Q12" s="355">
        <f>P12+'2. COMPR DEV 30%'!C10+'2. COMPR DEV 30%'!E10+'3. COMP VR'!C10+'3. COMP VR'!E10+'4. COMP VP'!D13+'4. COMP VP'!F13</f>
        <v>359069.29</v>
      </c>
      <c r="R12" s="356"/>
      <c r="T12" s="323"/>
      <c r="U12" s="426"/>
      <c r="V12" s="394"/>
    </row>
    <row r="13" spans="1:22" ht="23.1" customHeight="1" x14ac:dyDescent="0.2">
      <c r="A13" s="147" t="s">
        <v>4</v>
      </c>
      <c r="B13" s="167">
        <f>1+5+5+4</f>
        <v>15</v>
      </c>
      <c r="C13" s="256">
        <f>7+5+6+6</f>
        <v>24</v>
      </c>
      <c r="D13" s="256">
        <f>14+23+24+19</f>
        <v>80</v>
      </c>
      <c r="E13" s="167">
        <f>3+4+3+6</f>
        <v>16</v>
      </c>
      <c r="F13" s="167">
        <f>5+6+8+4</f>
        <v>23</v>
      </c>
      <c r="G13" s="165">
        <f>10285.71+7988.57+13714.28+11142.85</f>
        <v>43131.409999999996</v>
      </c>
      <c r="H13" s="257">
        <f>(35857.13+0.02)+(20091.46-0.07+0.01+1165.72)+(14895.3-0.03+0.03)+(18799.98+0.01+171.43)</f>
        <v>90980.989999999991</v>
      </c>
      <c r="I13" s="257">
        <v>0</v>
      </c>
      <c r="J13" s="165">
        <f>142.86+1142.86+600+600+685.71+285.72+1142.86+300+300+1142.86</f>
        <v>6342.869999999999</v>
      </c>
      <c r="K13" s="146">
        <v>0</v>
      </c>
      <c r="L13" s="146">
        <v>0</v>
      </c>
      <c r="M13" s="165">
        <v>0</v>
      </c>
      <c r="N13" s="257">
        <f>13*1142.86</f>
        <v>14857.179999999998</v>
      </c>
      <c r="O13" s="171">
        <v>0</v>
      </c>
      <c r="P13" s="353">
        <f t="shared" si="0"/>
        <v>155312.44999999998</v>
      </c>
      <c r="Q13" s="355">
        <f>P13+'2. COMPR DEV 30%'!C11+'2. COMPR DEV 30%'!E11+'3. COMP VR'!C11+'3. COMP VR'!E11+'4. COMP VP'!D14+'4. COMP VP'!F14</f>
        <v>417000.04</v>
      </c>
      <c r="R13" s="357"/>
      <c r="T13" s="323"/>
      <c r="U13" s="426"/>
      <c r="V13" s="394"/>
    </row>
    <row r="14" spans="1:22" ht="23.1" customHeight="1" x14ac:dyDescent="0.2">
      <c r="A14" s="147" t="s">
        <v>5</v>
      </c>
      <c r="B14" s="167">
        <v>0</v>
      </c>
      <c r="C14" s="256">
        <v>0</v>
      </c>
      <c r="D14" s="256">
        <v>0</v>
      </c>
      <c r="E14" s="167">
        <v>0</v>
      </c>
      <c r="F14" s="167">
        <v>0</v>
      </c>
      <c r="G14" s="165">
        <v>0</v>
      </c>
      <c r="H14" s="257">
        <v>0</v>
      </c>
      <c r="I14" s="257">
        <v>0</v>
      </c>
      <c r="J14" s="165">
        <v>0</v>
      </c>
      <c r="K14" s="146">
        <v>0</v>
      </c>
      <c r="L14" s="146">
        <v>0</v>
      </c>
      <c r="M14" s="165">
        <v>0</v>
      </c>
      <c r="N14" s="257">
        <v>0</v>
      </c>
      <c r="O14" s="171">
        <v>0</v>
      </c>
      <c r="P14" s="353">
        <f t="shared" si="0"/>
        <v>0</v>
      </c>
      <c r="Q14" s="355">
        <f>P14+'2. COMPR DEV 30%'!C12+'2. COMPR DEV 30%'!E12+'3. COMP VR'!C12+'3. COMP VR'!E12+'4. COMP VP'!D15+'4. COMP VP'!F15</f>
        <v>164988.12</v>
      </c>
      <c r="T14" s="323"/>
      <c r="U14" s="426"/>
      <c r="V14" s="394"/>
    </row>
    <row r="15" spans="1:22" ht="23.1" customHeight="1" x14ac:dyDescent="0.2">
      <c r="A15" s="147" t="s">
        <v>6</v>
      </c>
      <c r="B15" s="167">
        <v>0</v>
      </c>
      <c r="C15" s="256">
        <v>0</v>
      </c>
      <c r="D15" s="256">
        <v>0</v>
      </c>
      <c r="E15" s="167">
        <v>0</v>
      </c>
      <c r="F15" s="167">
        <v>0</v>
      </c>
      <c r="G15" s="165">
        <v>0</v>
      </c>
      <c r="H15" s="257">
        <v>0</v>
      </c>
      <c r="I15" s="257">
        <v>0</v>
      </c>
      <c r="J15" s="165">
        <v>0</v>
      </c>
      <c r="K15" s="146">
        <v>0</v>
      </c>
      <c r="L15" s="146">
        <v>0</v>
      </c>
      <c r="M15" s="165">
        <v>0</v>
      </c>
      <c r="N15" s="257">
        <v>0</v>
      </c>
      <c r="O15" s="171">
        <v>0</v>
      </c>
      <c r="P15" s="353">
        <f t="shared" si="0"/>
        <v>0</v>
      </c>
      <c r="Q15" s="355">
        <f>P15+'2. COMPR DEV 30%'!C13+'2. COMPR DEV 30%'!E13+'3. COMP VR'!C13+'3. COMP VR'!E13+'4. COMP VP'!D16+'4. COMP VP'!F16</f>
        <v>0</v>
      </c>
      <c r="R15" s="356"/>
      <c r="T15" s="323"/>
      <c r="U15" s="426"/>
      <c r="V15" s="394"/>
    </row>
    <row r="16" spans="1:22" ht="23.1" customHeight="1" x14ac:dyDescent="0.2">
      <c r="A16" s="147" t="s">
        <v>8</v>
      </c>
      <c r="B16" s="167">
        <v>0</v>
      </c>
      <c r="C16" s="256">
        <v>0</v>
      </c>
      <c r="D16" s="256">
        <v>0</v>
      </c>
      <c r="E16" s="167">
        <v>0</v>
      </c>
      <c r="F16" s="167">
        <v>0</v>
      </c>
      <c r="G16" s="165">
        <v>0</v>
      </c>
      <c r="H16" s="257">
        <v>0</v>
      </c>
      <c r="I16" s="257">
        <v>0</v>
      </c>
      <c r="J16" s="165">
        <v>0</v>
      </c>
      <c r="K16" s="146">
        <v>0</v>
      </c>
      <c r="L16" s="146">
        <v>0</v>
      </c>
      <c r="M16" s="165">
        <v>0</v>
      </c>
      <c r="N16" s="257">
        <v>0</v>
      </c>
      <c r="O16" s="171">
        <v>0</v>
      </c>
      <c r="P16" s="353">
        <f t="shared" si="0"/>
        <v>0</v>
      </c>
      <c r="Q16" s="355">
        <f>P16+'2. COMPR DEV 30%'!C14+'2. COMPR DEV 30%'!E14+'3. COMP VR'!C14+'3. COMP VR'!E14+'4. COMP VP'!D17+'4. COMP VP'!F17</f>
        <v>0</v>
      </c>
      <c r="T16" s="323"/>
      <c r="U16" s="426"/>
      <c r="V16" s="394"/>
    </row>
    <row r="17" spans="1:24" ht="23.1" customHeight="1" x14ac:dyDescent="0.2">
      <c r="A17" s="147" t="s">
        <v>9</v>
      </c>
      <c r="B17" s="167">
        <v>0</v>
      </c>
      <c r="C17" s="256">
        <v>0</v>
      </c>
      <c r="D17" s="256">
        <v>0</v>
      </c>
      <c r="E17" s="167">
        <v>0</v>
      </c>
      <c r="F17" s="167">
        <v>0</v>
      </c>
      <c r="G17" s="165">
        <v>0</v>
      </c>
      <c r="H17" s="257">
        <v>0</v>
      </c>
      <c r="I17" s="257">
        <v>0</v>
      </c>
      <c r="J17" s="165">
        <v>0</v>
      </c>
      <c r="K17" s="146">
        <v>0</v>
      </c>
      <c r="L17" s="146">
        <v>0</v>
      </c>
      <c r="M17" s="165">
        <v>0</v>
      </c>
      <c r="N17" s="257">
        <v>0</v>
      </c>
      <c r="O17" s="171">
        <v>0</v>
      </c>
      <c r="P17" s="353">
        <f t="shared" si="0"/>
        <v>0</v>
      </c>
      <c r="Q17" s="355">
        <f>P17+'2. COMPR DEV 30%'!C15+'2. COMPR DEV 30%'!E15+'3. COMP VR'!C15+'3. COMP VR'!E15+'4. COMP VP'!D18+'4. COMP VP'!F18</f>
        <v>0</v>
      </c>
      <c r="R17" s="355"/>
      <c r="T17" s="323"/>
      <c r="U17" s="426"/>
      <c r="V17" s="394"/>
    </row>
    <row r="18" spans="1:24" ht="23.1" customHeight="1" x14ac:dyDescent="0.2">
      <c r="A18" s="147" t="s">
        <v>10</v>
      </c>
      <c r="B18" s="167">
        <v>0</v>
      </c>
      <c r="C18" s="256">
        <v>0</v>
      </c>
      <c r="D18" s="256">
        <v>0</v>
      </c>
      <c r="E18" s="167">
        <v>0</v>
      </c>
      <c r="F18" s="167">
        <v>0</v>
      </c>
      <c r="G18" s="165">
        <v>0</v>
      </c>
      <c r="H18" s="257">
        <v>0</v>
      </c>
      <c r="I18" s="257">
        <v>0</v>
      </c>
      <c r="J18" s="165">
        <v>0</v>
      </c>
      <c r="K18" s="146">
        <v>0</v>
      </c>
      <c r="L18" s="146">
        <v>0</v>
      </c>
      <c r="M18" s="165">
        <v>0</v>
      </c>
      <c r="N18" s="257">
        <v>0</v>
      </c>
      <c r="O18" s="171">
        <v>0</v>
      </c>
      <c r="P18" s="353">
        <f t="shared" si="0"/>
        <v>0</v>
      </c>
      <c r="Q18" s="355">
        <f>P18+'2. COMPR DEV 30%'!C16+'2. COMPR DEV 30%'!E16+'3. COMP VR'!C16+'3. COMP VR'!E16+'4. COMP VP'!D19+'4. COMP VP'!F19</f>
        <v>0</v>
      </c>
      <c r="T18" s="323"/>
      <c r="U18" s="426"/>
      <c r="V18" s="394"/>
    </row>
    <row r="19" spans="1:24" ht="23.1" customHeight="1" x14ac:dyDescent="0.2">
      <c r="A19" s="148" t="s">
        <v>12</v>
      </c>
      <c r="B19" s="167">
        <v>0</v>
      </c>
      <c r="C19" s="256">
        <v>0</v>
      </c>
      <c r="D19" s="256">
        <v>0</v>
      </c>
      <c r="E19" s="167">
        <v>0</v>
      </c>
      <c r="F19" s="167">
        <v>0</v>
      </c>
      <c r="G19" s="165">
        <v>0</v>
      </c>
      <c r="H19" s="257">
        <v>0</v>
      </c>
      <c r="I19" s="257">
        <v>0</v>
      </c>
      <c r="J19" s="165">
        <v>0</v>
      </c>
      <c r="K19" s="146">
        <v>0</v>
      </c>
      <c r="L19" s="146">
        <v>0</v>
      </c>
      <c r="M19" s="165">
        <v>0</v>
      </c>
      <c r="N19" s="257">
        <v>0</v>
      </c>
      <c r="O19" s="171">
        <v>0</v>
      </c>
      <c r="P19" s="353">
        <f t="shared" si="0"/>
        <v>0</v>
      </c>
      <c r="Q19" s="355">
        <f>P19+'2. COMPR DEV 30%'!C17+'2. COMPR DEV 30%'!E17+'3. COMP VR'!C17+'3. COMP VR'!E17+'4. COMP VP'!D20+'4. COMP VP'!F20</f>
        <v>0</v>
      </c>
      <c r="R19" s="356"/>
      <c r="T19" s="323"/>
      <c r="U19" s="426"/>
      <c r="V19" s="394"/>
      <c r="X19" s="394"/>
    </row>
    <row r="20" spans="1:24" ht="23.1" customHeight="1" x14ac:dyDescent="0.2">
      <c r="A20" s="149" t="s">
        <v>13</v>
      </c>
      <c r="B20" s="167">
        <v>0</v>
      </c>
      <c r="C20" s="256">
        <v>0</v>
      </c>
      <c r="D20" s="256">
        <v>0</v>
      </c>
      <c r="E20" s="167">
        <v>0</v>
      </c>
      <c r="F20" s="167">
        <v>0</v>
      </c>
      <c r="G20" s="165">
        <v>0</v>
      </c>
      <c r="H20" s="257">
        <v>0</v>
      </c>
      <c r="I20" s="257">
        <v>0</v>
      </c>
      <c r="J20" s="165">
        <v>0</v>
      </c>
      <c r="K20" s="146">
        <v>0</v>
      </c>
      <c r="L20" s="146">
        <v>0</v>
      </c>
      <c r="M20" s="165">
        <v>0</v>
      </c>
      <c r="N20" s="257">
        <v>0</v>
      </c>
      <c r="O20" s="171">
        <v>0</v>
      </c>
      <c r="P20" s="353">
        <f t="shared" si="0"/>
        <v>0</v>
      </c>
      <c r="Q20" s="355">
        <f>P20+'2. COMPR DEV 30%'!C18+'2. COMPR DEV 30%'!E18+'3. COMP VR'!C18+'3. COMP VR'!E18+'4. COMP VP'!D21+'4. COMP VP'!F21</f>
        <v>0</v>
      </c>
      <c r="R20" s="358"/>
      <c r="T20" s="351"/>
      <c r="U20" s="426"/>
      <c r="V20" s="394"/>
    </row>
    <row r="21" spans="1:24" ht="23.1" customHeight="1" x14ac:dyDescent="0.2">
      <c r="A21" s="150" t="s">
        <v>14</v>
      </c>
      <c r="B21" s="167">
        <v>0</v>
      </c>
      <c r="C21" s="256">
        <v>0</v>
      </c>
      <c r="D21" s="256">
        <v>0</v>
      </c>
      <c r="E21" s="167">
        <v>0</v>
      </c>
      <c r="F21" s="167">
        <v>0</v>
      </c>
      <c r="G21" s="165">
        <v>0</v>
      </c>
      <c r="H21" s="257">
        <v>0</v>
      </c>
      <c r="I21" s="257">
        <v>0</v>
      </c>
      <c r="J21" s="165">
        <v>0</v>
      </c>
      <c r="K21" s="146">
        <v>0</v>
      </c>
      <c r="L21" s="146">
        <v>0</v>
      </c>
      <c r="M21" s="165">
        <v>0</v>
      </c>
      <c r="N21" s="257">
        <v>0</v>
      </c>
      <c r="O21" s="171">
        <v>0</v>
      </c>
      <c r="P21" s="353">
        <f t="shared" si="0"/>
        <v>0</v>
      </c>
      <c r="Q21" s="355">
        <f>P21+'2. COMPR DEV 30%'!C19+'2. COMPR DEV 30%'!E19+'3. COMP VR'!C19+'3. COMP VR'!E19+'4. COMP VP'!D22+'4. COMP VP'!F22</f>
        <v>0</v>
      </c>
      <c r="R21" s="356"/>
      <c r="T21" s="351"/>
      <c r="U21" s="426"/>
      <c r="V21" s="394"/>
    </row>
    <row r="22" spans="1:24" ht="23.1" customHeight="1" thickBot="1" x14ac:dyDescent="0.25">
      <c r="A22" s="150" t="s">
        <v>15</v>
      </c>
      <c r="B22" s="167">
        <v>0</v>
      </c>
      <c r="C22" s="256">
        <v>0</v>
      </c>
      <c r="D22" s="256">
        <v>0</v>
      </c>
      <c r="E22" s="167">
        <v>0</v>
      </c>
      <c r="F22" s="167">
        <v>0</v>
      </c>
      <c r="G22" s="165">
        <v>0</v>
      </c>
      <c r="H22" s="257">
        <v>0</v>
      </c>
      <c r="I22" s="257">
        <v>0</v>
      </c>
      <c r="J22" s="165">
        <v>0</v>
      </c>
      <c r="K22" s="146">
        <v>0</v>
      </c>
      <c r="L22" s="146">
        <v>0</v>
      </c>
      <c r="M22" s="165">
        <v>0</v>
      </c>
      <c r="N22" s="257">
        <v>0</v>
      </c>
      <c r="O22" s="171">
        <v>0</v>
      </c>
      <c r="P22" s="353">
        <f t="shared" si="0"/>
        <v>0</v>
      </c>
      <c r="Q22" s="355">
        <f>P22+'2. COMPR DEV 30%'!C20+'2. COMPR DEV 30%'!E20+'3. COMP VR'!C20+'3. COMP VR'!E20+'4. COMP VP'!D23+'4. COMP VP'!F23</f>
        <v>0</v>
      </c>
      <c r="R22" s="355"/>
      <c r="T22" s="351"/>
      <c r="U22" s="426"/>
      <c r="V22" s="394"/>
    </row>
    <row r="23" spans="1:24" ht="27.75" customHeight="1" thickBot="1" x14ac:dyDescent="0.25">
      <c r="A23" s="172" t="s">
        <v>0</v>
      </c>
      <c r="B23" s="173">
        <f t="shared" ref="B23:I23" si="1">SUM(B11:B22)</f>
        <v>18</v>
      </c>
      <c r="C23" s="173">
        <f t="shared" si="1"/>
        <v>97</v>
      </c>
      <c r="D23" s="173">
        <f t="shared" si="1"/>
        <v>243</v>
      </c>
      <c r="E23" s="173">
        <f t="shared" si="1"/>
        <v>42</v>
      </c>
      <c r="F23" s="173">
        <f t="shared" si="1"/>
        <v>73</v>
      </c>
      <c r="G23" s="174">
        <f t="shared" si="1"/>
        <v>107759.94</v>
      </c>
      <c r="H23" s="174">
        <f t="shared" si="1"/>
        <v>320875.34999999998</v>
      </c>
      <c r="I23" s="174">
        <f t="shared" si="1"/>
        <v>26685.71</v>
      </c>
      <c r="J23" s="174">
        <f t="shared" ref="J23:O23" si="2">SUM(J11:J22)</f>
        <v>20057.179999999997</v>
      </c>
      <c r="K23" s="174">
        <f t="shared" si="2"/>
        <v>0</v>
      </c>
      <c r="L23" s="174">
        <f t="shared" si="2"/>
        <v>0</v>
      </c>
      <c r="M23" s="174">
        <f t="shared" si="2"/>
        <v>2285.7199999999998</v>
      </c>
      <c r="N23" s="174">
        <f t="shared" si="2"/>
        <v>35428.659999999996</v>
      </c>
      <c r="O23" s="175">
        <f t="shared" si="2"/>
        <v>0</v>
      </c>
      <c r="P23" s="359">
        <f>G23+H23+I23+J23+K23+L23+M23+N23+O23</f>
        <v>513092.55999999994</v>
      </c>
      <c r="Q23" s="360">
        <f>SUM(Q11:Q22)</f>
        <v>1313361.2199999997</v>
      </c>
      <c r="T23" s="323"/>
      <c r="U23" s="426"/>
      <c r="V23" s="394"/>
    </row>
    <row r="24" spans="1:24" s="351" customFormat="1" x14ac:dyDescent="0.2">
      <c r="A24" s="122" t="s">
        <v>481</v>
      </c>
      <c r="B24" s="427"/>
      <c r="C24" s="427"/>
      <c r="D24" s="427"/>
      <c r="E24" s="427"/>
      <c r="F24" s="427"/>
      <c r="G24" s="364"/>
      <c r="H24" s="427"/>
      <c r="I24" s="427"/>
      <c r="J24" s="427"/>
      <c r="K24" s="427"/>
      <c r="L24" s="427"/>
      <c r="M24" s="364"/>
      <c r="N24" s="2" t="s">
        <v>501</v>
      </c>
      <c r="O24" s="364"/>
      <c r="Q24" s="354">
        <f>SUM(Q11:Q23)-Q23</f>
        <v>1313361.2199999997</v>
      </c>
      <c r="R24" s="356"/>
    </row>
    <row r="25" spans="1:24" s="351" customFormat="1" x14ac:dyDescent="0.2">
      <c r="A25" s="6" t="s">
        <v>166</v>
      </c>
      <c r="B25" s="119"/>
      <c r="C25" s="427"/>
      <c r="D25" s="427"/>
      <c r="E25" s="427"/>
      <c r="F25" s="427"/>
      <c r="G25" s="364"/>
      <c r="H25" s="427"/>
      <c r="I25" s="427"/>
      <c r="J25" s="427"/>
      <c r="K25" s="427"/>
      <c r="L25" s="427"/>
      <c r="M25" s="364"/>
      <c r="N25" s="364"/>
      <c r="O25" s="364"/>
      <c r="P25" s="361"/>
      <c r="Q25" s="356"/>
      <c r="V25" s="356"/>
    </row>
    <row r="26" spans="1:24" s="351" customFormat="1" x14ac:dyDescent="0.2">
      <c r="B26" s="429"/>
      <c r="C26" s="427"/>
      <c r="D26" s="427"/>
      <c r="E26" s="427"/>
      <c r="F26" s="427"/>
      <c r="G26" s="364"/>
      <c r="H26" s="427"/>
      <c r="I26" s="427"/>
      <c r="J26" s="427"/>
      <c r="K26" s="427"/>
      <c r="L26" s="427"/>
      <c r="M26" s="364"/>
      <c r="N26" s="364"/>
      <c r="O26" s="364"/>
      <c r="P26" s="356"/>
      <c r="Q26" s="416"/>
      <c r="V26" s="356"/>
    </row>
    <row r="27" spans="1:24" s="351" customFormat="1" x14ac:dyDescent="0.2">
      <c r="A27" s="427"/>
      <c r="B27" s="429"/>
      <c r="C27" s="427"/>
      <c r="D27" s="427"/>
      <c r="E27" s="427"/>
      <c r="F27" s="427"/>
      <c r="G27" s="364"/>
      <c r="H27" s="427"/>
      <c r="I27" s="427"/>
      <c r="J27" s="427"/>
      <c r="K27" s="427"/>
      <c r="L27" s="427"/>
      <c r="M27" s="364"/>
      <c r="N27" s="364"/>
      <c r="O27" s="364"/>
      <c r="P27" s="356"/>
      <c r="Q27" s="356"/>
    </row>
    <row r="28" spans="1:24" s="351" customFormat="1" x14ac:dyDescent="0.2">
      <c r="A28" s="119" t="s">
        <v>145</v>
      </c>
      <c r="B28" s="429"/>
      <c r="C28" s="428"/>
      <c r="D28" s="428"/>
      <c r="E28" s="428"/>
      <c r="F28" s="428"/>
      <c r="G28" s="119"/>
      <c r="H28" s="428"/>
      <c r="I28" s="428"/>
      <c r="J28" s="428"/>
      <c r="K28" s="428"/>
      <c r="L28" s="428"/>
      <c r="M28" s="119"/>
      <c r="N28" s="119"/>
      <c r="O28" s="119"/>
      <c r="P28" s="119"/>
      <c r="Q28" s="356"/>
    </row>
    <row r="29" spans="1:24" s="351" customFormat="1" x14ac:dyDescent="0.2">
      <c r="A29" s="428"/>
      <c r="B29" s="429"/>
      <c r="C29" s="427"/>
      <c r="D29" s="427"/>
      <c r="E29" s="427"/>
      <c r="F29" s="427"/>
      <c r="G29" s="364"/>
      <c r="H29" s="427"/>
      <c r="I29" s="427"/>
      <c r="J29" s="427"/>
      <c r="K29" s="427"/>
      <c r="L29" s="427"/>
      <c r="M29" s="364"/>
      <c r="N29" s="364"/>
      <c r="O29" s="364"/>
      <c r="Q29" s="416"/>
      <c r="U29" s="356"/>
    </row>
    <row r="30" spans="1:24" s="351" customFormat="1" x14ac:dyDescent="0.2">
      <c r="A30" s="428"/>
      <c r="B30" s="119"/>
      <c r="C30" s="428"/>
      <c r="D30" s="428"/>
      <c r="E30" s="428"/>
      <c r="F30" s="428"/>
      <c r="G30" s="119"/>
      <c r="H30" s="428"/>
      <c r="I30" s="428"/>
      <c r="J30" s="428"/>
      <c r="K30" s="428"/>
      <c r="L30" s="428"/>
      <c r="M30" s="119"/>
      <c r="N30" s="119"/>
      <c r="O30" s="119"/>
      <c r="P30" s="119"/>
      <c r="Q30" s="416"/>
    </row>
    <row r="31" spans="1:24" s="351" customFormat="1" x14ac:dyDescent="0.2">
      <c r="A31" s="428"/>
      <c r="B31" s="119"/>
      <c r="C31" s="428"/>
      <c r="D31" s="428"/>
      <c r="E31" s="428"/>
      <c r="F31" s="428"/>
      <c r="G31" s="119"/>
      <c r="H31" s="428"/>
      <c r="I31" s="428"/>
      <c r="J31" s="428"/>
      <c r="K31" s="428"/>
      <c r="L31" s="428"/>
      <c r="M31" s="119"/>
      <c r="N31" s="119"/>
      <c r="O31" s="119"/>
      <c r="P31" s="119"/>
    </row>
    <row r="32" spans="1:24" s="351" customFormat="1" x14ac:dyDescent="0.2">
      <c r="A32" s="428"/>
      <c r="B32" s="119"/>
      <c r="C32" s="428"/>
      <c r="D32" s="428"/>
      <c r="E32" s="428"/>
      <c r="F32" s="428"/>
      <c r="G32" s="8" t="s">
        <v>482</v>
      </c>
      <c r="H32" s="460"/>
      <c r="I32" s="461"/>
      <c r="J32" s="462"/>
      <c r="K32" s="462"/>
      <c r="L32" s="5"/>
      <c r="M32" s="8" t="s">
        <v>128</v>
      </c>
      <c r="N32" s="460"/>
      <c r="O32" s="461"/>
      <c r="P32" s="362"/>
    </row>
    <row r="33" spans="1:18" s="351" customFormat="1" x14ac:dyDescent="0.2">
      <c r="A33" s="428"/>
      <c r="B33" s="119"/>
      <c r="D33" s="428"/>
      <c r="E33" s="428"/>
      <c r="F33" s="428"/>
      <c r="G33" s="15"/>
      <c r="H33" s="9" t="s">
        <v>483</v>
      </c>
      <c r="I33" s="2"/>
      <c r="J33" s="6"/>
      <c r="K33" s="6"/>
      <c r="L33" s="5"/>
      <c r="M33" s="15"/>
      <c r="N33" s="9" t="s">
        <v>485</v>
      </c>
      <c r="O33" s="2"/>
    </row>
    <row r="34" spans="1:18" s="351" customFormat="1" x14ac:dyDescent="0.2">
      <c r="A34" s="428"/>
      <c r="B34" s="119"/>
      <c r="C34" s="428"/>
      <c r="D34" s="428"/>
      <c r="E34" s="428"/>
      <c r="F34" s="428"/>
      <c r="G34" s="4"/>
      <c r="H34" s="463" t="s">
        <v>486</v>
      </c>
      <c r="I34" s="2"/>
      <c r="J34" s="3"/>
      <c r="K34" s="3"/>
      <c r="L34" s="2"/>
      <c r="M34" s="4"/>
      <c r="N34" s="463" t="s">
        <v>484</v>
      </c>
      <c r="O34" s="2"/>
      <c r="Q34" s="430"/>
    </row>
    <row r="35" spans="1:18" x14ac:dyDescent="0.2">
      <c r="A35" s="6"/>
      <c r="B35" s="420"/>
      <c r="C35" s="421"/>
      <c r="D35" s="421"/>
      <c r="E35" s="421"/>
      <c r="F35" s="421"/>
      <c r="G35" s="323"/>
      <c r="H35" s="421"/>
      <c r="I35" s="421"/>
      <c r="J35" s="3"/>
      <c r="K35" s="3"/>
      <c r="L35" s="3"/>
      <c r="Q35" s="430"/>
      <c r="R35" s="356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63"/>
      <c r="Q36" s="430"/>
    </row>
    <row r="37" spans="1:18" x14ac:dyDescent="0.2">
      <c r="A37" s="6"/>
      <c r="B37" s="4"/>
      <c r="C37" s="12"/>
      <c r="D37" s="12"/>
      <c r="E37" s="12"/>
      <c r="F37" s="12"/>
      <c r="G37" s="151"/>
      <c r="H37" s="12"/>
      <c r="I37" s="12"/>
      <c r="J37" s="12"/>
      <c r="K37" s="12"/>
      <c r="L37" s="12"/>
      <c r="M37" s="4"/>
      <c r="N37" s="4"/>
      <c r="O37" s="4"/>
      <c r="P37" s="363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51"/>
      <c r="H39" s="3"/>
      <c r="I39" s="3"/>
      <c r="J39" s="3"/>
      <c r="K39" s="3"/>
      <c r="L39" s="3"/>
    </row>
    <row r="40" spans="1:18" x14ac:dyDescent="0.2">
      <c r="A40" s="13"/>
      <c r="B40" s="13"/>
      <c r="C40" s="13"/>
      <c r="D40" s="13"/>
      <c r="H40" s="394"/>
    </row>
    <row r="41" spans="1:18" x14ac:dyDescent="0.2">
      <c r="A41" s="13"/>
      <c r="B41" s="13"/>
      <c r="C41" s="13"/>
      <c r="D41" s="13"/>
    </row>
    <row r="42" spans="1:18" x14ac:dyDescent="0.2">
      <c r="A42" s="13"/>
      <c r="B42" s="13"/>
      <c r="C42" s="13"/>
      <c r="D42" s="13"/>
      <c r="E42" s="4"/>
      <c r="F42" s="4"/>
      <c r="N42" s="4"/>
      <c r="O42" s="4"/>
      <c r="P42" s="364"/>
    </row>
    <row r="43" spans="1:18" x14ac:dyDescent="0.2">
      <c r="A43" s="13"/>
      <c r="B43" s="13"/>
      <c r="C43" s="13"/>
      <c r="D43" s="13"/>
    </row>
    <row r="44" spans="1:18" x14ac:dyDescent="0.2">
      <c r="A44" s="13"/>
      <c r="B44" s="13"/>
      <c r="C44" s="13"/>
      <c r="D44" s="13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O19" sqref="O19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6" t="s">
        <v>259</v>
      </c>
    </row>
    <row r="3" spans="1:11" ht="15" x14ac:dyDescent="0.25">
      <c r="A3" s="69"/>
      <c r="B3" s="69"/>
      <c r="C3" s="69"/>
      <c r="H3" s="69"/>
      <c r="I3" s="69"/>
      <c r="J3" s="69"/>
      <c r="K3" s="68"/>
    </row>
    <row r="4" spans="1:11" s="10" customFormat="1" ht="9" x14ac:dyDescent="0.15">
      <c r="A4" s="494" t="s">
        <v>68</v>
      </c>
      <c r="B4" s="494"/>
      <c r="C4" s="494"/>
      <c r="D4" s="494"/>
      <c r="E4" s="494"/>
      <c r="F4" s="112"/>
      <c r="G4" s="494" t="s">
        <v>68</v>
      </c>
      <c r="H4" s="494"/>
      <c r="I4" s="494"/>
      <c r="J4" s="494"/>
      <c r="K4" s="494"/>
    </row>
    <row r="5" spans="1:11" s="10" customFormat="1" ht="9" x14ac:dyDescent="0.15">
      <c r="A5" s="494" t="s">
        <v>69</v>
      </c>
      <c r="B5" s="494"/>
      <c r="C5" s="494"/>
      <c r="D5" s="494"/>
      <c r="E5" s="494"/>
      <c r="F5" s="112"/>
      <c r="G5" s="494" t="s">
        <v>69</v>
      </c>
      <c r="H5" s="494"/>
      <c r="I5" s="494"/>
      <c r="J5" s="494"/>
      <c r="K5" s="494"/>
    </row>
    <row r="6" spans="1:11" s="10" customFormat="1" ht="9" x14ac:dyDescent="0.15">
      <c r="A6" s="498" t="s">
        <v>492</v>
      </c>
      <c r="B6" s="498"/>
      <c r="C6" s="498"/>
      <c r="D6" s="498"/>
      <c r="E6" s="498"/>
      <c r="F6" s="112"/>
      <c r="G6" s="498" t="s">
        <v>487</v>
      </c>
      <c r="H6" s="498"/>
      <c r="I6" s="498"/>
      <c r="J6" s="498"/>
      <c r="K6" s="498"/>
    </row>
    <row r="7" spans="1:11" ht="15" customHeight="1" x14ac:dyDescent="0.25">
      <c r="A7" s="127"/>
      <c r="B7" s="495" t="s">
        <v>493</v>
      </c>
      <c r="C7" s="496"/>
      <c r="D7" s="496"/>
      <c r="E7" s="497"/>
      <c r="F7" s="68"/>
      <c r="G7" s="71"/>
      <c r="H7" s="499" t="s">
        <v>491</v>
      </c>
      <c r="I7" s="500"/>
      <c r="J7" s="500"/>
      <c r="K7" s="501"/>
    </row>
    <row r="8" spans="1:11" ht="77.25" customHeight="1" x14ac:dyDescent="0.25">
      <c r="A8" s="128" t="s">
        <v>70</v>
      </c>
      <c r="B8" s="129" t="s">
        <v>117</v>
      </c>
      <c r="C8" s="130" t="s">
        <v>72</v>
      </c>
      <c r="D8" s="131" t="s">
        <v>73</v>
      </c>
      <c r="E8" s="132" t="s">
        <v>74</v>
      </c>
      <c r="F8" s="68"/>
      <c r="G8" s="72" t="s">
        <v>70</v>
      </c>
      <c r="H8" s="20" t="s">
        <v>117</v>
      </c>
      <c r="I8" s="73" t="s">
        <v>72</v>
      </c>
      <c r="J8" s="74" t="s">
        <v>73</v>
      </c>
      <c r="K8" s="75" t="s">
        <v>74</v>
      </c>
    </row>
    <row r="9" spans="1:11" ht="15" x14ac:dyDescent="0.25">
      <c r="A9" s="276" t="s">
        <v>56</v>
      </c>
      <c r="B9" s="277">
        <f>10+7+10+3+3</f>
        <v>33</v>
      </c>
      <c r="C9" s="278">
        <f>326.74+328.27+427.76+56.95+47.34</f>
        <v>1187.06</v>
      </c>
      <c r="D9" s="278">
        <f>10891.41+10942.23+14258.3+1898.48+1577.84</f>
        <v>39568.26</v>
      </c>
      <c r="E9" s="279">
        <f>2940.69+2954.43+3849.73+512.6+426.02</f>
        <v>10683.470000000001</v>
      </c>
      <c r="F9" s="68"/>
      <c r="G9" s="76" t="s">
        <v>56</v>
      </c>
      <c r="H9" s="277">
        <f>6+6+3+1</f>
        <v>16</v>
      </c>
      <c r="I9" s="278">
        <f>232.33+240.99+71+58.76</f>
        <v>603.08000000000004</v>
      </c>
      <c r="J9" s="278">
        <f>7744.51+8033.19+2366.96+1958.58</f>
        <v>20103.239999999998</v>
      </c>
      <c r="K9" s="279">
        <f>2091.02+2168.98+639.09+528.81</f>
        <v>5427.9</v>
      </c>
    </row>
    <row r="10" spans="1:11" ht="15" x14ac:dyDescent="0.25">
      <c r="A10" s="276" t="s">
        <v>57</v>
      </c>
      <c r="B10" s="277">
        <f>8+4+6+3</f>
        <v>21</v>
      </c>
      <c r="C10" s="278">
        <f>406.95+113.75+228.43+51.83</f>
        <v>800.96000000000015</v>
      </c>
      <c r="D10" s="278">
        <f>13564.98+3791.56+7613.94+1727.53</f>
        <v>26698.01</v>
      </c>
      <c r="E10" s="279">
        <f>3662.54+1023.72+2055.75+466.43</f>
        <v>7208.4400000000005</v>
      </c>
      <c r="F10" s="68"/>
      <c r="G10" s="76" t="s">
        <v>57</v>
      </c>
      <c r="H10" s="277">
        <f>4+8+7+2</f>
        <v>21</v>
      </c>
      <c r="I10" s="278">
        <f>140+341.73+319.59+14.65</f>
        <v>815.96999999999991</v>
      </c>
      <c r="J10" s="278">
        <f>4666.74+11390.98+10653.14+488.3</f>
        <v>27199.16</v>
      </c>
      <c r="K10" s="279">
        <f>1260.02+3075.58+2876.35+131.84</f>
        <v>7343.7900000000009</v>
      </c>
    </row>
    <row r="11" spans="1:11" ht="15" x14ac:dyDescent="0.25">
      <c r="A11" s="276" t="s">
        <v>58</v>
      </c>
      <c r="B11" s="277">
        <f>10+2+7+1</f>
        <v>20</v>
      </c>
      <c r="C11" s="278">
        <f>400.28+88.63+271.31+64.8</f>
        <v>825.02</v>
      </c>
      <c r="D11" s="278">
        <f>13342.86+2953.99+9043.38+2160.08</f>
        <v>27500.309999999998</v>
      </c>
      <c r="E11" s="279">
        <f>3602.59+797.57+2441.71+583.22</f>
        <v>7425.09</v>
      </c>
      <c r="F11" s="68"/>
      <c r="G11" s="76" t="s">
        <v>58</v>
      </c>
      <c r="H11" s="277">
        <f>4+7+9+10+2</f>
        <v>32</v>
      </c>
      <c r="I11" s="278">
        <f>168.99+268.91+265.68+275.56+73.27</f>
        <v>1052.4100000000001</v>
      </c>
      <c r="J11" s="278">
        <f>5632.92+8963.5+8855.56+9185.65+2442.18</f>
        <v>35079.81</v>
      </c>
      <c r="K11" s="279">
        <f>1520.89+2420.15+2390.99+2480.13+659.39</f>
        <v>9471.5499999999993</v>
      </c>
    </row>
    <row r="12" spans="1:11" ht="15" x14ac:dyDescent="0.25">
      <c r="A12" s="276" t="s">
        <v>59</v>
      </c>
      <c r="B12" s="277">
        <f>8+9</f>
        <v>17</v>
      </c>
      <c r="C12" s="280">
        <f>325.23+405.71</f>
        <v>730.94</v>
      </c>
      <c r="D12" s="280">
        <f>10840.96+13523.36</f>
        <v>24364.32</v>
      </c>
      <c r="E12" s="279">
        <f>2927.06+3651.31</f>
        <v>6578.37</v>
      </c>
      <c r="F12" s="68"/>
      <c r="G12" s="76" t="s">
        <v>59</v>
      </c>
      <c r="H12" s="277">
        <f>7+4+3</f>
        <v>14</v>
      </c>
      <c r="I12" s="466">
        <f>242.51+51.43+82.49</f>
        <v>376.43</v>
      </c>
      <c r="J12" s="466">
        <f>8083.1+1714.29+2749.87</f>
        <v>12547.259999999998</v>
      </c>
      <c r="K12" s="279">
        <f>2182.42+462.86+742.47</f>
        <v>3387.75</v>
      </c>
    </row>
    <row r="13" spans="1:11" ht="15" x14ac:dyDescent="0.25">
      <c r="A13" s="276" t="s">
        <v>60</v>
      </c>
      <c r="B13" s="277">
        <v>0</v>
      </c>
      <c r="C13" s="278">
        <v>0</v>
      </c>
      <c r="D13" s="278">
        <v>0</v>
      </c>
      <c r="E13" s="279">
        <v>0</v>
      </c>
      <c r="F13" s="68"/>
      <c r="G13" s="76" t="s">
        <v>60</v>
      </c>
      <c r="H13" s="277">
        <f>12+4+13+7+6</f>
        <v>42</v>
      </c>
      <c r="I13" s="278">
        <f>399.83+116.99+348.68+201.89+156.99</f>
        <v>1224.3799999999999</v>
      </c>
      <c r="J13" s="278">
        <f>13327.42+3899.56+11622.19+6729.2+5232.8</f>
        <v>40811.17</v>
      </c>
      <c r="K13" s="279">
        <f>3598.39+1052.87+3137.97+1816.87+1412.86</f>
        <v>11018.96</v>
      </c>
    </row>
    <row r="14" spans="1:11" ht="15" x14ac:dyDescent="0.25">
      <c r="A14" s="276" t="s">
        <v>61</v>
      </c>
      <c r="B14" s="277">
        <v>0</v>
      </c>
      <c r="C14" s="278">
        <v>0</v>
      </c>
      <c r="D14" s="278">
        <v>0</v>
      </c>
      <c r="E14" s="279">
        <v>0</v>
      </c>
      <c r="F14" s="68"/>
      <c r="G14" s="76" t="s">
        <v>61</v>
      </c>
      <c r="H14" s="277">
        <f>6+12+7+4</f>
        <v>29</v>
      </c>
      <c r="I14" s="278">
        <f>269.48+295.24+291.03+133.31</f>
        <v>989.06</v>
      </c>
      <c r="J14" s="278">
        <f>8982.87+9840.84+9700.9+4443.67</f>
        <v>32968.28</v>
      </c>
      <c r="K14" s="279">
        <f>2425.36+2657+2619.24+1199.79</f>
        <v>8901.39</v>
      </c>
    </row>
    <row r="15" spans="1:11" ht="15" x14ac:dyDescent="0.25">
      <c r="A15" s="281" t="s">
        <v>62</v>
      </c>
      <c r="B15" s="277">
        <v>0</v>
      </c>
      <c r="C15" s="280">
        <v>0</v>
      </c>
      <c r="D15" s="280">
        <v>0</v>
      </c>
      <c r="E15" s="279">
        <v>0</v>
      </c>
      <c r="F15" s="68"/>
      <c r="G15" s="76" t="s">
        <v>62</v>
      </c>
      <c r="H15" s="277">
        <f>11+7+7+6</f>
        <v>31</v>
      </c>
      <c r="I15" s="466">
        <f>316.1+248.18+360.25+269</f>
        <v>1193.53</v>
      </c>
      <c r="J15" s="466">
        <f>10536.05+8272.19+12008.75+8966.9</f>
        <v>39783.89</v>
      </c>
      <c r="K15" s="279">
        <f>2844.7+2233.49+3242.38+2421.06</f>
        <v>10741.63</v>
      </c>
    </row>
    <row r="16" spans="1:11" ht="15" x14ac:dyDescent="0.25">
      <c r="A16" s="276" t="s">
        <v>63</v>
      </c>
      <c r="B16" s="277">
        <v>0</v>
      </c>
      <c r="C16" s="278">
        <v>0</v>
      </c>
      <c r="D16" s="278">
        <v>0</v>
      </c>
      <c r="E16" s="279">
        <v>0</v>
      </c>
      <c r="F16" s="68"/>
      <c r="G16" s="76" t="s">
        <v>63</v>
      </c>
      <c r="H16" s="277">
        <f>6+12+2+12</f>
        <v>32</v>
      </c>
      <c r="I16" s="278">
        <f>183.36+509.9+88.74+430.97</f>
        <v>1212.97</v>
      </c>
      <c r="J16" s="278">
        <f>6111.86+16995.93+2958.02+14365.75</f>
        <v>40431.56</v>
      </c>
      <c r="K16" s="279">
        <f>1650.19+4588.87+798.66+3878.75</f>
        <v>10916.47</v>
      </c>
    </row>
    <row r="17" spans="1:13" ht="15" x14ac:dyDescent="0.25">
      <c r="A17" s="276" t="s">
        <v>75</v>
      </c>
      <c r="B17" s="277">
        <v>0</v>
      </c>
      <c r="C17" s="278">
        <v>0</v>
      </c>
      <c r="D17" s="278">
        <v>0</v>
      </c>
      <c r="E17" s="279">
        <v>0</v>
      </c>
      <c r="F17" s="68"/>
      <c r="G17" s="76" t="s">
        <v>75</v>
      </c>
      <c r="H17" s="277">
        <f>1+2+3+5+4</f>
        <v>15</v>
      </c>
      <c r="I17" s="278">
        <f>27.23+121.63+145.45+121.37+188.31</f>
        <v>603.99</v>
      </c>
      <c r="J17" s="278">
        <f>907.5+4054.18+4848.09+4045.46+6276.81</f>
        <v>20132.04</v>
      </c>
      <c r="K17" s="279">
        <f>245.02+1094.62+1308.98+1092.27+1694.74</f>
        <v>5435.63</v>
      </c>
    </row>
    <row r="18" spans="1:13" ht="15" x14ac:dyDescent="0.25">
      <c r="A18" s="276" t="s">
        <v>64</v>
      </c>
      <c r="B18" s="277">
        <v>0</v>
      </c>
      <c r="C18" s="278">
        <v>0</v>
      </c>
      <c r="D18" s="278">
        <v>0</v>
      </c>
      <c r="E18" s="279">
        <v>0</v>
      </c>
      <c r="F18" s="68"/>
      <c r="G18" s="76" t="s">
        <v>64</v>
      </c>
      <c r="H18" s="277">
        <f>7+6+4+9</f>
        <v>26</v>
      </c>
      <c r="I18" s="278">
        <f>270.58+145.56+196.17+293.51</f>
        <v>905.81999999999994</v>
      </c>
      <c r="J18" s="278">
        <f>9019.22+4851.67+6538.62+9783.47</f>
        <v>30192.979999999996</v>
      </c>
      <c r="K18" s="279">
        <f>2435.19+1309.93+1765.42+2641.55</f>
        <v>8152.09</v>
      </c>
    </row>
    <row r="19" spans="1:13" ht="15" x14ac:dyDescent="0.25">
      <c r="A19" s="276" t="s">
        <v>65</v>
      </c>
      <c r="B19" s="277">
        <v>0</v>
      </c>
      <c r="C19" s="278">
        <v>0</v>
      </c>
      <c r="D19" s="278">
        <v>0</v>
      </c>
      <c r="E19" s="279">
        <v>0</v>
      </c>
      <c r="F19" s="68"/>
      <c r="G19" s="76" t="s">
        <v>65</v>
      </c>
      <c r="H19" s="277">
        <f>8+10+7+5+3</f>
        <v>33</v>
      </c>
      <c r="I19" s="278">
        <f>266.79+497.96+275.52+227.58+117.05</f>
        <v>1384.8999999999999</v>
      </c>
      <c r="J19" s="278">
        <f>8892.76+16598.54+9183.81+7586.02+3901.4</f>
        <v>46162.530000000006</v>
      </c>
      <c r="K19" s="279">
        <f>2401.04+4481.6+2479.62+2048.21+1053.37</f>
        <v>12463.84</v>
      </c>
    </row>
    <row r="20" spans="1:13" ht="15" x14ac:dyDescent="0.25">
      <c r="A20" s="276" t="s">
        <v>67</v>
      </c>
      <c r="B20" s="277">
        <v>0</v>
      </c>
      <c r="C20" s="278">
        <v>0</v>
      </c>
      <c r="D20" s="278">
        <v>0</v>
      </c>
      <c r="E20" s="279">
        <v>0</v>
      </c>
      <c r="F20" s="68"/>
      <c r="G20" s="76" t="s">
        <v>67</v>
      </c>
      <c r="H20" s="277">
        <f>4+5+11</f>
        <v>20</v>
      </c>
      <c r="I20" s="278">
        <f>92.13+262.96+434.04</f>
        <v>789.13</v>
      </c>
      <c r="J20" s="278">
        <f>3071.04+8765.3+14468.1</f>
        <v>26304.440000000002</v>
      </c>
      <c r="K20" s="279">
        <f>829.18+2366.63+3906.39</f>
        <v>7102.2</v>
      </c>
    </row>
    <row r="21" spans="1:13" ht="15" x14ac:dyDescent="0.25">
      <c r="A21" s="282" t="s">
        <v>0</v>
      </c>
      <c r="B21" s="283">
        <f>SUM(B9:B20)</f>
        <v>91</v>
      </c>
      <c r="C21" s="284">
        <f>SUM(C9:C20)</f>
        <v>3543.98</v>
      </c>
      <c r="D21" s="285">
        <f>SUM(D9:D20)</f>
        <v>118130.9</v>
      </c>
      <c r="E21" s="286">
        <f>SUM(E9:E20)</f>
        <v>31895.370000000003</v>
      </c>
      <c r="F21" s="68"/>
      <c r="G21" s="77" t="s">
        <v>0</v>
      </c>
      <c r="H21" s="85">
        <f>SUM(H9:H20)</f>
        <v>311</v>
      </c>
      <c r="I21" s="110">
        <f>SUM(I9:I20)</f>
        <v>11151.669999999998</v>
      </c>
      <c r="J21" s="464">
        <f>SUM(J9:J20)</f>
        <v>371716.36</v>
      </c>
      <c r="K21" s="111">
        <f>SUM(K9:K20)</f>
        <v>100363.19999999998</v>
      </c>
    </row>
    <row r="22" spans="1:13" ht="15" x14ac:dyDescent="0.25">
      <c r="A22" s="123" t="s">
        <v>481</v>
      </c>
      <c r="B22" s="70"/>
      <c r="C22" s="70"/>
      <c r="D22" s="70"/>
      <c r="F22" s="68"/>
      <c r="G22" s="78"/>
      <c r="H22" s="70"/>
      <c r="I22" s="2" t="s">
        <v>503</v>
      </c>
    </row>
    <row r="23" spans="1:13" ht="15" x14ac:dyDescent="0.25">
      <c r="A23" s="70"/>
      <c r="B23" s="70"/>
      <c r="C23" s="70"/>
      <c r="D23" s="70"/>
      <c r="E23" s="70"/>
      <c r="F23" s="68"/>
      <c r="G23" s="70"/>
      <c r="H23" s="70"/>
      <c r="I23" s="70"/>
      <c r="J23" s="70"/>
      <c r="K23" s="70"/>
    </row>
    <row r="24" spans="1:13" ht="15" x14ac:dyDescent="0.25">
      <c r="A24" s="79"/>
      <c r="B24" s="70"/>
      <c r="C24" s="80"/>
      <c r="D24" s="156"/>
      <c r="E24" s="70"/>
      <c r="F24" s="68"/>
      <c r="G24" s="79"/>
      <c r="H24" s="70"/>
      <c r="I24" s="70"/>
      <c r="J24" s="70"/>
      <c r="K24" s="70"/>
      <c r="M24" s="42"/>
    </row>
    <row r="25" spans="1:13" x14ac:dyDescent="0.2">
      <c r="A25" s="70"/>
      <c r="B25" s="8" t="s">
        <v>482</v>
      </c>
      <c r="C25" s="460"/>
      <c r="D25" s="461"/>
      <c r="E25" s="462"/>
      <c r="F25" s="462"/>
      <c r="G25" s="5"/>
      <c r="H25" s="8" t="s">
        <v>128</v>
      </c>
      <c r="I25" s="460"/>
      <c r="J25" s="461"/>
      <c r="K25" s="362"/>
    </row>
    <row r="26" spans="1:13" x14ac:dyDescent="0.2">
      <c r="A26" s="79"/>
      <c r="B26" s="15"/>
      <c r="C26" s="9" t="s">
        <v>483</v>
      </c>
      <c r="D26" s="2"/>
      <c r="E26" s="6"/>
      <c r="F26" s="6"/>
      <c r="G26" s="5"/>
      <c r="H26" s="15"/>
      <c r="I26" s="9" t="s">
        <v>485</v>
      </c>
      <c r="J26" s="2"/>
      <c r="K26" s="351"/>
    </row>
    <row r="27" spans="1:13" x14ac:dyDescent="0.2">
      <c r="A27" s="70"/>
      <c r="B27" s="4"/>
      <c r="C27" s="463" t="s">
        <v>486</v>
      </c>
      <c r="D27" s="2"/>
      <c r="E27" s="3"/>
      <c r="F27" s="3"/>
      <c r="G27" s="2"/>
      <c r="H27" s="4"/>
      <c r="I27" s="463" t="s">
        <v>484</v>
      </c>
      <c r="J27" s="2"/>
      <c r="K27" s="351"/>
    </row>
    <row r="28" spans="1:13" ht="15" x14ac:dyDescent="0.25">
      <c r="A28" s="68"/>
      <c r="B28" s="68"/>
      <c r="C28" s="81"/>
      <c r="E28" s="68"/>
      <c r="F28" s="70"/>
      <c r="G28" s="68"/>
      <c r="H28" s="68"/>
      <c r="I28" s="70"/>
      <c r="J28" s="70"/>
      <c r="K28" s="68"/>
    </row>
    <row r="29" spans="1:13" ht="15" x14ac:dyDescent="0.25">
      <c r="A29" s="68"/>
      <c r="B29" s="68"/>
      <c r="C29" s="70"/>
      <c r="E29" s="68"/>
      <c r="F29" s="82"/>
      <c r="G29" s="68"/>
      <c r="H29" s="68"/>
      <c r="I29" s="70"/>
      <c r="J29" s="70"/>
      <c r="K29" s="68"/>
    </row>
    <row r="30" spans="1:13" ht="15" x14ac:dyDescent="0.25">
      <c r="A30" s="83"/>
      <c r="B30" s="68"/>
      <c r="C30" s="70"/>
      <c r="D30" s="42"/>
      <c r="E30" s="68"/>
      <c r="F30" s="79"/>
      <c r="G30" s="83"/>
      <c r="H30" s="68"/>
      <c r="I30" s="70"/>
      <c r="J30" s="70"/>
      <c r="K30" s="68"/>
    </row>
    <row r="31" spans="1:13" ht="15" x14ac:dyDescent="0.25">
      <c r="A31" s="81"/>
      <c r="B31" s="68"/>
      <c r="C31" s="81"/>
      <c r="D31" s="81"/>
      <c r="E31" s="81"/>
      <c r="F31" s="68"/>
      <c r="G31" s="68"/>
      <c r="H31" s="68"/>
      <c r="I31" s="68"/>
      <c r="J31" s="68"/>
      <c r="K31" s="68"/>
    </row>
    <row r="32" spans="1:13" ht="15" x14ac:dyDescent="0.25">
      <c r="A32" s="68"/>
      <c r="B32" s="68"/>
      <c r="C32" s="68"/>
      <c r="D32" s="68"/>
      <c r="E32" s="68"/>
    </row>
    <row r="33" spans="1:5" ht="15" x14ac:dyDescent="0.25">
      <c r="A33" s="68"/>
      <c r="B33" s="68"/>
      <c r="C33" s="68"/>
      <c r="D33" s="68"/>
      <c r="E33" s="68"/>
    </row>
    <row r="34" spans="1:5" ht="15" x14ac:dyDescent="0.25">
      <c r="A34" s="68"/>
      <c r="B34" s="68"/>
      <c r="C34" s="68"/>
      <c r="D34" s="68"/>
      <c r="E34" s="68"/>
    </row>
    <row r="35" spans="1:5" ht="15" x14ac:dyDescent="0.25">
      <c r="A35" s="70"/>
      <c r="B35" s="68"/>
      <c r="C35" s="68"/>
      <c r="D35" s="68"/>
      <c r="E35" s="68"/>
    </row>
    <row r="36" spans="1:5" x14ac:dyDescent="0.2">
      <c r="A36" s="84"/>
      <c r="B36" s="70"/>
      <c r="C36" s="70"/>
      <c r="D36" s="70"/>
      <c r="E36" s="70"/>
    </row>
    <row r="37" spans="1:5" ht="15" x14ac:dyDescent="0.25">
      <c r="A37" s="68"/>
      <c r="B37" s="81"/>
      <c r="C37" s="81"/>
      <c r="D37" s="81"/>
      <c r="E37" s="70"/>
    </row>
    <row r="38" spans="1:5" ht="15" x14ac:dyDescent="0.25">
      <c r="A38" s="68"/>
      <c r="B38" s="81"/>
      <c r="C38" s="81"/>
      <c r="D38" s="81"/>
      <c r="E38" s="70"/>
    </row>
    <row r="39" spans="1:5" x14ac:dyDescent="0.2">
      <c r="A39" s="70"/>
      <c r="B39" s="70"/>
      <c r="C39" s="70"/>
      <c r="D39" s="70"/>
      <c r="E39" s="70"/>
    </row>
    <row r="40" spans="1:5" x14ac:dyDescent="0.2">
      <c r="A40" s="70"/>
      <c r="B40" s="70"/>
      <c r="C40" s="70"/>
      <c r="D40" s="70"/>
      <c r="E40" s="70"/>
    </row>
    <row r="41" spans="1:5" x14ac:dyDescent="0.2">
      <c r="A41" s="70"/>
      <c r="B41" s="70"/>
      <c r="C41" s="70"/>
      <c r="D41" s="70"/>
      <c r="E41" s="70"/>
    </row>
    <row r="42" spans="1:5" x14ac:dyDescent="0.2">
      <c r="A42" s="70"/>
      <c r="B42" s="70"/>
      <c r="C42" s="70"/>
      <c r="D42" s="70"/>
      <c r="E42" s="70"/>
    </row>
    <row r="43" spans="1:5" x14ac:dyDescent="0.2">
      <c r="A43" s="70"/>
      <c r="B43" s="70"/>
      <c r="C43" s="70"/>
      <c r="D43" s="70"/>
      <c r="E43" s="70"/>
    </row>
    <row r="44" spans="1:5" x14ac:dyDescent="0.2">
      <c r="A44" s="70"/>
      <c r="B44" s="70"/>
      <c r="C44" s="70"/>
      <c r="D44" s="70"/>
      <c r="E44" s="70"/>
    </row>
    <row r="45" spans="1:5" x14ac:dyDescent="0.2">
      <c r="A45" s="70"/>
      <c r="B45" s="70"/>
      <c r="C45" s="70"/>
      <c r="D45" s="70"/>
      <c r="E45" s="70"/>
    </row>
    <row r="46" spans="1:5" x14ac:dyDescent="0.2">
      <c r="A46" s="70"/>
      <c r="B46" s="70"/>
      <c r="C46" s="70"/>
      <c r="D46" s="70"/>
      <c r="E46" s="70"/>
    </row>
    <row r="47" spans="1:5" x14ac:dyDescent="0.2">
      <c r="A47" s="70"/>
      <c r="B47" s="70"/>
      <c r="C47" s="70"/>
      <c r="D47" s="70"/>
      <c r="E47" s="70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C11" sqref="C11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6" t="s">
        <v>477</v>
      </c>
    </row>
    <row r="4" spans="1:14" x14ac:dyDescent="0.2">
      <c r="A4" s="502" t="s">
        <v>76</v>
      </c>
      <c r="B4" s="502"/>
      <c r="C4" s="502"/>
      <c r="D4" s="502"/>
      <c r="E4" s="502"/>
      <c r="F4" s="2"/>
      <c r="G4" s="502" t="s">
        <v>76</v>
      </c>
      <c r="H4" s="502"/>
      <c r="I4" s="502"/>
      <c r="J4" s="502"/>
      <c r="K4" s="502"/>
    </row>
    <row r="5" spans="1:14" x14ac:dyDescent="0.2">
      <c r="A5" s="502" t="s">
        <v>494</v>
      </c>
      <c r="B5" s="502"/>
      <c r="C5" s="502"/>
      <c r="D5" s="502"/>
      <c r="E5" s="502"/>
      <c r="F5" s="2"/>
      <c r="G5" s="502" t="s">
        <v>488</v>
      </c>
      <c r="H5" s="502"/>
      <c r="I5" s="502"/>
      <c r="J5" s="502"/>
      <c r="K5" s="502"/>
    </row>
    <row r="6" spans="1:14" x14ac:dyDescent="0.2">
      <c r="A6" s="43"/>
      <c r="B6" s="43"/>
      <c r="C6" s="43"/>
      <c r="D6" s="43"/>
      <c r="E6" s="43"/>
      <c r="F6" s="2"/>
      <c r="G6" s="43"/>
      <c r="H6" s="43"/>
      <c r="I6" s="43"/>
      <c r="J6" s="43"/>
      <c r="K6" s="43"/>
    </row>
    <row r="7" spans="1:14" ht="12.75" customHeight="1" x14ac:dyDescent="0.2">
      <c r="A7" s="19"/>
      <c r="B7" s="495" t="str">
        <f>'2. COMPR DEV 30%'!B7:E7</f>
        <v>DEL 01 DE ENERO AL 31 DE DICIEMBRE DEL AÑO 2023</v>
      </c>
      <c r="C7" s="496"/>
      <c r="D7" s="496"/>
      <c r="E7" s="497"/>
      <c r="G7" s="19"/>
      <c r="H7" s="503" t="s">
        <v>491</v>
      </c>
      <c r="I7" s="504"/>
      <c r="J7" s="504"/>
      <c r="K7" s="505"/>
    </row>
    <row r="8" spans="1:14" ht="45" x14ac:dyDescent="0.2">
      <c r="A8" s="33" t="s">
        <v>70</v>
      </c>
      <c r="B8" s="20" t="s">
        <v>71</v>
      </c>
      <c r="C8" s="21" t="s">
        <v>72</v>
      </c>
      <c r="D8" s="133" t="s">
        <v>73</v>
      </c>
      <c r="E8" s="22" t="s">
        <v>74</v>
      </c>
      <c r="G8" s="33" t="s">
        <v>70</v>
      </c>
      <c r="H8" s="86" t="s">
        <v>71</v>
      </c>
      <c r="I8" s="35" t="s">
        <v>72</v>
      </c>
      <c r="J8" s="35" t="s">
        <v>73</v>
      </c>
      <c r="K8" s="87" t="s">
        <v>74</v>
      </c>
    </row>
    <row r="9" spans="1:14" x14ac:dyDescent="0.2">
      <c r="A9" s="298" t="s">
        <v>56</v>
      </c>
      <c r="B9" s="299">
        <f>5+23+15+19+13</f>
        <v>75</v>
      </c>
      <c r="C9" s="300">
        <f>5.98+31.7+12.06+10.08+13.69</f>
        <v>73.510000000000005</v>
      </c>
      <c r="D9" s="300">
        <f>2993.55+24773.29+10275.67+21683.87+11750.87</f>
        <v>71477.25</v>
      </c>
      <c r="E9" s="300">
        <f>2874.71+22550.55+9641.96+19183.39+10743.37</f>
        <v>64993.98</v>
      </c>
      <c r="G9" s="29" t="s">
        <v>56</v>
      </c>
      <c r="H9" s="299">
        <f>6+14+12+24</f>
        <v>56</v>
      </c>
      <c r="I9" s="467">
        <f>8.12+14.53+8.48+22.13</f>
        <v>53.26</v>
      </c>
      <c r="J9" s="467">
        <f>4728.27+10811.43+13975.72+19573.03</f>
        <v>49088.45</v>
      </c>
      <c r="K9" s="467">
        <f>4350.58+9856.94+13277.77+19035.22</f>
        <v>46520.51</v>
      </c>
      <c r="L9" s="42"/>
      <c r="M9" s="42"/>
    </row>
    <row r="10" spans="1:14" x14ac:dyDescent="0.2">
      <c r="A10" s="298" t="s">
        <v>57</v>
      </c>
      <c r="B10" s="299">
        <f>31+10+21+6</f>
        <v>68</v>
      </c>
      <c r="C10" s="300">
        <f>17.11+32.38+51.48+4.38</f>
        <v>105.35</v>
      </c>
      <c r="D10" s="300">
        <f>26774.9+11318.8+25350.14+6302.8</f>
        <v>69746.64</v>
      </c>
      <c r="E10" s="300">
        <f>24815.54+11241.83+24122.98+5502.47</f>
        <v>65682.820000000007</v>
      </c>
      <c r="F10" s="176"/>
      <c r="G10" s="24" t="s">
        <v>57</v>
      </c>
      <c r="H10" s="299">
        <f>19+14+27+31</f>
        <v>91</v>
      </c>
      <c r="I10" s="467">
        <f>41.5+12.89+44.41+57.64</f>
        <v>156.44</v>
      </c>
      <c r="J10" s="467">
        <f>38034.94+12572.96+26573.64+38432.83</f>
        <v>115614.37000000001</v>
      </c>
      <c r="K10" s="467">
        <f>37428.41+11199.48+24892.53+36170.2</f>
        <v>109690.62</v>
      </c>
      <c r="L10" s="11"/>
      <c r="M10" s="11"/>
    </row>
    <row r="11" spans="1:14" x14ac:dyDescent="0.2">
      <c r="A11" s="298" t="s">
        <v>58</v>
      </c>
      <c r="B11" s="299">
        <f>12+19+32+27</f>
        <v>90</v>
      </c>
      <c r="C11" s="300">
        <f>27.13+37.44+31.22+24.44</f>
        <v>120.22999999999999</v>
      </c>
      <c r="D11" s="300">
        <f>13800.15+16895.24+37481.1+22232.55</f>
        <v>90409.04</v>
      </c>
      <c r="E11" s="300">
        <f>13291.93+16003.08+34965.35+20485.29</f>
        <v>84745.65</v>
      </c>
      <c r="G11" s="89" t="s">
        <v>58</v>
      </c>
      <c r="H11" s="299">
        <f>16+16+19+33+13</f>
        <v>97</v>
      </c>
      <c r="I11" s="467">
        <f>26.4+17.8+13.36+30.92+8.19</f>
        <v>96.67</v>
      </c>
      <c r="J11" s="467">
        <f>16989.91+11625.92+19453.72+23149.07+10675.57</f>
        <v>81894.19</v>
      </c>
      <c r="K11" s="467">
        <f>15876.21+10711.41+17530.25+20522.62+9654.69</f>
        <v>74295.179999999993</v>
      </c>
      <c r="L11" s="90"/>
      <c r="M11" s="91"/>
    </row>
    <row r="12" spans="1:14" x14ac:dyDescent="0.2">
      <c r="A12" s="298" t="s">
        <v>59</v>
      </c>
      <c r="B12" s="299">
        <f>15+20</f>
        <v>35</v>
      </c>
      <c r="C12" s="300">
        <f>29.21+42.37</f>
        <v>71.58</v>
      </c>
      <c r="D12" s="300">
        <f>13545.26+19621.81</f>
        <v>33167.07</v>
      </c>
      <c r="E12" s="300">
        <f>12932.62+18960.19</f>
        <v>31892.809999999998</v>
      </c>
      <c r="G12" s="29" t="s">
        <v>59</v>
      </c>
      <c r="H12" s="299">
        <f>12+19+20</f>
        <v>51</v>
      </c>
      <c r="I12" s="467">
        <f>30.2+35.31+42.06</f>
        <v>107.57000000000001</v>
      </c>
      <c r="J12" s="467">
        <f>12705.15+19827.01+22146.87</f>
        <v>54679.03</v>
      </c>
      <c r="K12" s="467">
        <f>12435.25+18550.08+21179.12</f>
        <v>52164.45</v>
      </c>
      <c r="L12" s="91"/>
      <c r="M12" s="92"/>
    </row>
    <row r="13" spans="1:14" x14ac:dyDescent="0.2">
      <c r="A13" s="298" t="s">
        <v>60</v>
      </c>
      <c r="B13" s="299">
        <v>0</v>
      </c>
      <c r="C13" s="300">
        <v>0</v>
      </c>
      <c r="D13" s="300">
        <v>0</v>
      </c>
      <c r="E13" s="300">
        <v>0</v>
      </c>
      <c r="G13" s="29" t="s">
        <v>60</v>
      </c>
      <c r="H13" s="299">
        <f>16+15+18+24+15</f>
        <v>88</v>
      </c>
      <c r="I13" s="467">
        <f>35.73+15.82+22.98+36.68+35.24</f>
        <v>146.45000000000002</v>
      </c>
      <c r="J13" s="467">
        <f>14318.02+11688.94+16149.98+21805.3+21142.34</f>
        <v>85104.58</v>
      </c>
      <c r="K13" s="467">
        <f>14123.41+11641.58+14662.03+20577.66+20171.81</f>
        <v>81176.489999999991</v>
      </c>
      <c r="L13" s="42"/>
      <c r="M13" s="91"/>
    </row>
    <row r="14" spans="1:14" x14ac:dyDescent="0.2">
      <c r="A14" s="298" t="s">
        <v>61</v>
      </c>
      <c r="B14" s="299">
        <v>0</v>
      </c>
      <c r="C14" s="300">
        <v>0</v>
      </c>
      <c r="D14" s="300">
        <v>0</v>
      </c>
      <c r="E14" s="300">
        <v>0</v>
      </c>
      <c r="G14" s="29" t="s">
        <v>61</v>
      </c>
      <c r="H14" s="299">
        <f>11+13+13+23</f>
        <v>60</v>
      </c>
      <c r="I14" s="467">
        <f>7.88+18.04+28.04+33.37</f>
        <v>87.329999999999984</v>
      </c>
      <c r="J14" s="467">
        <f>7397.12+13551.25+14063.32+22236.39</f>
        <v>57248.08</v>
      </c>
      <c r="K14" s="467">
        <f>6833.11+13042.9+13630.28+21342.1</f>
        <v>54848.39</v>
      </c>
      <c r="L14" s="91"/>
      <c r="N14" s="42"/>
    </row>
    <row r="15" spans="1:14" x14ac:dyDescent="0.2">
      <c r="A15" s="301" t="s">
        <v>62</v>
      </c>
      <c r="B15" s="299">
        <v>0</v>
      </c>
      <c r="C15" s="300">
        <v>0</v>
      </c>
      <c r="D15" s="300">
        <v>0</v>
      </c>
      <c r="E15" s="300">
        <v>0</v>
      </c>
      <c r="G15" s="29" t="s">
        <v>62</v>
      </c>
      <c r="H15" s="299">
        <f>15+16+17+13</f>
        <v>61</v>
      </c>
      <c r="I15" s="467">
        <f>13.06+31.69+28.21+20.17</f>
        <v>93.13000000000001</v>
      </c>
      <c r="J15" s="467">
        <f>16970.02+16378.84+14596.22+16761.39</f>
        <v>64706.47</v>
      </c>
      <c r="K15" s="467">
        <f>15934.75+15700.4+14093.05+16161.53</f>
        <v>61889.729999999996</v>
      </c>
      <c r="L15" s="42"/>
      <c r="N15" s="42"/>
    </row>
    <row r="16" spans="1:14" x14ac:dyDescent="0.2">
      <c r="A16" s="298" t="s">
        <v>63</v>
      </c>
      <c r="B16" s="299">
        <v>0</v>
      </c>
      <c r="C16" s="300">
        <v>0</v>
      </c>
      <c r="D16" s="300">
        <v>0</v>
      </c>
      <c r="E16" s="300">
        <v>0</v>
      </c>
      <c r="G16" s="29" t="s">
        <v>63</v>
      </c>
      <c r="H16" s="299">
        <f>14+9+17+9</f>
        <v>49</v>
      </c>
      <c r="I16" s="467">
        <f>8.01+12.93+29.54+12.78</f>
        <v>63.26</v>
      </c>
      <c r="J16" s="467">
        <f>15853.38+15638.17+15574.26+6631.89</f>
        <v>53697.7</v>
      </c>
      <c r="K16" s="467">
        <f>14786.36+15799.96+15212.43+6125.76</f>
        <v>51924.51</v>
      </c>
      <c r="L16" s="93"/>
      <c r="M16" s="11"/>
      <c r="N16" s="42"/>
    </row>
    <row r="17" spans="1:14" x14ac:dyDescent="0.2">
      <c r="A17" s="298" t="s">
        <v>75</v>
      </c>
      <c r="B17" s="299">
        <v>0</v>
      </c>
      <c r="C17" s="300">
        <v>0</v>
      </c>
      <c r="D17" s="300">
        <v>0</v>
      </c>
      <c r="E17" s="300">
        <v>0</v>
      </c>
      <c r="G17" s="29" t="s">
        <v>75</v>
      </c>
      <c r="H17" s="299">
        <f>1+23+18+19+19</f>
        <v>80</v>
      </c>
      <c r="I17" s="467">
        <f>36.69+24.64+5.04+28.53</f>
        <v>94.9</v>
      </c>
      <c r="J17" s="467">
        <f>864.96+21628.69+13168.03+17408.72+20975.4</f>
        <v>74045.8</v>
      </c>
      <c r="K17" s="467">
        <f>675.51+20498.26+12620.42+15392.47+19876.55</f>
        <v>69063.209999999992</v>
      </c>
      <c r="L17" s="91"/>
      <c r="M17" s="11"/>
      <c r="N17" s="42"/>
    </row>
    <row r="18" spans="1:14" x14ac:dyDescent="0.2">
      <c r="A18" s="298" t="s">
        <v>64</v>
      </c>
      <c r="B18" s="299">
        <v>0</v>
      </c>
      <c r="C18" s="300">
        <v>0</v>
      </c>
      <c r="D18" s="300">
        <v>0</v>
      </c>
      <c r="E18" s="300">
        <v>0</v>
      </c>
      <c r="G18" s="29" t="s">
        <v>64</v>
      </c>
      <c r="H18" s="299">
        <f>17+20+22+29</f>
        <v>88</v>
      </c>
      <c r="I18" s="468">
        <f>45.78+37.74+17.88+19.76</f>
        <v>121.16000000000001</v>
      </c>
      <c r="J18" s="468">
        <f>21139.22+22583.36+22775.29+23556.79</f>
        <v>90054.66</v>
      </c>
      <c r="K18" s="468">
        <f>20741.3+21062.01+20940.26+21311.11</f>
        <v>84054.68</v>
      </c>
      <c r="L18" s="91"/>
      <c r="M18" s="94"/>
      <c r="N18" s="42"/>
    </row>
    <row r="19" spans="1:14" x14ac:dyDescent="0.2">
      <c r="A19" s="298" t="s">
        <v>65</v>
      </c>
      <c r="B19" s="299">
        <v>0</v>
      </c>
      <c r="C19" s="300">
        <v>0</v>
      </c>
      <c r="D19" s="300">
        <v>0</v>
      </c>
      <c r="E19" s="300">
        <v>0</v>
      </c>
      <c r="G19" s="29" t="s">
        <v>65</v>
      </c>
      <c r="H19" s="299">
        <f>14+13+22+29+21</f>
        <v>99</v>
      </c>
      <c r="I19" s="467">
        <f>16.01+10.29+41.89+33.05+17.36</f>
        <v>118.6</v>
      </c>
      <c r="J19" s="467">
        <f>9760.16+14945.96+23225.65+26435.06+15518.42</f>
        <v>89885.25</v>
      </c>
      <c r="K19" s="467">
        <f>9014.45+13709.22+21774.11+23989.88+13731.26</f>
        <v>82218.92</v>
      </c>
      <c r="L19" s="94"/>
      <c r="M19" s="11"/>
      <c r="N19" s="42"/>
    </row>
    <row r="20" spans="1:14" x14ac:dyDescent="0.2">
      <c r="A20" s="298" t="s">
        <v>67</v>
      </c>
      <c r="B20" s="299">
        <v>0</v>
      </c>
      <c r="C20" s="300">
        <v>0</v>
      </c>
      <c r="D20" s="300">
        <v>0</v>
      </c>
      <c r="E20" s="300">
        <v>0</v>
      </c>
      <c r="G20" s="29" t="s">
        <v>67</v>
      </c>
      <c r="H20" s="299">
        <f>22+30+40</f>
        <v>92</v>
      </c>
      <c r="I20" s="467">
        <f>37.7+20.34+64.07</f>
        <v>122.11</v>
      </c>
      <c r="J20" s="467">
        <f>21120.52+29838.32+45065.01</f>
        <v>96023.85</v>
      </c>
      <c r="K20" s="467">
        <f>20379.72+27077.79+41102.55</f>
        <v>88560.06</v>
      </c>
      <c r="L20" s="42"/>
      <c r="M20" s="91"/>
      <c r="N20" s="42"/>
    </row>
    <row r="21" spans="1:14" x14ac:dyDescent="0.2">
      <c r="A21" s="31" t="s">
        <v>0</v>
      </c>
      <c r="B21" s="95">
        <f>SUM(B9:B20)</f>
        <v>268</v>
      </c>
      <c r="C21" s="157">
        <f>SUM(C9:C20)</f>
        <v>370.67</v>
      </c>
      <c r="D21" s="157">
        <f>SUM(D9:D20)</f>
        <v>264800</v>
      </c>
      <c r="E21" s="157">
        <f>SUM(E9:E20)</f>
        <v>247315.26</v>
      </c>
      <c r="G21" s="31" t="s">
        <v>0</v>
      </c>
      <c r="H21" s="96">
        <f>SUM(H9:H20)</f>
        <v>912</v>
      </c>
      <c r="I21" s="97">
        <f>SUM(I9:I20)</f>
        <v>1260.8799999999999</v>
      </c>
      <c r="J21" s="97">
        <f>SUM(J9:J20)</f>
        <v>912042.43</v>
      </c>
      <c r="K21" s="97">
        <f>SUM(K9:K20)</f>
        <v>856406.75</v>
      </c>
      <c r="L21" s="11"/>
      <c r="M21" s="11"/>
      <c r="N21" s="42"/>
    </row>
    <row r="22" spans="1:14" x14ac:dyDescent="0.2">
      <c r="A22" s="122" t="s">
        <v>481</v>
      </c>
      <c r="B22" s="2"/>
      <c r="C22" s="2"/>
      <c r="D22" s="2"/>
      <c r="E22" s="7"/>
      <c r="G22" s="27"/>
      <c r="H22" s="2"/>
      <c r="I22" s="2" t="s">
        <v>503</v>
      </c>
      <c r="J22" s="2"/>
    </row>
    <row r="23" spans="1:14" x14ac:dyDescent="0.2">
      <c r="A23" s="119"/>
      <c r="B23" s="14"/>
    </row>
    <row r="24" spans="1:14" x14ac:dyDescent="0.2">
      <c r="A24" s="119"/>
      <c r="B24" s="2"/>
      <c r="C24" s="2"/>
      <c r="D24" s="2"/>
      <c r="E24" s="2"/>
      <c r="F24" s="2"/>
    </row>
    <row r="25" spans="1:14" x14ac:dyDescent="0.2">
      <c r="A25" s="119"/>
      <c r="B25" s="15"/>
      <c r="C25" s="2"/>
      <c r="D25" s="2"/>
      <c r="E25" s="2"/>
      <c r="F25" s="2"/>
    </row>
    <row r="26" spans="1:14" x14ac:dyDescent="0.2">
      <c r="A26" s="5"/>
      <c r="B26" s="16"/>
      <c r="C26" s="2"/>
      <c r="D26" s="2"/>
      <c r="F26" s="2"/>
      <c r="J26" s="2"/>
    </row>
    <row r="27" spans="1:14" x14ac:dyDescent="0.2">
      <c r="A27" s="5"/>
      <c r="B27" s="16"/>
      <c r="C27" s="436"/>
      <c r="D27" s="436"/>
      <c r="E27" s="436"/>
      <c r="F27" s="2"/>
    </row>
    <row r="28" spans="1:14" x14ac:dyDescent="0.2">
      <c r="A28" s="5"/>
      <c r="B28" s="8" t="s">
        <v>482</v>
      </c>
      <c r="C28" s="460"/>
      <c r="D28" s="461"/>
      <c r="E28" s="462"/>
      <c r="F28" s="462"/>
      <c r="G28" s="5"/>
      <c r="H28" s="8" t="s">
        <v>128</v>
      </c>
      <c r="I28" s="460"/>
      <c r="J28" s="461"/>
      <c r="K28" s="362"/>
    </row>
    <row r="29" spans="1:14" x14ac:dyDescent="0.2">
      <c r="A29" s="5"/>
      <c r="B29" s="15"/>
      <c r="C29" s="9" t="s">
        <v>483</v>
      </c>
      <c r="D29" s="2"/>
      <c r="E29" s="6"/>
      <c r="F29" s="6"/>
      <c r="G29" s="5"/>
      <c r="H29" s="15"/>
      <c r="I29" s="9" t="s">
        <v>485</v>
      </c>
      <c r="J29" s="2"/>
      <c r="K29" s="351"/>
    </row>
    <row r="30" spans="1:14" x14ac:dyDescent="0.2">
      <c r="A30" s="5"/>
      <c r="B30" s="4"/>
      <c r="C30" s="463" t="s">
        <v>486</v>
      </c>
      <c r="D30" s="2"/>
      <c r="E30" s="3"/>
      <c r="F30" s="3"/>
      <c r="G30" s="2"/>
      <c r="H30" s="4"/>
      <c r="I30" s="463" t="s">
        <v>484</v>
      </c>
      <c r="J30" s="2"/>
      <c r="K30" s="351"/>
    </row>
    <row r="31" spans="1:14" x14ac:dyDescent="0.2">
      <c r="A31" s="98"/>
      <c r="B31" s="10"/>
      <c r="C31" s="10"/>
      <c r="F31" s="2"/>
    </row>
    <row r="32" spans="1:14" x14ac:dyDescent="0.2">
      <c r="A32" s="10"/>
      <c r="B32" s="5"/>
      <c r="F32" s="2"/>
      <c r="H32" s="2"/>
      <c r="I32" s="2"/>
    </row>
    <row r="33" spans="1:9" x14ac:dyDescent="0.2">
      <c r="A33" s="26"/>
      <c r="B33" s="2"/>
      <c r="C33" s="2"/>
      <c r="D33" s="2"/>
      <c r="E33" s="2"/>
      <c r="F33" s="2"/>
      <c r="H33" s="2"/>
      <c r="I33" s="2"/>
    </row>
    <row r="34" spans="1:9" x14ac:dyDescent="0.2">
      <c r="B34" s="4"/>
      <c r="C34" s="4"/>
      <c r="D34" s="4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</row>
    <row r="36" spans="1:9" x14ac:dyDescent="0.2">
      <c r="A36" s="2"/>
      <c r="B36" s="2"/>
      <c r="C36" s="2"/>
      <c r="D36" s="2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6" workbookViewId="0">
      <selection activeCell="C14" sqref="C14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6" t="s">
        <v>476</v>
      </c>
    </row>
    <row r="5" spans="2:15" x14ac:dyDescent="0.2">
      <c r="B5" s="17"/>
    </row>
    <row r="6" spans="2:15" x14ac:dyDescent="0.2">
      <c r="B6" s="18"/>
      <c r="C6" s="18"/>
      <c r="D6" s="18"/>
      <c r="E6" s="18"/>
    </row>
    <row r="7" spans="2:15" x14ac:dyDescent="0.2">
      <c r="B7" s="18"/>
      <c r="C7" s="18"/>
      <c r="D7" s="18"/>
      <c r="E7" s="18"/>
    </row>
    <row r="8" spans="2:15" x14ac:dyDescent="0.2">
      <c r="B8" s="502" t="s">
        <v>77</v>
      </c>
      <c r="C8" s="502"/>
      <c r="D8" s="502"/>
      <c r="E8" s="502"/>
      <c r="F8" s="502"/>
      <c r="G8" s="2"/>
      <c r="H8" s="502" t="s">
        <v>77</v>
      </c>
      <c r="I8" s="502"/>
      <c r="J8" s="502"/>
      <c r="K8" s="502"/>
      <c r="L8" s="502"/>
    </row>
    <row r="9" spans="2:15" x14ac:dyDescent="0.2">
      <c r="B9" s="506" t="s">
        <v>495</v>
      </c>
      <c r="C9" s="506"/>
      <c r="D9" s="506"/>
      <c r="E9" s="506"/>
      <c r="F9" s="506"/>
      <c r="G9" s="2"/>
      <c r="H9" s="506" t="s">
        <v>497</v>
      </c>
      <c r="I9" s="506"/>
      <c r="J9" s="506"/>
      <c r="K9" s="506"/>
      <c r="L9" s="506"/>
    </row>
    <row r="10" spans="2:15" ht="12.75" customHeight="1" x14ac:dyDescent="0.2">
      <c r="B10" s="19"/>
      <c r="C10" s="495" t="s">
        <v>496</v>
      </c>
      <c r="D10" s="496"/>
      <c r="E10" s="496"/>
      <c r="F10" s="497"/>
      <c r="H10" s="19"/>
      <c r="I10" s="503" t="s">
        <v>491</v>
      </c>
      <c r="J10" s="504"/>
      <c r="K10" s="504"/>
      <c r="L10" s="507"/>
    </row>
    <row r="11" spans="2:15" ht="45" x14ac:dyDescent="0.2">
      <c r="B11" s="33" t="s">
        <v>70</v>
      </c>
      <c r="C11" s="40" t="s">
        <v>114</v>
      </c>
      <c r="D11" s="35" t="s">
        <v>72</v>
      </c>
      <c r="E11" s="432" t="s">
        <v>73</v>
      </c>
      <c r="F11" s="434" t="s">
        <v>78</v>
      </c>
      <c r="H11" s="33" t="s">
        <v>70</v>
      </c>
      <c r="I11" s="40" t="s">
        <v>114</v>
      </c>
      <c r="J11" s="35" t="s">
        <v>72</v>
      </c>
      <c r="K11" s="35" t="s">
        <v>73</v>
      </c>
      <c r="L11" s="28" t="s">
        <v>78</v>
      </c>
      <c r="N11" s="350"/>
    </row>
    <row r="12" spans="2:15" x14ac:dyDescent="0.2">
      <c r="B12" s="29" t="s">
        <v>56</v>
      </c>
      <c r="C12" s="38">
        <f>6+29+25+11+4</f>
        <v>75</v>
      </c>
      <c r="D12" s="300">
        <f>60.39+296.22+224.07+86.07+26.07</f>
        <v>692.82</v>
      </c>
      <c r="E12" s="300">
        <f>9110.4+63291.84+40617+15711+4310.9</f>
        <v>133041.13999999998</v>
      </c>
      <c r="F12" s="300">
        <f>9653.91+67132.4+42633.11+16485.38+4545.37</f>
        <v>140450.16999999998</v>
      </c>
      <c r="H12" s="29" t="s">
        <v>56</v>
      </c>
      <c r="I12" s="38">
        <f>9+19+5+13</f>
        <v>46</v>
      </c>
      <c r="J12" s="467">
        <f>57.24+183.18+41.57+116.58</f>
        <v>398.57</v>
      </c>
      <c r="K12" s="467">
        <f>10856.4+33025.8+8155.8+20548.8</f>
        <v>72586.8</v>
      </c>
      <c r="L12" s="467">
        <f>11371.35+34673.99+8529.87+21597.73</f>
        <v>76172.94</v>
      </c>
      <c r="M12" s="125"/>
      <c r="O12" s="42"/>
    </row>
    <row r="13" spans="2:15" x14ac:dyDescent="0.2">
      <c r="B13" s="29" t="s">
        <v>57</v>
      </c>
      <c r="C13" s="38">
        <f>36+6+6+6</f>
        <v>54</v>
      </c>
      <c r="D13" s="36">
        <f>286.71+46.55+59.35+30</f>
        <v>422.61</v>
      </c>
      <c r="E13" s="433">
        <f>51419.4+8106+11406.6+6557.15</f>
        <v>77489.149999999994</v>
      </c>
      <c r="F13" s="435">
        <f>53999.07+8524.89+11940.65+6827.15</f>
        <v>81291.759999999995</v>
      </c>
      <c r="H13" s="29" t="s">
        <v>57</v>
      </c>
      <c r="I13" s="38">
        <f>11+21+19+9</f>
        <v>60</v>
      </c>
      <c r="J13" s="36">
        <f>87.89+177.85+207.82+79.6</f>
        <v>553.16</v>
      </c>
      <c r="K13" s="433">
        <f>16264.2+31936.2+36779.4+13489.8</f>
        <v>98469.6</v>
      </c>
      <c r="L13" s="435">
        <f>17054.99+33536.48+38649.36+14206.13</f>
        <v>103446.96</v>
      </c>
      <c r="M13" s="125"/>
      <c r="N13" s="91"/>
      <c r="O13" s="42"/>
    </row>
    <row r="14" spans="2:15" x14ac:dyDescent="0.2">
      <c r="B14" s="29" t="s">
        <v>58</v>
      </c>
      <c r="C14" s="38">
        <f>18+40+23+12</f>
        <v>93</v>
      </c>
      <c r="D14" s="36">
        <f>129.64+386.36+227.38+107.04</f>
        <v>850.42</v>
      </c>
      <c r="E14" s="36">
        <f>24418.2+72874.2+41298.6+20644.2</f>
        <v>159235.20000000001</v>
      </c>
      <c r="F14" s="30">
        <f>25584.68+76756.58+43772.65+21607.27</f>
        <v>167721.18</v>
      </c>
      <c r="H14" s="29" t="s">
        <v>58</v>
      </c>
      <c r="I14" s="38">
        <f>19+23+15+27+9</f>
        <v>93</v>
      </c>
      <c r="J14" s="36">
        <f>141.71+173.19+146.51+216.45+65.22</f>
        <v>743.07999999999993</v>
      </c>
      <c r="K14" s="36">
        <f>25440.4+32554.2+27678+53815.69+12490.8</f>
        <v>151979.09</v>
      </c>
      <c r="L14" s="30">
        <f>26715.48+34112.56+28996.36+57497.88+13077.65</f>
        <v>160399.93</v>
      </c>
      <c r="M14" s="125"/>
      <c r="N14" s="90"/>
      <c r="O14" s="11"/>
    </row>
    <row r="15" spans="2:15" x14ac:dyDescent="0.2">
      <c r="B15" s="29" t="s">
        <v>59</v>
      </c>
      <c r="C15" s="38">
        <f>37+37</f>
        <v>74</v>
      </c>
      <c r="D15" s="36">
        <f>318.34+327.99</f>
        <v>646.32999999999993</v>
      </c>
      <c r="E15" s="36">
        <f>57960+61292.4</f>
        <v>119252.4</v>
      </c>
      <c r="F15" s="30">
        <f>60824.58+64243.51</f>
        <v>125068.09</v>
      </c>
      <c r="H15" s="29" t="s">
        <v>59</v>
      </c>
      <c r="I15" s="38">
        <f>30+20+11</f>
        <v>61</v>
      </c>
      <c r="J15" s="36">
        <f>234.78+154.93+69.4</f>
        <v>459.11</v>
      </c>
      <c r="K15" s="36">
        <f>45652.8+27594+13591.8</f>
        <v>86838.6</v>
      </c>
      <c r="L15" s="30">
        <f>47765.27+28987.97+14216.34</f>
        <v>90969.579999999987</v>
      </c>
      <c r="M15" s="99"/>
      <c r="O15" s="11"/>
    </row>
    <row r="16" spans="2:15" x14ac:dyDescent="0.2">
      <c r="B16" s="29" t="s">
        <v>60</v>
      </c>
      <c r="C16" s="38">
        <v>0</v>
      </c>
      <c r="D16" s="36">
        <v>0</v>
      </c>
      <c r="E16" s="36">
        <v>0</v>
      </c>
      <c r="F16" s="30">
        <v>0</v>
      </c>
      <c r="H16" s="29" t="s">
        <v>60</v>
      </c>
      <c r="I16" s="38">
        <f>19+13+18+19+21</f>
        <v>90</v>
      </c>
      <c r="J16" s="36">
        <f>133.94+66.89+137.82+158.3+144.35</f>
        <v>641.29999999999995</v>
      </c>
      <c r="K16" s="36">
        <f>24375+17189.28+24907.8+29274.4+27699.78</f>
        <v>123446.26000000001</v>
      </c>
      <c r="L16" s="30">
        <f>25580.38+18790.28+26147.92+30698.88+28998.54</f>
        <v>130216</v>
      </c>
      <c r="M16" s="91"/>
      <c r="N16" s="90"/>
      <c r="O16" s="11"/>
    </row>
    <row r="17" spans="1:16" x14ac:dyDescent="0.2">
      <c r="B17" s="29" t="s">
        <v>61</v>
      </c>
      <c r="C17" s="38">
        <v>0</v>
      </c>
      <c r="D17" s="36">
        <v>0</v>
      </c>
      <c r="E17" s="36">
        <v>0</v>
      </c>
      <c r="F17" s="30">
        <v>0</v>
      </c>
      <c r="H17" s="29" t="s">
        <v>61</v>
      </c>
      <c r="I17" s="38">
        <f>21+37+25+8</f>
        <v>91</v>
      </c>
      <c r="J17" s="36">
        <f>186.93+238.7+209.05+53.55</f>
        <v>688.23</v>
      </c>
      <c r="K17" s="36">
        <f>34131+43899.6+41404.2+9178.8</f>
        <v>128613.6</v>
      </c>
      <c r="L17" s="30">
        <f>35813.1+46047.1+43791.01+9660.75</f>
        <v>135311.96</v>
      </c>
      <c r="M17" s="91"/>
      <c r="N17" s="90"/>
      <c r="O17" s="11"/>
    </row>
    <row r="18" spans="1:16" x14ac:dyDescent="0.2">
      <c r="B18" s="24" t="s">
        <v>79</v>
      </c>
      <c r="C18" s="38">
        <v>0</v>
      </c>
      <c r="D18" s="36">
        <v>0</v>
      </c>
      <c r="E18" s="36">
        <v>0</v>
      </c>
      <c r="F18" s="30">
        <v>0</v>
      </c>
      <c r="G18" s="100"/>
      <c r="H18" s="101" t="s">
        <v>79</v>
      </c>
      <c r="I18" s="38">
        <f>18+33+50+26</f>
        <v>127</v>
      </c>
      <c r="J18" s="36">
        <f>95.67+231.52+353.36+234</f>
        <v>914.55</v>
      </c>
      <c r="K18" s="36">
        <f>24786+51629.88+74984.16+51093.12</f>
        <v>202493.16</v>
      </c>
      <c r="L18" s="30">
        <f>27332.95+55768.55+79646.73+55194.62</f>
        <v>217942.84999999998</v>
      </c>
      <c r="M18" s="42"/>
      <c r="N18" s="90"/>
      <c r="O18" s="42"/>
    </row>
    <row r="19" spans="1:16" x14ac:dyDescent="0.2">
      <c r="B19" s="88" t="s">
        <v>63</v>
      </c>
      <c r="C19" s="38">
        <v>0</v>
      </c>
      <c r="D19" s="36">
        <v>0</v>
      </c>
      <c r="E19" s="36">
        <v>0</v>
      </c>
      <c r="F19" s="30">
        <v>0</v>
      </c>
      <c r="H19" s="89" t="s">
        <v>63</v>
      </c>
      <c r="I19" s="38">
        <f>14+4+34+8</f>
        <v>60</v>
      </c>
      <c r="J19" s="36">
        <f>128.78+12.76+305.67+61.83</f>
        <v>509.04</v>
      </c>
      <c r="K19" s="36">
        <f>23855.4+16900.12+52944+10239</f>
        <v>103938.52</v>
      </c>
      <c r="L19" s="30">
        <f>25014.1+19415.82+55694.4+10795.32</f>
        <v>110919.64000000001</v>
      </c>
      <c r="M19" s="42"/>
      <c r="N19" s="11"/>
      <c r="O19" s="11"/>
    </row>
    <row r="20" spans="1:16" x14ac:dyDescent="0.2">
      <c r="B20" s="88" t="s">
        <v>75</v>
      </c>
      <c r="C20" s="38">
        <v>0</v>
      </c>
      <c r="D20" s="36">
        <v>0</v>
      </c>
      <c r="E20" s="36">
        <v>0</v>
      </c>
      <c r="F20" s="30">
        <v>0</v>
      </c>
      <c r="H20" s="29" t="s">
        <v>75</v>
      </c>
      <c r="I20" s="38">
        <f>1+29+24+23+15</f>
        <v>92</v>
      </c>
      <c r="J20" s="36">
        <f>11.01+267.07+151.81+173.24+164.01</f>
        <v>767.14</v>
      </c>
      <c r="K20" s="36">
        <f>2175.6+59332.2+27624.96+36756+29788.8</f>
        <v>155677.56</v>
      </c>
      <c r="L20" s="30">
        <f>2274.7+63750.97+28991.1+39255.38+31264.6</f>
        <v>165536.75</v>
      </c>
      <c r="M20" s="102"/>
      <c r="N20" s="93"/>
      <c r="O20" s="91"/>
      <c r="P20" s="11"/>
    </row>
    <row r="21" spans="1:16" x14ac:dyDescent="0.2">
      <c r="B21" s="29" t="s">
        <v>64</v>
      </c>
      <c r="C21" s="38">
        <v>0</v>
      </c>
      <c r="D21" s="36">
        <v>0</v>
      </c>
      <c r="E21" s="36">
        <v>0</v>
      </c>
      <c r="F21" s="30">
        <v>0</v>
      </c>
      <c r="H21" s="29" t="s">
        <v>64</v>
      </c>
      <c r="I21" s="38">
        <f>23+29+20+6</f>
        <v>78</v>
      </c>
      <c r="J21" s="36">
        <f>167.89+212.34+120.35+28.06</f>
        <v>528.64</v>
      </c>
      <c r="K21" s="36">
        <f>30892.8+41338.2+27611.77+9686.4</f>
        <v>109529.17</v>
      </c>
      <c r="L21" s="30">
        <f>32403.57+43787.71+29593.99+10829.1</f>
        <v>116614.37000000001</v>
      </c>
      <c r="M21" s="91"/>
      <c r="N21" s="42"/>
      <c r="O21" s="11"/>
    </row>
    <row r="22" spans="1:16" x14ac:dyDescent="0.2">
      <c r="B22" s="29" t="s">
        <v>65</v>
      </c>
      <c r="C22" s="38">
        <v>0</v>
      </c>
      <c r="D22" s="36">
        <v>0</v>
      </c>
      <c r="E22" s="36">
        <v>0</v>
      </c>
      <c r="F22" s="30">
        <v>0</v>
      </c>
      <c r="H22" s="29" t="s">
        <v>65</v>
      </c>
      <c r="I22" s="38">
        <f>18+24+33+10+4</f>
        <v>89</v>
      </c>
      <c r="J22" s="36">
        <f>171.32+204.17+261.64+81.35+29.65</f>
        <v>748.13</v>
      </c>
      <c r="K22" s="36">
        <f>29715.6+37047.6+57918.6+13472+5989.2</f>
        <v>144143</v>
      </c>
      <c r="L22" s="30">
        <f>31257.29+39224.45+61452.69+14204.37+6256.06</f>
        <v>152394.85999999999</v>
      </c>
      <c r="M22" s="103"/>
      <c r="N22" s="104"/>
      <c r="O22" s="11"/>
      <c r="P22" s="2"/>
    </row>
    <row r="23" spans="1:16" x14ac:dyDescent="0.2">
      <c r="B23" s="29" t="s">
        <v>67</v>
      </c>
      <c r="C23" s="38">
        <v>0</v>
      </c>
      <c r="D23" s="36">
        <v>0</v>
      </c>
      <c r="E23" s="36">
        <v>0</v>
      </c>
      <c r="F23" s="30">
        <v>0</v>
      </c>
      <c r="H23" s="29" t="s">
        <v>67</v>
      </c>
      <c r="I23" s="38">
        <f>21+25+26</f>
        <v>72</v>
      </c>
      <c r="J23" s="36">
        <f>171.06+199.2+257.79</f>
        <v>628.04999999999995</v>
      </c>
      <c r="K23" s="36">
        <f>30289.8+39564+43708.2</f>
        <v>113562</v>
      </c>
      <c r="L23" s="30">
        <f>31828.97+42086.54+46027.97</f>
        <v>119943.48000000001</v>
      </c>
      <c r="M23" s="91"/>
      <c r="N23" s="11"/>
      <c r="O23" s="11"/>
    </row>
    <row r="24" spans="1:16" x14ac:dyDescent="0.2">
      <c r="B24" s="31" t="s">
        <v>0</v>
      </c>
      <c r="C24" s="39">
        <f>SUM(C12:C23)</f>
        <v>296</v>
      </c>
      <c r="D24" s="37">
        <f>SUM(D12:D23)</f>
        <v>2612.1799999999998</v>
      </c>
      <c r="E24" s="105">
        <f>SUM(E12:E23)</f>
        <v>489017.89</v>
      </c>
      <c r="F24" s="32">
        <f>SUM(F12:F23)</f>
        <v>514531.19999999995</v>
      </c>
      <c r="H24" s="31" t="s">
        <v>0</v>
      </c>
      <c r="I24" s="39">
        <f>SUM(I12:I23)</f>
        <v>959</v>
      </c>
      <c r="J24" s="37">
        <f>SUM(J12:J23)</f>
        <v>7579.0000000000009</v>
      </c>
      <c r="K24" s="105">
        <f>SUM(K12:K23)</f>
        <v>1491277.3599999999</v>
      </c>
      <c r="L24" s="32">
        <f>SUM(L12:L23)</f>
        <v>1579869.3199999998</v>
      </c>
      <c r="M24" s="42"/>
      <c r="N24" s="106"/>
      <c r="O24" s="11"/>
    </row>
    <row r="25" spans="1:16" x14ac:dyDescent="0.2">
      <c r="B25" s="329" t="s">
        <v>481</v>
      </c>
      <c r="I25" s="5"/>
      <c r="J25" s="2" t="s">
        <v>503</v>
      </c>
      <c r="L25" s="8"/>
      <c r="M25" s="42"/>
    </row>
    <row r="26" spans="1:16" x14ac:dyDescent="0.2">
      <c r="I26" s="5"/>
      <c r="N26" s="11"/>
    </row>
    <row r="27" spans="1:16" x14ac:dyDescent="0.2">
      <c r="A27" s="5"/>
      <c r="B27" s="119"/>
      <c r="C27" s="2"/>
      <c r="D27" s="2"/>
      <c r="E27" s="2"/>
      <c r="F27" s="2"/>
      <c r="G27" s="2"/>
    </row>
    <row r="28" spans="1:16" x14ac:dyDescent="0.2">
      <c r="B28" s="119"/>
    </row>
    <row r="29" spans="1:16" x14ac:dyDescent="0.2">
      <c r="B29" s="119"/>
      <c r="E29" s="14"/>
      <c r="N29" s="11"/>
    </row>
    <row r="30" spans="1:16" x14ac:dyDescent="0.2">
      <c r="B30" s="2"/>
      <c r="D30" s="4"/>
      <c r="E30" s="4"/>
    </row>
    <row r="31" spans="1:16" x14ac:dyDescent="0.2">
      <c r="B31" s="2"/>
      <c r="C31" s="8" t="s">
        <v>482</v>
      </c>
      <c r="D31" s="460"/>
      <c r="E31" s="461"/>
      <c r="F31" s="462"/>
      <c r="G31" s="462"/>
      <c r="H31" s="5"/>
      <c r="I31" s="8" t="s">
        <v>128</v>
      </c>
      <c r="J31" s="460"/>
      <c r="K31" s="461"/>
      <c r="L31" s="362"/>
    </row>
    <row r="32" spans="1:16" x14ac:dyDescent="0.2">
      <c r="A32" s="2"/>
      <c r="B32" s="34"/>
      <c r="C32" s="15"/>
      <c r="D32" s="9" t="s">
        <v>483</v>
      </c>
      <c r="E32" s="2"/>
      <c r="F32" s="6"/>
      <c r="G32" s="6"/>
      <c r="H32" s="5"/>
      <c r="I32" s="15"/>
      <c r="J32" s="9" t="s">
        <v>485</v>
      </c>
      <c r="K32" s="2"/>
      <c r="L32" s="351"/>
      <c r="M32" s="5"/>
    </row>
    <row r="33" spans="1:13" x14ac:dyDescent="0.2">
      <c r="A33" s="41"/>
      <c r="B33" s="41"/>
      <c r="C33" s="4"/>
      <c r="D33" s="463" t="s">
        <v>486</v>
      </c>
      <c r="E33" s="2"/>
      <c r="F33" s="3"/>
      <c r="G33" s="3"/>
      <c r="H33" s="2"/>
      <c r="I33" s="4"/>
      <c r="J33" s="463" t="s">
        <v>484</v>
      </c>
      <c r="K33" s="2"/>
      <c r="L33" s="351"/>
      <c r="M33" s="5"/>
    </row>
    <row r="34" spans="1:13" x14ac:dyDescent="0.2">
      <c r="B34" s="5"/>
      <c r="C34" s="2"/>
      <c r="D34" s="2"/>
      <c r="E34" s="2"/>
      <c r="F34" s="5"/>
      <c r="G34" s="5"/>
      <c r="H34" s="5"/>
      <c r="I34" s="5"/>
      <c r="J34" s="5"/>
      <c r="K34" s="5"/>
      <c r="L34" s="5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42"/>
  <sheetViews>
    <sheetView topLeftCell="A22" zoomScale="115" zoomScaleNormal="115" workbookViewId="0">
      <selection activeCell="N10" sqref="N10"/>
    </sheetView>
  </sheetViews>
  <sheetFormatPr baseColWidth="10" defaultColWidth="11.42578125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2:18" ht="12.75" x14ac:dyDescent="0.2">
      <c r="O1" s="8" t="s">
        <v>115</v>
      </c>
    </row>
    <row r="3" spans="2:18" x14ac:dyDescent="0.2">
      <c r="B3" s="508" t="s">
        <v>194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</row>
    <row r="4" spans="2:18" x14ac:dyDescent="0.2">
      <c r="B4" s="509" t="s">
        <v>474</v>
      </c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</row>
    <row r="5" spans="2:18" x14ac:dyDescent="0.2"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2:18" ht="11.25" customHeight="1" x14ac:dyDescent="0.2">
      <c r="B6" s="510" t="s">
        <v>202</v>
      </c>
      <c r="C6" s="510"/>
      <c r="D6" s="510"/>
      <c r="E6" s="510"/>
      <c r="F6" s="510"/>
      <c r="G6" s="510"/>
      <c r="H6" s="510"/>
      <c r="I6" s="510"/>
      <c r="J6" s="510"/>
      <c r="K6" s="510"/>
      <c r="L6" s="510"/>
      <c r="M6" s="296">
        <f>C25</f>
        <v>48</v>
      </c>
      <c r="N6" s="187"/>
      <c r="O6" s="187"/>
      <c r="P6" s="187"/>
    </row>
    <row r="7" spans="2:18" ht="12" thickBot="1" x14ac:dyDescent="0.25"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</row>
    <row r="8" spans="2:18" ht="12.75" thickBot="1" x14ac:dyDescent="0.25">
      <c r="B8" s="512" t="s">
        <v>19</v>
      </c>
      <c r="C8" s="513"/>
      <c r="D8" s="512" t="s">
        <v>172</v>
      </c>
      <c r="E8" s="514"/>
      <c r="F8" s="509"/>
      <c r="G8" s="524" t="s">
        <v>21</v>
      </c>
      <c r="H8" s="526"/>
      <c r="I8" s="536">
        <f>SUM(I10:I32)</f>
        <v>0</v>
      </c>
      <c r="J8" s="524" t="s">
        <v>20</v>
      </c>
      <c r="K8" s="526"/>
      <c r="L8" s="523"/>
      <c r="M8" s="524" t="s">
        <v>22</v>
      </c>
      <c r="N8" s="525"/>
      <c r="O8" s="525"/>
      <c r="P8" s="526"/>
    </row>
    <row r="9" spans="2:18" ht="12.75" thickBot="1" x14ac:dyDescent="0.25">
      <c r="B9" s="515" t="s">
        <v>23</v>
      </c>
      <c r="C9" s="516"/>
      <c r="D9" s="225" t="s">
        <v>173</v>
      </c>
      <c r="E9" s="224" t="s">
        <v>174</v>
      </c>
      <c r="F9" s="509"/>
      <c r="G9" s="517" t="s">
        <v>26</v>
      </c>
      <c r="H9" s="518"/>
      <c r="I9" s="536"/>
      <c r="J9" s="517" t="s">
        <v>25</v>
      </c>
      <c r="K9" s="518"/>
      <c r="L9" s="523"/>
      <c r="M9" s="519" t="s">
        <v>27</v>
      </c>
      <c r="N9" s="520"/>
      <c r="O9" s="521" t="s">
        <v>29</v>
      </c>
      <c r="P9" s="522"/>
    </row>
    <row r="10" spans="2:18" ht="24.75" x14ac:dyDescent="0.2">
      <c r="B10" s="213" t="s">
        <v>31</v>
      </c>
      <c r="C10" s="226">
        <f>D10+E10</f>
        <v>2</v>
      </c>
      <c r="D10" s="227">
        <v>2</v>
      </c>
      <c r="E10" s="228">
        <v>0</v>
      </c>
      <c r="F10" s="509"/>
      <c r="G10" s="221" t="s">
        <v>184</v>
      </c>
      <c r="H10" s="234">
        <v>0</v>
      </c>
      <c r="I10" s="536"/>
      <c r="J10" s="190" t="s">
        <v>152</v>
      </c>
      <c r="K10" s="228">
        <v>0</v>
      </c>
      <c r="L10" s="523"/>
      <c r="M10" s="205">
        <v>1142.8599999999999</v>
      </c>
      <c r="N10" s="243">
        <v>6</v>
      </c>
      <c r="O10" s="206">
        <v>571.42999999999995</v>
      </c>
      <c r="P10" s="236">
        <v>1</v>
      </c>
      <c r="Q10" s="41"/>
    </row>
    <row r="11" spans="2:18" ht="16.5" x14ac:dyDescent="0.2">
      <c r="B11" s="212" t="s">
        <v>33</v>
      </c>
      <c r="C11" s="226">
        <f t="shared" ref="C11:C24" si="0">D11+E11</f>
        <v>3</v>
      </c>
      <c r="D11" s="227">
        <v>2</v>
      </c>
      <c r="E11" s="228">
        <v>1</v>
      </c>
      <c r="F11" s="509"/>
      <c r="G11" s="207" t="s">
        <v>185</v>
      </c>
      <c r="H11" s="232">
        <v>5</v>
      </c>
      <c r="I11" s="536"/>
      <c r="J11" s="190" t="s">
        <v>177</v>
      </c>
      <c r="K11" s="228">
        <v>1</v>
      </c>
      <c r="L11" s="523"/>
      <c r="M11" s="197">
        <v>2285.71</v>
      </c>
      <c r="N11" s="244">
        <v>2</v>
      </c>
      <c r="O11" s="113">
        <v>1142.8599999999999</v>
      </c>
      <c r="P11" s="237">
        <v>0</v>
      </c>
      <c r="Q11" s="41"/>
    </row>
    <row r="12" spans="2:18" x14ac:dyDescent="0.2">
      <c r="B12" s="212" t="s">
        <v>36</v>
      </c>
      <c r="C12" s="226">
        <f t="shared" si="0"/>
        <v>4</v>
      </c>
      <c r="D12" s="229">
        <v>3</v>
      </c>
      <c r="E12" s="230">
        <v>1</v>
      </c>
      <c r="F12" s="509"/>
      <c r="G12" s="207" t="s">
        <v>35</v>
      </c>
      <c r="H12" s="232">
        <v>7</v>
      </c>
      <c r="I12" s="536"/>
      <c r="J12" s="190" t="s">
        <v>110</v>
      </c>
      <c r="K12" s="228">
        <v>1</v>
      </c>
      <c r="L12" s="523"/>
      <c r="M12" s="197">
        <v>3428.57</v>
      </c>
      <c r="N12" s="244">
        <v>22</v>
      </c>
      <c r="O12" s="113">
        <v>1714.29</v>
      </c>
      <c r="P12" s="237">
        <v>0</v>
      </c>
      <c r="Q12" s="41"/>
      <c r="R12" s="240"/>
    </row>
    <row r="13" spans="2:18" x14ac:dyDescent="0.2">
      <c r="B13" s="212" t="s">
        <v>39</v>
      </c>
      <c r="C13" s="226">
        <f t="shared" si="0"/>
        <v>0</v>
      </c>
      <c r="D13" s="229">
        <v>0</v>
      </c>
      <c r="E13" s="230">
        <v>0</v>
      </c>
      <c r="F13" s="509"/>
      <c r="G13" s="207" t="s">
        <v>38</v>
      </c>
      <c r="H13" s="232">
        <v>11</v>
      </c>
      <c r="I13" s="536"/>
      <c r="J13" s="190" t="s">
        <v>111</v>
      </c>
      <c r="K13" s="228">
        <v>0</v>
      </c>
      <c r="L13" s="523"/>
      <c r="M13" s="197">
        <v>4571.43</v>
      </c>
      <c r="N13" s="244">
        <v>1</v>
      </c>
      <c r="O13" s="198">
        <v>2285.71</v>
      </c>
      <c r="P13" s="237">
        <v>0</v>
      </c>
    </row>
    <row r="14" spans="2:18" x14ac:dyDescent="0.2">
      <c r="B14" s="212" t="s">
        <v>41</v>
      </c>
      <c r="C14" s="226">
        <f t="shared" si="0"/>
        <v>2</v>
      </c>
      <c r="D14" s="227">
        <v>1</v>
      </c>
      <c r="E14" s="231">
        <v>1</v>
      </c>
      <c r="F14" s="509"/>
      <c r="G14" s="207" t="s">
        <v>181</v>
      </c>
      <c r="H14" s="232">
        <v>10</v>
      </c>
      <c r="I14" s="536"/>
      <c r="J14" s="190" t="s">
        <v>186</v>
      </c>
      <c r="K14" s="228">
        <v>0</v>
      </c>
      <c r="L14" s="523"/>
      <c r="M14" s="197">
        <v>5714.29</v>
      </c>
      <c r="N14" s="244">
        <v>7</v>
      </c>
      <c r="O14" s="113">
        <v>2857.14</v>
      </c>
      <c r="P14" s="237">
        <v>0</v>
      </c>
    </row>
    <row r="15" spans="2:18" x14ac:dyDescent="0.2">
      <c r="B15" s="212" t="s">
        <v>43</v>
      </c>
      <c r="C15" s="226">
        <f t="shared" si="0"/>
        <v>24</v>
      </c>
      <c r="D15" s="227">
        <v>7</v>
      </c>
      <c r="E15" s="228">
        <v>17</v>
      </c>
      <c r="F15" s="509"/>
      <c r="G15" s="222" t="s">
        <v>182</v>
      </c>
      <c r="H15" s="232">
        <v>11</v>
      </c>
      <c r="I15" s="536"/>
      <c r="J15" s="190" t="s">
        <v>112</v>
      </c>
      <c r="K15" s="228">
        <v>0</v>
      </c>
      <c r="L15" s="523"/>
      <c r="M15" s="197">
        <v>6857.14</v>
      </c>
      <c r="N15" s="244">
        <v>0</v>
      </c>
      <c r="O15" s="113">
        <v>3428.57</v>
      </c>
      <c r="P15" s="237">
        <v>0</v>
      </c>
    </row>
    <row r="16" spans="2:18" x14ac:dyDescent="0.2">
      <c r="B16" s="212" t="s">
        <v>45</v>
      </c>
      <c r="C16" s="226">
        <f t="shared" si="0"/>
        <v>0</v>
      </c>
      <c r="D16" s="229">
        <v>0</v>
      </c>
      <c r="E16" s="228">
        <v>0</v>
      </c>
      <c r="F16" s="509"/>
      <c r="G16" s="222" t="s">
        <v>183</v>
      </c>
      <c r="H16" s="232">
        <v>4</v>
      </c>
      <c r="I16" s="536"/>
      <c r="J16" s="190" t="s">
        <v>47</v>
      </c>
      <c r="K16" s="228">
        <v>1</v>
      </c>
      <c r="L16" s="523"/>
      <c r="M16" s="197">
        <v>8000</v>
      </c>
      <c r="N16" s="244">
        <v>0</v>
      </c>
      <c r="O16" s="113">
        <v>4571.43</v>
      </c>
      <c r="P16" s="237">
        <v>0</v>
      </c>
    </row>
    <row r="17" spans="2:18" ht="12" thickBot="1" x14ac:dyDescent="0.25">
      <c r="B17" s="212" t="s">
        <v>46</v>
      </c>
      <c r="C17" s="226">
        <f t="shared" si="0"/>
        <v>1</v>
      </c>
      <c r="D17" s="229">
        <v>1</v>
      </c>
      <c r="E17" s="230">
        <v>0</v>
      </c>
      <c r="F17" s="509"/>
      <c r="G17" s="223" t="s">
        <v>138</v>
      </c>
      <c r="H17" s="233">
        <v>0</v>
      </c>
      <c r="I17" s="536"/>
      <c r="J17" s="190" t="s">
        <v>136</v>
      </c>
      <c r="K17" s="228">
        <v>1</v>
      </c>
      <c r="L17" s="523"/>
      <c r="M17" s="197">
        <v>9142.86</v>
      </c>
      <c r="N17" s="244">
        <v>0</v>
      </c>
      <c r="O17" s="113">
        <v>5714.29</v>
      </c>
      <c r="P17" s="237">
        <v>0</v>
      </c>
    </row>
    <row r="18" spans="2:18" ht="17.25" thickBot="1" x14ac:dyDescent="0.25">
      <c r="B18" s="212" t="s">
        <v>48</v>
      </c>
      <c r="C18" s="226">
        <f t="shared" si="0"/>
        <v>0</v>
      </c>
      <c r="D18" s="227">
        <v>0</v>
      </c>
      <c r="E18" s="230">
        <v>0</v>
      </c>
      <c r="F18" s="509"/>
      <c r="G18" s="220" t="s">
        <v>0</v>
      </c>
      <c r="H18" s="235">
        <f>SUM(H10:H17)</f>
        <v>48</v>
      </c>
      <c r="I18" s="536"/>
      <c r="J18" s="190" t="s">
        <v>142</v>
      </c>
      <c r="K18" s="228">
        <v>1</v>
      </c>
      <c r="L18" s="523"/>
      <c r="M18" s="199">
        <v>10285.709999999999</v>
      </c>
      <c r="N18" s="244">
        <v>0</v>
      </c>
      <c r="O18" s="113">
        <v>6857.14</v>
      </c>
      <c r="P18" s="237">
        <v>0</v>
      </c>
    </row>
    <row r="19" spans="2:18" ht="12" thickBot="1" x14ac:dyDescent="0.25">
      <c r="B19" s="212" t="s">
        <v>49</v>
      </c>
      <c r="C19" s="226">
        <f t="shared" si="0"/>
        <v>0</v>
      </c>
      <c r="D19" s="227">
        <v>0</v>
      </c>
      <c r="E19" s="228">
        <v>0</v>
      </c>
      <c r="F19" s="509"/>
      <c r="I19" s="536"/>
      <c r="J19" s="190" t="s">
        <v>135</v>
      </c>
      <c r="K19" s="228">
        <v>2</v>
      </c>
      <c r="L19" s="523"/>
      <c r="M19" s="200">
        <v>11428.57</v>
      </c>
      <c r="N19" s="244">
        <v>4</v>
      </c>
      <c r="O19" s="113">
        <v>8000</v>
      </c>
      <c r="P19" s="237">
        <v>0</v>
      </c>
    </row>
    <row r="20" spans="2:18" ht="17.25" thickBot="1" x14ac:dyDescent="0.25">
      <c r="B20" s="212" t="s">
        <v>50</v>
      </c>
      <c r="C20" s="226">
        <f t="shared" si="0"/>
        <v>5</v>
      </c>
      <c r="D20" s="229">
        <v>4</v>
      </c>
      <c r="E20" s="228">
        <v>1</v>
      </c>
      <c r="F20" s="509"/>
      <c r="G20" s="537" t="s">
        <v>24</v>
      </c>
      <c r="H20" s="538"/>
      <c r="I20" s="536"/>
      <c r="J20" s="191" t="s">
        <v>188</v>
      </c>
      <c r="K20" s="228">
        <v>6</v>
      </c>
      <c r="L20" s="523"/>
      <c r="M20" s="201">
        <v>15000</v>
      </c>
      <c r="N20" s="244">
        <v>1</v>
      </c>
      <c r="O20" s="113">
        <v>9142.86</v>
      </c>
      <c r="P20" s="237">
        <v>0</v>
      </c>
    </row>
    <row r="21" spans="2:18" x14ac:dyDescent="0.2">
      <c r="B21" s="212" t="s">
        <v>51</v>
      </c>
      <c r="C21" s="226">
        <f t="shared" si="0"/>
        <v>7</v>
      </c>
      <c r="D21" s="229">
        <v>4</v>
      </c>
      <c r="E21" s="230">
        <v>3</v>
      </c>
      <c r="F21" s="509"/>
      <c r="G21" s="211" t="s">
        <v>32</v>
      </c>
      <c r="H21" s="236">
        <v>16</v>
      </c>
      <c r="I21" s="536"/>
      <c r="J21" s="191" t="s">
        <v>171</v>
      </c>
      <c r="K21" s="228">
        <v>1</v>
      </c>
      <c r="L21" s="523"/>
      <c r="M21" s="201">
        <v>20000</v>
      </c>
      <c r="N21" s="244">
        <v>0</v>
      </c>
      <c r="O21" s="113">
        <v>10285.709999999999</v>
      </c>
      <c r="P21" s="237">
        <v>0</v>
      </c>
    </row>
    <row r="22" spans="2:18" x14ac:dyDescent="0.2">
      <c r="B22" s="212" t="s">
        <v>52</v>
      </c>
      <c r="C22" s="226">
        <f t="shared" si="0"/>
        <v>0</v>
      </c>
      <c r="D22" s="229">
        <v>0</v>
      </c>
      <c r="E22" s="230">
        <v>0</v>
      </c>
      <c r="F22" s="509"/>
      <c r="G22" s="208" t="s">
        <v>34</v>
      </c>
      <c r="H22" s="237">
        <v>3</v>
      </c>
      <c r="I22" s="536"/>
      <c r="J22" s="191" t="s">
        <v>189</v>
      </c>
      <c r="K22" s="228">
        <v>0</v>
      </c>
      <c r="L22" s="523"/>
      <c r="M22" s="201">
        <v>25000</v>
      </c>
      <c r="N22" s="244">
        <v>0</v>
      </c>
      <c r="O22" s="113">
        <v>11428.57</v>
      </c>
      <c r="P22" s="237">
        <v>0</v>
      </c>
    </row>
    <row r="23" spans="2:18" ht="12" thickBot="1" x14ac:dyDescent="0.25">
      <c r="B23" s="212" t="s">
        <v>53</v>
      </c>
      <c r="C23" s="226">
        <f t="shared" si="0"/>
        <v>0</v>
      </c>
      <c r="D23" s="229">
        <v>0</v>
      </c>
      <c r="E23" s="231">
        <v>0</v>
      </c>
      <c r="F23" s="509"/>
      <c r="G23" s="208" t="s">
        <v>37</v>
      </c>
      <c r="H23" s="237">
        <v>24</v>
      </c>
      <c r="I23" s="536"/>
      <c r="J23" s="190" t="s">
        <v>54</v>
      </c>
      <c r="K23" s="228">
        <v>0</v>
      </c>
      <c r="L23" s="523"/>
      <c r="M23" s="202">
        <v>30000</v>
      </c>
      <c r="N23" s="245">
        <v>0</v>
      </c>
      <c r="O23" s="203"/>
      <c r="P23" s="246"/>
    </row>
    <row r="24" spans="2:18" ht="17.25" thickBot="1" x14ac:dyDescent="0.25">
      <c r="B24" s="209" t="s">
        <v>131</v>
      </c>
      <c r="C24" s="226">
        <f t="shared" si="0"/>
        <v>0</v>
      </c>
      <c r="D24" s="229">
        <v>0</v>
      </c>
      <c r="E24" s="231">
        <v>0</v>
      </c>
      <c r="F24" s="509"/>
      <c r="G24" s="208" t="s">
        <v>40</v>
      </c>
      <c r="H24" s="237">
        <v>4</v>
      </c>
      <c r="I24" s="536"/>
      <c r="J24" s="190" t="s">
        <v>133</v>
      </c>
      <c r="K24" s="228">
        <v>0</v>
      </c>
      <c r="L24" s="523"/>
      <c r="M24" s="247" t="s">
        <v>0</v>
      </c>
      <c r="N24" s="248">
        <f>SUM(N10:N23)</f>
        <v>43</v>
      </c>
      <c r="O24" s="247" t="s">
        <v>0</v>
      </c>
      <c r="P24" s="249">
        <f>SUM(P10:P23)</f>
        <v>1</v>
      </c>
    </row>
    <row r="25" spans="2:18" ht="12.75" thickBot="1" x14ac:dyDescent="0.25">
      <c r="B25" s="216" t="s">
        <v>0</v>
      </c>
      <c r="C25" s="239">
        <f>SUM(C10:C24)</f>
        <v>48</v>
      </c>
      <c r="D25" s="239">
        <f>SUM(D10:D24)</f>
        <v>24</v>
      </c>
      <c r="E25" s="219">
        <f>SUM(E10:E24)</f>
        <v>24</v>
      </c>
      <c r="F25" s="509"/>
      <c r="G25" s="209" t="s">
        <v>42</v>
      </c>
      <c r="H25" s="237">
        <v>1</v>
      </c>
      <c r="I25" s="536"/>
      <c r="J25" s="190" t="s">
        <v>132</v>
      </c>
      <c r="K25" s="228">
        <v>1</v>
      </c>
      <c r="L25" s="523"/>
      <c r="M25" s="532" t="s">
        <v>30</v>
      </c>
      <c r="N25" s="533"/>
      <c r="O25" s="534" t="s">
        <v>28</v>
      </c>
      <c r="P25" s="535"/>
    </row>
    <row r="26" spans="2:18" ht="12" thickBot="1" x14ac:dyDescent="0.25">
      <c r="B26" s="121" t="s">
        <v>149</v>
      </c>
      <c r="C26" s="188"/>
      <c r="D26" s="188"/>
      <c r="E26" s="188"/>
      <c r="F26" s="509"/>
      <c r="G26" s="209" t="s">
        <v>44</v>
      </c>
      <c r="H26" s="237">
        <v>0</v>
      </c>
      <c r="I26" s="536"/>
      <c r="J26" s="190" t="s">
        <v>55</v>
      </c>
      <c r="K26" s="228">
        <v>9</v>
      </c>
      <c r="L26" s="523"/>
      <c r="M26" s="204">
        <v>3428.57</v>
      </c>
      <c r="N26" s="297">
        <f>N32+P32</f>
        <v>19</v>
      </c>
      <c r="O26" s="204">
        <v>1142.8599999999999</v>
      </c>
      <c r="P26" s="250">
        <f>N31+P31</f>
        <v>15</v>
      </c>
      <c r="R26" s="253"/>
    </row>
    <row r="27" spans="2:18" ht="12.75" thickBot="1" x14ac:dyDescent="0.25">
      <c r="B27" s="259"/>
      <c r="C27" s="188"/>
      <c r="D27" s="188"/>
      <c r="E27" s="188"/>
      <c r="F27" s="509"/>
      <c r="G27" s="210" t="s">
        <v>118</v>
      </c>
      <c r="H27" s="238">
        <v>0</v>
      </c>
      <c r="I27" s="536"/>
      <c r="J27" s="190" t="s">
        <v>123</v>
      </c>
      <c r="K27" s="228">
        <v>0</v>
      </c>
      <c r="L27" s="523"/>
      <c r="M27" s="527"/>
      <c r="N27" s="527"/>
      <c r="O27" s="527"/>
      <c r="P27" s="528"/>
    </row>
    <row r="28" spans="2:18" ht="12" thickBot="1" x14ac:dyDescent="0.25">
      <c r="B28" s="259"/>
      <c r="C28" s="188"/>
      <c r="D28" s="188"/>
      <c r="E28" s="188"/>
      <c r="F28" s="509"/>
      <c r="G28" s="218" t="s">
        <v>0</v>
      </c>
      <c r="H28" s="219">
        <f>H21+H22+H23+H24+H25+H26+H27</f>
        <v>48</v>
      </c>
      <c r="I28" s="536"/>
      <c r="J28" s="190" t="s">
        <v>143</v>
      </c>
      <c r="K28" s="228">
        <v>3</v>
      </c>
      <c r="L28" s="523"/>
      <c r="M28" s="529" t="s">
        <v>113</v>
      </c>
      <c r="N28" s="530"/>
      <c r="O28" s="530"/>
      <c r="P28" s="531"/>
    </row>
    <row r="29" spans="2:18" ht="16.5" x14ac:dyDescent="0.2">
      <c r="B29" s="259"/>
      <c r="C29" s="188"/>
      <c r="D29" s="188"/>
      <c r="E29" s="188"/>
      <c r="F29" s="509"/>
      <c r="I29" s="536"/>
      <c r="J29" s="190" t="s">
        <v>127</v>
      </c>
      <c r="K29" s="228">
        <v>0</v>
      </c>
      <c r="L29" s="523"/>
      <c r="M29" s="241" t="s">
        <v>120</v>
      </c>
      <c r="N29" s="254">
        <v>24</v>
      </c>
      <c r="O29" s="194" t="s">
        <v>176</v>
      </c>
      <c r="P29" s="252">
        <v>19</v>
      </c>
      <c r="Q29" s="253"/>
      <c r="R29" s="253"/>
    </row>
    <row r="30" spans="2:18" ht="16.5" x14ac:dyDescent="0.2">
      <c r="B30" s="259"/>
      <c r="C30" s="188"/>
      <c r="D30" s="188"/>
      <c r="E30" s="188"/>
      <c r="F30" s="509"/>
      <c r="I30" s="536"/>
      <c r="J30" s="214" t="s">
        <v>134</v>
      </c>
      <c r="K30" s="228">
        <v>0</v>
      </c>
      <c r="L30" s="523"/>
      <c r="M30" s="241" t="s">
        <v>121</v>
      </c>
      <c r="N30" s="254">
        <v>0</v>
      </c>
      <c r="O30" s="195" t="s">
        <v>178</v>
      </c>
      <c r="P30" s="192">
        <v>1</v>
      </c>
    </row>
    <row r="31" spans="2:18" ht="16.5" x14ac:dyDescent="0.2">
      <c r="B31" s="259"/>
      <c r="C31" s="188"/>
      <c r="D31" s="188"/>
      <c r="E31" s="188"/>
      <c r="F31" s="509"/>
      <c r="G31" s="188"/>
      <c r="H31" s="188"/>
      <c r="I31" s="536"/>
      <c r="J31" s="214" t="s">
        <v>205</v>
      </c>
      <c r="K31" s="228">
        <v>13</v>
      </c>
      <c r="L31" s="523"/>
      <c r="M31" s="241" t="s">
        <v>175</v>
      </c>
      <c r="N31" s="254">
        <v>0</v>
      </c>
      <c r="O31" s="195" t="s">
        <v>179</v>
      </c>
      <c r="P31" s="192">
        <v>15</v>
      </c>
    </row>
    <row r="32" spans="2:18" ht="17.25" thickBot="1" x14ac:dyDescent="0.25">
      <c r="B32" s="259"/>
      <c r="C32" s="188"/>
      <c r="D32" s="188"/>
      <c r="E32" s="188"/>
      <c r="F32" s="509"/>
      <c r="G32" s="188"/>
      <c r="H32" s="188"/>
      <c r="I32" s="536"/>
      <c r="J32" s="214" t="s">
        <v>187</v>
      </c>
      <c r="K32" s="228">
        <v>8</v>
      </c>
      <c r="L32" s="523"/>
      <c r="M32" s="242" t="s">
        <v>119</v>
      </c>
      <c r="N32" s="255">
        <v>4</v>
      </c>
      <c r="O32" s="196" t="s">
        <v>180</v>
      </c>
      <c r="P32" s="193">
        <v>15</v>
      </c>
    </row>
    <row r="33" spans="2:18" ht="12.75" thickBot="1" x14ac:dyDescent="0.25">
      <c r="F33" s="509"/>
      <c r="G33" s="189"/>
      <c r="H33" s="189"/>
      <c r="I33" s="536"/>
      <c r="J33" s="215" t="s">
        <v>0</v>
      </c>
      <c r="K33" s="217">
        <f>SUM(K10:K32)</f>
        <v>48</v>
      </c>
      <c r="L33" s="523"/>
      <c r="M33" s="216" t="s">
        <v>0</v>
      </c>
      <c r="N33" s="216">
        <f>N29+N30+N31+N32</f>
        <v>28</v>
      </c>
      <c r="O33" s="216" t="s">
        <v>0</v>
      </c>
      <c r="P33" s="251">
        <f>P29+P30+P31+P32</f>
        <v>50</v>
      </c>
      <c r="R33" s="253"/>
    </row>
    <row r="34" spans="2:18" ht="12.75" x14ac:dyDescent="0.2">
      <c r="C34" s="120"/>
      <c r="D34" s="120"/>
      <c r="E34" s="120"/>
      <c r="F34" s="120"/>
      <c r="G34" s="120"/>
      <c r="H34" s="120"/>
      <c r="I34" s="2"/>
      <c r="J34" s="64"/>
      <c r="K34" s="2"/>
      <c r="L34" s="2"/>
      <c r="M34" s="64"/>
      <c r="N34" s="64"/>
      <c r="O34" s="258" t="s">
        <v>478</v>
      </c>
      <c r="P34" s="64"/>
    </row>
    <row r="35" spans="2:18" ht="12.75" x14ac:dyDescent="0.2">
      <c r="B35" s="109" t="s">
        <v>122</v>
      </c>
      <c r="C35" s="120"/>
      <c r="D35" s="120"/>
      <c r="E35" s="120"/>
      <c r="F35" s="120"/>
      <c r="G35" s="120"/>
      <c r="H35" s="120"/>
      <c r="I35" s="2"/>
      <c r="J35" s="64"/>
      <c r="K35" s="2"/>
      <c r="L35" s="2"/>
      <c r="M35" s="64"/>
      <c r="N35" s="64"/>
      <c r="P35" s="64"/>
    </row>
    <row r="36" spans="2:18" ht="12" x14ac:dyDescent="0.2">
      <c r="B36" s="10" t="s">
        <v>191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64" t="s">
        <v>144</v>
      </c>
    </row>
    <row r="42" spans="2:18" ht="12.75" x14ac:dyDescent="0.2">
      <c r="N42" s="64" t="s">
        <v>66</v>
      </c>
    </row>
  </sheetData>
  <mergeCells count="22">
    <mergeCell ref="B9:C9"/>
    <mergeCell ref="G9:H9"/>
    <mergeCell ref="J9:K9"/>
    <mergeCell ref="M9:N9"/>
    <mergeCell ref="O9:P9"/>
    <mergeCell ref="L8:L33"/>
    <mergeCell ref="M8:P8"/>
    <mergeCell ref="M27:P27"/>
    <mergeCell ref="M28:P28"/>
    <mergeCell ref="M25:N25"/>
    <mergeCell ref="O25:P25"/>
    <mergeCell ref="I8:I33"/>
    <mergeCell ref="J8:K8"/>
    <mergeCell ref="F8:F33"/>
    <mergeCell ref="G8:H8"/>
    <mergeCell ref="G20:H20"/>
    <mergeCell ref="B3:P3"/>
    <mergeCell ref="B4:P4"/>
    <mergeCell ref="B6:L6"/>
    <mergeCell ref="B7:P7"/>
    <mergeCell ref="B8:C8"/>
    <mergeCell ref="D8:E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85"/>
  <sheetViews>
    <sheetView workbookViewId="0">
      <selection activeCell="D10" sqref="D10:G10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2"/>
      <c r="P1" s="16" t="s">
        <v>116</v>
      </c>
    </row>
    <row r="2" spans="1:20" x14ac:dyDescent="0.2">
      <c r="A2" s="2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"/>
      <c r="P2" s="2"/>
    </row>
    <row r="3" spans="1:20" x14ac:dyDescent="0.2">
      <c r="A3" s="2"/>
      <c r="B3" s="484" t="s">
        <v>98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</row>
    <row r="4" spans="1:20" x14ac:dyDescent="0.2">
      <c r="A4" s="2"/>
      <c r="B4" s="484" t="s">
        <v>99</v>
      </c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</row>
    <row r="5" spans="1:20" x14ac:dyDescent="0.2">
      <c r="A5" s="2"/>
      <c r="B5" s="484" t="s">
        <v>137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</row>
    <row r="6" spans="1:20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4"/>
      <c r="C7" s="539" t="s">
        <v>489</v>
      </c>
      <c r="D7" s="539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114"/>
      <c r="Q7" s="23"/>
      <c r="R7" s="23"/>
      <c r="S7" s="23"/>
      <c r="T7" s="23"/>
    </row>
    <row r="8" spans="1:20" ht="15" customHeight="1" thickBot="1" x14ac:dyDescent="0.25">
      <c r="A8" s="2"/>
      <c r="B8" s="45"/>
      <c r="C8" s="540" t="s">
        <v>100</v>
      </c>
      <c r="D8" s="541"/>
      <c r="E8" s="541"/>
      <c r="F8" s="541"/>
      <c r="G8" s="542"/>
      <c r="H8" s="46"/>
      <c r="I8" s="540" t="s">
        <v>101</v>
      </c>
      <c r="J8" s="541"/>
      <c r="K8" s="541"/>
      <c r="L8" s="541"/>
      <c r="M8" s="542"/>
      <c r="N8" s="117"/>
      <c r="O8" s="116"/>
      <c r="P8" s="115" t="s">
        <v>0</v>
      </c>
      <c r="Q8" s="23"/>
      <c r="R8" s="23"/>
      <c r="S8" s="23"/>
      <c r="T8" s="23"/>
    </row>
    <row r="9" spans="1:20" ht="35.25" customHeight="1" thickBot="1" x14ac:dyDescent="0.25">
      <c r="A9" s="2"/>
      <c r="B9" s="47" t="s">
        <v>70</v>
      </c>
      <c r="C9" s="152" t="s">
        <v>102</v>
      </c>
      <c r="D9" s="48" t="s">
        <v>30</v>
      </c>
      <c r="E9" s="48" t="s">
        <v>103</v>
      </c>
      <c r="F9" s="48" t="s">
        <v>29</v>
      </c>
      <c r="G9" s="48" t="s">
        <v>28</v>
      </c>
      <c r="H9" s="107" t="s">
        <v>490</v>
      </c>
      <c r="I9" s="152" t="s">
        <v>104</v>
      </c>
      <c r="J9" s="48" t="s">
        <v>30</v>
      </c>
      <c r="K9" s="48" t="s">
        <v>103</v>
      </c>
      <c r="L9" s="48" t="s">
        <v>29</v>
      </c>
      <c r="M9" s="108" t="s">
        <v>28</v>
      </c>
      <c r="N9" s="107" t="s">
        <v>126</v>
      </c>
      <c r="O9" s="153" t="s">
        <v>125</v>
      </c>
      <c r="P9" s="118" t="s">
        <v>105</v>
      </c>
      <c r="Q9" s="23"/>
      <c r="R9" s="23"/>
      <c r="S9" s="23"/>
      <c r="T9" s="23"/>
    </row>
    <row r="10" spans="1:20" ht="21.95" customHeight="1" thickBot="1" x14ac:dyDescent="0.25">
      <c r="A10" s="2"/>
      <c r="B10" s="395" t="s">
        <v>56</v>
      </c>
      <c r="C10" s="396">
        <v>28</v>
      </c>
      <c r="D10" s="465">
        <v>12</v>
      </c>
      <c r="E10" s="465">
        <v>22</v>
      </c>
      <c r="F10" s="465">
        <v>1</v>
      </c>
      <c r="G10" s="403">
        <v>0</v>
      </c>
      <c r="H10" s="397">
        <f>SUM(D10:G10)</f>
        <v>35</v>
      </c>
      <c r="I10" s="398">
        <v>33</v>
      </c>
      <c r="J10" s="465">
        <v>7</v>
      </c>
      <c r="K10" s="465">
        <v>21</v>
      </c>
      <c r="L10" s="465">
        <v>0</v>
      </c>
      <c r="M10" s="403">
        <v>4</v>
      </c>
      <c r="N10" s="397">
        <f>SUM(J10:M10)</f>
        <v>32</v>
      </c>
      <c r="O10" s="399">
        <f>+C10+I10</f>
        <v>61</v>
      </c>
      <c r="P10" s="400">
        <f t="shared" ref="P10:P21" si="0">+N10+H10</f>
        <v>67</v>
      </c>
      <c r="Q10" s="49"/>
      <c r="R10" s="49"/>
      <c r="S10" s="25"/>
      <c r="T10" s="25"/>
    </row>
    <row r="11" spans="1:20" ht="21.95" customHeight="1" thickBot="1" x14ac:dyDescent="0.25">
      <c r="A11" s="2"/>
      <c r="B11" s="401" t="s">
        <v>57</v>
      </c>
      <c r="C11" s="402">
        <v>0</v>
      </c>
      <c r="D11" s="403">
        <v>0</v>
      </c>
      <c r="E11" s="403">
        <v>0</v>
      </c>
      <c r="F11" s="403">
        <v>0</v>
      </c>
      <c r="G11" s="403">
        <v>0</v>
      </c>
      <c r="H11" s="397">
        <f t="shared" ref="H11:H21" si="1">SUM(D11:G11)</f>
        <v>0</v>
      </c>
      <c r="I11" s="402">
        <v>0</v>
      </c>
      <c r="J11" s="403">
        <v>0</v>
      </c>
      <c r="K11" s="403">
        <v>0</v>
      </c>
      <c r="L11" s="403">
        <v>0</v>
      </c>
      <c r="M11" s="403">
        <v>0</v>
      </c>
      <c r="N11" s="397">
        <f t="shared" ref="N11:N21" si="2">SUM(J11:M11)</f>
        <v>0</v>
      </c>
      <c r="O11" s="404">
        <f t="shared" ref="O11:O21" si="3">+C11+I11</f>
        <v>0</v>
      </c>
      <c r="P11" s="400">
        <f t="shared" si="0"/>
        <v>0</v>
      </c>
      <c r="Q11" s="50"/>
      <c r="R11" s="25"/>
      <c r="S11" s="25"/>
      <c r="T11" s="25"/>
    </row>
    <row r="12" spans="1:20" ht="21.95" customHeight="1" thickBot="1" x14ac:dyDescent="0.25">
      <c r="A12" s="2"/>
      <c r="B12" s="401" t="s">
        <v>58</v>
      </c>
      <c r="C12" s="402">
        <v>0</v>
      </c>
      <c r="D12" s="403">
        <v>0</v>
      </c>
      <c r="E12" s="403">
        <v>0</v>
      </c>
      <c r="F12" s="403">
        <v>0</v>
      </c>
      <c r="G12" s="403">
        <v>0</v>
      </c>
      <c r="H12" s="397">
        <f>SUM(D12:G12)</f>
        <v>0</v>
      </c>
      <c r="I12" s="402">
        <v>0</v>
      </c>
      <c r="J12" s="403">
        <v>0</v>
      </c>
      <c r="K12" s="403">
        <v>0</v>
      </c>
      <c r="L12" s="403">
        <v>0</v>
      </c>
      <c r="M12" s="403">
        <v>0</v>
      </c>
      <c r="N12" s="397">
        <f t="shared" si="2"/>
        <v>0</v>
      </c>
      <c r="O12" s="404">
        <f t="shared" si="3"/>
        <v>0</v>
      </c>
      <c r="P12" s="400">
        <f t="shared" si="0"/>
        <v>0</v>
      </c>
      <c r="Q12" s="50"/>
      <c r="R12" s="25"/>
      <c r="S12" s="25" t="s">
        <v>106</v>
      </c>
      <c r="T12" s="25"/>
    </row>
    <row r="13" spans="1:20" ht="21.95" customHeight="1" thickBot="1" x14ac:dyDescent="0.25">
      <c r="A13" s="2"/>
      <c r="B13" s="401" t="s">
        <v>59</v>
      </c>
      <c r="C13" s="402">
        <v>0</v>
      </c>
      <c r="D13" s="403">
        <v>0</v>
      </c>
      <c r="E13" s="403">
        <v>0</v>
      </c>
      <c r="F13" s="403">
        <v>0</v>
      </c>
      <c r="G13" s="403">
        <v>0</v>
      </c>
      <c r="H13" s="397">
        <f>SUM(D13:G13)</f>
        <v>0</v>
      </c>
      <c r="I13" s="402">
        <v>0</v>
      </c>
      <c r="J13" s="403">
        <v>0</v>
      </c>
      <c r="K13" s="403">
        <v>0</v>
      </c>
      <c r="L13" s="403">
        <v>0</v>
      </c>
      <c r="M13" s="403">
        <v>0</v>
      </c>
      <c r="N13" s="397">
        <f t="shared" si="2"/>
        <v>0</v>
      </c>
      <c r="O13" s="404">
        <f t="shared" si="3"/>
        <v>0</v>
      </c>
      <c r="P13" s="400">
        <f t="shared" si="0"/>
        <v>0</v>
      </c>
      <c r="Q13" s="50"/>
      <c r="R13" s="25"/>
      <c r="S13" s="25"/>
      <c r="T13" s="25"/>
    </row>
    <row r="14" spans="1:20" ht="21.95" customHeight="1" thickBot="1" x14ac:dyDescent="0.25">
      <c r="A14" s="2"/>
      <c r="B14" s="401" t="s">
        <v>60</v>
      </c>
      <c r="C14" s="402">
        <v>0</v>
      </c>
      <c r="D14" s="403">
        <v>0</v>
      </c>
      <c r="E14" s="403">
        <v>0</v>
      </c>
      <c r="F14" s="403">
        <v>0</v>
      </c>
      <c r="G14" s="403">
        <v>0</v>
      </c>
      <c r="H14" s="397">
        <f>SUM(D14:G14)</f>
        <v>0</v>
      </c>
      <c r="I14" s="402">
        <v>0</v>
      </c>
      <c r="J14" s="403">
        <v>0</v>
      </c>
      <c r="K14" s="403">
        <v>0</v>
      </c>
      <c r="L14" s="403">
        <v>0</v>
      </c>
      <c r="M14" s="403">
        <v>0</v>
      </c>
      <c r="N14" s="397">
        <f t="shared" si="2"/>
        <v>0</v>
      </c>
      <c r="O14" s="404">
        <f>+C14+I14</f>
        <v>0</v>
      </c>
      <c r="P14" s="405">
        <f t="shared" si="0"/>
        <v>0</v>
      </c>
      <c r="Q14" s="50"/>
      <c r="R14" s="25"/>
      <c r="S14" s="25"/>
      <c r="T14" s="25"/>
    </row>
    <row r="15" spans="1:20" ht="21.95" customHeight="1" thickBot="1" x14ac:dyDescent="0.25">
      <c r="A15" s="2"/>
      <c r="B15" s="401" t="s">
        <v>61</v>
      </c>
      <c r="C15" s="402">
        <v>0</v>
      </c>
      <c r="D15" s="403">
        <v>0</v>
      </c>
      <c r="E15" s="403">
        <v>0</v>
      </c>
      <c r="F15" s="403">
        <v>0</v>
      </c>
      <c r="G15" s="403">
        <v>0</v>
      </c>
      <c r="H15" s="397">
        <f t="shared" si="1"/>
        <v>0</v>
      </c>
      <c r="I15" s="402">
        <v>0</v>
      </c>
      <c r="J15" s="403">
        <v>0</v>
      </c>
      <c r="K15" s="403">
        <v>0</v>
      </c>
      <c r="L15" s="403">
        <v>0</v>
      </c>
      <c r="M15" s="403">
        <v>0</v>
      </c>
      <c r="N15" s="397">
        <f t="shared" si="2"/>
        <v>0</v>
      </c>
      <c r="O15" s="404">
        <f t="shared" si="3"/>
        <v>0</v>
      </c>
      <c r="P15" s="405">
        <f t="shared" si="0"/>
        <v>0</v>
      </c>
      <c r="Q15" s="50"/>
      <c r="R15" s="25"/>
      <c r="S15" s="25"/>
      <c r="T15" s="25"/>
    </row>
    <row r="16" spans="1:20" ht="21.95" customHeight="1" thickBot="1" x14ac:dyDescent="0.25">
      <c r="A16" s="2"/>
      <c r="B16" s="401" t="s">
        <v>62</v>
      </c>
      <c r="C16" s="402">
        <v>0</v>
      </c>
      <c r="D16" s="403">
        <v>0</v>
      </c>
      <c r="E16" s="403">
        <v>0</v>
      </c>
      <c r="F16" s="403">
        <v>0</v>
      </c>
      <c r="G16" s="403">
        <v>0</v>
      </c>
      <c r="H16" s="397">
        <f t="shared" si="1"/>
        <v>0</v>
      </c>
      <c r="I16" s="402">
        <v>0</v>
      </c>
      <c r="J16" s="403">
        <v>0</v>
      </c>
      <c r="K16" s="403">
        <v>0</v>
      </c>
      <c r="L16" s="403">
        <v>0</v>
      </c>
      <c r="M16" s="403">
        <v>0</v>
      </c>
      <c r="N16" s="397">
        <f t="shared" si="2"/>
        <v>0</v>
      </c>
      <c r="O16" s="404">
        <f t="shared" si="3"/>
        <v>0</v>
      </c>
      <c r="P16" s="405">
        <f t="shared" si="0"/>
        <v>0</v>
      </c>
      <c r="Q16" s="51"/>
      <c r="R16" s="51"/>
      <c r="S16" s="25"/>
      <c r="T16" s="25"/>
    </row>
    <row r="17" spans="1:20" ht="21.95" customHeight="1" thickBot="1" x14ac:dyDescent="0.25">
      <c r="A17" s="2"/>
      <c r="B17" s="406" t="s">
        <v>63</v>
      </c>
      <c r="C17" s="402">
        <v>0</v>
      </c>
      <c r="D17" s="403">
        <v>0</v>
      </c>
      <c r="E17" s="403">
        <v>0</v>
      </c>
      <c r="F17" s="403">
        <v>0</v>
      </c>
      <c r="G17" s="403">
        <v>0</v>
      </c>
      <c r="H17" s="397">
        <f t="shared" si="1"/>
        <v>0</v>
      </c>
      <c r="I17" s="402">
        <v>0</v>
      </c>
      <c r="J17" s="403">
        <v>0</v>
      </c>
      <c r="K17" s="403">
        <v>0</v>
      </c>
      <c r="L17" s="403">
        <v>0</v>
      </c>
      <c r="M17" s="403">
        <v>0</v>
      </c>
      <c r="N17" s="397">
        <f t="shared" si="2"/>
        <v>0</v>
      </c>
      <c r="O17" s="404">
        <f t="shared" si="3"/>
        <v>0</v>
      </c>
      <c r="P17" s="405">
        <f t="shared" si="0"/>
        <v>0</v>
      </c>
      <c r="Q17" s="51"/>
      <c r="R17" s="51"/>
      <c r="S17" s="25"/>
      <c r="T17" s="25"/>
    </row>
    <row r="18" spans="1:20" ht="21.95" customHeight="1" thickBot="1" x14ac:dyDescent="0.25">
      <c r="A18" s="2"/>
      <c r="B18" s="411" t="s">
        <v>124</v>
      </c>
      <c r="C18" s="402">
        <v>0</v>
      </c>
      <c r="D18" s="403">
        <v>0</v>
      </c>
      <c r="E18" s="403">
        <v>0</v>
      </c>
      <c r="F18" s="403">
        <v>0</v>
      </c>
      <c r="G18" s="403">
        <v>0</v>
      </c>
      <c r="H18" s="412">
        <f t="shared" si="1"/>
        <v>0</v>
      </c>
      <c r="I18" s="402">
        <v>0</v>
      </c>
      <c r="J18" s="403">
        <v>0</v>
      </c>
      <c r="K18" s="403">
        <v>0</v>
      </c>
      <c r="L18" s="403">
        <v>0</v>
      </c>
      <c r="M18" s="403">
        <v>0</v>
      </c>
      <c r="N18" s="412">
        <f t="shared" si="2"/>
        <v>0</v>
      </c>
      <c r="O18" s="413">
        <f t="shared" si="3"/>
        <v>0</v>
      </c>
      <c r="P18" s="414">
        <f t="shared" si="0"/>
        <v>0</v>
      </c>
      <c r="Q18" s="51"/>
      <c r="R18" s="51"/>
      <c r="S18" s="25"/>
      <c r="T18" s="25"/>
    </row>
    <row r="19" spans="1:20" ht="21.95" customHeight="1" thickBot="1" x14ac:dyDescent="0.25">
      <c r="A19" s="2"/>
      <c r="B19" s="415" t="s">
        <v>64</v>
      </c>
      <c r="C19" s="402">
        <v>0</v>
      </c>
      <c r="D19" s="403">
        <v>0</v>
      </c>
      <c r="E19" s="403">
        <v>0</v>
      </c>
      <c r="F19" s="403">
        <v>0</v>
      </c>
      <c r="G19" s="403">
        <v>0</v>
      </c>
      <c r="H19" s="412">
        <f t="shared" si="1"/>
        <v>0</v>
      </c>
      <c r="I19" s="402">
        <v>0</v>
      </c>
      <c r="J19" s="403">
        <v>0</v>
      </c>
      <c r="K19" s="403">
        <v>0</v>
      </c>
      <c r="L19" s="403">
        <v>0</v>
      </c>
      <c r="M19" s="403">
        <v>0</v>
      </c>
      <c r="N19" s="412">
        <f t="shared" si="2"/>
        <v>0</v>
      </c>
      <c r="O19" s="413">
        <f t="shared" si="3"/>
        <v>0</v>
      </c>
      <c r="P19" s="414">
        <f t="shared" si="0"/>
        <v>0</v>
      </c>
      <c r="Q19" s="51"/>
      <c r="R19" s="51"/>
      <c r="S19" s="25"/>
      <c r="T19" s="25"/>
    </row>
    <row r="20" spans="1:20" ht="21.95" customHeight="1" thickBot="1" x14ac:dyDescent="0.25">
      <c r="A20" s="2"/>
      <c r="B20" s="135" t="s">
        <v>65</v>
      </c>
      <c r="C20" s="402">
        <v>0</v>
      </c>
      <c r="D20" s="403">
        <v>0</v>
      </c>
      <c r="E20" s="403">
        <v>0</v>
      </c>
      <c r="F20" s="403">
        <v>0</v>
      </c>
      <c r="G20" s="403">
        <v>0</v>
      </c>
      <c r="H20" s="126">
        <f t="shared" si="1"/>
        <v>0</v>
      </c>
      <c r="I20" s="402">
        <v>0</v>
      </c>
      <c r="J20" s="403">
        <v>0</v>
      </c>
      <c r="K20" s="403">
        <v>0</v>
      </c>
      <c r="L20" s="403">
        <v>0</v>
      </c>
      <c r="M20" s="403">
        <v>0</v>
      </c>
      <c r="N20" s="126">
        <f t="shared" si="2"/>
        <v>0</v>
      </c>
      <c r="O20" s="154">
        <f t="shared" si="3"/>
        <v>0</v>
      </c>
      <c r="P20" s="134">
        <f t="shared" si="0"/>
        <v>0</v>
      </c>
      <c r="Q20" s="51"/>
      <c r="R20" s="51"/>
      <c r="S20" s="25"/>
      <c r="T20" s="25"/>
    </row>
    <row r="21" spans="1:20" ht="21.95" customHeight="1" thickBot="1" x14ac:dyDescent="0.25">
      <c r="A21" s="2"/>
      <c r="B21" s="136" t="s">
        <v>67</v>
      </c>
      <c r="C21" s="402">
        <v>0</v>
      </c>
      <c r="D21" s="403">
        <v>0</v>
      </c>
      <c r="E21" s="403">
        <v>0</v>
      </c>
      <c r="F21" s="403">
        <v>0</v>
      </c>
      <c r="G21" s="403">
        <v>0</v>
      </c>
      <c r="H21" s="126">
        <f t="shared" si="1"/>
        <v>0</v>
      </c>
      <c r="I21" s="402">
        <v>0</v>
      </c>
      <c r="J21" s="403">
        <v>0</v>
      </c>
      <c r="K21" s="403">
        <v>0</v>
      </c>
      <c r="L21" s="403">
        <v>0</v>
      </c>
      <c r="M21" s="403">
        <v>0</v>
      </c>
      <c r="N21" s="137">
        <f t="shared" si="2"/>
        <v>0</v>
      </c>
      <c r="O21" s="155">
        <f t="shared" si="3"/>
        <v>0</v>
      </c>
      <c r="P21" s="138">
        <f t="shared" si="0"/>
        <v>0</v>
      </c>
      <c r="Q21" s="51"/>
      <c r="R21" s="51"/>
      <c r="S21" s="25"/>
      <c r="T21" s="25"/>
    </row>
    <row r="22" spans="1:20" ht="17.25" customHeight="1" thickBot="1" x14ac:dyDescent="0.25">
      <c r="A22" s="2"/>
      <c r="B22" s="139" t="s">
        <v>107</v>
      </c>
      <c r="C22" s="140">
        <f>SUM(C10:C21)</f>
        <v>28</v>
      </c>
      <c r="D22" s="140">
        <f t="shared" ref="D22:P22" si="4">SUM(D10:D21)</f>
        <v>12</v>
      </c>
      <c r="E22" s="140">
        <f t="shared" si="4"/>
        <v>22</v>
      </c>
      <c r="F22" s="140">
        <f t="shared" si="4"/>
        <v>1</v>
      </c>
      <c r="G22" s="141">
        <f t="shared" si="4"/>
        <v>0</v>
      </c>
      <c r="H22" s="142">
        <f t="shared" si="4"/>
        <v>35</v>
      </c>
      <c r="I22" s="143">
        <f t="shared" si="4"/>
        <v>33</v>
      </c>
      <c r="J22" s="144">
        <f t="shared" si="4"/>
        <v>7</v>
      </c>
      <c r="K22" s="144">
        <f t="shared" si="4"/>
        <v>21</v>
      </c>
      <c r="L22" s="144">
        <f t="shared" si="4"/>
        <v>0</v>
      </c>
      <c r="M22" s="144">
        <f t="shared" si="4"/>
        <v>4</v>
      </c>
      <c r="N22" s="142">
        <f t="shared" si="4"/>
        <v>32</v>
      </c>
      <c r="O22" s="145">
        <f t="shared" si="4"/>
        <v>61</v>
      </c>
      <c r="P22" s="142">
        <f t="shared" si="4"/>
        <v>67</v>
      </c>
      <c r="Q22" s="51"/>
      <c r="R22" s="51"/>
      <c r="S22" s="25"/>
      <c r="T22" s="25"/>
    </row>
    <row r="23" spans="1:20" ht="14.25" customHeight="1" x14ac:dyDescent="0.2">
      <c r="A23" s="2"/>
      <c r="B23" s="122" t="s">
        <v>149</v>
      </c>
      <c r="C23" s="2"/>
      <c r="D23" s="2"/>
      <c r="E23" s="2"/>
      <c r="F23" s="2"/>
      <c r="G23" s="2"/>
      <c r="H23" s="2"/>
      <c r="I23" s="34"/>
      <c r="J23" s="34"/>
      <c r="K23" s="34"/>
      <c r="L23" s="34"/>
      <c r="M23" s="34"/>
      <c r="N23" s="34"/>
      <c r="O23" s="2"/>
      <c r="P23" s="124" t="s">
        <v>479</v>
      </c>
    </row>
    <row r="24" spans="1:20" x14ac:dyDescent="0.2">
      <c r="A24" s="2"/>
      <c r="B24" s="52" t="s">
        <v>108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1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1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80</v>
      </c>
      <c r="O28" s="2"/>
      <c r="P28" s="2"/>
      <c r="Q28" s="2"/>
    </row>
    <row r="29" spans="1:20" x14ac:dyDescent="0.2">
      <c r="A29" s="2"/>
      <c r="B29" s="2"/>
      <c r="C29" s="5"/>
      <c r="D29" s="5"/>
      <c r="E29" s="2"/>
      <c r="F29" s="2"/>
      <c r="G29" s="2"/>
      <c r="H29" s="5"/>
      <c r="I29" s="5"/>
      <c r="J29" s="5"/>
      <c r="K29" s="5"/>
      <c r="L29" s="5"/>
      <c r="M29" s="2"/>
      <c r="N29" s="2" t="s">
        <v>66</v>
      </c>
      <c r="O29" s="5"/>
      <c r="P29" s="5"/>
      <c r="Q29" s="5"/>
    </row>
    <row r="30" spans="1:20" x14ac:dyDescent="0.2">
      <c r="C30" s="4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1"/>
      <c r="Q30" s="1"/>
    </row>
    <row r="31" spans="1:20" x14ac:dyDescent="0.2">
      <c r="C31" s="4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1"/>
      <c r="Q31" s="1"/>
    </row>
    <row r="32" spans="1:20" ht="15.95" customHeight="1" x14ac:dyDescent="0.2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1"/>
    </row>
    <row r="33" spans="1:17" ht="15.95" customHeight="1" x14ac:dyDescent="0.2">
      <c r="B33" s="484"/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1"/>
    </row>
    <row r="34" spans="1:17" ht="15.95" customHeight="1" x14ac:dyDescent="0.2">
      <c r="B34" s="484"/>
      <c r="C34" s="484"/>
      <c r="D34" s="484"/>
      <c r="E34" s="484"/>
      <c r="F34" s="484"/>
      <c r="G34" s="484"/>
      <c r="H34" s="484"/>
      <c r="I34" s="484"/>
      <c r="J34" s="484"/>
      <c r="K34" s="484"/>
      <c r="L34" s="484"/>
      <c r="M34" s="484"/>
      <c r="N34" s="484"/>
      <c r="O34" s="484"/>
      <c r="P34" s="484"/>
      <c r="Q34" s="1"/>
    </row>
    <row r="35" spans="1:17" ht="15.95" customHeight="1" x14ac:dyDescent="0.2">
      <c r="B35" s="484"/>
      <c r="C35" s="484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  <c r="O35" s="484"/>
      <c r="P35" s="484"/>
    </row>
    <row r="36" spans="1:17" ht="15.9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3"/>
      <c r="C37" s="543"/>
      <c r="D37" s="543"/>
      <c r="E37" s="543"/>
      <c r="F37" s="543"/>
      <c r="G37" s="543"/>
      <c r="H37" s="543"/>
      <c r="I37" s="543"/>
      <c r="J37" s="543"/>
      <c r="K37" s="543"/>
      <c r="L37" s="543"/>
      <c r="M37" s="543"/>
      <c r="N37" s="543"/>
      <c r="O37" s="543"/>
      <c r="P37" s="54"/>
    </row>
    <row r="38" spans="1:17" ht="21.95" customHeight="1" x14ac:dyDescent="0.2">
      <c r="B38" s="53"/>
      <c r="C38" s="544"/>
      <c r="D38" s="544"/>
      <c r="E38" s="544"/>
      <c r="F38" s="544"/>
      <c r="G38" s="544"/>
      <c r="H38" s="55"/>
      <c r="I38" s="544"/>
      <c r="J38" s="544"/>
      <c r="K38" s="544"/>
      <c r="L38" s="544"/>
      <c r="M38" s="544"/>
      <c r="N38" s="55"/>
      <c r="O38" s="56"/>
      <c r="P38" s="56"/>
    </row>
    <row r="39" spans="1:17" ht="34.5" customHeight="1" x14ac:dyDescent="0.2">
      <c r="B39" s="53"/>
      <c r="C39" s="23"/>
      <c r="D39" s="57"/>
      <c r="E39" s="57"/>
      <c r="F39" s="57"/>
      <c r="G39" s="57"/>
      <c r="H39" s="23"/>
      <c r="I39" s="58"/>
      <c r="J39" s="57"/>
      <c r="K39" s="57"/>
      <c r="L39" s="57"/>
      <c r="M39" s="57"/>
      <c r="N39" s="23"/>
      <c r="O39" s="59"/>
      <c r="P39" s="56"/>
    </row>
    <row r="40" spans="1:17" ht="21.95" customHeight="1" x14ac:dyDescent="0.2">
      <c r="B40" s="60"/>
      <c r="C40" s="61"/>
      <c r="D40" s="62"/>
      <c r="E40" s="62"/>
      <c r="F40" s="62"/>
      <c r="G40" s="62"/>
      <c r="H40" s="62"/>
      <c r="I40" s="61"/>
      <c r="J40" s="62"/>
      <c r="K40" s="62"/>
      <c r="L40" s="62"/>
      <c r="M40" s="62"/>
      <c r="N40" s="62"/>
      <c r="O40" s="61"/>
      <c r="P40" s="63"/>
    </row>
    <row r="41" spans="1:17" ht="21.95" customHeight="1" x14ac:dyDescent="0.2">
      <c r="B41" s="60"/>
      <c r="C41" s="61"/>
      <c r="D41" s="62"/>
      <c r="E41" s="62"/>
      <c r="F41" s="62"/>
      <c r="G41" s="62"/>
      <c r="H41" s="62"/>
      <c r="I41" s="61"/>
      <c r="J41" s="62"/>
      <c r="K41" s="62"/>
      <c r="L41" s="62"/>
      <c r="M41" s="62"/>
      <c r="N41" s="62"/>
      <c r="O41" s="61"/>
      <c r="P41" s="63"/>
    </row>
    <row r="42" spans="1:17" ht="21.95" customHeight="1" x14ac:dyDescent="0.2">
      <c r="B42" s="60"/>
      <c r="C42" s="61"/>
      <c r="D42" s="62"/>
      <c r="E42" s="62"/>
      <c r="F42" s="62"/>
      <c r="G42" s="62"/>
      <c r="H42" s="62"/>
      <c r="I42" s="61"/>
      <c r="J42" s="62"/>
      <c r="K42" s="62"/>
      <c r="L42" s="62"/>
      <c r="M42" s="62"/>
      <c r="N42" s="62"/>
      <c r="O42" s="61"/>
      <c r="P42" s="63"/>
    </row>
    <row r="43" spans="1:17" ht="21.95" customHeight="1" x14ac:dyDescent="0.2">
      <c r="B43" s="60"/>
      <c r="C43" s="64"/>
      <c r="D43" s="16"/>
      <c r="E43" s="16"/>
      <c r="F43" s="16"/>
      <c r="G43" s="16"/>
      <c r="H43" s="62"/>
      <c r="I43" s="64"/>
      <c r="J43" s="16"/>
      <c r="K43" s="16"/>
      <c r="L43" s="16"/>
      <c r="M43" s="16"/>
      <c r="N43" s="62"/>
      <c r="O43" s="64"/>
      <c r="P43" s="63"/>
    </row>
    <row r="44" spans="1:17" ht="21.95" customHeight="1" x14ac:dyDescent="0.2">
      <c r="B44" s="60"/>
      <c r="C44" s="64"/>
      <c r="D44" s="16"/>
      <c r="E44" s="16"/>
      <c r="F44" s="16"/>
      <c r="G44" s="16"/>
      <c r="H44" s="62"/>
      <c r="I44" s="64"/>
      <c r="J44" s="16"/>
      <c r="K44" s="16"/>
      <c r="L44" s="16"/>
      <c r="M44" s="16"/>
      <c r="N44" s="62"/>
      <c r="O44" s="64"/>
      <c r="P44" s="63"/>
    </row>
    <row r="45" spans="1:17" ht="21.95" customHeight="1" x14ac:dyDescent="0.2">
      <c r="B45" s="60"/>
      <c r="C45" s="61"/>
      <c r="D45" s="62"/>
      <c r="E45" s="62"/>
      <c r="F45" s="62"/>
      <c r="G45" s="62"/>
      <c r="H45" s="62"/>
      <c r="I45" s="61"/>
      <c r="J45" s="62"/>
      <c r="K45" s="62"/>
      <c r="L45" s="62"/>
      <c r="M45" s="62"/>
      <c r="N45" s="62"/>
      <c r="O45" s="64"/>
      <c r="P45" s="63"/>
    </row>
    <row r="46" spans="1:17" ht="21.95" customHeight="1" x14ac:dyDescent="0.2">
      <c r="A46" t="s">
        <v>106</v>
      </c>
      <c r="B46" s="60"/>
      <c r="C46" s="61"/>
      <c r="D46" s="62"/>
      <c r="E46" s="62"/>
      <c r="F46" s="62"/>
      <c r="G46" s="62"/>
      <c r="H46" s="62"/>
      <c r="I46" s="61"/>
      <c r="J46" s="62"/>
      <c r="K46" s="62"/>
      <c r="L46" s="62"/>
      <c r="M46" s="62"/>
      <c r="N46" s="62"/>
      <c r="O46" s="61"/>
      <c r="P46" s="63"/>
    </row>
    <row r="47" spans="1:17" ht="21.95" customHeight="1" x14ac:dyDescent="0.2">
      <c r="B47" s="60"/>
      <c r="C47" s="61"/>
      <c r="D47" s="62"/>
      <c r="E47" s="62"/>
      <c r="F47" s="62"/>
      <c r="G47" s="62"/>
      <c r="H47" s="62"/>
      <c r="I47" s="61"/>
      <c r="J47" s="62"/>
      <c r="K47" s="62"/>
      <c r="L47" s="62"/>
      <c r="M47" s="62"/>
      <c r="N47" s="62"/>
      <c r="O47" s="61"/>
      <c r="P47" s="63"/>
    </row>
    <row r="48" spans="1:17" ht="21.95" customHeight="1" x14ac:dyDescent="0.2">
      <c r="B48" s="60"/>
      <c r="C48" s="61"/>
      <c r="D48" s="62"/>
      <c r="E48" s="62"/>
      <c r="F48" s="62"/>
      <c r="G48" s="62"/>
      <c r="H48" s="62"/>
      <c r="I48" s="61"/>
      <c r="J48" s="62"/>
      <c r="K48" s="62"/>
      <c r="L48" s="62"/>
      <c r="M48" s="62"/>
      <c r="N48" s="62"/>
      <c r="O48" s="61"/>
      <c r="P48" s="62"/>
    </row>
    <row r="49" spans="2:16" ht="21.95" customHeight="1" x14ac:dyDescent="0.2">
      <c r="B49" s="60"/>
      <c r="C49" s="61"/>
      <c r="D49" s="62"/>
      <c r="E49" s="62"/>
      <c r="F49" s="62"/>
      <c r="G49" s="62"/>
      <c r="H49" s="62"/>
      <c r="I49" s="61"/>
      <c r="J49" s="62"/>
      <c r="K49" s="62"/>
      <c r="L49" s="62"/>
      <c r="M49" s="62"/>
      <c r="N49" s="62"/>
      <c r="O49" s="61"/>
      <c r="P49" s="62"/>
    </row>
    <row r="50" spans="2:16" ht="21.95" customHeight="1" x14ac:dyDescent="0.2">
      <c r="B50" s="60"/>
      <c r="C50" s="61"/>
      <c r="D50" s="62"/>
      <c r="E50" s="62"/>
      <c r="F50" s="62"/>
      <c r="G50" s="62"/>
      <c r="H50" s="62"/>
      <c r="I50" s="61"/>
      <c r="J50" s="62"/>
      <c r="K50" s="62"/>
      <c r="L50" s="62"/>
      <c r="M50" s="62"/>
      <c r="N50" s="62"/>
      <c r="O50" s="61"/>
      <c r="P50" s="62"/>
    </row>
    <row r="51" spans="2:16" ht="21.95" customHeight="1" x14ac:dyDescent="0.2">
      <c r="B51" s="60"/>
      <c r="C51" s="61"/>
      <c r="D51" s="62"/>
      <c r="E51" s="62"/>
      <c r="F51" s="62"/>
      <c r="G51" s="62"/>
      <c r="H51" s="16"/>
      <c r="I51" s="61"/>
      <c r="J51" s="62"/>
      <c r="K51" s="62"/>
      <c r="L51" s="62"/>
      <c r="M51" s="62"/>
      <c r="N51" s="16"/>
      <c r="O51" s="61"/>
      <c r="P51" s="62"/>
    </row>
    <row r="52" spans="2:16" ht="21.95" customHeight="1" x14ac:dyDescent="0.25">
      <c r="B52" s="65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6"/>
      <c r="P52" s="66"/>
    </row>
    <row r="53" spans="2:16" x14ac:dyDescent="0.2">
      <c r="B53" s="67"/>
      <c r="C53" s="2"/>
      <c r="D53" s="2"/>
      <c r="E53" s="2"/>
      <c r="F53" s="2"/>
      <c r="G53" s="2"/>
      <c r="H53" s="2"/>
      <c r="I53" s="34"/>
      <c r="J53" s="34"/>
      <c r="K53" s="34"/>
      <c r="L53" s="34"/>
      <c r="M53" s="34"/>
      <c r="N53" s="34"/>
      <c r="P53" s="7"/>
    </row>
    <row r="54" spans="2:16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"/>
      <c r="C58" s="5"/>
      <c r="D58" s="5"/>
      <c r="F58" s="2"/>
      <c r="G58" s="2"/>
      <c r="H58" s="2"/>
      <c r="I58" s="2"/>
      <c r="J58" s="2"/>
      <c r="K58" s="2"/>
      <c r="L58" s="2"/>
      <c r="M58" s="2"/>
      <c r="N58" s="2"/>
      <c r="O58" s="41"/>
      <c r="P58" s="2"/>
    </row>
    <row r="59" spans="2:16" x14ac:dyDescent="0.2">
      <c r="C59" s="4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1"/>
    </row>
    <row r="60" spans="2:16" x14ac:dyDescent="0.2">
      <c r="C60" s="4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1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3:P33"/>
    <mergeCell ref="B34:P34"/>
    <mergeCell ref="B35:P35"/>
    <mergeCell ref="C37:O37"/>
    <mergeCell ref="C38:G38"/>
    <mergeCell ref="I38:M38"/>
    <mergeCell ref="B3:P3"/>
    <mergeCell ref="B4:P4"/>
    <mergeCell ref="B5:P5"/>
    <mergeCell ref="C7:O7"/>
    <mergeCell ref="C8:G8"/>
    <mergeCell ref="I8:M8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9"/>
  <sheetViews>
    <sheetView topLeftCell="E1" zoomScale="98" zoomScaleNormal="98" workbookViewId="0">
      <selection activeCell="C6" sqref="C6:C53"/>
    </sheetView>
  </sheetViews>
  <sheetFormatPr baseColWidth="10" defaultColWidth="10.42578125" defaultRowHeight="9" x14ac:dyDescent="0.2"/>
  <cols>
    <col min="1" max="1" width="10.42578125" style="182"/>
    <col min="2" max="2" width="7.28515625" style="184" customWidth="1"/>
    <col min="3" max="3" width="13.28515625" style="182" customWidth="1"/>
    <col min="4" max="4" width="9.85546875" style="182" customWidth="1"/>
    <col min="5" max="5" width="28.7109375" style="182" customWidth="1"/>
    <col min="6" max="6" width="6.85546875" style="182" customWidth="1"/>
    <col min="7" max="7" width="11.28515625" style="182" customWidth="1"/>
    <col min="8" max="8" width="8.28515625" style="182" customWidth="1"/>
    <col min="9" max="9" width="7.85546875" style="182" customWidth="1"/>
    <col min="10" max="10" width="12.28515625" style="182" customWidth="1"/>
    <col min="11" max="11" width="15.5703125" style="182" customWidth="1"/>
    <col min="12" max="12" width="9.7109375" style="182" customWidth="1"/>
    <col min="13" max="13" width="12.85546875" style="182" customWidth="1"/>
    <col min="14" max="14" width="11.85546875" style="182" customWidth="1"/>
    <col min="15" max="15" width="10.140625" style="182" customWidth="1"/>
    <col min="16" max="16" width="23.5703125" style="182" customWidth="1"/>
    <col min="17" max="17" width="16" style="184" customWidth="1"/>
    <col min="18" max="18" width="18.140625" style="182" customWidth="1"/>
    <col min="19" max="16384" width="10.42578125" style="182"/>
  </cols>
  <sheetData>
    <row r="1" spans="1:19" x14ac:dyDescent="0.2">
      <c r="Q1" s="408" t="s">
        <v>146</v>
      </c>
    </row>
    <row r="2" spans="1:19" x14ac:dyDescent="0.2">
      <c r="B2" s="545" t="s">
        <v>475</v>
      </c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409"/>
    </row>
    <row r="4" spans="1:19" x14ac:dyDescent="0.2">
      <c r="B4" s="182"/>
      <c r="Q4" s="182"/>
      <c r="R4" s="181"/>
    </row>
    <row r="5" spans="1:19" ht="38.25" x14ac:dyDescent="0.25">
      <c r="B5" s="330" t="s">
        <v>237</v>
      </c>
      <c r="C5" s="331" t="s">
        <v>81</v>
      </c>
      <c r="D5" s="332" t="s">
        <v>129</v>
      </c>
      <c r="E5" s="333" t="s">
        <v>82</v>
      </c>
      <c r="F5" s="334" t="s">
        <v>83</v>
      </c>
      <c r="G5" s="334" t="s">
        <v>206</v>
      </c>
      <c r="H5" s="333" t="s">
        <v>24</v>
      </c>
      <c r="I5" s="330" t="s">
        <v>257</v>
      </c>
      <c r="J5" s="334" t="s">
        <v>84</v>
      </c>
      <c r="K5" s="334" t="s">
        <v>85</v>
      </c>
      <c r="L5" s="334" t="s">
        <v>86</v>
      </c>
      <c r="M5" s="334" t="s">
        <v>87</v>
      </c>
      <c r="N5" s="335" t="s">
        <v>207</v>
      </c>
      <c r="O5" s="336" t="s">
        <v>258</v>
      </c>
      <c r="P5" s="337" t="s">
        <v>88</v>
      </c>
      <c r="Q5" s="330" t="s">
        <v>23</v>
      </c>
      <c r="R5" s="330" t="s">
        <v>130</v>
      </c>
      <c r="S5" s="338" t="s">
        <v>89</v>
      </c>
    </row>
    <row r="6" spans="1:19" ht="39.75" customHeight="1" x14ac:dyDescent="0.2">
      <c r="A6" s="182">
        <v>1</v>
      </c>
      <c r="B6" s="417" t="s">
        <v>208</v>
      </c>
      <c r="C6" s="437" t="s">
        <v>393</v>
      </c>
      <c r="D6" s="341" t="s">
        <v>394</v>
      </c>
      <c r="E6" s="342" t="s">
        <v>395</v>
      </c>
      <c r="F6" s="343">
        <v>84</v>
      </c>
      <c r="G6" s="339" t="s">
        <v>254</v>
      </c>
      <c r="H6" s="343" t="s">
        <v>37</v>
      </c>
      <c r="I6" s="344">
        <v>3</v>
      </c>
      <c r="J6" s="345">
        <v>0</v>
      </c>
      <c r="K6" s="345">
        <v>1142.8599999999999</v>
      </c>
      <c r="L6" s="345">
        <v>0</v>
      </c>
      <c r="M6" s="345">
        <v>0</v>
      </c>
      <c r="N6" s="345">
        <v>0</v>
      </c>
      <c r="O6" s="346">
        <v>44164</v>
      </c>
      <c r="P6" s="407" t="s">
        <v>396</v>
      </c>
      <c r="Q6" s="348" t="s">
        <v>90</v>
      </c>
      <c r="R6" s="348" t="s">
        <v>91</v>
      </c>
      <c r="S6" s="349">
        <v>44218</v>
      </c>
    </row>
    <row r="7" spans="1:19" ht="24" x14ac:dyDescent="0.2">
      <c r="A7" s="182">
        <v>2</v>
      </c>
      <c r="B7" s="340" t="s">
        <v>210</v>
      </c>
      <c r="C7" s="437" t="s">
        <v>397</v>
      </c>
      <c r="D7" s="341" t="s">
        <v>398</v>
      </c>
      <c r="E7" s="342" t="s">
        <v>399</v>
      </c>
      <c r="F7" s="343">
        <v>60</v>
      </c>
      <c r="G7" s="339" t="s">
        <v>209</v>
      </c>
      <c r="H7" s="343" t="s">
        <v>32</v>
      </c>
      <c r="I7" s="344">
        <v>1</v>
      </c>
      <c r="J7" s="345">
        <v>3428.57</v>
      </c>
      <c r="K7" s="345">
        <v>5714.29</v>
      </c>
      <c r="L7" s="345">
        <v>0</v>
      </c>
      <c r="M7" s="345">
        <v>0</v>
      </c>
      <c r="N7" s="345">
        <v>0</v>
      </c>
      <c r="O7" s="346">
        <v>44194</v>
      </c>
      <c r="P7" s="347" t="s">
        <v>400</v>
      </c>
      <c r="Q7" s="348" t="s">
        <v>401</v>
      </c>
      <c r="R7" s="348" t="s">
        <v>46</v>
      </c>
      <c r="S7" s="349">
        <v>44221</v>
      </c>
    </row>
    <row r="8" spans="1:19" ht="45" x14ac:dyDescent="0.2">
      <c r="A8" s="182">
        <v>3</v>
      </c>
      <c r="B8" s="340" t="s">
        <v>211</v>
      </c>
      <c r="C8" s="437" t="s">
        <v>402</v>
      </c>
      <c r="D8" s="341" t="s">
        <v>403</v>
      </c>
      <c r="E8" s="342" t="s">
        <v>404</v>
      </c>
      <c r="F8" s="343">
        <v>83</v>
      </c>
      <c r="G8" s="339" t="s">
        <v>254</v>
      </c>
      <c r="H8" s="343" t="s">
        <v>37</v>
      </c>
      <c r="I8" s="344">
        <v>5</v>
      </c>
      <c r="J8" s="345">
        <v>0</v>
      </c>
      <c r="K8" s="345">
        <v>2285.71</v>
      </c>
      <c r="L8" s="345">
        <v>0</v>
      </c>
      <c r="M8" s="345">
        <v>0</v>
      </c>
      <c r="N8" s="345">
        <v>0</v>
      </c>
      <c r="O8" s="346">
        <v>44202</v>
      </c>
      <c r="P8" s="407" t="s">
        <v>405</v>
      </c>
      <c r="Q8" s="348" t="s">
        <v>90</v>
      </c>
      <c r="R8" s="348" t="s">
        <v>91</v>
      </c>
      <c r="S8" s="349">
        <v>44221</v>
      </c>
    </row>
    <row r="9" spans="1:19" ht="30" customHeight="1" x14ac:dyDescent="0.2">
      <c r="A9" s="182">
        <v>4</v>
      </c>
      <c r="B9" s="417" t="s">
        <v>212</v>
      </c>
      <c r="C9" s="437" t="s">
        <v>385</v>
      </c>
      <c r="D9" s="341" t="s">
        <v>386</v>
      </c>
      <c r="E9" s="342" t="s">
        <v>387</v>
      </c>
      <c r="F9" s="343">
        <v>74</v>
      </c>
      <c r="G9" s="339" t="s">
        <v>254</v>
      </c>
      <c r="H9" s="343" t="s">
        <v>37</v>
      </c>
      <c r="I9" s="344">
        <v>2</v>
      </c>
      <c r="J9" s="345">
        <v>0</v>
      </c>
      <c r="K9" s="345">
        <v>3428.57</v>
      </c>
      <c r="L9" s="345">
        <v>0</v>
      </c>
      <c r="M9" s="345">
        <v>0</v>
      </c>
      <c r="N9" s="345">
        <v>0</v>
      </c>
      <c r="O9" s="346">
        <v>44207</v>
      </c>
      <c r="P9" s="347" t="s">
        <v>388</v>
      </c>
      <c r="Q9" s="348" t="s">
        <v>36</v>
      </c>
      <c r="R9" s="348" t="s">
        <v>91</v>
      </c>
      <c r="S9" s="349">
        <v>44218</v>
      </c>
    </row>
    <row r="10" spans="1:19" ht="24" x14ac:dyDescent="0.2">
      <c r="A10" s="182">
        <v>5</v>
      </c>
      <c r="B10" s="340" t="s">
        <v>213</v>
      </c>
      <c r="C10" s="437" t="s">
        <v>360</v>
      </c>
      <c r="D10" s="341" t="s">
        <v>361</v>
      </c>
      <c r="E10" s="342" t="s">
        <v>362</v>
      </c>
      <c r="F10" s="343">
        <v>77</v>
      </c>
      <c r="G10" s="339" t="s">
        <v>254</v>
      </c>
      <c r="H10" s="343" t="s">
        <v>37</v>
      </c>
      <c r="I10" s="344">
        <v>1</v>
      </c>
      <c r="J10" s="345">
        <v>0</v>
      </c>
      <c r="K10" s="345">
        <v>3428.57</v>
      </c>
      <c r="L10" s="345">
        <v>0</v>
      </c>
      <c r="M10" s="345">
        <v>0</v>
      </c>
      <c r="N10" s="345">
        <v>0</v>
      </c>
      <c r="O10" s="346">
        <v>43919</v>
      </c>
      <c r="P10" s="347" t="s">
        <v>363</v>
      </c>
      <c r="Q10" s="348" t="s">
        <v>238</v>
      </c>
      <c r="R10" s="348" t="s">
        <v>91</v>
      </c>
      <c r="S10" s="349">
        <v>44217</v>
      </c>
    </row>
    <row r="11" spans="1:19" ht="45" x14ac:dyDescent="0.2">
      <c r="A11" s="182">
        <v>6</v>
      </c>
      <c r="B11" s="340" t="s">
        <v>214</v>
      </c>
      <c r="C11" s="437" t="s">
        <v>418</v>
      </c>
      <c r="D11" s="341" t="s">
        <v>419</v>
      </c>
      <c r="E11" s="342" t="s">
        <v>420</v>
      </c>
      <c r="F11" s="343">
        <v>78</v>
      </c>
      <c r="G11" s="343" t="s">
        <v>209</v>
      </c>
      <c r="H11" s="343" t="s">
        <v>37</v>
      </c>
      <c r="I11" s="344">
        <v>3</v>
      </c>
      <c r="J11" s="345">
        <v>0</v>
      </c>
      <c r="K11" s="345">
        <v>3428.57</v>
      </c>
      <c r="L11" s="345">
        <v>0</v>
      </c>
      <c r="M11" s="345">
        <v>1142.8599999999999</v>
      </c>
      <c r="N11" s="345">
        <v>0</v>
      </c>
      <c r="O11" s="346">
        <v>44193</v>
      </c>
      <c r="P11" s="407" t="s">
        <v>421</v>
      </c>
      <c r="Q11" s="348" t="s">
        <v>36</v>
      </c>
      <c r="R11" s="447" t="s">
        <v>36</v>
      </c>
      <c r="S11" s="349">
        <v>44224</v>
      </c>
    </row>
    <row r="12" spans="1:19" ht="24" x14ac:dyDescent="0.2">
      <c r="A12" s="182">
        <v>7</v>
      </c>
      <c r="B12" s="417" t="s">
        <v>215</v>
      </c>
      <c r="C12" s="437" t="s">
        <v>449</v>
      </c>
      <c r="D12" s="341" t="s">
        <v>450</v>
      </c>
      <c r="E12" s="342" t="s">
        <v>451</v>
      </c>
      <c r="F12" s="343">
        <v>65</v>
      </c>
      <c r="G12" s="339" t="s">
        <v>209</v>
      </c>
      <c r="H12" s="343" t="s">
        <v>32</v>
      </c>
      <c r="I12" s="344">
        <v>6</v>
      </c>
      <c r="J12" s="345">
        <v>3428.57</v>
      </c>
      <c r="K12" s="345">
        <v>5714.29</v>
      </c>
      <c r="L12" s="345">
        <v>0</v>
      </c>
      <c r="M12" s="345">
        <v>1142.8599999999999</v>
      </c>
      <c r="N12" s="345">
        <v>0</v>
      </c>
      <c r="O12" s="346">
        <v>44151</v>
      </c>
      <c r="P12" s="407" t="s">
        <v>452</v>
      </c>
      <c r="Q12" s="348" t="s">
        <v>453</v>
      </c>
      <c r="R12" s="348" t="s">
        <v>51</v>
      </c>
      <c r="S12" s="349">
        <v>44225</v>
      </c>
    </row>
    <row r="13" spans="1:19" ht="24" x14ac:dyDescent="0.2">
      <c r="A13" s="182">
        <v>8</v>
      </c>
      <c r="B13" s="340" t="s">
        <v>216</v>
      </c>
      <c r="C13" s="437" t="s">
        <v>445</v>
      </c>
      <c r="D13" s="341" t="s">
        <v>446</v>
      </c>
      <c r="E13" s="342" t="s">
        <v>447</v>
      </c>
      <c r="F13" s="343">
        <v>64</v>
      </c>
      <c r="G13" s="343" t="s">
        <v>209</v>
      </c>
      <c r="H13" s="343" t="s">
        <v>37</v>
      </c>
      <c r="I13" s="344">
        <v>4</v>
      </c>
      <c r="J13" s="345">
        <v>0</v>
      </c>
      <c r="K13" s="345">
        <v>5714.29</v>
      </c>
      <c r="L13" s="345">
        <v>0</v>
      </c>
      <c r="M13" s="345">
        <v>1142.8599999999999</v>
      </c>
      <c r="N13" s="345">
        <v>0</v>
      </c>
      <c r="O13" s="346">
        <v>44204</v>
      </c>
      <c r="P13" s="407" t="s">
        <v>448</v>
      </c>
      <c r="Q13" s="348" t="s">
        <v>51</v>
      </c>
      <c r="R13" s="348" t="s">
        <v>51</v>
      </c>
      <c r="S13" s="349">
        <v>44225</v>
      </c>
    </row>
    <row r="14" spans="1:19" ht="36" x14ac:dyDescent="0.2">
      <c r="A14" s="182">
        <v>9</v>
      </c>
      <c r="B14" s="340" t="s">
        <v>217</v>
      </c>
      <c r="C14" s="437" t="s">
        <v>290</v>
      </c>
      <c r="D14" s="341" t="s">
        <v>291</v>
      </c>
      <c r="E14" s="342" t="s">
        <v>292</v>
      </c>
      <c r="F14" s="343">
        <v>48</v>
      </c>
      <c r="G14" s="343" t="s">
        <v>209</v>
      </c>
      <c r="H14" s="343" t="s">
        <v>32</v>
      </c>
      <c r="I14" s="344">
        <v>2</v>
      </c>
      <c r="J14" s="345">
        <v>3428.57</v>
      </c>
      <c r="K14" s="345">
        <v>3428.57</v>
      </c>
      <c r="L14" s="345">
        <v>0</v>
      </c>
      <c r="M14" s="345">
        <v>1142.8599999999999</v>
      </c>
      <c r="N14" s="345">
        <v>0</v>
      </c>
      <c r="O14" s="346">
        <v>44160</v>
      </c>
      <c r="P14" s="407" t="s">
        <v>293</v>
      </c>
      <c r="Q14" s="348" t="s">
        <v>294</v>
      </c>
      <c r="R14" s="348" t="s">
        <v>50</v>
      </c>
      <c r="S14" s="349">
        <v>44207</v>
      </c>
    </row>
    <row r="15" spans="1:19" ht="24" x14ac:dyDescent="0.2">
      <c r="A15" s="182">
        <v>10</v>
      </c>
      <c r="B15" s="417" t="s">
        <v>218</v>
      </c>
      <c r="C15" s="437" t="s">
        <v>377</v>
      </c>
      <c r="D15" s="341" t="s">
        <v>378</v>
      </c>
      <c r="E15" s="342" t="s">
        <v>379</v>
      </c>
      <c r="F15" s="343">
        <v>86</v>
      </c>
      <c r="G15" s="339" t="s">
        <v>254</v>
      </c>
      <c r="H15" s="343" t="s">
        <v>37</v>
      </c>
      <c r="I15" s="344">
        <v>1</v>
      </c>
      <c r="J15" s="345">
        <v>0</v>
      </c>
      <c r="K15" s="345">
        <v>3428.57</v>
      </c>
      <c r="L15" s="345">
        <v>0</v>
      </c>
      <c r="M15" s="345">
        <v>0</v>
      </c>
      <c r="N15" s="345">
        <v>0</v>
      </c>
      <c r="O15" s="346">
        <v>43603</v>
      </c>
      <c r="P15" s="407" t="s">
        <v>380</v>
      </c>
      <c r="Q15" s="348" t="s">
        <v>51</v>
      </c>
      <c r="R15" s="348" t="s">
        <v>50</v>
      </c>
      <c r="S15" s="349">
        <v>44218</v>
      </c>
    </row>
    <row r="16" spans="1:19" ht="44.25" customHeight="1" x14ac:dyDescent="0.2">
      <c r="A16" s="182">
        <v>11</v>
      </c>
      <c r="B16" s="340" t="s">
        <v>219</v>
      </c>
      <c r="C16" s="437" t="s">
        <v>311</v>
      </c>
      <c r="D16" s="341" t="s">
        <v>312</v>
      </c>
      <c r="E16" s="342" t="s">
        <v>313</v>
      </c>
      <c r="F16" s="343">
        <v>64</v>
      </c>
      <c r="G16" s="339" t="s">
        <v>209</v>
      </c>
      <c r="H16" s="343" t="s">
        <v>32</v>
      </c>
      <c r="I16" s="344">
        <v>1</v>
      </c>
      <c r="J16" s="345">
        <v>3428.57</v>
      </c>
      <c r="K16" s="345">
        <v>5714.29</v>
      </c>
      <c r="L16" s="345">
        <v>0</v>
      </c>
      <c r="M16" s="345">
        <v>1142.8599999999999</v>
      </c>
      <c r="N16" s="345">
        <v>0</v>
      </c>
      <c r="O16" s="346">
        <v>44178</v>
      </c>
      <c r="P16" s="407" t="s">
        <v>314</v>
      </c>
      <c r="Q16" s="348" t="s">
        <v>90</v>
      </c>
      <c r="R16" s="348" t="s">
        <v>109</v>
      </c>
      <c r="S16" s="349">
        <v>44208</v>
      </c>
    </row>
    <row r="17" spans="1:19" ht="27" x14ac:dyDescent="0.2">
      <c r="A17" s="182">
        <v>12</v>
      </c>
      <c r="B17" s="340" t="s">
        <v>220</v>
      </c>
      <c r="C17" s="437" t="s">
        <v>458</v>
      </c>
      <c r="D17" s="341" t="s">
        <v>459</v>
      </c>
      <c r="E17" s="342" t="s">
        <v>460</v>
      </c>
      <c r="F17" s="343">
        <v>76</v>
      </c>
      <c r="G17" s="339" t="s">
        <v>209</v>
      </c>
      <c r="H17" s="343" t="s">
        <v>37</v>
      </c>
      <c r="I17" s="344">
        <v>4</v>
      </c>
      <c r="J17" s="345">
        <v>0</v>
      </c>
      <c r="K17" s="345">
        <v>2285.71</v>
      </c>
      <c r="L17" s="345">
        <v>0</v>
      </c>
      <c r="M17" s="345">
        <v>0</v>
      </c>
      <c r="N17" s="345">
        <v>0</v>
      </c>
      <c r="O17" s="346">
        <v>44200</v>
      </c>
      <c r="P17" s="407" t="s">
        <v>461</v>
      </c>
      <c r="Q17" s="348" t="s">
        <v>90</v>
      </c>
      <c r="R17" s="348" t="s">
        <v>91</v>
      </c>
      <c r="S17" s="349">
        <v>44225</v>
      </c>
    </row>
    <row r="18" spans="1:19" ht="27" x14ac:dyDescent="0.2">
      <c r="A18" s="182">
        <v>13</v>
      </c>
      <c r="B18" s="417" t="s">
        <v>221</v>
      </c>
      <c r="C18" s="437" t="s">
        <v>319</v>
      </c>
      <c r="D18" s="341" t="s">
        <v>320</v>
      </c>
      <c r="E18" s="342" t="s">
        <v>321</v>
      </c>
      <c r="F18" s="343">
        <v>52</v>
      </c>
      <c r="G18" s="343" t="s">
        <v>209</v>
      </c>
      <c r="H18" s="343" t="s">
        <v>32</v>
      </c>
      <c r="I18" s="344">
        <v>2</v>
      </c>
      <c r="J18" s="345">
        <v>3428.57</v>
      </c>
      <c r="K18" s="345">
        <v>11428.57</v>
      </c>
      <c r="L18" s="345">
        <v>0</v>
      </c>
      <c r="M18" s="345">
        <v>0</v>
      </c>
      <c r="N18" s="345">
        <v>0</v>
      </c>
      <c r="O18" s="346">
        <v>44188</v>
      </c>
      <c r="P18" s="407" t="s">
        <v>322</v>
      </c>
      <c r="Q18" s="348" t="s">
        <v>90</v>
      </c>
      <c r="R18" s="348" t="s">
        <v>91</v>
      </c>
      <c r="S18" s="349">
        <v>44209</v>
      </c>
    </row>
    <row r="19" spans="1:19" ht="36" x14ac:dyDescent="0.2">
      <c r="A19" s="182">
        <v>14</v>
      </c>
      <c r="B19" s="340" t="s">
        <v>222</v>
      </c>
      <c r="C19" s="437" t="s">
        <v>323</v>
      </c>
      <c r="D19" s="341" t="s">
        <v>324</v>
      </c>
      <c r="E19" s="342" t="s">
        <v>325</v>
      </c>
      <c r="F19" s="343">
        <v>55</v>
      </c>
      <c r="G19" s="343" t="s">
        <v>254</v>
      </c>
      <c r="H19" s="343" t="s">
        <v>32</v>
      </c>
      <c r="I19" s="344">
        <v>2</v>
      </c>
      <c r="J19" s="345">
        <v>3428.57</v>
      </c>
      <c r="K19" s="345">
        <v>0</v>
      </c>
      <c r="L19" s="345">
        <v>0</v>
      </c>
      <c r="M19" s="345">
        <v>0</v>
      </c>
      <c r="N19" s="345">
        <v>0</v>
      </c>
      <c r="O19" s="346">
        <v>44175</v>
      </c>
      <c r="P19" s="407" t="s">
        <v>326</v>
      </c>
      <c r="Q19" s="348" t="s">
        <v>90</v>
      </c>
      <c r="R19" s="348" t="s">
        <v>92</v>
      </c>
      <c r="S19" s="349">
        <v>44210</v>
      </c>
    </row>
    <row r="20" spans="1:19" ht="36" x14ac:dyDescent="0.2">
      <c r="A20" s="182">
        <v>15</v>
      </c>
      <c r="B20" s="340" t="s">
        <v>223</v>
      </c>
      <c r="C20" s="437" t="s">
        <v>282</v>
      </c>
      <c r="D20" s="341" t="s">
        <v>283</v>
      </c>
      <c r="E20" s="342" t="s">
        <v>284</v>
      </c>
      <c r="F20" s="343">
        <v>49</v>
      </c>
      <c r="G20" s="343" t="s">
        <v>209</v>
      </c>
      <c r="H20" s="343" t="s">
        <v>32</v>
      </c>
      <c r="I20" s="344">
        <v>3</v>
      </c>
      <c r="J20" s="345">
        <v>3428.57</v>
      </c>
      <c r="K20" s="345">
        <v>0</v>
      </c>
      <c r="L20" s="345">
        <v>0</v>
      </c>
      <c r="M20" s="345">
        <v>0</v>
      </c>
      <c r="N20" s="345">
        <v>0</v>
      </c>
      <c r="O20" s="346">
        <v>44121</v>
      </c>
      <c r="P20" s="407" t="s">
        <v>285</v>
      </c>
      <c r="Q20" s="348" t="s">
        <v>92</v>
      </c>
      <c r="R20" s="348" t="s">
        <v>92</v>
      </c>
      <c r="S20" s="349">
        <v>44204</v>
      </c>
    </row>
    <row r="21" spans="1:19" ht="24" x14ac:dyDescent="0.2">
      <c r="A21" s="182">
        <v>16</v>
      </c>
      <c r="B21" s="417" t="s">
        <v>224</v>
      </c>
      <c r="C21" s="437" t="s">
        <v>356</v>
      </c>
      <c r="D21" s="341" t="s">
        <v>357</v>
      </c>
      <c r="E21" s="342" t="s">
        <v>358</v>
      </c>
      <c r="F21" s="343">
        <v>97</v>
      </c>
      <c r="G21" s="343" t="s">
        <v>254</v>
      </c>
      <c r="H21" s="343" t="s">
        <v>40</v>
      </c>
      <c r="I21" s="344">
        <v>1</v>
      </c>
      <c r="J21" s="345">
        <v>0</v>
      </c>
      <c r="K21" s="345">
        <v>1142.8599999999999</v>
      </c>
      <c r="L21" s="345">
        <v>0</v>
      </c>
      <c r="M21" s="345">
        <v>0</v>
      </c>
      <c r="N21" s="345">
        <v>0</v>
      </c>
      <c r="O21" s="346">
        <v>44123</v>
      </c>
      <c r="P21" s="347" t="s">
        <v>359</v>
      </c>
      <c r="Q21" s="348" t="s">
        <v>90</v>
      </c>
      <c r="R21" s="348" t="s">
        <v>109</v>
      </c>
      <c r="S21" s="349">
        <v>44216</v>
      </c>
    </row>
    <row r="22" spans="1:19" ht="27" x14ac:dyDescent="0.2">
      <c r="A22" s="182">
        <v>17</v>
      </c>
      <c r="B22" s="340" t="s">
        <v>225</v>
      </c>
      <c r="C22" s="437" t="s">
        <v>410</v>
      </c>
      <c r="D22" s="341" t="s">
        <v>411</v>
      </c>
      <c r="E22" s="342" t="s">
        <v>412</v>
      </c>
      <c r="F22" s="343">
        <v>77</v>
      </c>
      <c r="G22" s="343" t="s">
        <v>254</v>
      </c>
      <c r="H22" s="343" t="s">
        <v>37</v>
      </c>
      <c r="I22" s="344">
        <v>4</v>
      </c>
      <c r="J22" s="345">
        <v>0</v>
      </c>
      <c r="K22" s="345">
        <v>3428.57</v>
      </c>
      <c r="L22" s="345">
        <v>0</v>
      </c>
      <c r="M22" s="345">
        <v>0</v>
      </c>
      <c r="N22" s="345">
        <v>0</v>
      </c>
      <c r="O22" s="346">
        <v>44190</v>
      </c>
      <c r="P22" s="407" t="s">
        <v>413</v>
      </c>
      <c r="Q22" s="348" t="s">
        <v>90</v>
      </c>
      <c r="R22" s="348" t="s">
        <v>49</v>
      </c>
      <c r="S22" s="349">
        <v>44222</v>
      </c>
    </row>
    <row r="23" spans="1:19" ht="36" x14ac:dyDescent="0.2">
      <c r="A23" s="182">
        <v>18</v>
      </c>
      <c r="B23" s="340" t="s">
        <v>226</v>
      </c>
      <c r="C23" s="437" t="s">
        <v>327</v>
      </c>
      <c r="D23" s="341" t="s">
        <v>328</v>
      </c>
      <c r="E23" s="342" t="s">
        <v>329</v>
      </c>
      <c r="F23" s="343">
        <v>69</v>
      </c>
      <c r="G23" s="339" t="s">
        <v>254</v>
      </c>
      <c r="H23" s="343" t="s">
        <v>40</v>
      </c>
      <c r="I23" s="344">
        <v>1</v>
      </c>
      <c r="J23" s="345">
        <v>0</v>
      </c>
      <c r="K23" s="345">
        <v>3428.57</v>
      </c>
      <c r="L23" s="345">
        <v>0</v>
      </c>
      <c r="M23" s="345">
        <v>1142.8599999999999</v>
      </c>
      <c r="N23" s="345">
        <v>0</v>
      </c>
      <c r="O23" s="346">
        <v>44075</v>
      </c>
      <c r="P23" s="407" t="s">
        <v>330</v>
      </c>
      <c r="Q23" s="348" t="s">
        <v>90</v>
      </c>
      <c r="R23" s="348" t="s">
        <v>91</v>
      </c>
      <c r="S23" s="349">
        <v>44210</v>
      </c>
    </row>
    <row r="24" spans="1:19" ht="24" x14ac:dyDescent="0.2">
      <c r="A24" s="182">
        <v>19</v>
      </c>
      <c r="B24" s="417" t="s">
        <v>227</v>
      </c>
      <c r="C24" s="437" t="s">
        <v>414</v>
      </c>
      <c r="D24" s="341" t="s">
        <v>415</v>
      </c>
      <c r="E24" s="342" t="s">
        <v>416</v>
      </c>
      <c r="F24" s="343">
        <v>49</v>
      </c>
      <c r="G24" s="339" t="s">
        <v>254</v>
      </c>
      <c r="H24" s="343" t="s">
        <v>32</v>
      </c>
      <c r="I24" s="344">
        <v>2</v>
      </c>
      <c r="J24" s="345">
        <v>3428.57</v>
      </c>
      <c r="K24" s="345">
        <v>0</v>
      </c>
      <c r="L24" s="345">
        <v>0</v>
      </c>
      <c r="M24" s="345">
        <v>0</v>
      </c>
      <c r="N24" s="345">
        <v>0</v>
      </c>
      <c r="O24" s="346">
        <v>44089</v>
      </c>
      <c r="P24" s="347" t="s">
        <v>417</v>
      </c>
      <c r="Q24" s="348" t="s">
        <v>90</v>
      </c>
      <c r="R24" s="348" t="s">
        <v>91</v>
      </c>
      <c r="S24" s="349">
        <v>44223</v>
      </c>
    </row>
    <row r="25" spans="1:19" ht="36" x14ac:dyDescent="0.2">
      <c r="A25" s="182">
        <v>20</v>
      </c>
      <c r="B25" s="340" t="s">
        <v>228</v>
      </c>
      <c r="C25" s="437" t="s">
        <v>315</v>
      </c>
      <c r="D25" s="341" t="s">
        <v>316</v>
      </c>
      <c r="E25" s="342" t="s">
        <v>317</v>
      </c>
      <c r="F25" s="343">
        <v>88</v>
      </c>
      <c r="G25" s="339" t="s">
        <v>209</v>
      </c>
      <c r="H25" s="343" t="s">
        <v>37</v>
      </c>
      <c r="I25" s="344">
        <v>4</v>
      </c>
      <c r="J25" s="345">
        <v>0</v>
      </c>
      <c r="K25" s="345">
        <v>3428.57</v>
      </c>
      <c r="L25" s="345">
        <v>0</v>
      </c>
      <c r="M25" s="345">
        <v>0</v>
      </c>
      <c r="N25" s="345">
        <v>0</v>
      </c>
      <c r="O25" s="346">
        <v>43994</v>
      </c>
      <c r="P25" s="407" t="s">
        <v>318</v>
      </c>
      <c r="Q25" s="348" t="s">
        <v>238</v>
      </c>
      <c r="R25" s="348" t="s">
        <v>91</v>
      </c>
      <c r="S25" s="349">
        <v>44208</v>
      </c>
    </row>
    <row r="26" spans="1:19" ht="35.25" customHeight="1" x14ac:dyDescent="0.2">
      <c r="A26" s="182">
        <v>21</v>
      </c>
      <c r="B26" s="340" t="s">
        <v>229</v>
      </c>
      <c r="C26" s="437" t="s">
        <v>373</v>
      </c>
      <c r="D26" s="341" t="s">
        <v>374</v>
      </c>
      <c r="E26" s="342" t="s">
        <v>375</v>
      </c>
      <c r="F26" s="343">
        <v>77</v>
      </c>
      <c r="G26" s="339" t="s">
        <v>254</v>
      </c>
      <c r="H26" s="343" t="s">
        <v>37</v>
      </c>
      <c r="I26" s="344">
        <v>4</v>
      </c>
      <c r="J26" s="345">
        <v>0</v>
      </c>
      <c r="K26" s="345">
        <v>3428.57</v>
      </c>
      <c r="L26" s="345">
        <v>0</v>
      </c>
      <c r="M26" s="345">
        <v>0</v>
      </c>
      <c r="N26" s="345">
        <v>0</v>
      </c>
      <c r="O26" s="346">
        <v>44182</v>
      </c>
      <c r="P26" s="407" t="s">
        <v>376</v>
      </c>
      <c r="Q26" s="348" t="s">
        <v>50</v>
      </c>
      <c r="R26" s="348" t="s">
        <v>50</v>
      </c>
      <c r="S26" s="349">
        <v>44218</v>
      </c>
    </row>
    <row r="27" spans="1:19" ht="36" x14ac:dyDescent="0.2">
      <c r="A27" s="182">
        <v>22</v>
      </c>
      <c r="B27" s="417" t="s">
        <v>230</v>
      </c>
      <c r="C27" s="437" t="s">
        <v>307</v>
      </c>
      <c r="D27" s="341" t="s">
        <v>308</v>
      </c>
      <c r="E27" s="342" t="s">
        <v>309</v>
      </c>
      <c r="F27" s="343">
        <v>62</v>
      </c>
      <c r="G27" s="343" t="s">
        <v>209</v>
      </c>
      <c r="H27" s="343" t="s">
        <v>34</v>
      </c>
      <c r="I27" s="344">
        <v>3</v>
      </c>
      <c r="J27" s="345">
        <v>3428.57</v>
      </c>
      <c r="K27" s="345">
        <v>4571.43</v>
      </c>
      <c r="L27" s="345">
        <v>0</v>
      </c>
      <c r="M27" s="345">
        <v>1142.8599999999999</v>
      </c>
      <c r="N27" s="345">
        <v>0</v>
      </c>
      <c r="O27" s="346">
        <v>44170</v>
      </c>
      <c r="P27" s="407" t="s">
        <v>310</v>
      </c>
      <c r="Q27" s="348" t="s">
        <v>90</v>
      </c>
      <c r="R27" s="348" t="s">
        <v>46</v>
      </c>
      <c r="S27" s="349">
        <v>44208</v>
      </c>
    </row>
    <row r="28" spans="1:19" ht="24" x14ac:dyDescent="0.2">
      <c r="A28" s="182">
        <v>23</v>
      </c>
      <c r="B28" s="340" t="s">
        <v>239</v>
      </c>
      <c r="C28" s="437" t="s">
        <v>364</v>
      </c>
      <c r="D28" s="438" t="s">
        <v>365</v>
      </c>
      <c r="E28" s="439" t="s">
        <v>366</v>
      </c>
      <c r="F28" s="440">
        <v>63</v>
      </c>
      <c r="G28" s="343" t="s">
        <v>209</v>
      </c>
      <c r="H28" s="440" t="s">
        <v>37</v>
      </c>
      <c r="I28" s="441">
        <v>4</v>
      </c>
      <c r="J28" s="442">
        <v>0</v>
      </c>
      <c r="K28" s="442">
        <v>5714.29</v>
      </c>
      <c r="L28" s="442">
        <v>0</v>
      </c>
      <c r="M28" s="442">
        <v>1142.8599999999999</v>
      </c>
      <c r="N28" s="442">
        <v>0</v>
      </c>
      <c r="O28" s="443">
        <v>44070</v>
      </c>
      <c r="P28" s="444" t="s">
        <v>367</v>
      </c>
      <c r="Q28" s="445" t="s">
        <v>368</v>
      </c>
      <c r="R28" s="445" t="s">
        <v>91</v>
      </c>
      <c r="S28" s="446">
        <v>44217</v>
      </c>
    </row>
    <row r="29" spans="1:19" ht="46.5" customHeight="1" x14ac:dyDescent="0.2">
      <c r="A29" s="182">
        <v>24</v>
      </c>
      <c r="B29" s="340" t="s">
        <v>240</v>
      </c>
      <c r="C29" s="437" t="s">
        <v>369</v>
      </c>
      <c r="D29" s="341" t="s">
        <v>370</v>
      </c>
      <c r="E29" s="342" t="s">
        <v>371</v>
      </c>
      <c r="F29" s="343">
        <v>52</v>
      </c>
      <c r="G29" s="343" t="s">
        <v>209</v>
      </c>
      <c r="H29" s="343" t="s">
        <v>32</v>
      </c>
      <c r="I29" s="344">
        <v>5</v>
      </c>
      <c r="J29" s="345">
        <v>3428.57</v>
      </c>
      <c r="K29" s="345">
        <v>5714.29</v>
      </c>
      <c r="L29" s="345">
        <v>0</v>
      </c>
      <c r="M29" s="345">
        <v>0</v>
      </c>
      <c r="N29" s="345">
        <v>0</v>
      </c>
      <c r="O29" s="346">
        <v>44148</v>
      </c>
      <c r="P29" s="347" t="s">
        <v>372</v>
      </c>
      <c r="Q29" s="348" t="s">
        <v>90</v>
      </c>
      <c r="R29" s="348" t="s">
        <v>50</v>
      </c>
      <c r="S29" s="349">
        <v>44218</v>
      </c>
    </row>
    <row r="30" spans="1:19" ht="36" x14ac:dyDescent="0.2">
      <c r="A30" s="182">
        <v>2</v>
      </c>
      <c r="B30" s="417" t="s">
        <v>241</v>
      </c>
      <c r="C30" s="437" t="s">
        <v>278</v>
      </c>
      <c r="D30" s="341" t="s">
        <v>279</v>
      </c>
      <c r="E30" s="342" t="s">
        <v>280</v>
      </c>
      <c r="F30" s="343">
        <v>65</v>
      </c>
      <c r="G30" s="339" t="s">
        <v>209</v>
      </c>
      <c r="H30" s="343" t="s">
        <v>42</v>
      </c>
      <c r="I30" s="344">
        <v>3</v>
      </c>
      <c r="J30" s="345">
        <v>0</v>
      </c>
      <c r="K30" s="345">
        <v>11428.57</v>
      </c>
      <c r="L30" s="345">
        <v>0</v>
      </c>
      <c r="M30" s="345">
        <v>0</v>
      </c>
      <c r="N30" s="345">
        <v>0</v>
      </c>
      <c r="O30" s="346">
        <v>43151</v>
      </c>
      <c r="P30" s="407" t="s">
        <v>281</v>
      </c>
      <c r="Q30" s="348" t="s">
        <v>36</v>
      </c>
      <c r="R30" s="348" t="s">
        <v>36</v>
      </c>
      <c r="S30" s="349">
        <v>44203</v>
      </c>
    </row>
    <row r="31" spans="1:19" ht="24" x14ac:dyDescent="0.2">
      <c r="A31" s="182">
        <v>3</v>
      </c>
      <c r="B31" s="340" t="s">
        <v>242</v>
      </c>
      <c r="C31" s="437" t="s">
        <v>454</v>
      </c>
      <c r="D31" s="341" t="s">
        <v>455</v>
      </c>
      <c r="E31" s="342" t="s">
        <v>456</v>
      </c>
      <c r="F31" s="343">
        <v>58</v>
      </c>
      <c r="G31" s="339" t="s">
        <v>209</v>
      </c>
      <c r="H31" s="343" t="s">
        <v>34</v>
      </c>
      <c r="I31" s="344">
        <v>3</v>
      </c>
      <c r="J31" s="345">
        <v>3428.57</v>
      </c>
      <c r="K31" s="345">
        <v>3428.57</v>
      </c>
      <c r="L31" s="345">
        <v>0</v>
      </c>
      <c r="M31" s="345">
        <v>1142.8599999999999</v>
      </c>
      <c r="N31" s="345">
        <v>0</v>
      </c>
      <c r="O31" s="346">
        <v>44167</v>
      </c>
      <c r="P31" s="407" t="s">
        <v>457</v>
      </c>
      <c r="Q31" s="348" t="s">
        <v>51</v>
      </c>
      <c r="R31" s="348" t="s">
        <v>51</v>
      </c>
      <c r="S31" s="349">
        <v>44225</v>
      </c>
    </row>
    <row r="32" spans="1:19" ht="24" x14ac:dyDescent="0.2">
      <c r="A32" s="182">
        <v>4</v>
      </c>
      <c r="B32" s="340" t="s">
        <v>243</v>
      </c>
      <c r="C32" s="437" t="s">
        <v>427</v>
      </c>
      <c r="D32" s="341" t="s">
        <v>428</v>
      </c>
      <c r="E32" s="342" t="s">
        <v>429</v>
      </c>
      <c r="F32" s="343">
        <v>79</v>
      </c>
      <c r="G32" s="339" t="s">
        <v>209</v>
      </c>
      <c r="H32" s="343" t="s">
        <v>37</v>
      </c>
      <c r="I32" s="344">
        <v>7</v>
      </c>
      <c r="J32" s="345">
        <v>0</v>
      </c>
      <c r="K32" s="345">
        <v>3428.57</v>
      </c>
      <c r="L32" s="345">
        <v>0</v>
      </c>
      <c r="M32" s="345">
        <v>0</v>
      </c>
      <c r="N32" s="345">
        <v>0</v>
      </c>
      <c r="O32" s="346">
        <v>44060</v>
      </c>
      <c r="P32" s="407" t="s">
        <v>430</v>
      </c>
      <c r="Q32" s="348" t="s">
        <v>51</v>
      </c>
      <c r="R32" s="348" t="s">
        <v>50</v>
      </c>
      <c r="S32" s="349">
        <v>44225</v>
      </c>
    </row>
    <row r="33" spans="1:19" ht="24" x14ac:dyDescent="0.2">
      <c r="A33" s="182">
        <v>5</v>
      </c>
      <c r="B33" s="417" t="s">
        <v>244</v>
      </c>
      <c r="C33" s="437" t="s">
        <v>343</v>
      </c>
      <c r="D33" s="341" t="s">
        <v>344</v>
      </c>
      <c r="E33" s="342" t="s">
        <v>345</v>
      </c>
      <c r="F33" s="343">
        <v>81</v>
      </c>
      <c r="G33" s="339" t="s">
        <v>254</v>
      </c>
      <c r="H33" s="343" t="s">
        <v>37</v>
      </c>
      <c r="I33" s="344">
        <v>1</v>
      </c>
      <c r="J33" s="345">
        <v>0</v>
      </c>
      <c r="K33" s="345">
        <v>1142.8599999999999</v>
      </c>
      <c r="L33" s="345">
        <v>0</v>
      </c>
      <c r="M33" s="345">
        <v>0</v>
      </c>
      <c r="N33" s="345">
        <v>0</v>
      </c>
      <c r="O33" s="346">
        <v>44038</v>
      </c>
      <c r="P33" s="347" t="s">
        <v>346</v>
      </c>
      <c r="Q33" s="348" t="s">
        <v>92</v>
      </c>
      <c r="R33" s="348" t="s">
        <v>92</v>
      </c>
      <c r="S33" s="349">
        <v>44211</v>
      </c>
    </row>
    <row r="34" spans="1:19" ht="36" x14ac:dyDescent="0.2">
      <c r="A34" s="182">
        <v>6</v>
      </c>
      <c r="B34" s="340" t="s">
        <v>245</v>
      </c>
      <c r="C34" s="437" t="s">
        <v>351</v>
      </c>
      <c r="D34" s="341" t="s">
        <v>352</v>
      </c>
      <c r="E34" s="342" t="s">
        <v>353</v>
      </c>
      <c r="F34" s="343">
        <v>46</v>
      </c>
      <c r="G34" s="339" t="s">
        <v>254</v>
      </c>
      <c r="H34" s="343" t="s">
        <v>34</v>
      </c>
      <c r="I34" s="344">
        <v>1</v>
      </c>
      <c r="J34" s="345">
        <v>3428.57</v>
      </c>
      <c r="K34" s="345">
        <v>0</v>
      </c>
      <c r="L34" s="345">
        <v>0</v>
      </c>
      <c r="M34" s="345">
        <v>0</v>
      </c>
      <c r="N34" s="345">
        <v>0</v>
      </c>
      <c r="O34" s="346">
        <v>44187</v>
      </c>
      <c r="P34" s="407" t="s">
        <v>354</v>
      </c>
      <c r="Q34" s="348" t="s">
        <v>90</v>
      </c>
      <c r="R34" s="348" t="s">
        <v>355</v>
      </c>
      <c r="S34" s="349">
        <v>44215</v>
      </c>
    </row>
    <row r="35" spans="1:19" ht="54" x14ac:dyDescent="0.2">
      <c r="A35" s="182">
        <v>7</v>
      </c>
      <c r="B35" s="340" t="s">
        <v>246</v>
      </c>
      <c r="C35" s="437" t="s">
        <v>295</v>
      </c>
      <c r="D35" s="341" t="s">
        <v>296</v>
      </c>
      <c r="E35" s="342" t="s">
        <v>297</v>
      </c>
      <c r="F35" s="343">
        <v>67</v>
      </c>
      <c r="G35" s="339" t="s">
        <v>254</v>
      </c>
      <c r="H35" s="343" t="s">
        <v>32</v>
      </c>
      <c r="I35" s="344">
        <v>2</v>
      </c>
      <c r="J35" s="345">
        <v>3428.57</v>
      </c>
      <c r="K35" s="345">
        <v>5714.29</v>
      </c>
      <c r="L35" s="345">
        <v>0</v>
      </c>
      <c r="M35" s="345">
        <v>1142.8599999999999</v>
      </c>
      <c r="N35" s="345">
        <v>0</v>
      </c>
      <c r="O35" s="346">
        <v>44174</v>
      </c>
      <c r="P35" s="407" t="s">
        <v>298</v>
      </c>
      <c r="Q35" s="348" t="s">
        <v>90</v>
      </c>
      <c r="R35" s="348" t="s">
        <v>50</v>
      </c>
      <c r="S35" s="349">
        <v>44207</v>
      </c>
    </row>
    <row r="36" spans="1:19" ht="24" x14ac:dyDescent="0.2">
      <c r="A36" s="182">
        <v>8</v>
      </c>
      <c r="B36" s="417" t="s">
        <v>247</v>
      </c>
      <c r="C36" s="437" t="s">
        <v>273</v>
      </c>
      <c r="D36" s="341" t="s">
        <v>274</v>
      </c>
      <c r="E36" s="342" t="s">
        <v>275</v>
      </c>
      <c r="F36" s="343">
        <v>54</v>
      </c>
      <c r="G36" s="339" t="s">
        <v>209</v>
      </c>
      <c r="H36" s="343" t="s">
        <v>32</v>
      </c>
      <c r="I36" s="344">
        <v>1</v>
      </c>
      <c r="J36" s="345">
        <v>3428.57</v>
      </c>
      <c r="K36" s="345">
        <v>0</v>
      </c>
      <c r="L36" s="345">
        <v>571.42999999999995</v>
      </c>
      <c r="M36" s="345">
        <v>0</v>
      </c>
      <c r="N36" s="345">
        <v>0</v>
      </c>
      <c r="O36" s="346">
        <v>44004</v>
      </c>
      <c r="P36" s="347" t="s">
        <v>276</v>
      </c>
      <c r="Q36" s="348" t="s">
        <v>277</v>
      </c>
      <c r="R36" s="348" t="s">
        <v>91</v>
      </c>
      <c r="S36" s="349">
        <v>44203</v>
      </c>
    </row>
    <row r="37" spans="1:19" ht="24" x14ac:dyDescent="0.2">
      <c r="A37" s="182">
        <v>9</v>
      </c>
      <c r="B37" s="340" t="s">
        <v>248</v>
      </c>
      <c r="C37" s="437" t="s">
        <v>299</v>
      </c>
      <c r="D37" s="341" t="s">
        <v>300</v>
      </c>
      <c r="E37" s="342" t="s">
        <v>301</v>
      </c>
      <c r="F37" s="343">
        <v>80</v>
      </c>
      <c r="G37" s="339" t="s">
        <v>254</v>
      </c>
      <c r="H37" s="343" t="s">
        <v>37</v>
      </c>
      <c r="I37" s="344">
        <v>3</v>
      </c>
      <c r="J37" s="345">
        <v>0</v>
      </c>
      <c r="K37" s="345">
        <v>3428.57</v>
      </c>
      <c r="L37" s="345">
        <v>0</v>
      </c>
      <c r="M37" s="345">
        <v>1142.8599999999999</v>
      </c>
      <c r="N37" s="345">
        <v>0</v>
      </c>
      <c r="O37" s="346">
        <v>44181</v>
      </c>
      <c r="P37" s="407" t="s">
        <v>255</v>
      </c>
      <c r="Q37" s="348" t="s">
        <v>302</v>
      </c>
      <c r="R37" s="348" t="s">
        <v>51</v>
      </c>
      <c r="S37" s="349">
        <v>44207</v>
      </c>
    </row>
    <row r="38" spans="1:19" ht="27" x14ac:dyDescent="0.2">
      <c r="A38" s="182">
        <v>10</v>
      </c>
      <c r="B38" s="340" t="s">
        <v>249</v>
      </c>
      <c r="C38" s="437" t="s">
        <v>331</v>
      </c>
      <c r="D38" s="341" t="s">
        <v>332</v>
      </c>
      <c r="E38" s="342" t="s">
        <v>333</v>
      </c>
      <c r="F38" s="343">
        <v>92</v>
      </c>
      <c r="G38" s="339" t="s">
        <v>209</v>
      </c>
      <c r="H38" s="343" t="s">
        <v>37</v>
      </c>
      <c r="I38" s="344">
        <v>5</v>
      </c>
      <c r="J38" s="345">
        <v>0</v>
      </c>
      <c r="K38" s="345">
        <v>3428.57</v>
      </c>
      <c r="L38" s="345">
        <v>0</v>
      </c>
      <c r="M38" s="345">
        <v>0</v>
      </c>
      <c r="N38" s="345">
        <v>0</v>
      </c>
      <c r="O38" s="346">
        <v>44007</v>
      </c>
      <c r="P38" s="407" t="s">
        <v>334</v>
      </c>
      <c r="Q38" s="348" t="s">
        <v>335</v>
      </c>
      <c r="R38" s="348" t="s">
        <v>31</v>
      </c>
      <c r="S38" s="349">
        <v>44211</v>
      </c>
    </row>
    <row r="39" spans="1:19" ht="24" x14ac:dyDescent="0.2">
      <c r="A39" s="182">
        <v>11</v>
      </c>
      <c r="B39" s="417" t="s">
        <v>250</v>
      </c>
      <c r="C39" s="437" t="s">
        <v>340</v>
      </c>
      <c r="D39" s="341" t="s">
        <v>341</v>
      </c>
      <c r="E39" s="342" t="s">
        <v>342</v>
      </c>
      <c r="F39" s="343">
        <v>90</v>
      </c>
      <c r="G39" s="339" t="s">
        <v>209</v>
      </c>
      <c r="H39" s="343" t="s">
        <v>37</v>
      </c>
      <c r="I39" s="344">
        <v>4</v>
      </c>
      <c r="J39" s="345">
        <v>0</v>
      </c>
      <c r="K39" s="345">
        <v>1142.8599999999999</v>
      </c>
      <c r="L39" s="345">
        <v>0</v>
      </c>
      <c r="M39" s="345">
        <v>0</v>
      </c>
      <c r="N39" s="345">
        <v>0</v>
      </c>
      <c r="O39" s="346">
        <v>43922</v>
      </c>
      <c r="P39" s="347" t="s">
        <v>55</v>
      </c>
      <c r="Q39" s="348" t="s">
        <v>253</v>
      </c>
      <c r="R39" s="348" t="s">
        <v>92</v>
      </c>
      <c r="S39" s="349">
        <v>44211</v>
      </c>
    </row>
    <row r="40" spans="1:19" ht="36" x14ac:dyDescent="0.2">
      <c r="A40" s="182">
        <v>12</v>
      </c>
      <c r="B40" s="340" t="s">
        <v>251</v>
      </c>
      <c r="C40" s="437" t="s">
        <v>381</v>
      </c>
      <c r="D40" s="341" t="s">
        <v>382</v>
      </c>
      <c r="E40" s="342" t="s">
        <v>383</v>
      </c>
      <c r="F40" s="343">
        <v>86</v>
      </c>
      <c r="G40" s="339" t="s">
        <v>209</v>
      </c>
      <c r="H40" s="343" t="s">
        <v>37</v>
      </c>
      <c r="I40" s="344">
        <v>1</v>
      </c>
      <c r="J40" s="345">
        <v>0</v>
      </c>
      <c r="K40" s="345">
        <v>3428.57</v>
      </c>
      <c r="L40" s="345">
        <v>0</v>
      </c>
      <c r="M40" s="345">
        <v>0</v>
      </c>
      <c r="N40" s="345">
        <v>0</v>
      </c>
      <c r="O40" s="346">
        <v>43695</v>
      </c>
      <c r="P40" s="407" t="s">
        <v>384</v>
      </c>
      <c r="Q40" s="348" t="s">
        <v>50</v>
      </c>
      <c r="R40" s="348" t="s">
        <v>50</v>
      </c>
      <c r="S40" s="349">
        <v>44218</v>
      </c>
    </row>
    <row r="41" spans="1:19" ht="24" x14ac:dyDescent="0.2">
      <c r="A41" s="182">
        <v>13</v>
      </c>
      <c r="B41" s="340" t="s">
        <v>252</v>
      </c>
      <c r="C41" s="437" t="s">
        <v>389</v>
      </c>
      <c r="D41" s="341" t="s">
        <v>390</v>
      </c>
      <c r="E41" s="342" t="s">
        <v>391</v>
      </c>
      <c r="F41" s="343">
        <v>98</v>
      </c>
      <c r="G41" s="343" t="s">
        <v>254</v>
      </c>
      <c r="H41" s="343" t="s">
        <v>37</v>
      </c>
      <c r="I41" s="344">
        <v>2</v>
      </c>
      <c r="J41" s="345">
        <v>0</v>
      </c>
      <c r="K41" s="345">
        <v>1142.8599999999999</v>
      </c>
      <c r="L41" s="345">
        <v>0</v>
      </c>
      <c r="M41" s="345">
        <v>0</v>
      </c>
      <c r="N41" s="345">
        <v>0</v>
      </c>
      <c r="O41" s="346">
        <v>44211</v>
      </c>
      <c r="P41" s="347" t="s">
        <v>392</v>
      </c>
      <c r="Q41" s="348" t="s">
        <v>90</v>
      </c>
      <c r="R41" s="348" t="s">
        <v>91</v>
      </c>
      <c r="S41" s="349">
        <v>44218</v>
      </c>
    </row>
    <row r="42" spans="1:19" ht="36.75" customHeight="1" x14ac:dyDescent="0.2">
      <c r="A42" s="182">
        <v>14</v>
      </c>
      <c r="B42" s="417" t="s">
        <v>462</v>
      </c>
      <c r="C42" s="437" t="s">
        <v>286</v>
      </c>
      <c r="D42" s="341" t="s">
        <v>287</v>
      </c>
      <c r="E42" s="342" t="s">
        <v>288</v>
      </c>
      <c r="F42" s="343">
        <v>60</v>
      </c>
      <c r="G42" s="339" t="s">
        <v>254</v>
      </c>
      <c r="H42" s="343" t="s">
        <v>32</v>
      </c>
      <c r="I42" s="344">
        <v>3</v>
      </c>
      <c r="J42" s="345">
        <v>3428.57</v>
      </c>
      <c r="K42" s="345">
        <v>11428.57</v>
      </c>
      <c r="L42" s="345">
        <v>0</v>
      </c>
      <c r="M42" s="345">
        <v>1142.8599999999999</v>
      </c>
      <c r="N42" s="345">
        <v>0</v>
      </c>
      <c r="O42" s="346">
        <v>44143</v>
      </c>
      <c r="P42" s="407" t="s">
        <v>289</v>
      </c>
      <c r="Q42" s="348" t="s">
        <v>90</v>
      </c>
      <c r="R42" s="348" t="s">
        <v>48</v>
      </c>
      <c r="S42" s="349">
        <v>44207</v>
      </c>
    </row>
    <row r="43" spans="1:19" ht="27.75" x14ac:dyDescent="0.2">
      <c r="A43" s="182">
        <v>15</v>
      </c>
      <c r="B43" s="340" t="s">
        <v>463</v>
      </c>
      <c r="C43" s="437" t="s">
        <v>422</v>
      </c>
      <c r="D43" s="438" t="s">
        <v>423</v>
      </c>
      <c r="E43" s="342" t="s">
        <v>424</v>
      </c>
      <c r="F43" s="343">
        <v>71</v>
      </c>
      <c r="G43" s="343" t="s">
        <v>209</v>
      </c>
      <c r="H43" s="343" t="s">
        <v>32</v>
      </c>
      <c r="I43" s="344">
        <v>2</v>
      </c>
      <c r="J43" s="448">
        <v>3428.57</v>
      </c>
      <c r="K43" s="448">
        <v>3428.57</v>
      </c>
      <c r="L43" s="448">
        <v>0</v>
      </c>
      <c r="M43" s="448">
        <v>0</v>
      </c>
      <c r="N43" s="448">
        <v>0</v>
      </c>
      <c r="O43" s="346">
        <v>44167</v>
      </c>
      <c r="P43" s="347" t="s">
        <v>425</v>
      </c>
      <c r="Q43" s="348" t="s">
        <v>426</v>
      </c>
      <c r="R43" s="447" t="s">
        <v>36</v>
      </c>
      <c r="S43" s="349">
        <v>44224</v>
      </c>
    </row>
    <row r="44" spans="1:19" ht="46.5" customHeight="1" x14ac:dyDescent="0.2">
      <c r="A44" s="182">
        <v>16</v>
      </c>
      <c r="B44" s="340" t="s">
        <v>464</v>
      </c>
      <c r="C44" s="437" t="s">
        <v>440</v>
      </c>
      <c r="D44" s="341" t="s">
        <v>441</v>
      </c>
      <c r="E44" s="342" t="s">
        <v>442</v>
      </c>
      <c r="F44" s="343">
        <v>59</v>
      </c>
      <c r="G44" s="339" t="s">
        <v>209</v>
      </c>
      <c r="H44" s="343" t="s">
        <v>32</v>
      </c>
      <c r="I44" s="344">
        <v>5</v>
      </c>
      <c r="J44" s="345">
        <v>3428.57</v>
      </c>
      <c r="K44" s="345">
        <v>3428.57</v>
      </c>
      <c r="L44" s="345">
        <v>0</v>
      </c>
      <c r="M44" s="345">
        <v>1142.8599999999999</v>
      </c>
      <c r="N44" s="345">
        <v>0</v>
      </c>
      <c r="O44" s="346">
        <v>44169</v>
      </c>
      <c r="P44" s="347" t="s">
        <v>443</v>
      </c>
      <c r="Q44" s="449" t="s">
        <v>444</v>
      </c>
      <c r="R44" s="348" t="s">
        <v>31</v>
      </c>
      <c r="S44" s="349">
        <v>44225</v>
      </c>
    </row>
    <row r="45" spans="1:19" ht="24" x14ac:dyDescent="0.2">
      <c r="A45" s="182">
        <v>17</v>
      </c>
      <c r="B45" s="417" t="s">
        <v>465</v>
      </c>
      <c r="C45" s="437" t="s">
        <v>269</v>
      </c>
      <c r="D45" s="341" t="s">
        <v>270</v>
      </c>
      <c r="E45" s="342" t="s">
        <v>271</v>
      </c>
      <c r="F45" s="343">
        <v>77</v>
      </c>
      <c r="G45" s="339" t="s">
        <v>209</v>
      </c>
      <c r="H45" s="343" t="s">
        <v>37</v>
      </c>
      <c r="I45" s="344">
        <v>4</v>
      </c>
      <c r="J45" s="345">
        <v>0</v>
      </c>
      <c r="K45" s="345">
        <v>3428.57</v>
      </c>
      <c r="L45" s="345">
        <v>0</v>
      </c>
      <c r="M45" s="345">
        <v>0</v>
      </c>
      <c r="N45" s="345">
        <v>0</v>
      </c>
      <c r="O45" s="346">
        <v>44175</v>
      </c>
      <c r="P45" s="347" t="s">
        <v>272</v>
      </c>
      <c r="Q45" s="348" t="s">
        <v>256</v>
      </c>
      <c r="R45" s="348" t="s">
        <v>91</v>
      </c>
      <c r="S45" s="349">
        <v>44203</v>
      </c>
    </row>
    <row r="46" spans="1:19" ht="24" x14ac:dyDescent="0.2">
      <c r="A46" s="182">
        <v>18</v>
      </c>
      <c r="B46" s="340" t="s">
        <v>466</v>
      </c>
      <c r="C46" s="437" t="s">
        <v>431</v>
      </c>
      <c r="D46" s="341" t="s">
        <v>432</v>
      </c>
      <c r="E46" s="342" t="s">
        <v>433</v>
      </c>
      <c r="F46" s="343">
        <v>67</v>
      </c>
      <c r="G46" s="339" t="s">
        <v>254</v>
      </c>
      <c r="H46" s="343" t="s">
        <v>40</v>
      </c>
      <c r="I46" s="344">
        <v>5</v>
      </c>
      <c r="J46" s="345">
        <v>0</v>
      </c>
      <c r="K46" s="345">
        <v>3428.57</v>
      </c>
      <c r="L46" s="345">
        <v>0</v>
      </c>
      <c r="M46" s="345">
        <v>0</v>
      </c>
      <c r="N46" s="345">
        <v>0</v>
      </c>
      <c r="O46" s="346">
        <v>43988</v>
      </c>
      <c r="P46" s="347" t="s">
        <v>434</v>
      </c>
      <c r="Q46" s="348" t="s">
        <v>51</v>
      </c>
      <c r="R46" s="348" t="s">
        <v>51</v>
      </c>
      <c r="S46" s="349">
        <v>44225</v>
      </c>
    </row>
    <row r="47" spans="1:19" ht="36" x14ac:dyDescent="0.2">
      <c r="A47" s="182">
        <v>19</v>
      </c>
      <c r="B47" s="340" t="s">
        <v>467</v>
      </c>
      <c r="C47" s="437" t="s">
        <v>265</v>
      </c>
      <c r="D47" s="341" t="s">
        <v>266</v>
      </c>
      <c r="E47" s="342" t="s">
        <v>267</v>
      </c>
      <c r="F47" s="343">
        <v>82</v>
      </c>
      <c r="G47" s="339" t="s">
        <v>254</v>
      </c>
      <c r="H47" s="343" t="s">
        <v>37</v>
      </c>
      <c r="I47" s="344">
        <v>1</v>
      </c>
      <c r="J47" s="345">
        <v>0</v>
      </c>
      <c r="K47" s="345">
        <v>3428.57</v>
      </c>
      <c r="L47" s="345">
        <v>0</v>
      </c>
      <c r="M47" s="345">
        <v>0</v>
      </c>
      <c r="N47" s="345">
        <v>0</v>
      </c>
      <c r="O47" s="346">
        <v>44150</v>
      </c>
      <c r="P47" s="407" t="s">
        <v>268</v>
      </c>
      <c r="Q47" s="348" t="s">
        <v>90</v>
      </c>
      <c r="R47" s="348" t="s">
        <v>109</v>
      </c>
      <c r="S47" s="349">
        <v>44203</v>
      </c>
    </row>
    <row r="48" spans="1:19" ht="36" x14ac:dyDescent="0.2">
      <c r="A48" s="182">
        <v>20</v>
      </c>
      <c r="B48" s="417" t="s">
        <v>468</v>
      </c>
      <c r="C48" s="437" t="s">
        <v>261</v>
      </c>
      <c r="D48" s="341" t="s">
        <v>262</v>
      </c>
      <c r="E48" s="342" t="s">
        <v>263</v>
      </c>
      <c r="F48" s="343">
        <v>82</v>
      </c>
      <c r="G48" s="339" t="s">
        <v>254</v>
      </c>
      <c r="H48" s="343" t="s">
        <v>40</v>
      </c>
      <c r="I48" s="344">
        <v>4</v>
      </c>
      <c r="J48" s="345">
        <v>0</v>
      </c>
      <c r="K48" s="345">
        <v>3428.57</v>
      </c>
      <c r="L48" s="345">
        <v>0</v>
      </c>
      <c r="M48" s="345">
        <v>0</v>
      </c>
      <c r="N48" s="345">
        <v>0</v>
      </c>
      <c r="O48" s="346">
        <v>43604</v>
      </c>
      <c r="P48" s="407" t="s">
        <v>264</v>
      </c>
      <c r="Q48" s="348" t="s">
        <v>90</v>
      </c>
      <c r="R48" s="348" t="s">
        <v>91</v>
      </c>
      <c r="S48" s="349">
        <v>44201</v>
      </c>
    </row>
    <row r="49" spans="1:19" ht="24" x14ac:dyDescent="0.2">
      <c r="A49" s="182">
        <v>21</v>
      </c>
      <c r="B49" s="340" t="s">
        <v>469</v>
      </c>
      <c r="C49" s="437" t="s">
        <v>435</v>
      </c>
      <c r="D49" s="341" t="s">
        <v>436</v>
      </c>
      <c r="E49" s="342" t="s">
        <v>437</v>
      </c>
      <c r="F49" s="343">
        <v>85</v>
      </c>
      <c r="G49" s="339" t="s">
        <v>209</v>
      </c>
      <c r="H49" s="343" t="s">
        <v>37</v>
      </c>
      <c r="I49" s="344">
        <v>1</v>
      </c>
      <c r="J49" s="345">
        <v>0</v>
      </c>
      <c r="K49" s="345">
        <v>3428.57</v>
      </c>
      <c r="L49" s="345">
        <v>0</v>
      </c>
      <c r="M49" s="345">
        <v>0</v>
      </c>
      <c r="N49" s="345">
        <v>0</v>
      </c>
      <c r="O49" s="346">
        <v>44187</v>
      </c>
      <c r="P49" s="347" t="s">
        <v>438</v>
      </c>
      <c r="Q49" s="348" t="s">
        <v>439</v>
      </c>
      <c r="R49" s="348" t="s">
        <v>51</v>
      </c>
      <c r="S49" s="349">
        <v>44225</v>
      </c>
    </row>
    <row r="50" spans="1:19" ht="24" x14ac:dyDescent="0.2">
      <c r="A50" s="182">
        <v>22</v>
      </c>
      <c r="B50" s="340" t="s">
        <v>470</v>
      </c>
      <c r="C50" s="437" t="s">
        <v>336</v>
      </c>
      <c r="D50" s="341" t="s">
        <v>337</v>
      </c>
      <c r="E50" s="342" t="s">
        <v>338</v>
      </c>
      <c r="F50" s="343">
        <v>87</v>
      </c>
      <c r="G50" s="339" t="s">
        <v>254</v>
      </c>
      <c r="H50" s="343" t="s">
        <v>37</v>
      </c>
      <c r="I50" s="344">
        <v>3</v>
      </c>
      <c r="J50" s="345">
        <v>0</v>
      </c>
      <c r="K50" s="345">
        <v>3428.57</v>
      </c>
      <c r="L50" s="345">
        <v>0</v>
      </c>
      <c r="M50" s="345">
        <v>0</v>
      </c>
      <c r="N50" s="345">
        <v>0</v>
      </c>
      <c r="O50" s="346">
        <v>44204</v>
      </c>
      <c r="P50" s="407" t="s">
        <v>339</v>
      </c>
      <c r="Q50" s="348" t="s">
        <v>90</v>
      </c>
      <c r="R50" s="348" t="s">
        <v>91</v>
      </c>
      <c r="S50" s="349">
        <v>44211</v>
      </c>
    </row>
    <row r="51" spans="1:19" ht="24" x14ac:dyDescent="0.2">
      <c r="A51" s="182">
        <v>23</v>
      </c>
      <c r="B51" s="417" t="s">
        <v>471</v>
      </c>
      <c r="C51" s="437" t="s">
        <v>406</v>
      </c>
      <c r="D51" s="341" t="s">
        <v>407</v>
      </c>
      <c r="E51" s="342" t="s">
        <v>408</v>
      </c>
      <c r="F51" s="343">
        <v>55</v>
      </c>
      <c r="G51" s="339" t="s">
        <v>254</v>
      </c>
      <c r="H51" s="343" t="s">
        <v>32</v>
      </c>
      <c r="I51" s="344">
        <v>4</v>
      </c>
      <c r="J51" s="345">
        <v>3428.57</v>
      </c>
      <c r="K51" s="345">
        <v>11428.57</v>
      </c>
      <c r="L51" s="345">
        <v>0</v>
      </c>
      <c r="M51" s="345">
        <v>1142.8599999999999</v>
      </c>
      <c r="N51" s="345">
        <v>0</v>
      </c>
      <c r="O51" s="346">
        <v>44187</v>
      </c>
      <c r="P51" s="407" t="s">
        <v>409</v>
      </c>
      <c r="Q51" s="348" t="s">
        <v>90</v>
      </c>
      <c r="R51" s="348" t="s">
        <v>91</v>
      </c>
      <c r="S51" s="349">
        <v>44222</v>
      </c>
    </row>
    <row r="52" spans="1:19" ht="24" x14ac:dyDescent="0.2">
      <c r="A52" s="182">
        <v>24</v>
      </c>
      <c r="B52" s="340" t="s">
        <v>472</v>
      </c>
      <c r="C52" s="437" t="s">
        <v>347</v>
      </c>
      <c r="D52" s="341" t="s">
        <v>348</v>
      </c>
      <c r="E52" s="342" t="s">
        <v>349</v>
      </c>
      <c r="F52" s="343">
        <v>76</v>
      </c>
      <c r="G52" s="343" t="s">
        <v>254</v>
      </c>
      <c r="H52" s="343" t="s">
        <v>37</v>
      </c>
      <c r="I52" s="344">
        <v>4</v>
      </c>
      <c r="J52" s="345">
        <v>0</v>
      </c>
      <c r="K52" s="345">
        <v>1142.8599999999999</v>
      </c>
      <c r="L52" s="345">
        <v>0</v>
      </c>
      <c r="M52" s="345">
        <v>0</v>
      </c>
      <c r="N52" s="345">
        <v>0</v>
      </c>
      <c r="O52" s="346">
        <v>44026</v>
      </c>
      <c r="P52" s="347" t="s">
        <v>350</v>
      </c>
      <c r="Q52" s="348" t="s">
        <v>90</v>
      </c>
      <c r="R52" s="348" t="s">
        <v>91</v>
      </c>
      <c r="S52" s="349">
        <v>44215</v>
      </c>
    </row>
    <row r="53" spans="1:19" ht="54.75" thickBot="1" x14ac:dyDescent="0.25">
      <c r="A53" s="182">
        <v>25</v>
      </c>
      <c r="B53" s="340" t="s">
        <v>473</v>
      </c>
      <c r="C53" s="450" t="s">
        <v>303</v>
      </c>
      <c r="D53" s="451" t="s">
        <v>304</v>
      </c>
      <c r="E53" s="452" t="s">
        <v>305</v>
      </c>
      <c r="F53" s="453">
        <v>46</v>
      </c>
      <c r="G53" s="339" t="s">
        <v>254</v>
      </c>
      <c r="H53" s="453" t="s">
        <v>32</v>
      </c>
      <c r="I53" s="454">
        <v>4</v>
      </c>
      <c r="J53" s="455">
        <v>3428.57</v>
      </c>
      <c r="K53" s="455">
        <v>15000</v>
      </c>
      <c r="L53" s="455">
        <v>0</v>
      </c>
      <c r="M53" s="455">
        <v>1142.8599999999999</v>
      </c>
      <c r="N53" s="455">
        <v>0</v>
      </c>
      <c r="O53" s="456">
        <v>44143</v>
      </c>
      <c r="P53" s="457" t="s">
        <v>306</v>
      </c>
      <c r="Q53" s="458" t="s">
        <v>90</v>
      </c>
      <c r="R53" s="458" t="s">
        <v>46</v>
      </c>
      <c r="S53" s="459">
        <v>44208</v>
      </c>
    </row>
    <row r="54" spans="1:19" ht="9" customHeight="1" x14ac:dyDescent="0.2">
      <c r="B54" s="417"/>
      <c r="C54" s="98"/>
      <c r="D54" s="10"/>
      <c r="E54" s="10"/>
      <c r="F54" s="10"/>
      <c r="G54" s="10"/>
      <c r="H54" s="10"/>
      <c r="I54" s="10"/>
      <c r="J54" s="10"/>
      <c r="K54" s="10"/>
      <c r="L54" s="288"/>
      <c r="M54" s="288"/>
      <c r="N54" s="288"/>
      <c r="O54" s="289"/>
      <c r="P54" s="290" t="s">
        <v>480</v>
      </c>
      <c r="Q54" s="98"/>
      <c r="R54" s="291"/>
    </row>
    <row r="55" spans="1:19" x14ac:dyDescent="0.15">
      <c r="B55" s="287"/>
      <c r="C55" s="98"/>
      <c r="D55" s="10"/>
      <c r="E55" s="10"/>
      <c r="F55" s="10"/>
      <c r="G55" s="10"/>
      <c r="H55" s="10"/>
      <c r="I55" s="10"/>
      <c r="J55" s="10"/>
      <c r="K55" s="10"/>
      <c r="L55" s="288"/>
      <c r="M55" s="288"/>
      <c r="N55" s="288"/>
      <c r="O55" s="289"/>
      <c r="P55" s="289"/>
      <c r="Q55" s="98"/>
      <c r="R55" s="292"/>
    </row>
    <row r="56" spans="1:19" x14ac:dyDescent="0.15">
      <c r="B56" s="293" t="s">
        <v>150</v>
      </c>
      <c r="C56" s="98"/>
      <c r="D56" s="291" t="s">
        <v>93</v>
      </c>
      <c r="E56" s="291"/>
      <c r="F56" s="291" t="s">
        <v>94</v>
      </c>
      <c r="G56" s="291"/>
      <c r="H56" s="291"/>
      <c r="I56" s="291"/>
      <c r="J56" s="291"/>
      <c r="K56" s="291"/>
      <c r="L56" s="294" t="s">
        <v>97</v>
      </c>
      <c r="M56" s="294"/>
      <c r="N56" s="294"/>
      <c r="O56" s="295"/>
      <c r="P56" s="10"/>
      <c r="Q56" s="98"/>
      <c r="R56" s="288"/>
    </row>
    <row r="57" spans="1:19" x14ac:dyDescent="0.15">
      <c r="B57" s="10"/>
      <c r="C57" s="98"/>
      <c r="D57" s="291" t="s">
        <v>95</v>
      </c>
      <c r="E57" s="291"/>
      <c r="F57" s="291" t="s">
        <v>96</v>
      </c>
      <c r="G57" s="291"/>
      <c r="H57" s="291"/>
      <c r="I57" s="291"/>
      <c r="J57" s="291"/>
      <c r="K57" s="291"/>
      <c r="L57" s="294"/>
      <c r="M57" s="294"/>
      <c r="N57" s="294"/>
      <c r="O57" s="295"/>
      <c r="P57" s="10"/>
      <c r="Q57" s="98"/>
      <c r="R57" s="288"/>
    </row>
    <row r="58" spans="1:19" x14ac:dyDescent="0.2">
      <c r="B58" s="185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1"/>
      <c r="O58" s="181"/>
      <c r="P58" s="183"/>
      <c r="Q58" s="410"/>
      <c r="R58" s="181"/>
    </row>
    <row r="59" spans="1:19" x14ac:dyDescent="0.2">
      <c r="B59" s="186" t="s">
        <v>150</v>
      </c>
      <c r="C59" s="183"/>
      <c r="D59" s="181" t="s">
        <v>93</v>
      </c>
      <c r="E59" s="181"/>
      <c r="F59" s="181" t="s">
        <v>94</v>
      </c>
      <c r="G59" s="181"/>
      <c r="H59" s="181"/>
      <c r="I59" s="181"/>
      <c r="J59" s="181"/>
      <c r="K59" s="181"/>
      <c r="L59" s="181" t="s">
        <v>97</v>
      </c>
      <c r="M59" s="181"/>
      <c r="N59" s="181"/>
      <c r="O59" s="183"/>
      <c r="P59" s="183"/>
      <c r="Q59" s="183"/>
      <c r="R59" s="181"/>
    </row>
    <row r="60" spans="1:19" x14ac:dyDescent="0.2">
      <c r="B60" s="183"/>
      <c r="C60" s="183"/>
      <c r="D60" s="181" t="s">
        <v>95</v>
      </c>
      <c r="E60" s="181"/>
      <c r="F60" s="181" t="s">
        <v>96</v>
      </c>
      <c r="G60" s="181"/>
      <c r="H60" s="181"/>
      <c r="I60" s="181"/>
      <c r="J60" s="181"/>
      <c r="K60" s="181"/>
      <c r="L60" s="181"/>
      <c r="M60" s="181"/>
      <c r="N60" s="181"/>
      <c r="O60" s="183" t="s">
        <v>16</v>
      </c>
      <c r="P60" s="181"/>
      <c r="Q60" s="183"/>
      <c r="R60" s="181"/>
    </row>
    <row r="61" spans="1:19" x14ac:dyDescent="0.2"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 t="s">
        <v>80</v>
      </c>
      <c r="Q61" s="183"/>
      <c r="R61" s="181"/>
    </row>
    <row r="62" spans="1:19" x14ac:dyDescent="0.2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 t="s">
        <v>151</v>
      </c>
      <c r="Q62" s="183"/>
      <c r="R62" s="181"/>
    </row>
    <row r="63" spans="1:19" x14ac:dyDescent="0.2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O63" s="181"/>
      <c r="P63" s="183"/>
      <c r="Q63" s="183"/>
      <c r="R63" s="181"/>
    </row>
    <row r="64" spans="1:19" x14ac:dyDescent="0.2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O64" s="181"/>
      <c r="P64" s="183"/>
      <c r="Q64" s="183"/>
      <c r="R64" s="181"/>
    </row>
    <row r="65" spans="2:18" x14ac:dyDescent="0.2"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O65" s="181"/>
      <c r="P65" s="183"/>
      <c r="Q65" s="183"/>
      <c r="R65" s="181"/>
    </row>
    <row r="66" spans="2:18" x14ac:dyDescent="0.2"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</row>
    <row r="67" spans="2:18" x14ac:dyDescent="0.2"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</row>
    <row r="68" spans="2:18" x14ac:dyDescent="0.2"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</row>
    <row r="69" spans="2:18" x14ac:dyDescent="0.2">
      <c r="B69" s="181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</row>
  </sheetData>
  <mergeCells count="1">
    <mergeCell ref="B2:P2"/>
  </mergeCells>
  <phoneticPr fontId="6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5.ESTADÍSCAS X REPORTE mensual</vt:lpstr>
      <vt:lpstr>6. REPORTADOS F+ DETALLE-SEG</vt:lpstr>
      <vt:lpstr>8. REPORTE DE FALLECIDOS ENERO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2022-04-07T13:03:42Z</cp:lastPrinted>
  <dcterms:created xsi:type="dcterms:W3CDTF">2002-04-29T19:59:45Z</dcterms:created>
  <dcterms:modified xsi:type="dcterms:W3CDTF">2023-05-05T20:27:58Z</dcterms:modified>
</cp:coreProperties>
</file>