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F:\Blanca.Batres\Documents\2022\OIR\Información Oficiosa\Informes por disposición legal\"/>
    </mc:Choice>
  </mc:AlternateContent>
  <xr:revisionPtr revIDLastSave="0" documentId="8_{4A21F47C-5EB7-4B98-8071-F7EEEAD3CFAE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5" l="1"/>
  <c r="E19" i="25"/>
  <c r="E18" i="25"/>
  <c r="E13" i="25"/>
  <c r="E12" i="25"/>
  <c r="E10" i="25"/>
  <c r="E9" i="25"/>
  <c r="E8" i="25"/>
  <c r="E7" i="25"/>
  <c r="E6" i="25"/>
  <c r="E5" i="25"/>
  <c r="B18" i="17"/>
  <c r="D18" i="17"/>
  <c r="C18" i="17"/>
  <c r="E18" i="17"/>
  <c r="F21" i="18"/>
  <c r="E21" i="18"/>
  <c r="D21" i="18"/>
  <c r="C21" i="18"/>
  <c r="N20" i="4"/>
  <c r="J20" i="4"/>
  <c r="C20" i="4"/>
  <c r="B20" i="4"/>
  <c r="D20" i="4"/>
  <c r="F20" i="4"/>
  <c r="F23" i="4" s="1"/>
  <c r="E20" i="4"/>
  <c r="H20" i="4"/>
  <c r="G20" i="4"/>
  <c r="M20" i="4"/>
  <c r="E18" i="16"/>
  <c r="D18" i="16"/>
  <c r="C18" i="16"/>
  <c r="B18" i="16"/>
  <c r="O19" i="4"/>
  <c r="B19" i="4"/>
  <c r="C19" i="4"/>
  <c r="M19" i="4"/>
  <c r="D19" i="4"/>
  <c r="F19" i="4"/>
  <c r="E19" i="4"/>
  <c r="J19" i="4"/>
  <c r="N19" i="4"/>
  <c r="H19" i="4"/>
  <c r="G19" i="4"/>
  <c r="E17" i="16"/>
  <c r="D17" i="16"/>
  <c r="C17" i="16"/>
  <c r="B17" i="16"/>
  <c r="E17" i="17"/>
  <c r="D17" i="17"/>
  <c r="C17" i="17"/>
  <c r="B17" i="17"/>
  <c r="F20" i="18"/>
  <c r="E20" i="18"/>
  <c r="D20" i="18"/>
  <c r="C20" i="18"/>
  <c r="E18" i="4"/>
  <c r="F18" i="4"/>
  <c r="G18" i="4" l="1"/>
  <c r="C18" i="4"/>
  <c r="B18" i="4"/>
  <c r="J18" i="4"/>
  <c r="N18" i="4"/>
  <c r="D18" i="4"/>
  <c r="I18" i="4"/>
  <c r="M18" i="4"/>
  <c r="H18" i="4"/>
  <c r="E16" i="17"/>
  <c r="D16" i="17"/>
  <c r="C16" i="17"/>
  <c r="B16" i="17"/>
  <c r="F19" i="18"/>
  <c r="E19" i="18"/>
  <c r="D19" i="18"/>
  <c r="C19" i="18"/>
  <c r="E16" i="16"/>
  <c r="D16" i="16"/>
  <c r="C16" i="16"/>
  <c r="B16" i="16"/>
  <c r="J17" i="4"/>
  <c r="B17" i="4"/>
  <c r="F17" i="4"/>
  <c r="D17" i="4"/>
  <c r="N17" i="4"/>
  <c r="E17" i="4"/>
  <c r="C17" i="4"/>
  <c r="L17" i="4"/>
  <c r="F18" i="18"/>
  <c r="E18" i="18"/>
  <c r="D18" i="18"/>
  <c r="C18" i="18"/>
  <c r="E15" i="17"/>
  <c r="D15" i="17"/>
  <c r="C15" i="17"/>
  <c r="B15" i="17"/>
  <c r="E15" i="16"/>
  <c r="D15" i="16"/>
  <c r="C15" i="16"/>
  <c r="B15" i="16"/>
  <c r="H17" i="4"/>
  <c r="G17" i="4"/>
  <c r="M17" i="4"/>
  <c r="N16" i="4"/>
  <c r="J16" i="4"/>
  <c r="C16" i="4"/>
  <c r="B16" i="4"/>
  <c r="D16" i="4"/>
  <c r="F16" i="4"/>
  <c r="E16" i="4"/>
  <c r="M16" i="4"/>
  <c r="H16" i="4"/>
  <c r="G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F16" i="18"/>
  <c r="E16" i="18"/>
  <c r="D16" i="18"/>
  <c r="C16" i="18"/>
  <c r="E13" i="17"/>
  <c r="D13" i="17"/>
  <c r="C13" i="17"/>
  <c r="B13" i="17"/>
  <c r="E13" i="16"/>
  <c r="D13" i="16"/>
  <c r="C13" i="16"/>
  <c r="B13" i="16"/>
  <c r="J15" i="4"/>
  <c r="N15" i="4" l="1"/>
  <c r="C15" i="4"/>
  <c r="B15" i="4"/>
  <c r="D15" i="4"/>
  <c r="F15" i="4"/>
  <c r="E15" i="4"/>
  <c r="M15" i="4"/>
  <c r="H15" i="4"/>
  <c r="G15" i="4"/>
  <c r="J14" i="4"/>
  <c r="N14" i="4"/>
  <c r="K14" i="4"/>
  <c r="H14" i="4"/>
  <c r="M14" i="4"/>
  <c r="G14" i="4"/>
  <c r="F14" i="4"/>
  <c r="E14" i="4"/>
  <c r="D14" i="4"/>
  <c r="C14" i="4"/>
  <c r="B14" i="4"/>
  <c r="F15" i="18"/>
  <c r="E15" i="18"/>
  <c r="D15" i="18"/>
  <c r="C15" i="18"/>
  <c r="E12" i="17"/>
  <c r="D12" i="17"/>
  <c r="C12" i="17"/>
  <c r="B12" i="17"/>
  <c r="E12" i="16"/>
  <c r="D12" i="16"/>
  <c r="C12" i="16"/>
  <c r="B12" i="16"/>
  <c r="D13" i="4" l="1"/>
  <c r="F13" i="4"/>
  <c r="E13" i="4"/>
  <c r="C13" i="4"/>
  <c r="B13" i="4"/>
  <c r="M13" i="4"/>
  <c r="H13" i="4"/>
  <c r="G13" i="4"/>
  <c r="N13" i="4" l="1"/>
  <c r="J13" i="4"/>
  <c r="I13" i="4"/>
  <c r="F14" i="18" l="1"/>
  <c r="E14" i="18"/>
  <c r="D14" i="18"/>
  <c r="C14" i="18"/>
  <c r="E11" i="17"/>
  <c r="D11" i="17"/>
  <c r="C11" i="17"/>
  <c r="B11" i="17"/>
  <c r="E11" i="16"/>
  <c r="D11" i="16"/>
  <c r="C11" i="16"/>
  <c r="B11" i="16"/>
  <c r="C12" i="4" l="1"/>
  <c r="C11" i="4"/>
  <c r="N12" i="4" l="1"/>
  <c r="J12" i="4"/>
  <c r="M12" i="4"/>
  <c r="H12" i="4"/>
  <c r="G12" i="4"/>
  <c r="F11" i="4"/>
  <c r="F12" i="4"/>
  <c r="E12" i="4"/>
  <c r="D12" i="4"/>
  <c r="E10" i="17" l="1"/>
  <c r="D10" i="17"/>
  <c r="C10" i="17"/>
  <c r="B10" i="17"/>
  <c r="F13" i="18"/>
  <c r="E13" i="18"/>
  <c r="D13" i="18"/>
  <c r="C13" i="18"/>
  <c r="E10" i="16"/>
  <c r="D10" i="16"/>
  <c r="C10" i="16"/>
  <c r="B10" i="16"/>
  <c r="J11" i="4" l="1"/>
  <c r="C9" i="17" l="1"/>
  <c r="F12" i="18" l="1"/>
  <c r="E12" i="18"/>
  <c r="D12" i="18"/>
  <c r="C12" i="18"/>
  <c r="E9" i="17"/>
  <c r="D9" i="17"/>
  <c r="B9" i="17"/>
  <c r="E9" i="16"/>
  <c r="D9" i="16" l="1"/>
  <c r="C9" i="16" l="1"/>
  <c r="B9" i="16"/>
  <c r="H11" i="4" l="1"/>
  <c r="G11" i="4"/>
  <c r="E11" i="4"/>
  <c r="D11" i="4"/>
  <c r="M11" i="4"/>
  <c r="N11" i="4" l="1"/>
  <c r="E21" i="17" l="1"/>
  <c r="D21" i="17"/>
  <c r="D18" i="25"/>
  <c r="D35" i="25" s="1"/>
  <c r="D12" i="25"/>
  <c r="D10" i="25"/>
  <c r="D9" i="25"/>
  <c r="D7" i="25"/>
  <c r="D29" i="25" s="1"/>
  <c r="D6" i="25"/>
  <c r="D28" i="25" s="1"/>
  <c r="D5" i="25"/>
  <c r="D27" i="25" s="1"/>
  <c r="D19" i="25"/>
  <c r="D36" i="25" s="1"/>
  <c r="E28" i="25"/>
  <c r="E31" i="25"/>
  <c r="I23" i="4"/>
  <c r="E11" i="27" s="1"/>
  <c r="E33" i="27" s="1"/>
  <c r="C24" i="18"/>
  <c r="C23" i="27" s="1"/>
  <c r="C40" i="27" s="1"/>
  <c r="F24" i="18"/>
  <c r="D24" i="18"/>
  <c r="D21" i="16"/>
  <c r="E37" i="25"/>
  <c r="C21" i="16"/>
  <c r="D20" i="25"/>
  <c r="D37" i="25" s="1"/>
  <c r="P22" i="4"/>
  <c r="Q22" i="4"/>
  <c r="P21" i="4"/>
  <c r="Q21" i="4" s="1"/>
  <c r="P20" i="4"/>
  <c r="Q20" i="4" s="1"/>
  <c r="P19" i="4"/>
  <c r="P18" i="4"/>
  <c r="Q18" i="4" s="1"/>
  <c r="P17" i="4"/>
  <c r="Q17" i="4" s="1"/>
  <c r="P16" i="4"/>
  <c r="Q16" i="4" s="1"/>
  <c r="P15" i="4"/>
  <c r="Q15" i="4" s="1"/>
  <c r="P14" i="4"/>
  <c r="Q14" i="4" s="1"/>
  <c r="P13" i="4"/>
  <c r="Q13" i="4" s="1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C25" i="29" s="1"/>
  <c r="M6" i="29" s="1"/>
  <c r="I8" i="29"/>
  <c r="H16" i="27"/>
  <c r="C18" i="27"/>
  <c r="C19" i="25"/>
  <c r="C18" i="25"/>
  <c r="C35" i="25" s="1"/>
  <c r="C14" i="25"/>
  <c r="C2" i="25"/>
  <c r="C7" i="25"/>
  <c r="C29" i="25" s="1"/>
  <c r="C9" i="25"/>
  <c r="C31" i="25" s="1"/>
  <c r="C6" i="25"/>
  <c r="C28" i="25" s="1"/>
  <c r="C5" i="25"/>
  <c r="C27" i="25" s="1"/>
  <c r="M22" i="11"/>
  <c r="L22" i="11"/>
  <c r="K22" i="11"/>
  <c r="J22" i="11"/>
  <c r="I22" i="11"/>
  <c r="G22" i="11"/>
  <c r="F22" i="11"/>
  <c r="E22" i="11"/>
  <c r="D22" i="11"/>
  <c r="C22" i="11"/>
  <c r="O21" i="11"/>
  <c r="N21" i="11"/>
  <c r="P21" i="11" s="1"/>
  <c r="H21" i="11"/>
  <c r="O20" i="11"/>
  <c r="N20" i="11"/>
  <c r="P20" i="11" s="1"/>
  <c r="H20" i="11"/>
  <c r="O19" i="11"/>
  <c r="N19" i="11"/>
  <c r="H19" i="11"/>
  <c r="P19" i="11" s="1"/>
  <c r="O18" i="11"/>
  <c r="N18" i="11"/>
  <c r="P18" i="11"/>
  <c r="H18" i="11"/>
  <c r="O17" i="11"/>
  <c r="N17" i="11"/>
  <c r="H17" i="11"/>
  <c r="O16" i="11"/>
  <c r="N16" i="11"/>
  <c r="H16" i="11"/>
  <c r="O15" i="11"/>
  <c r="N15" i="11"/>
  <c r="H15" i="11"/>
  <c r="P15" i="11"/>
  <c r="O14" i="11"/>
  <c r="N14" i="11"/>
  <c r="P14" i="11" s="1"/>
  <c r="H14" i="11"/>
  <c r="O13" i="11"/>
  <c r="N13" i="11"/>
  <c r="H13" i="11"/>
  <c r="P13" i="11"/>
  <c r="O12" i="11"/>
  <c r="N12" i="11"/>
  <c r="P12" i="11" s="1"/>
  <c r="H12" i="11"/>
  <c r="O11" i="11"/>
  <c r="N11" i="11"/>
  <c r="H11" i="11"/>
  <c r="O10" i="11"/>
  <c r="O22" i="11"/>
  <c r="N10" i="11"/>
  <c r="N22" i="11" s="1"/>
  <c r="H10" i="11"/>
  <c r="H22" i="11" s="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0" i="25"/>
  <c r="C37" i="25" s="1"/>
  <c r="E24" i="18"/>
  <c r="E23" i="4"/>
  <c r="D23" i="4"/>
  <c r="N23" i="4"/>
  <c r="E17" i="27" s="1"/>
  <c r="E21" i="16"/>
  <c r="C23" i="4"/>
  <c r="M23" i="4"/>
  <c r="E13" i="27" s="1"/>
  <c r="E35" i="27" s="1"/>
  <c r="D34" i="25"/>
  <c r="D33" i="25"/>
  <c r="D32" i="25"/>
  <c r="D31" i="25"/>
  <c r="D30" i="25"/>
  <c r="C34" i="25"/>
  <c r="C33" i="25"/>
  <c r="D14" i="25"/>
  <c r="C30" i="25"/>
  <c r="Q19" i="4"/>
  <c r="B7" i="17"/>
  <c r="Q12" i="4"/>
  <c r="L23" i="4"/>
  <c r="E30" i="25"/>
  <c r="C32" i="25"/>
  <c r="B23" i="4"/>
  <c r="K23" i="4"/>
  <c r="E12" i="27" s="1"/>
  <c r="E34" i="27" s="1"/>
  <c r="J23" i="4"/>
  <c r="E16" i="27" s="1"/>
  <c r="E37" i="27" s="1"/>
  <c r="B21" i="16"/>
  <c r="C24" i="27" s="1"/>
  <c r="E29" i="25"/>
  <c r="C15" i="27"/>
  <c r="C19" i="27"/>
  <c r="D15" i="27"/>
  <c r="D19" i="27"/>
  <c r="P11" i="4"/>
  <c r="Q11" i="4" s="1"/>
  <c r="P11" i="11"/>
  <c r="P17" i="11"/>
  <c r="P16" i="11"/>
  <c r="P10" i="11"/>
  <c r="P22" i="11" s="1"/>
  <c r="E35" i="25"/>
  <c r="C21" i="17"/>
  <c r="B21" i="17"/>
  <c r="C22" i="27" s="1"/>
  <c r="E34" i="25"/>
  <c r="E33" i="25"/>
  <c r="E14" i="25"/>
  <c r="E27" i="25"/>
  <c r="G23" i="4"/>
  <c r="E9" i="27" s="1"/>
  <c r="E31" i="27" s="1"/>
  <c r="O23" i="4"/>
  <c r="E14" i="27" s="1"/>
  <c r="E36" i="27" s="1"/>
  <c r="H23" i="4"/>
  <c r="E10" i="27" s="1"/>
  <c r="E32" i="27" s="1"/>
  <c r="C21" i="25" l="1"/>
  <c r="D11" i="25"/>
  <c r="D15" i="25" s="1"/>
  <c r="C11" i="25"/>
  <c r="C15" i="25" s="1"/>
  <c r="C23" i="25" s="1"/>
  <c r="C36" i="25"/>
  <c r="C38" i="25" s="1"/>
  <c r="E22" i="27"/>
  <c r="E39" i="27" s="1"/>
  <c r="D22" i="27"/>
  <c r="D39" i="27" s="1"/>
  <c r="C39" i="27"/>
  <c r="D21" i="25"/>
  <c r="D23" i="25" s="1"/>
  <c r="E11" i="25"/>
  <c r="E15" i="25" s="1"/>
  <c r="F8" i="25" s="1"/>
  <c r="E18" i="27"/>
  <c r="E38" i="27"/>
  <c r="E32" i="25"/>
  <c r="P23" i="4"/>
  <c r="I14" i="27"/>
  <c r="E15" i="27"/>
  <c r="D38" i="25"/>
  <c r="E24" i="27"/>
  <c r="E41" i="27" s="1"/>
  <c r="D24" i="27"/>
  <c r="D41" i="27" s="1"/>
  <c r="C41" i="27"/>
  <c r="E21" i="25"/>
  <c r="F18" i="25" s="1"/>
  <c r="Q23" i="4"/>
  <c r="Q24" i="4" s="1"/>
  <c r="E23" i="27"/>
  <c r="D23" i="27"/>
  <c r="E36" i="25"/>
  <c r="C25" i="27"/>
  <c r="C27" i="27" s="1"/>
  <c r="E19" i="27" l="1"/>
  <c r="F13" i="27" s="1"/>
  <c r="C42" i="27"/>
  <c r="F7" i="25"/>
  <c r="F13" i="25"/>
  <c r="F5" i="25"/>
  <c r="F10" i="25"/>
  <c r="F12" i="25"/>
  <c r="F9" i="25"/>
  <c r="F6" i="25"/>
  <c r="E25" i="27"/>
  <c r="F24" i="27" s="1"/>
  <c r="E23" i="25"/>
  <c r="F20" i="25"/>
  <c r="F19" i="25"/>
  <c r="E40" i="27"/>
  <c r="E42" i="27" s="1"/>
  <c r="F36" i="27" s="1"/>
  <c r="E38" i="25"/>
  <c r="F36" i="25" s="1"/>
  <c r="D40" i="27"/>
  <c r="D42" i="27" s="1"/>
  <c r="D25" i="27"/>
  <c r="D27" i="27" s="1"/>
  <c r="F12" i="27" l="1"/>
  <c r="F14" i="27"/>
  <c r="F16" i="27"/>
  <c r="F9" i="27"/>
  <c r="F10" i="27"/>
  <c r="F11" i="27"/>
  <c r="F17" i="27"/>
  <c r="F15" i="25"/>
  <c r="F21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8" i="25"/>
  <c r="F33" i="25"/>
  <c r="F27" i="25"/>
  <c r="F32" i="25"/>
  <c r="F30" i="25"/>
  <c r="F35" i="25"/>
  <c r="F29" i="25"/>
  <c r="F31" i="25"/>
  <c r="F37" i="25"/>
  <c r="F34" i="25"/>
  <c r="F19" i="27" l="1"/>
  <c r="F25" i="27"/>
  <c r="F42" i="27"/>
  <c r="F38" i="25"/>
</calcChain>
</file>

<file path=xl/sharedStrings.xml><?xml version="1.0" encoding="utf-8"?>
<sst xmlns="http://schemas.openxmlformats.org/spreadsheetml/2006/main" count="903" uniqueCount="506">
  <si>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</si>
  <si>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</si>
  <si>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</si>
  <si>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</si>
  <si>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</si>
  <si>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</si>
  <si>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</si>
  <si>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</si>
  <si>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</si>
  <si>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</si>
  <si>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</si>
  <si>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</si>
  <si>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</si>
  <si>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</si>
  <si>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</si>
  <si>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</si>
  <si>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</si>
  <si>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</si>
  <si>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</si>
  <si>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</si>
  <si>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</si>
  <si>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</si>
  <si>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</si>
  <si>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</si>
  <si>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</si>
  <si>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</si>
  <si>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</si>
  <si>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</si>
  <si>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</si>
  <si>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</si>
  <si>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</si>
  <si>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</si>
  <si>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</si>
  <si>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</si>
  <si>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</si>
  <si>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</si>
  <si>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</si>
  <si>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</si>
  <si>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</si>
  <si>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</si>
  <si>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</si>
  <si>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</si>
  <si>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</si>
  <si>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</si>
  <si>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</si>
  <si>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</si>
  <si>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</si>
  <si>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</si>
  <si>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</si>
  <si>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</si>
  <si>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</si>
  <si>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</si>
  <si>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</si>
  <si>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</si>
  <si>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</si>
  <si>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</si>
  <si>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</si>
  <si>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</si>
  <si>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</si>
  <si>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</si>
  <si>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</si>
  <si>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</si>
  <si>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</si>
  <si>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</si>
  <si>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</si>
  <si>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</si>
  <si>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</si>
  <si>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</si>
  <si>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</si>
  <si>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</si>
  <si>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</si>
  <si>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</si>
  <si>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</si>
  <si>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</si>
  <si>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</si>
  <si>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</si>
  <si>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</si>
  <si>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</si>
  <si>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</si>
  <si>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</si>
  <si>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</si>
  <si>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</si>
  <si>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</si>
  <si>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</si>
  <si>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</si>
  <si>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</si>
  <si>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</si>
  <si>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</si>
  <si>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</si>
  <si>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</si>
  <si>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</si>
  <si>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</si>
  <si>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</si>
  <si>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</si>
  <si>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</si>
  <si>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</si>
  <si>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</si>
  <si>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</si>
  <si>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</si>
  <si>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</si>
  <si>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</si>
  <si>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</si>
  <si>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</si>
  <si>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</si>
  <si>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OPCIONAL</t>
  </si>
  <si>
    <t>SEGUROS RECLAMADOS HOMBRES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</si>
  <si>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</si>
  <si>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</si>
  <si>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</si>
  <si>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</si>
  <si>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</si>
  <si>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</si>
  <si>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</si>
  <si>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</si>
  <si>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</si>
  <si>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</si>
  <si>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</si>
  <si>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</si>
  <si>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</si>
  <si>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</si>
  <si>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</si>
  <si>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</si>
  <si>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</si>
  <si>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</si>
  <si>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</si>
  <si>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</si>
  <si>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</si>
  <si>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</si>
  <si>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</si>
  <si>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</si>
  <si>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</si>
  <si>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</si>
  <si>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</si>
  <si>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</si>
  <si>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</si>
  <si>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</si>
  <si>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</si>
  <si>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</si>
  <si>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</si>
  <si>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</si>
  <si>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</si>
  <si>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</si>
  <si>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</si>
  <si>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</si>
  <si>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</si>
  <si>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</si>
  <si>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</si>
  <si>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</si>
  <si>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</si>
  <si>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</si>
  <si>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</si>
  <si>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</si>
  <si>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</si>
  <si>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</si>
  <si>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</si>
  <si>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</si>
  <si>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</si>
  <si>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</si>
  <si>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</si>
  <si>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</si>
  <si>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</si>
  <si>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</si>
  <si>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</si>
  <si>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</si>
  <si>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</si>
  <si>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</si>
  <si>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</si>
  <si>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</si>
  <si>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</si>
  <si>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</si>
  <si>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</si>
  <si>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</si>
  <si>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</si>
  <si>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</si>
  <si>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</si>
  <si>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</si>
  <si>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</si>
  <si>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</si>
  <si>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</si>
  <si>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</si>
  <si>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</si>
  <si>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</si>
  <si>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</si>
  <si>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</si>
  <si>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</si>
  <si>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</si>
  <si>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</si>
  <si>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</si>
  <si>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</si>
  <si>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</si>
  <si>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</si>
  <si>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</si>
  <si>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</si>
  <si>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</si>
  <si>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</si>
  <si>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</si>
  <si>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</si>
  <si>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</si>
  <si>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</si>
  <si>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</si>
  <si>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</si>
  <si>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</si>
  <si>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</si>
  <si>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</si>
  <si>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</si>
  <si>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</si>
  <si>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</si>
  <si>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</si>
  <si>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</si>
  <si>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</si>
  <si>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</si>
  <si>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</si>
  <si>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</si>
  <si>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</si>
  <si>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</si>
  <si>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</si>
  <si>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</si>
  <si>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</si>
  <si>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</si>
  <si>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</si>
  <si>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</si>
  <si>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</si>
  <si>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</si>
  <si>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</si>
  <si>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</si>
  <si>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</si>
  <si>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</si>
  <si>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</si>
  <si>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</si>
  <si>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</si>
  <si>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</si>
  <si>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</si>
  <si>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</si>
  <si>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</si>
  <si>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</si>
  <si>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</si>
  <si>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</si>
  <si>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</si>
  <si>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</si>
  <si>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</si>
  <si>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</si>
  <si>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</si>
  <si>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</si>
  <si>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</si>
  <si>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</si>
  <si>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</si>
  <si>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</si>
  <si>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</si>
  <si>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</si>
  <si>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</si>
  <si>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</si>
  <si>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</si>
  <si>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</si>
  <si>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</si>
  <si>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</si>
  <si>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</si>
  <si>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</si>
  <si>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</si>
  <si>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</si>
  <si>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</si>
  <si>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</si>
  <si>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</si>
  <si>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</si>
  <si>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R 01-12</t>
  </si>
  <si>
    <t>R 01-16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</si>
  <si>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</si>
  <si>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</si>
  <si>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</si>
  <si>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</si>
  <si>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</si>
  <si>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</si>
  <si>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</si>
  <si>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</si>
  <si>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</si>
  <si>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</si>
  <si>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</si>
  <si>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</si>
  <si>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</si>
  <si>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</si>
  <si>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</si>
  <si>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</si>
  <si>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</si>
  <si>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</si>
  <si>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</si>
  <si>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</si>
  <si>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</si>
  <si>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</si>
  <si>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</si>
  <si>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</si>
  <si>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</si>
  <si>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</si>
  <si>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</si>
  <si>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</si>
  <si>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</si>
  <si>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</si>
  <si>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</si>
  <si>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</si>
  <si>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</si>
  <si>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</si>
  <si>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</si>
  <si>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</si>
  <si>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</si>
  <si>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</si>
  <si>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</si>
  <si>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</si>
  <si>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</si>
  <si>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</si>
  <si>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</si>
  <si>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</si>
  <si>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</si>
  <si>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</si>
  <si>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</si>
  <si>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</si>
  <si>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</si>
  <si>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</si>
  <si>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</si>
  <si>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</si>
  <si>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</si>
  <si>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</si>
  <si>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</si>
  <si>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</si>
  <si>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</si>
  <si>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</si>
  <si>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</si>
  <si>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</si>
  <si>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</si>
  <si>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</si>
  <si>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</si>
  <si>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</si>
  <si>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</si>
  <si>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</si>
  <si>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</si>
  <si>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</si>
  <si>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</si>
  <si>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</si>
  <si>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</si>
  <si>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</si>
  <si>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</si>
  <si>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</si>
  <si>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</si>
  <si>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</si>
  <si>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</si>
  <si>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</si>
  <si>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</si>
  <si>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</si>
  <si>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</si>
  <si>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</si>
  <si>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</si>
  <si>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</si>
  <si>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</si>
  <si>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</si>
  <si>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</si>
  <si>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</si>
  <si>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</si>
  <si>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</si>
  <si>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</si>
  <si>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</si>
  <si>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</si>
  <si>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</si>
  <si>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</si>
  <si>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</si>
  <si>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</si>
  <si>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</si>
  <si>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</si>
  <si>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</si>
  <si>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</si>
  <si>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</si>
  <si>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</si>
  <si>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</si>
  <si>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</si>
  <si>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</si>
  <si>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</si>
  <si>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</si>
  <si>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</si>
  <si>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</si>
  <si>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</si>
  <si>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</si>
  <si>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</si>
  <si>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</si>
  <si>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</si>
  <si>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</si>
  <si>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</si>
  <si>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</si>
  <si>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</si>
  <si>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</si>
  <si>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</si>
  <si>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</si>
  <si>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</si>
  <si>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</si>
  <si>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</si>
  <si>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</si>
  <si>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</si>
  <si>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</si>
  <si>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</si>
  <si>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</si>
  <si>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</si>
  <si>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</si>
  <si>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</si>
  <si>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</si>
  <si>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</si>
  <si>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</si>
  <si>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</si>
  <si>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</si>
  <si>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</si>
  <si>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</si>
  <si>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</si>
  <si>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</si>
  <si>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</si>
  <si>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</si>
  <si>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</si>
  <si>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</si>
  <si>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</si>
  <si>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</si>
  <si>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</si>
  <si>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</si>
  <si>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</si>
  <si>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</si>
  <si>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</si>
  <si>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</si>
  <si>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</si>
  <si>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</si>
  <si>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</si>
  <si>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</si>
  <si>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</si>
  <si>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</si>
  <si>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</si>
  <si>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</si>
  <si>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</si>
  <si>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</si>
  <si>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</si>
  <si>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</si>
  <si>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</si>
  <si>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</si>
  <si>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</si>
  <si>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</si>
  <si>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</si>
  <si>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</si>
  <si>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</si>
  <si>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</si>
  <si>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</si>
  <si>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</si>
  <si>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</si>
  <si>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</si>
  <si>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</si>
  <si>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</si>
  <si>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</si>
  <si>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</si>
  <si>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</si>
  <si>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</si>
  <si>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</si>
  <si>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</si>
  <si>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</si>
  <si>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</si>
  <si>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</si>
  <si>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</si>
  <si>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</si>
  <si>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</si>
  <si>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</si>
  <si>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</si>
  <si>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</si>
  <si>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</si>
  <si>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</si>
  <si>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</si>
  <si>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</si>
  <si>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</si>
  <si>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</si>
  <si>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</si>
  <si>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</si>
  <si>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</si>
  <si>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</si>
  <si>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</si>
  <si>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</si>
  <si>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</si>
  <si>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</si>
  <si>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</si>
  <si>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</si>
  <si>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</si>
  <si>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</si>
  <si>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</si>
  <si>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>DEL 01 AL 31 DE ENERO A 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</si>
  <si>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</si>
  <si>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</si>
  <si>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</si>
  <si>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</si>
  <si>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</si>
  <si>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</si>
  <si>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</si>
  <si>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</si>
  <si>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</si>
  <si>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</si>
  <si>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</si>
  <si>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</si>
  <si>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</si>
  <si>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DEL 01 DE ENERO AL 31 DE DICIEMBRE DEL AÑO 2022</t>
  </si>
  <si>
    <t>DE SEGURO DE VIDA DOTAL PAGADOS AÑO 2022</t>
  </si>
  <si>
    <t>DE VIDA DOTAL POR VENCIMIENTO DE PÓLIZA  AÑO 2022</t>
  </si>
  <si>
    <t>DEL 01  DE ENERO AL 31 DICIEMBRE DEL AÑO 2022</t>
  </si>
  <si>
    <t>CORRESPONDIENTE AL PERIODO DEL 01 DE ENERO AL 31 DE DICIEMBRE DEL AÑO 2022</t>
  </si>
  <si>
    <t>ESTADÍSTICAS GENERALES 2021</t>
  </si>
  <si>
    <t>ASEGURADOS QUE CUMPLIERON 70 AÑOS DE EDAD DURANTE EL AÑO 2021</t>
  </si>
  <si>
    <t>DE VIDA DOTAL POR VENCIMIENTO DE PÓLIZA AÑO 2021</t>
  </si>
  <si>
    <t>DE SEGURO DE VIDA DOTAL PAGADOS AÑO 2021</t>
  </si>
  <si>
    <t>SEGUROS PEND. DE PAGO DE OTROS AÑOS, PAGADOS EN EL 2022 (CUADROS APROBADOS POR CD+ CASOS DE INV)</t>
  </si>
  <si>
    <t xml:space="preserve"> FALLECIDOS  AÑO 2022 QUE HAN RECLAMADO Y PAGADO (CUADROS APROBADOS POR CD)</t>
  </si>
  <si>
    <t>Nº DE BENEF. A LOS QUE SE LES HA PAGADO EN EL AÑO 2022 (CUADROS APROBADOS POR CD + CASOS DE INV)</t>
  </si>
  <si>
    <t>San Salvador, 31 de octubre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</si>
</sst>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2" x14ac:knownFonts="1">
    <font>
      <sz val="10"/>
      <name val="Arial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9" fillId="0" borderId="0"/>
    <xf numFmtId="9" fontId="1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4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9" fontId="0" fillId="0" borderId="0" xfId="11" applyFont="1"/>
    <xf numFmtId="0" fontId="9" fillId="0" borderId="0" xfId="0" applyFont="1"/>
    <xf numFmtId="0" fontId="8" fillId="0" borderId="0" xfId="0" applyFont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2" xfId="0" applyFont="1" applyBorder="1"/>
    <xf numFmtId="0" fontId="20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21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7" fillId="0" borderId="0" xfId="0" applyFont="1"/>
    <xf numFmtId="0" fontId="22" fillId="0" borderId="0" xfId="0" applyFont="1"/>
    <xf numFmtId="0" fontId="19" fillId="0" borderId="1" xfId="0" applyFont="1" applyBorder="1" applyAlignment="1">
      <alignment horizontal="center" vertical="center" wrapText="1"/>
    </xf>
    <xf numFmtId="17" fontId="21" fillId="0" borderId="2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167" fontId="1" fillId="0" borderId="1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7" fontId="0" fillId="0" borderId="0" xfId="0" applyNumberFormat="1"/>
    <xf numFmtId="0" fontId="18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6" fillId="0" borderId="0" xfId="0" applyFont="1" applyAlignment="1">
      <alignment horizontal="center"/>
    </xf>
    <xf numFmtId="0" fontId="30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7" fontId="24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39" fillId="0" borderId="0" xfId="7"/>
    <xf numFmtId="0" fontId="17" fillId="0" borderId="0" xfId="7" applyFont="1" applyAlignment="1">
      <alignment horizontal="center"/>
    </xf>
    <xf numFmtId="0" fontId="3" fillId="0" borderId="0" xfId="7" applyFont="1"/>
    <xf numFmtId="0" fontId="3" fillId="0" borderId="2" xfId="7" applyFont="1" applyBorder="1"/>
    <xf numFmtId="0" fontId="19" fillId="0" borderId="14" xfId="7" applyFont="1" applyBorder="1" applyAlignment="1">
      <alignment horizontal="center" vertical="center" wrapText="1"/>
    </xf>
    <xf numFmtId="0" fontId="19" fillId="0" borderId="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 wrapText="1"/>
    </xf>
    <xf numFmtId="17" fontId="21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22" fillId="0" borderId="0" xfId="7" applyFont="1"/>
    <xf numFmtId="0" fontId="5" fillId="0" borderId="0" xfId="7" applyFont="1"/>
    <xf numFmtId="166" fontId="3" fillId="0" borderId="0" xfId="7" applyNumberFormat="1" applyFont="1"/>
    <xf numFmtId="0" fontId="8" fillId="0" borderId="0" xfId="7" applyFont="1"/>
    <xf numFmtId="0" fontId="3" fillId="0" borderId="0" xfId="7" applyFont="1" applyAlignment="1">
      <alignment horizontal="left"/>
    </xf>
    <xf numFmtId="0" fontId="3" fillId="0" borderId="0" xfId="7" applyFont="1" applyAlignment="1">
      <alignment horizontal="center"/>
    </xf>
    <xf numFmtId="0" fontId="17" fillId="0" borderId="0" xfId="7" applyFont="1"/>
    <xf numFmtId="0" fontId="1" fillId="0" borderId="5" xfId="7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7" fontId="21" fillId="0" borderId="16" xfId="0" applyNumberFormat="1" applyFont="1" applyBorder="1" applyAlignment="1">
      <alignment horizontal="left"/>
    </xf>
    <xf numFmtId="17" fontId="21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3" fillId="0" borderId="0" xfId="11" applyNumberFormat="1" applyFont="1"/>
    <xf numFmtId="1" fontId="0" fillId="0" borderId="0" xfId="11" applyNumberFormat="1" applyFont="1"/>
    <xf numFmtId="167" fontId="3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5" applyFont="1" applyBorder="1" applyAlignment="1">
      <alignment horizontal="center"/>
    </xf>
    <xf numFmtId="0" fontId="11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1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3" fillId="0" borderId="0" xfId="11" applyNumberFormat="1" applyFont="1"/>
    <xf numFmtId="166" fontId="3" fillId="0" borderId="0" xfId="5" applyFont="1"/>
    <xf numFmtId="167" fontId="1" fillId="0" borderId="19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4" fontId="9" fillId="0" borderId="5" xfId="6" applyFont="1" applyBorder="1" applyAlignment="1">
      <alignment horizontal="center"/>
    </xf>
    <xf numFmtId="167" fontId="9" fillId="0" borderId="5" xfId="7" applyNumberFormat="1" applyFont="1" applyBorder="1" applyAlignment="1">
      <alignment horizontal="center"/>
    </xf>
    <xf numFmtId="0" fontId="43" fillId="0" borderId="0" xfId="7" applyFont="1"/>
    <xf numFmtId="167" fontId="5" fillId="0" borderId="5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44" fillId="0" borderId="0" xfId="0" applyFont="1"/>
    <xf numFmtId="1" fontId="1" fillId="0" borderId="0" xfId="0" applyNumberFormat="1" applyFont="1" applyAlignment="1">
      <alignment horizontal="center"/>
    </xf>
    <xf numFmtId="0" fontId="33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7" applyFont="1" applyAlignment="1">
      <alignment vertical="center"/>
    </xf>
    <xf numFmtId="0" fontId="8" fillId="0" borderId="0" xfId="0" applyFont="1" applyAlignment="1">
      <alignment horizontal="right"/>
    </xf>
    <xf numFmtId="167" fontId="45" fillId="0" borderId="0" xfId="0" applyNumberFormat="1" applyFont="1"/>
    <xf numFmtId="0" fontId="5" fillId="0" borderId="26" xfId="0" applyFont="1" applyBorder="1" applyAlignment="1">
      <alignment horizontal="center"/>
    </xf>
    <xf numFmtId="0" fontId="3" fillId="0" borderId="2" xfId="9" applyBorder="1"/>
    <xf numFmtId="0" fontId="19" fillId="0" borderId="14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17" fontId="34" fillId="0" borderId="28" xfId="0" applyNumberFormat="1" applyFont="1" applyBorder="1" applyAlignment="1">
      <alignment horizontal="left"/>
    </xf>
    <xf numFmtId="17" fontId="34" fillId="0" borderId="29" xfId="0" applyNumberFormat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17" fontId="35" fillId="0" borderId="31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166" fontId="5" fillId="0" borderId="37" xfId="5" applyFont="1" applyBorder="1" applyAlignment="1">
      <alignment horizontal="center"/>
    </xf>
    <xf numFmtId="17" fontId="5" fillId="0" borderId="38" xfId="0" applyNumberFormat="1" applyFont="1" applyBorder="1" applyAlignment="1">
      <alignment horizontal="center"/>
    </xf>
    <xf numFmtId="17" fontId="5" fillId="0" borderId="39" xfId="0" applyNumberFormat="1" applyFont="1" applyBorder="1" applyAlignment="1">
      <alignment horizontal="center"/>
    </xf>
    <xf numFmtId="17" fontId="5" fillId="0" borderId="40" xfId="0" applyNumberFormat="1" applyFont="1" applyBorder="1" applyAlignment="1">
      <alignment horizontal="center"/>
    </xf>
    <xf numFmtId="17" fontId="5" fillId="0" borderId="41" xfId="0" applyNumberFormat="1" applyFont="1" applyBorder="1" applyAlignment="1">
      <alignment horizontal="center"/>
    </xf>
    <xf numFmtId="166" fontId="5" fillId="0" borderId="0" xfId="0" applyNumberFormat="1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167" fontId="3" fillId="0" borderId="0" xfId="7" applyNumberFormat="1" applyFont="1"/>
    <xf numFmtId="166" fontId="1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46" fillId="0" borderId="46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10" fontId="47" fillId="0" borderId="44" xfId="11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166" fontId="5" fillId="0" borderId="49" xfId="5" applyFont="1" applyBorder="1" applyAlignment="1">
      <alignment horizontal="center"/>
    </xf>
    <xf numFmtId="17" fontId="5" fillId="0" borderId="50" xfId="0" applyNumberFormat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wrapText="1" shrinkToFit="1"/>
    </xf>
    <xf numFmtId="166" fontId="5" fillId="0" borderId="54" xfId="5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166" fontId="6" fillId="0" borderId="55" xfId="4" applyFont="1" applyBorder="1" applyAlignment="1">
      <alignment horizontal="center"/>
    </xf>
    <xf numFmtId="166" fontId="6" fillId="0" borderId="56" xfId="4" applyFont="1" applyBorder="1" applyAlignment="1">
      <alignment horizontal="center"/>
    </xf>
    <xf numFmtId="0" fontId="0" fillId="0" borderId="57" xfId="0" applyBorder="1"/>
    <xf numFmtId="0" fontId="1" fillId="0" borderId="58" xfId="0" applyFont="1" applyBorder="1" applyAlignment="1">
      <alignment horizontal="center"/>
    </xf>
    <xf numFmtId="44" fontId="0" fillId="0" borderId="0" xfId="0" applyNumberFormat="1"/>
    <xf numFmtId="166" fontId="1" fillId="0" borderId="46" xfId="0" applyNumberFormat="1" applyFont="1" applyBorder="1" applyAlignment="1">
      <alignment horizontal="center"/>
    </xf>
    <xf numFmtId="166" fontId="47" fillId="0" borderId="0" xfId="4" applyFont="1" applyBorder="1" applyAlignment="1">
      <alignment horizontal="left" vertical="center" wrapText="1"/>
    </xf>
    <xf numFmtId="0" fontId="48" fillId="0" borderId="0" xfId="7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44" fontId="48" fillId="0" borderId="0" xfId="6" applyFont="1" applyAlignment="1">
      <alignment horizontal="left" vertical="center"/>
    </xf>
    <xf numFmtId="0" fontId="49" fillId="0" borderId="0" xfId="7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32" fillId="0" borderId="40" xfId="0" applyNumberFormat="1" applyFont="1" applyBorder="1" applyAlignment="1">
      <alignment horizontal="left" vertical="center" wrapText="1"/>
    </xf>
    <xf numFmtId="1" fontId="17" fillId="0" borderId="40" xfId="0" applyNumberFormat="1" applyFont="1" applyBorder="1" applyAlignment="1">
      <alignment horizontal="left" vertical="center" wrapText="1"/>
    </xf>
    <xf numFmtId="37" fontId="8" fillId="0" borderId="59" xfId="0" applyNumberFormat="1" applyFont="1" applyBorder="1" applyAlignment="1">
      <alignment horizontal="center"/>
    </xf>
    <xf numFmtId="37" fontId="8" fillId="0" borderId="60" xfId="0" applyNumberFormat="1" applyFont="1" applyBorder="1" applyAlignment="1">
      <alignment horizontal="center"/>
    </xf>
    <xf numFmtId="167" fontId="32" fillId="0" borderId="61" xfId="0" applyNumberFormat="1" applyFont="1" applyBorder="1" applyAlignment="1">
      <alignment horizontal="left" vertical="center" wrapText="1"/>
    </xf>
    <xf numFmtId="167" fontId="32" fillId="0" borderId="40" xfId="0" applyNumberFormat="1" applyFont="1" applyBorder="1" applyAlignment="1">
      <alignment horizontal="left" vertical="center" wrapText="1"/>
    </xf>
    <xf numFmtId="167" fontId="32" fillId="0" borderId="62" xfId="0" applyNumberFormat="1" applyFont="1" applyBorder="1" applyAlignment="1">
      <alignment horizontal="left" vertical="center" wrapText="1"/>
    </xf>
    <xf numFmtId="167" fontId="5" fillId="0" borderId="40" xfId="0" applyNumberFormat="1" applyFont="1" applyBorder="1" applyAlignment="1">
      <alignment horizontal="center"/>
    </xf>
    <xf numFmtId="168" fontId="5" fillId="0" borderId="0" xfId="5" applyNumberFormat="1" applyFont="1" applyBorder="1"/>
    <xf numFmtId="168" fontId="5" fillId="0" borderId="40" xfId="5" applyNumberFormat="1" applyFont="1" applyBorder="1"/>
    <xf numFmtId="168" fontId="5" fillId="0" borderId="40" xfId="5" applyNumberFormat="1" applyFont="1" applyBorder="1" applyAlignment="1">
      <alignment horizontal="center"/>
    </xf>
    <xf numFmtId="168" fontId="5" fillId="0" borderId="40" xfId="5" applyNumberFormat="1" applyFont="1" applyFill="1" applyBorder="1" applyAlignment="1">
      <alignment horizontal="center"/>
    </xf>
    <xf numFmtId="168" fontId="5" fillId="0" borderId="62" xfId="5" applyNumberFormat="1" applyFont="1" applyFill="1" applyBorder="1" applyAlignment="1">
      <alignment horizontal="center"/>
    </xf>
    <xf numFmtId="167" fontId="5" fillId="0" borderId="51" xfId="0" applyNumberFormat="1" applyFont="1" applyBorder="1" applyAlignment="1">
      <alignment horizontal="center"/>
    </xf>
    <xf numFmtId="167" fontId="5" fillId="0" borderId="47" xfId="0" applyNumberFormat="1" applyFont="1" applyBorder="1" applyAlignment="1">
      <alignment horizontal="center"/>
    </xf>
    <xf numFmtId="167" fontId="5" fillId="0" borderId="63" xfId="0" applyNumberFormat="1" applyFont="1" applyBorder="1" applyAlignment="1">
      <alignment horizontal="center"/>
    </xf>
    <xf numFmtId="167" fontId="5" fillId="0" borderId="37" xfId="0" applyNumberFormat="1" applyFont="1" applyBorder="1" applyAlignment="1">
      <alignment horizontal="center"/>
    </xf>
    <xf numFmtId="1" fontId="11" fillId="0" borderId="40" xfId="0" applyNumberFormat="1" applyFont="1" applyBorder="1" applyAlignment="1">
      <alignment horizontal="left"/>
    </xf>
    <xf numFmtId="1" fontId="5" fillId="0" borderId="40" xfId="0" applyNumberFormat="1" applyFont="1" applyBorder="1" applyAlignment="1">
      <alignment horizontal="left"/>
    </xf>
    <xf numFmtId="0" fontId="5" fillId="0" borderId="40" xfId="0" applyFont="1" applyBorder="1" applyAlignment="1">
      <alignment horizontal="left" wrapText="1"/>
    </xf>
    <xf numFmtId="1" fontId="5" fillId="0" borderId="41" xfId="0" applyNumberFormat="1" applyFont="1" applyBorder="1" applyAlignment="1">
      <alignment horizontal="left"/>
    </xf>
    <xf numFmtId="1" fontId="5" fillId="0" borderId="63" xfId="0" applyNumberFormat="1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63" xfId="0" applyFont="1" applyBorder="1" applyAlignment="1">
      <alignment horizontal="left"/>
    </xf>
    <xf numFmtId="1" fontId="32" fillId="0" borderId="41" xfId="0" applyNumberFormat="1" applyFont="1" applyBorder="1" applyAlignment="1">
      <alignment horizontal="left" vertical="center" wrapText="1"/>
    </xf>
    <xf numFmtId="0" fontId="6" fillId="0" borderId="64" xfId="0" applyFont="1" applyBorder="1" applyAlignment="1">
      <alignment vertical="center"/>
    </xf>
    <xf numFmtId="0" fontId="9" fillId="0" borderId="46" xfId="0" applyFont="1" applyBorder="1" applyAlignment="1">
      <alignment horizontal="center" vertical="center"/>
    </xf>
    <xf numFmtId="1" fontId="9" fillId="0" borderId="65" xfId="0" applyNumberFormat="1" applyFont="1" applyBorder="1" applyAlignment="1">
      <alignment horizontal="center" vertical="center"/>
    </xf>
    <xf numFmtId="1" fontId="6" fillId="0" borderId="64" xfId="0" applyNumberFormat="1" applyFont="1" applyBorder="1" applyAlignment="1">
      <alignment horizontal="center" vertical="center"/>
    </xf>
    <xf numFmtId="1" fontId="6" fillId="0" borderId="65" xfId="0" applyNumberFormat="1" applyFont="1" applyBorder="1" applyAlignment="1">
      <alignment horizontal="center" vertical="center"/>
    </xf>
    <xf numFmtId="1" fontId="6" fillId="0" borderId="47" xfId="0" applyNumberFormat="1" applyFont="1" applyBorder="1" applyAlignment="1">
      <alignment horizontal="center" vertical="center"/>
    </xf>
    <xf numFmtId="1" fontId="11" fillId="0" borderId="61" xfId="0" applyNumberFormat="1" applyFont="1" applyBorder="1" applyAlignment="1">
      <alignment horizontal="left"/>
    </xf>
    <xf numFmtId="0" fontId="5" fillId="0" borderId="40" xfId="0" applyFont="1" applyBorder="1"/>
    <xf numFmtId="1" fontId="11" fillId="0" borderId="62" xfId="0" applyNumberFormat="1" applyFont="1" applyBorder="1" applyAlignment="1">
      <alignment horizontal="left"/>
    </xf>
    <xf numFmtId="0" fontId="7" fillId="0" borderId="42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1" fontId="5" fillId="0" borderId="54" xfId="0" applyNumberFormat="1" applyFont="1" applyBorder="1" applyAlignment="1">
      <alignment horizontal="center"/>
    </xf>
    <xf numFmtId="1" fontId="5" fillId="0" borderId="63" xfId="0" applyNumberFormat="1" applyFont="1" applyBorder="1" applyAlignment="1">
      <alignment horizontal="center"/>
    </xf>
    <xf numFmtId="1" fontId="5" fillId="0" borderId="66" xfId="0" applyNumberFormat="1" applyFont="1" applyBorder="1" applyAlignment="1">
      <alignment horizontal="center"/>
    </xf>
    <xf numFmtId="1" fontId="5" fillId="0" borderId="40" xfId="0" applyNumberFormat="1" applyFont="1" applyBorder="1" applyAlignment="1">
      <alignment horizontal="center"/>
    </xf>
    <xf numFmtId="1" fontId="5" fillId="0" borderId="59" xfId="0" applyNumberFormat="1" applyFont="1" applyBorder="1" applyAlignment="1">
      <alignment horizontal="center"/>
    </xf>
    <xf numFmtId="1" fontId="5" fillId="0" borderId="67" xfId="0" applyNumberFormat="1" applyFont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1" fontId="5" fillId="0" borderId="60" xfId="0" applyNumberFormat="1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1" fontId="6" fillId="0" borderId="69" xfId="0" applyNumberFormat="1" applyFont="1" applyBorder="1" applyAlignment="1">
      <alignment horizontal="center" vertical="center"/>
    </xf>
    <xf numFmtId="37" fontId="5" fillId="0" borderId="66" xfId="0" applyNumberFormat="1" applyFont="1" applyBorder="1" applyAlignment="1">
      <alignment horizontal="center"/>
    </xf>
    <xf numFmtId="37" fontId="5" fillId="0" borderId="59" xfId="0" applyNumberFormat="1" applyFont="1" applyBorder="1" applyAlignment="1">
      <alignment horizontal="center"/>
    </xf>
    <xf numFmtId="37" fontId="5" fillId="0" borderId="70" xfId="0" applyNumberFormat="1" applyFont="1" applyBorder="1" applyAlignment="1">
      <alignment horizontal="center"/>
    </xf>
    <xf numFmtId="1" fontId="6" fillId="0" borderId="56" xfId="0" applyNumberFormat="1" applyFont="1" applyBorder="1" applyAlignment="1">
      <alignment horizontal="center" vertical="center"/>
    </xf>
    <xf numFmtId="1" fontId="32" fillId="0" borderId="0" xfId="0" applyNumberFormat="1" applyFont="1" applyAlignment="1">
      <alignment horizontal="left" vertical="center" wrapText="1"/>
    </xf>
    <xf numFmtId="0" fontId="32" fillId="0" borderId="40" xfId="0" applyFont="1" applyBorder="1" applyAlignment="1">
      <alignment horizontal="center"/>
    </xf>
    <xf numFmtId="0" fontId="32" fillId="0" borderId="62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37" fontId="5" fillId="0" borderId="60" xfId="0" applyNumberFormat="1" applyFont="1" applyBorder="1" applyAlignment="1">
      <alignment horizontal="center"/>
    </xf>
    <xf numFmtId="0" fontId="6" fillId="0" borderId="64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37" fontId="9" fillId="0" borderId="58" xfId="0" applyNumberFormat="1" applyFont="1" applyBorder="1" applyAlignment="1">
      <alignment horizontal="center"/>
    </xf>
    <xf numFmtId="37" fontId="6" fillId="0" borderId="69" xfId="0" applyNumberFormat="1" applyFont="1" applyBorder="1" applyAlignment="1">
      <alignment horizontal="center"/>
    </xf>
    <xf numFmtId="0" fontId="9" fillId="0" borderId="45" xfId="0" applyFont="1" applyBorder="1" applyAlignment="1">
      <alignment horizontal="center" vertical="center"/>
    </xf>
    <xf numFmtId="37" fontId="5" fillId="0" borderId="68" xfId="0" applyNumberFormat="1" applyFont="1" applyBorder="1" applyAlignment="1">
      <alignment horizontal="center"/>
    </xf>
    <xf numFmtId="37" fontId="5" fillId="0" borderId="0" xfId="0" applyNumberFormat="1" applyFont="1"/>
    <xf numFmtId="0" fontId="5" fillId="0" borderId="73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3" borderId="49" xfId="0" applyFont="1" applyFill="1" applyBorder="1" applyAlignment="1">
      <alignment horizontal="center"/>
    </xf>
    <xf numFmtId="166" fontId="5" fillId="3" borderId="49" xfId="5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0" fillId="0" borderId="45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justify" vertical="center" wrapText="1"/>
    </xf>
    <xf numFmtId="0" fontId="3" fillId="0" borderId="75" xfId="0" applyFont="1" applyBorder="1" applyAlignment="1">
      <alignment horizontal="center"/>
    </xf>
    <xf numFmtId="166" fontId="51" fillId="0" borderId="54" xfId="4" applyFont="1" applyBorder="1" applyAlignment="1">
      <alignment horizontal="justify" vertical="center" wrapText="1"/>
    </xf>
    <xf numFmtId="10" fontId="51" fillId="0" borderId="75" xfId="11" applyNumberFormat="1" applyFont="1" applyBorder="1" applyAlignment="1">
      <alignment horizontal="center" vertical="center" wrapText="1"/>
    </xf>
    <xf numFmtId="0" fontId="37" fillId="0" borderId="76" xfId="0" applyFont="1" applyBorder="1"/>
    <xf numFmtId="0" fontId="3" fillId="0" borderId="44" xfId="0" applyFont="1" applyBorder="1" applyAlignment="1">
      <alignment horizontal="center"/>
    </xf>
    <xf numFmtId="10" fontId="51" fillId="0" borderId="44" xfId="11" applyNumberFormat="1" applyFont="1" applyBorder="1" applyAlignment="1">
      <alignment horizontal="center" vertical="center" wrapText="1"/>
    </xf>
    <xf numFmtId="10" fontId="51" fillId="0" borderId="76" xfId="11" applyNumberFormat="1" applyFont="1" applyBorder="1" applyAlignment="1">
      <alignment horizontal="center" vertical="center" wrapText="1"/>
    </xf>
    <xf numFmtId="10" fontId="50" fillId="0" borderId="45" xfId="11" applyNumberFormat="1" applyFont="1" applyBorder="1" applyAlignment="1">
      <alignment horizontal="center" vertical="center" wrapText="1"/>
    </xf>
    <xf numFmtId="0" fontId="37" fillId="0" borderId="44" xfId="0" applyFont="1" applyBorder="1" applyAlignment="1">
      <alignment horizontal="justify" vertical="center" wrapText="1"/>
    </xf>
    <xf numFmtId="166" fontId="51" fillId="0" borderId="77" xfId="4" applyFont="1" applyBorder="1" applyAlignment="1">
      <alignment horizontal="left" vertical="center" wrapText="1"/>
    </xf>
    <xf numFmtId="0" fontId="51" fillId="0" borderId="44" xfId="0" applyFont="1" applyBorder="1" applyAlignment="1">
      <alignment horizontal="left" vertical="center" wrapText="1"/>
    </xf>
    <xf numFmtId="0" fontId="51" fillId="0" borderId="76" xfId="0" applyFont="1" applyBorder="1" applyAlignment="1">
      <alignment horizontal="left" vertical="center" wrapText="1"/>
    </xf>
    <xf numFmtId="0" fontId="51" fillId="0" borderId="75" xfId="0" applyFont="1" applyBorder="1" applyAlignment="1">
      <alignment horizontal="left" vertical="center" wrapText="1"/>
    </xf>
    <xf numFmtId="17" fontId="52" fillId="0" borderId="5" xfId="7" applyNumberFormat="1" applyFont="1" applyBorder="1" applyAlignment="1">
      <alignment horizontal="left"/>
    </xf>
    <xf numFmtId="0" fontId="52" fillId="0" borderId="5" xfId="7" applyFont="1" applyBorder="1" applyAlignment="1">
      <alignment horizontal="center"/>
    </xf>
    <xf numFmtId="44" fontId="52" fillId="0" borderId="5" xfId="6" applyFont="1" applyBorder="1" applyAlignment="1">
      <alignment horizontal="center"/>
    </xf>
    <xf numFmtId="167" fontId="52" fillId="0" borderId="5" xfId="7" applyNumberFormat="1" applyFont="1" applyBorder="1" applyAlignment="1">
      <alignment horizontal="center"/>
    </xf>
    <xf numFmtId="44" fontId="39" fillId="0" borderId="5" xfId="6" applyFont="1" applyBorder="1"/>
    <xf numFmtId="17" fontId="52" fillId="0" borderId="5" xfId="9" applyNumberFormat="1" applyFont="1" applyBorder="1" applyAlignment="1">
      <alignment horizontal="left"/>
    </xf>
    <xf numFmtId="0" fontId="53" fillId="0" borderId="5" xfId="7" applyFont="1" applyBorder="1"/>
    <xf numFmtId="0" fontId="53" fillId="0" borderId="6" xfId="0" applyFont="1" applyBorder="1" applyAlignment="1">
      <alignment horizontal="center"/>
    </xf>
    <xf numFmtId="44" fontId="53" fillId="0" borderId="6" xfId="0" applyNumberFormat="1" applyFont="1" applyBorder="1" applyAlignment="1">
      <alignment horizontal="center"/>
    </xf>
    <xf numFmtId="167" fontId="53" fillId="0" borderId="6" xfId="0" applyNumberFormat="1" applyFont="1" applyBorder="1" applyAlignment="1">
      <alignment horizontal="center"/>
    </xf>
    <xf numFmtId="167" fontId="53" fillId="0" borderId="1" xfId="0" applyNumberFormat="1" applyFont="1" applyBorder="1" applyAlignment="1">
      <alignment horizontal="center"/>
    </xf>
    <xf numFmtId="166" fontId="48" fillId="0" borderId="0" xfId="4" applyFont="1"/>
    <xf numFmtId="0" fontId="11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166" fontId="48" fillId="0" borderId="0" xfId="4" applyFont="1" applyBorder="1" applyAlignment="1">
      <alignment horizontal="left"/>
    </xf>
    <xf numFmtId="0" fontId="48" fillId="0" borderId="0" xfId="0" applyFont="1"/>
    <xf numFmtId="166" fontId="48" fillId="0" borderId="0" xfId="4" applyFont="1" applyAlignment="1">
      <alignment horizontal="right"/>
    </xf>
    <xf numFmtId="0" fontId="49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7" fontId="6" fillId="0" borderId="42" xfId="0" applyNumberFormat="1" applyFont="1" applyBorder="1" applyAlignment="1">
      <alignment horizontal="center"/>
    </xf>
    <xf numFmtId="17" fontId="3" fillId="0" borderId="16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66" fontId="3" fillId="0" borderId="5" xfId="4" applyFont="1" applyBorder="1" applyAlignment="1">
      <alignment horizontal="center" vertical="center"/>
    </xf>
    <xf numFmtId="17" fontId="3" fillId="0" borderId="78" xfId="0" applyNumberFormat="1" applyFont="1" applyBorder="1" applyAlignment="1">
      <alignment horizontal="left"/>
    </xf>
    <xf numFmtId="0" fontId="3" fillId="0" borderId="5" xfId="7" applyFont="1" applyBorder="1" applyAlignment="1">
      <alignment horizontal="center"/>
    </xf>
    <xf numFmtId="167" fontId="3" fillId="0" borderId="5" xfId="7" applyNumberFormat="1" applyFont="1" applyBorder="1" applyAlignment="1">
      <alignment horizontal="center"/>
    </xf>
    <xf numFmtId="166" fontId="51" fillId="0" borderId="0" xfId="4" applyFont="1" applyBorder="1" applyAlignment="1">
      <alignment horizontal="left" vertical="center" wrapText="1"/>
    </xf>
    <xf numFmtId="10" fontId="51" fillId="0" borderId="0" xfId="11" applyNumberFormat="1" applyFont="1" applyBorder="1" applyAlignment="1">
      <alignment horizontal="center" vertical="center" wrapText="1"/>
    </xf>
    <xf numFmtId="10" fontId="51" fillId="0" borderId="79" xfId="11" applyNumberFormat="1" applyFont="1" applyBorder="1" applyAlignment="1">
      <alignment horizontal="center" vertical="center" wrapText="1"/>
    </xf>
    <xf numFmtId="166" fontId="1" fillId="0" borderId="80" xfId="0" applyNumberFormat="1" applyFont="1" applyBorder="1" applyAlignment="1">
      <alignment horizontal="center"/>
    </xf>
    <xf numFmtId="10" fontId="51" fillId="0" borderId="45" xfId="11" applyNumberFormat="1" applyFont="1" applyBorder="1" applyAlignment="1">
      <alignment horizontal="center" vertical="center" wrapText="1"/>
    </xf>
    <xf numFmtId="0" fontId="47" fillId="0" borderId="81" xfId="0" applyFont="1" applyBorder="1" applyAlignment="1">
      <alignment horizontal="left" vertical="center" wrapText="1"/>
    </xf>
    <xf numFmtId="0" fontId="51" fillId="0" borderId="81" xfId="0" applyFont="1" applyBorder="1" applyAlignment="1">
      <alignment horizontal="left" vertical="center" wrapText="1"/>
    </xf>
    <xf numFmtId="0" fontId="47" fillId="0" borderId="82" xfId="0" applyFont="1" applyBorder="1" applyAlignment="1">
      <alignment horizontal="left" vertical="center" wrapText="1"/>
    </xf>
    <xf numFmtId="0" fontId="36" fillId="0" borderId="81" xfId="0" applyFont="1" applyBorder="1" applyAlignment="1">
      <alignment horizontal="justify" vertical="center" wrapText="1"/>
    </xf>
    <xf numFmtId="0" fontId="36" fillId="0" borderId="82" xfId="0" applyFont="1" applyBorder="1"/>
    <xf numFmtId="10" fontId="47" fillId="0" borderId="76" xfId="11" applyNumberFormat="1" applyFont="1" applyBorder="1" applyAlignment="1">
      <alignment horizontal="center" vertical="center" wrapText="1"/>
    </xf>
    <xf numFmtId="0" fontId="47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7" fillId="0" borderId="79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justify" vertical="center" wrapText="1"/>
    </xf>
    <xf numFmtId="10" fontId="47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7" fillId="0" borderId="76" xfId="4" applyFont="1" applyBorder="1" applyAlignment="1">
      <alignment horizontal="justify" vertical="center" wrapText="1"/>
    </xf>
    <xf numFmtId="166" fontId="1" fillId="0" borderId="45" xfId="0" applyNumberFormat="1" applyFont="1" applyBorder="1" applyAlignment="1">
      <alignment horizontal="center"/>
    </xf>
    <xf numFmtId="0" fontId="55" fillId="0" borderId="0" xfId="0" applyFont="1"/>
    <xf numFmtId="10" fontId="46" fillId="0" borderId="45" xfId="1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0" fontId="47" fillId="0" borderId="0" xfId="11" applyNumberFormat="1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7" fillId="0" borderId="5" xfId="0" applyFont="1" applyBorder="1" applyAlignment="1">
      <alignment horizontal="center" wrapText="1"/>
    </xf>
    <xf numFmtId="0" fontId="58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/>
    </xf>
    <xf numFmtId="0" fontId="41" fillId="0" borderId="5" xfId="0" applyFont="1" applyBorder="1" applyAlignment="1">
      <alignment horizontal="center" wrapText="1"/>
    </xf>
    <xf numFmtId="0" fontId="41" fillId="0" borderId="5" xfId="0" applyFont="1" applyBorder="1" applyAlignment="1">
      <alignment horizontal="center"/>
    </xf>
    <xf numFmtId="0" fontId="59" fillId="0" borderId="5" xfId="0" applyFont="1" applyBorder="1" applyAlignment="1">
      <alignment horizontal="center" wrapText="1"/>
    </xf>
    <xf numFmtId="169" fontId="57" fillId="0" borderId="5" xfId="0" applyNumberFormat="1" applyFont="1" applyBorder="1" applyAlignment="1">
      <alignment horizontal="center" wrapText="1"/>
    </xf>
    <xf numFmtId="0" fontId="58" fillId="0" borderId="5" xfId="0" applyFont="1" applyBorder="1" applyAlignment="1">
      <alignment horizontal="left" wrapText="1"/>
    </xf>
    <xf numFmtId="169" fontId="58" fillId="0" borderId="5" xfId="0" applyNumberFormat="1" applyFont="1" applyBorder="1" applyAlignment="1">
      <alignment horizontal="center" wrapText="1"/>
    </xf>
    <xf numFmtId="0" fontId="60" fillId="0" borderId="37" xfId="0" applyFont="1" applyBorder="1" applyAlignment="1">
      <alignment horizontal="center"/>
    </xf>
    <xf numFmtId="49" fontId="58" fillId="0" borderId="37" xfId="0" applyNumberFormat="1" applyFont="1" applyBorder="1" applyAlignment="1">
      <alignment horizontal="center"/>
    </xf>
    <xf numFmtId="49" fontId="60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wrapText="1"/>
    </xf>
    <xf numFmtId="0" fontId="60" fillId="0" borderId="5" xfId="0" applyFont="1" applyBorder="1" applyAlignment="1">
      <alignment horizontal="center"/>
    </xf>
    <xf numFmtId="1" fontId="60" fillId="0" borderId="5" xfId="0" applyNumberFormat="1" applyFont="1" applyBorder="1" applyAlignment="1">
      <alignment horizontal="center"/>
    </xf>
    <xf numFmtId="166" fontId="60" fillId="0" borderId="5" xfId="4" applyFont="1" applyBorder="1"/>
    <xf numFmtId="169" fontId="61" fillId="0" borderId="5" xfId="0" applyNumberFormat="1" applyFont="1" applyBorder="1" applyAlignment="1">
      <alignment horizontal="center" wrapText="1"/>
    </xf>
    <xf numFmtId="0" fontId="43" fillId="0" borderId="5" xfId="0" applyFont="1" applyBorder="1" applyAlignment="1">
      <alignment horizontal="left" wrapText="1"/>
    </xf>
    <xf numFmtId="0" fontId="61" fillId="0" borderId="5" xfId="0" applyFont="1" applyBorder="1" applyAlignment="1">
      <alignment wrapText="1"/>
    </xf>
    <xf numFmtId="169" fontId="60" fillId="0" borderId="5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45" fillId="0" borderId="0" xfId="0" applyFont="1"/>
    <xf numFmtId="0" fontId="62" fillId="0" borderId="0" xfId="0" applyFont="1" applyAlignment="1">
      <alignment horizontal="center" wrapText="1"/>
    </xf>
    <xf numFmtId="166" fontId="44" fillId="0" borderId="84" xfId="5" applyFont="1" applyBorder="1" applyAlignment="1">
      <alignment horizontal="center"/>
    </xf>
    <xf numFmtId="164" fontId="45" fillId="0" borderId="0" xfId="0" applyNumberFormat="1" applyFont="1"/>
    <xf numFmtId="166" fontId="45" fillId="0" borderId="0" xfId="0" applyNumberFormat="1" applyFont="1"/>
    <xf numFmtId="44" fontId="45" fillId="0" borderId="0" xfId="0" applyNumberFormat="1" applyFont="1"/>
    <xf numFmtId="44" fontId="63" fillId="0" borderId="0" xfId="0" applyNumberFormat="1" applyFont="1"/>
    <xf numFmtId="166" fontId="44" fillId="0" borderId="0" xfId="5" applyFont="1" applyFill="1" applyBorder="1" applyAlignment="1">
      <alignment horizontal="center"/>
    </xf>
    <xf numFmtId="166" fontId="64" fillId="0" borderId="45" xfId="4" applyFont="1" applyBorder="1" applyAlignment="1">
      <alignment horizontal="center"/>
    </xf>
    <xf numFmtId="166" fontId="64" fillId="0" borderId="0" xfId="4" applyFont="1" applyBorder="1" applyAlignment="1">
      <alignment horizontal="center"/>
    </xf>
    <xf numFmtId="164" fontId="65" fillId="0" borderId="0" xfId="11" applyNumberFormat="1" applyFont="1"/>
    <xf numFmtId="0" fontId="44" fillId="0" borderId="77" xfId="0" applyFont="1" applyBorder="1"/>
    <xf numFmtId="9" fontId="45" fillId="0" borderId="0" xfId="11" applyFont="1"/>
    <xf numFmtId="0" fontId="65" fillId="0" borderId="0" xfId="0" applyFont="1"/>
    <xf numFmtId="0" fontId="3" fillId="0" borderId="77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46" fillId="0" borderId="8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/>
    </xf>
    <xf numFmtId="0" fontId="51" fillId="0" borderId="75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166" fontId="51" fillId="0" borderId="73" xfId="4" applyFont="1" applyBorder="1" applyAlignment="1">
      <alignment horizontal="left" vertical="center" wrapText="1"/>
    </xf>
    <xf numFmtId="0" fontId="50" fillId="0" borderId="58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/>
    </xf>
    <xf numFmtId="0" fontId="51" fillId="0" borderId="44" xfId="0" applyFont="1" applyBorder="1" applyAlignment="1">
      <alignment horizontal="center" vertical="center" wrapText="1"/>
    </xf>
    <xf numFmtId="10" fontId="51" fillId="0" borderId="86" xfId="11" applyNumberFormat="1" applyFont="1" applyBorder="1" applyAlignment="1">
      <alignment horizontal="center" vertical="center" wrapText="1"/>
    </xf>
    <xf numFmtId="10" fontId="51" fillId="0" borderId="67" xfId="11" applyNumberFormat="1" applyFont="1" applyBorder="1" applyAlignment="1">
      <alignment horizontal="center" vertical="center" wrapText="1"/>
    </xf>
    <xf numFmtId="10" fontId="51" fillId="0" borderId="42" xfId="11" applyNumberFormat="1" applyFont="1" applyBorder="1" applyAlignment="1">
      <alignment horizontal="center" vertical="center"/>
    </xf>
    <xf numFmtId="166" fontId="51" fillId="0" borderId="75" xfId="4" applyFont="1" applyBorder="1" applyAlignment="1">
      <alignment horizontal="left" vertical="center" wrapText="1"/>
    </xf>
    <xf numFmtId="166" fontId="51" fillId="0" borderId="44" xfId="4" applyFont="1" applyBorder="1" applyAlignment="1">
      <alignment horizontal="left" vertical="center" wrapText="1"/>
    </xf>
    <xf numFmtId="166" fontId="50" fillId="0" borderId="25" xfId="4" applyFont="1" applyBorder="1" applyAlignment="1">
      <alignment horizontal="left" vertical="center"/>
    </xf>
    <xf numFmtId="0" fontId="51" fillId="0" borderId="83" xfId="0" applyFont="1" applyBorder="1" applyAlignment="1">
      <alignment horizontal="left" vertical="center" wrapText="1"/>
    </xf>
    <xf numFmtId="0" fontId="50" fillId="0" borderId="80" xfId="0" applyFont="1" applyBorder="1" applyAlignment="1">
      <alignment horizontal="right" vertical="center" wrapText="1"/>
    </xf>
    <xf numFmtId="0" fontId="3" fillId="3" borderId="87" xfId="0" applyFont="1" applyFill="1" applyBorder="1" applyAlignment="1">
      <alignment horizontal="center"/>
    </xf>
    <xf numFmtId="166" fontId="50" fillId="0" borderId="58" xfId="4" applyFont="1" applyBorder="1" applyAlignment="1">
      <alignment horizontal="left" vertical="center" wrapText="1"/>
    </xf>
    <xf numFmtId="0" fontId="3" fillId="0" borderId="88" xfId="0" applyFont="1" applyBorder="1" applyAlignment="1">
      <alignment horizontal="center"/>
    </xf>
    <xf numFmtId="0" fontId="3" fillId="3" borderId="76" xfId="0" applyFont="1" applyFill="1" applyBorder="1" applyAlignment="1">
      <alignment horizontal="center"/>
    </xf>
    <xf numFmtId="0" fontId="50" fillId="0" borderId="46" xfId="0" applyFont="1" applyBorder="1" applyAlignment="1">
      <alignment horizontal="right" vertical="center" wrapText="1"/>
    </xf>
    <xf numFmtId="0" fontId="1" fillId="3" borderId="46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44" fontId="1" fillId="0" borderId="0" xfId="0" applyNumberFormat="1" applyFont="1" applyAlignment="1">
      <alignment wrapText="1"/>
    </xf>
    <xf numFmtId="44" fontId="1" fillId="0" borderId="25" xfId="0" applyNumberFormat="1" applyFont="1" applyBorder="1" applyAlignment="1">
      <alignment wrapText="1"/>
    </xf>
    <xf numFmtId="0" fontId="1" fillId="0" borderId="25" xfId="0" applyFont="1" applyBorder="1" applyAlignment="1">
      <alignment horizontal="center" wrapText="1"/>
    </xf>
    <xf numFmtId="0" fontId="36" fillId="0" borderId="44" xfId="0" applyFont="1" applyBorder="1" applyAlignment="1">
      <alignment horizontal="justify" vertical="center" wrapText="1"/>
    </xf>
    <xf numFmtId="44" fontId="3" fillId="0" borderId="0" xfId="0" applyNumberFormat="1" applyFont="1"/>
    <xf numFmtId="17" fontId="66" fillId="0" borderId="89" xfId="0" applyNumberFormat="1" applyFont="1" applyBorder="1" applyAlignment="1">
      <alignment horizontal="left"/>
    </xf>
    <xf numFmtId="0" fontId="67" fillId="2" borderId="90" xfId="0" applyFont="1" applyFill="1" applyBorder="1" applyAlignment="1">
      <alignment horizontal="center"/>
    </xf>
    <xf numFmtId="0" fontId="68" fillId="0" borderId="90" xfId="0" applyFont="1" applyBorder="1" applyAlignment="1">
      <alignment horizontal="center"/>
    </xf>
    <xf numFmtId="0" fontId="68" fillId="0" borderId="91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7" fillId="2" borderId="92" xfId="0" applyFont="1" applyFill="1" applyBorder="1" applyAlignment="1">
      <alignment horizontal="center"/>
    </xf>
    <xf numFmtId="0" fontId="69" fillId="2" borderId="71" xfId="0" applyFont="1" applyFill="1" applyBorder="1" applyAlignment="1">
      <alignment horizontal="center"/>
    </xf>
    <xf numFmtId="0" fontId="70" fillId="0" borderId="86" xfId="0" applyFont="1" applyBorder="1" applyAlignment="1">
      <alignment horizontal="center"/>
    </xf>
    <xf numFmtId="17" fontId="66" fillId="0" borderId="93" xfId="0" applyNumberFormat="1" applyFont="1" applyBorder="1" applyAlignment="1">
      <alignment horizontal="left"/>
    </xf>
    <xf numFmtId="0" fontId="67" fillId="2" borderId="94" xfId="0" applyFont="1" applyFill="1" applyBorder="1" applyAlignment="1">
      <alignment horizontal="center"/>
    </xf>
    <xf numFmtId="0" fontId="68" fillId="0" borderId="94" xfId="0" applyFont="1" applyBorder="1" applyAlignment="1">
      <alignment horizontal="center"/>
    </xf>
    <xf numFmtId="0" fontId="69" fillId="2" borderId="18" xfId="0" applyFont="1" applyFill="1" applyBorder="1" applyAlignment="1">
      <alignment horizontal="center"/>
    </xf>
    <xf numFmtId="0" fontId="70" fillId="0" borderId="67" xfId="0" applyFont="1" applyBorder="1" applyAlignment="1">
      <alignment horizontal="center"/>
    </xf>
    <xf numFmtId="17" fontId="66" fillId="0" borderId="95" xfId="0" applyNumberFormat="1" applyFont="1" applyBorder="1" applyAlignment="1">
      <alignment horizontal="left"/>
    </xf>
    <xf numFmtId="0" fontId="43" fillId="0" borderId="5" xfId="0" applyFont="1" applyBorder="1" applyAlignment="1">
      <alignment horizontal="left" vertical="center" wrapText="1"/>
    </xf>
    <xf numFmtId="0" fontId="48" fillId="0" borderId="0" xfId="0" applyFont="1" applyAlignment="1">
      <alignment horizontal="right" vertical="center"/>
    </xf>
    <xf numFmtId="0" fontId="49" fillId="0" borderId="0" xfId="7" applyFont="1" applyAlignment="1">
      <alignment vertical="center" wrapText="1"/>
    </xf>
    <xf numFmtId="44" fontId="48" fillId="0" borderId="0" xfId="6" applyFont="1" applyFill="1" applyAlignment="1">
      <alignment horizontal="left" vertical="center"/>
    </xf>
    <xf numFmtId="17" fontId="71" fillId="0" borderId="96" xfId="0" applyNumberFormat="1" applyFont="1" applyBorder="1" applyAlignment="1">
      <alignment horizontal="left"/>
    </xf>
    <xf numFmtId="0" fontId="72" fillId="0" borderId="26" xfId="0" applyFont="1" applyBorder="1" applyAlignment="1">
      <alignment horizontal="center"/>
    </xf>
    <xf numFmtId="0" fontId="73" fillId="2" borderId="18" xfId="0" applyFont="1" applyFill="1" applyBorder="1" applyAlignment="1">
      <alignment horizontal="center"/>
    </xf>
    <xf numFmtId="0" fontId="73" fillId="0" borderId="27" xfId="0" applyFont="1" applyBorder="1" applyAlignment="1">
      <alignment horizontal="center"/>
    </xf>
    <xf numFmtId="17" fontId="71" fillId="0" borderId="97" xfId="0" applyNumberFormat="1" applyFont="1" applyBorder="1" applyAlignment="1">
      <alignment horizontal="left"/>
    </xf>
    <xf numFmtId="171" fontId="45" fillId="0" borderId="0" xfId="0" applyNumberFormat="1" applyFont="1"/>
    <xf numFmtId="49" fontId="74" fillId="0" borderId="37" xfId="0" applyNumberFormat="1" applyFont="1" applyBorder="1" applyAlignment="1">
      <alignment horizontal="center"/>
    </xf>
    <xf numFmtId="0" fontId="51" fillId="0" borderId="98" xfId="0" applyFont="1" applyBorder="1" applyAlignment="1">
      <alignment horizontal="left" vertical="center" wrapText="1"/>
    </xf>
    <xf numFmtId="0" fontId="50" fillId="0" borderId="88" xfId="0" applyFont="1" applyBorder="1" applyAlignment="1">
      <alignment horizontal="center" vertical="center" wrapText="1"/>
    </xf>
    <xf numFmtId="0" fontId="75" fillId="0" borderId="0" xfId="0" applyFont="1"/>
    <xf numFmtId="0" fontId="76" fillId="0" borderId="0" xfId="0" applyFont="1"/>
    <xf numFmtId="0" fontId="55" fillId="0" borderId="0" xfId="0" applyFont="1" applyAlignment="1">
      <alignment horizontal="right"/>
    </xf>
    <xf numFmtId="166" fontId="51" fillId="0" borderId="99" xfId="4" applyFont="1" applyBorder="1" applyAlignment="1">
      <alignment horizontal="left" vertical="center" wrapText="1"/>
    </xf>
    <xf numFmtId="166" fontId="50" fillId="0" borderId="45" xfId="4" applyFont="1" applyBorder="1" applyAlignment="1">
      <alignment horizontal="left" vertical="center" wrapText="1"/>
    </xf>
    <xf numFmtId="166" fontId="1" fillId="0" borderId="25" xfId="0" applyNumberFormat="1" applyFont="1" applyBorder="1" applyAlignment="1">
      <alignment horizontal="center"/>
    </xf>
    <xf numFmtId="44" fontId="77" fillId="0" borderId="0" xfId="0" applyNumberFormat="1" applyFont="1"/>
    <xf numFmtId="0" fontId="78" fillId="0" borderId="0" xfId="0" applyFont="1"/>
    <xf numFmtId="0" fontId="64" fillId="0" borderId="0" xfId="0" applyFont="1"/>
    <xf numFmtId="0" fontId="79" fillId="0" borderId="0" xfId="0" applyFont="1"/>
    <xf numFmtId="3" fontId="45" fillId="0" borderId="0" xfId="0" applyNumberFormat="1" applyFont="1"/>
    <xf numFmtId="16" fontId="45" fillId="0" borderId="0" xfId="0" applyNumberFormat="1" applyFont="1" applyAlignment="1">
      <alignment horizontal="right"/>
    </xf>
    <xf numFmtId="17" fontId="45" fillId="0" borderId="0" xfId="0" applyNumberFormat="1" applyFont="1" applyAlignment="1">
      <alignment horizontal="right"/>
    </xf>
    <xf numFmtId="0" fontId="20" fillId="0" borderId="100" xfId="9" applyFont="1" applyBorder="1" applyAlignment="1">
      <alignment horizontal="center" vertical="center" wrapText="1"/>
    </xf>
    <xf numFmtId="167" fontId="3" fillId="0" borderId="19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0" fontId="60" fillId="0" borderId="5" xfId="0" applyFont="1" applyBorder="1" applyAlignment="1">
      <alignment horizontal="center" wrapText="1"/>
    </xf>
    <xf numFmtId="49" fontId="80" fillId="0" borderId="5" xfId="0" applyNumberFormat="1" applyFont="1" applyBorder="1" applyAlignment="1">
      <alignment horizontal="center"/>
    </xf>
    <xf numFmtId="0" fontId="80" fillId="0" borderId="5" xfId="0" applyFont="1" applyBorder="1" applyAlignment="1">
      <alignment wrapText="1"/>
    </xf>
    <xf numFmtId="0" fontId="80" fillId="0" borderId="5" xfId="0" applyFont="1" applyBorder="1" applyAlignment="1">
      <alignment horizontal="center"/>
    </xf>
    <xf numFmtId="1" fontId="80" fillId="0" borderId="5" xfId="0" applyNumberFormat="1" applyFont="1" applyBorder="1" applyAlignment="1">
      <alignment horizontal="center"/>
    </xf>
    <xf numFmtId="166" fontId="80" fillId="0" borderId="5" xfId="4" applyFont="1" applyBorder="1"/>
    <xf numFmtId="169" fontId="81" fillId="0" borderId="5" xfId="0" applyNumberFormat="1" applyFont="1" applyBorder="1" applyAlignment="1">
      <alignment horizontal="center" wrapText="1"/>
    </xf>
    <xf numFmtId="0" fontId="48" fillId="0" borderId="5" xfId="0" applyFont="1" applyBorder="1" applyAlignment="1">
      <alignment horizontal="left" wrapText="1"/>
    </xf>
    <xf numFmtId="0" fontId="81" fillId="0" borderId="5" xfId="0" applyFont="1" applyBorder="1" applyAlignment="1">
      <alignment wrapText="1"/>
    </xf>
    <xf numFmtId="169" fontId="80" fillId="0" borderId="5" xfId="0" applyNumberFormat="1" applyFont="1" applyBorder="1" applyAlignment="1">
      <alignment horizontal="center"/>
    </xf>
    <xf numFmtId="0" fontId="43" fillId="0" borderId="5" xfId="0" applyFont="1" applyBorder="1" applyAlignment="1">
      <alignment wrapText="1"/>
    </xf>
    <xf numFmtId="166" fontId="60" fillId="0" borderId="5" xfId="4" applyFont="1" applyBorder="1" applyAlignment="1"/>
    <xf numFmtId="0" fontId="61" fillId="0" borderId="5" xfId="0" applyFont="1" applyBorder="1" applyAlignment="1">
      <alignment vertical="center" wrapText="1"/>
    </xf>
    <xf numFmtId="0" fontId="60" fillId="0" borderId="51" xfId="0" applyFont="1" applyBorder="1" applyAlignment="1">
      <alignment horizontal="center" wrapText="1"/>
    </xf>
    <xf numFmtId="49" fontId="60" fillId="0" borderId="51" xfId="0" applyNumberFormat="1" applyFont="1" applyBorder="1" applyAlignment="1">
      <alignment horizontal="center"/>
    </xf>
    <xf numFmtId="0" fontId="60" fillId="0" borderId="51" xfId="0" applyFont="1" applyBorder="1" applyAlignment="1">
      <alignment wrapText="1"/>
    </xf>
    <xf numFmtId="0" fontId="60" fillId="0" borderId="51" xfId="0" applyFont="1" applyBorder="1" applyAlignment="1">
      <alignment horizontal="center"/>
    </xf>
    <xf numFmtId="1" fontId="60" fillId="0" borderId="51" xfId="0" applyNumberFormat="1" applyFont="1" applyBorder="1" applyAlignment="1">
      <alignment horizontal="center"/>
    </xf>
    <xf numFmtId="166" fontId="60" fillId="0" borderId="51" xfId="4" applyFont="1" applyBorder="1"/>
    <xf numFmtId="169" fontId="61" fillId="0" borderId="51" xfId="0" applyNumberFormat="1" applyFont="1" applyBorder="1" applyAlignment="1">
      <alignment horizontal="center" wrapText="1"/>
    </xf>
    <xf numFmtId="0" fontId="43" fillId="0" borderId="51" xfId="0" applyFont="1" applyBorder="1" applyAlignment="1">
      <alignment horizontal="left" vertical="center" wrapText="1"/>
    </xf>
    <xf numFmtId="0" fontId="61" fillId="0" borderId="51" xfId="0" applyFont="1" applyBorder="1" applyAlignment="1">
      <alignment wrapText="1"/>
    </xf>
    <xf numFmtId="169" fontId="60" fillId="0" borderId="51" xfId="0" applyNumberFormat="1" applyFont="1" applyBorder="1" applyAlignment="1">
      <alignment horizontal="center"/>
    </xf>
    <xf numFmtId="0" fontId="3" fillId="0" borderId="77" xfId="0" applyFont="1" applyBorder="1"/>
    <xf numFmtId="0" fontId="5" fillId="0" borderId="77" xfId="0" applyFont="1" applyBorder="1"/>
    <xf numFmtId="166" fontId="6" fillId="0" borderId="0" xfId="0" applyNumberFormat="1" applyFont="1"/>
    <xf numFmtId="0" fontId="8" fillId="0" borderId="0" xfId="0" applyFont="1" applyAlignment="1">
      <alignment horizontal="left"/>
    </xf>
    <xf numFmtId="166" fontId="39" fillId="0" borderId="5" xfId="6" applyNumberFormat="1" applyFont="1" applyBorder="1"/>
    <xf numFmtId="44" fontId="52" fillId="0" borderId="5" xfId="7" applyNumberFormat="1" applyFont="1" applyBorder="1" applyAlignment="1">
      <alignment horizontal="center"/>
    </xf>
    <xf numFmtId="167" fontId="9" fillId="0" borderId="5" xfId="6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7" fontId="56" fillId="0" borderId="5" xfId="6" applyNumberFormat="1" applyFont="1" applyBorder="1"/>
    <xf numFmtId="166" fontId="56" fillId="0" borderId="5" xfId="6" applyNumberFormat="1" applyFont="1" applyBorder="1"/>
    <xf numFmtId="166" fontId="3" fillId="0" borderId="5" xfId="7" applyNumberFormat="1" applyFont="1" applyBorder="1" applyAlignment="1">
      <alignment horizontal="center"/>
    </xf>
    <xf numFmtId="166" fontId="54" fillId="0" borderId="5" xfId="6" applyNumberFormat="1" applyFont="1" applyBorder="1"/>
    <xf numFmtId="0" fontId="51" fillId="0" borderId="73" xfId="4" applyNumberFormat="1" applyFont="1" applyBorder="1" applyAlignment="1">
      <alignment horizontal="center" vertical="center" wrapText="1"/>
    </xf>
    <xf numFmtId="0" fontId="46" fillId="0" borderId="101" xfId="0" applyFont="1" applyBorder="1" applyAlignment="1">
      <alignment horizontal="center" vertical="center" wrapText="1"/>
    </xf>
    <xf numFmtId="0" fontId="46" fillId="0" borderId="102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/>
    </xf>
    <xf numFmtId="0" fontId="3" fillId="0" borderId="85" xfId="0" applyFont="1" applyBorder="1" applyAlignment="1">
      <alignment horizontal="left"/>
    </xf>
    <xf numFmtId="0" fontId="3" fillId="0" borderId="58" xfId="0" applyFont="1" applyBorder="1" applyAlignment="1">
      <alignment horizontal="left"/>
    </xf>
    <xf numFmtId="0" fontId="7" fillId="0" borderId="104" xfId="0" applyFont="1" applyBorder="1" applyAlignment="1">
      <alignment horizontal="center" vertical="center" wrapText="1" shrinkToFit="1"/>
    </xf>
    <xf numFmtId="0" fontId="7" fillId="0" borderId="107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7" fillId="0" borderId="108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7" fillId="0" borderId="103" xfId="0" applyFont="1" applyBorder="1" applyAlignment="1">
      <alignment horizontal="center" vertical="center" wrapText="1" shrinkToFit="1"/>
    </xf>
    <xf numFmtId="0" fontId="7" fillId="0" borderId="51" xfId="0" applyFont="1" applyBorder="1" applyAlignment="1">
      <alignment horizontal="center" vertical="center" wrapText="1" shrinkToFit="1"/>
    </xf>
    <xf numFmtId="0" fontId="33" fillId="0" borderId="103" xfId="0" applyFont="1" applyBorder="1" applyAlignment="1">
      <alignment horizontal="center" vertical="center" wrapText="1" shrinkToFit="1"/>
    </xf>
    <xf numFmtId="0" fontId="33" fillId="0" borderId="51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wrapText="1" shrinkToFit="1"/>
    </xf>
    <xf numFmtId="0" fontId="7" fillId="0" borderId="62" xfId="0" applyFont="1" applyBorder="1" applyAlignment="1">
      <alignment horizontal="center" vertical="center" wrapText="1" shrinkToFit="1"/>
    </xf>
    <xf numFmtId="0" fontId="7" fillId="0" borderId="105" xfId="0" applyFont="1" applyBorder="1" applyAlignment="1">
      <alignment horizontal="center" vertical="center" wrapText="1" shrinkToFit="1"/>
    </xf>
    <xf numFmtId="0" fontId="62" fillId="0" borderId="88" xfId="0" applyFont="1" applyBorder="1" applyAlignment="1">
      <alignment horizontal="center" vertical="center" wrapText="1" shrinkToFit="1"/>
    </xf>
    <xf numFmtId="0" fontId="62" fillId="0" borderId="106" xfId="0" applyFont="1" applyBorder="1" applyAlignment="1">
      <alignment horizontal="center" vertical="center" wrapText="1" shrinkToFit="1"/>
    </xf>
    <xf numFmtId="0" fontId="20" fillId="0" borderId="0" xfId="7" applyFont="1" applyAlignment="1">
      <alignment horizontal="center"/>
    </xf>
    <xf numFmtId="0" fontId="20" fillId="0" borderId="109" xfId="9" applyFont="1" applyBorder="1" applyAlignment="1">
      <alignment horizontal="center" vertical="center" wrapText="1"/>
    </xf>
    <xf numFmtId="0" fontId="20" fillId="0" borderId="110" xfId="9" applyFont="1" applyBorder="1" applyAlignment="1">
      <alignment horizontal="center" vertical="center" wrapText="1"/>
    </xf>
    <xf numFmtId="0" fontId="20" fillId="0" borderId="111" xfId="9" applyFont="1" applyBorder="1" applyAlignment="1">
      <alignment horizontal="center" vertical="center" wrapText="1"/>
    </xf>
    <xf numFmtId="0" fontId="23" fillId="0" borderId="112" xfId="7" applyFont="1" applyBorder="1" applyAlignment="1">
      <alignment horizontal="center"/>
    </xf>
    <xf numFmtId="0" fontId="19" fillId="0" borderId="109" xfId="7" applyFont="1" applyBorder="1" applyAlignment="1">
      <alignment horizontal="center" wrapText="1"/>
    </xf>
    <xf numFmtId="0" fontId="19" fillId="0" borderId="110" xfId="7" applyFont="1" applyBorder="1" applyAlignment="1">
      <alignment horizontal="center" wrapText="1"/>
    </xf>
    <xf numFmtId="0" fontId="19" fillId="0" borderId="111" xfId="7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109" xfId="0" applyFont="1" applyBorder="1" applyAlignment="1">
      <alignment horizontal="center" wrapText="1"/>
    </xf>
    <xf numFmtId="0" fontId="19" fillId="0" borderId="110" xfId="0" applyFont="1" applyBorder="1" applyAlignment="1">
      <alignment horizontal="center" wrapText="1"/>
    </xf>
    <xf numFmtId="0" fontId="19" fillId="0" borderId="111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64" xfId="0" applyFont="1" applyBorder="1" applyAlignment="1">
      <alignment horizontal="center" wrapText="1"/>
    </xf>
    <xf numFmtId="0" fontId="6" fillId="0" borderId="56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0" fontId="9" fillId="0" borderId="69" xfId="0" applyFont="1" applyBorder="1" applyAlignment="1">
      <alignment horizontal="center" wrapText="1"/>
    </xf>
    <xf numFmtId="0" fontId="9" fillId="0" borderId="64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4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65" xfId="0" applyFont="1" applyBorder="1" applyAlignment="1">
      <alignment horizontal="center" wrapText="1"/>
    </xf>
    <xf numFmtId="0" fontId="65" fillId="0" borderId="85" xfId="0" applyFont="1" applyBorder="1" applyAlignment="1">
      <alignment horizontal="center"/>
    </xf>
    <xf numFmtId="0" fontId="65" fillId="0" borderId="113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85" xfId="0" applyFont="1" applyBorder="1" applyAlignment="1">
      <alignment horizontal="center"/>
    </xf>
    <xf numFmtId="0" fontId="32" fillId="0" borderId="58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167" fontId="9" fillId="0" borderId="46" xfId="0" applyNumberFormat="1" applyFont="1" applyBorder="1" applyAlignment="1">
      <alignment horizontal="center"/>
    </xf>
    <xf numFmtId="167" fontId="9" fillId="0" borderId="58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4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9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631629.53</c:v>
                </c:pt>
                <c:pt idx="1">
                  <c:v>1735350.48</c:v>
                </c:pt>
                <c:pt idx="2">
                  <c:v>48047.66</c:v>
                </c:pt>
                <c:pt idx="3">
                  <c:v>34721.07</c:v>
                </c:pt>
                <c:pt idx="4">
                  <c:v>77902.959999999992</c:v>
                </c:pt>
                <c:pt idx="5">
                  <c:v>129143.18</c:v>
                </c:pt>
                <c:pt idx="6">
                  <c:v>686647.94000000006</c:v>
                </c:pt>
                <c:pt idx="7">
                  <c:v>1313733.8</c:v>
                </c:pt>
                <c:pt idx="8">
                  <c:v>89774.799999999988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400069216"/>
        <c:axId val="-400062144"/>
      </c:barChart>
      <c:catAx>
        <c:axId val="-400069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2144"/>
        <c:crosses val="autoZero"/>
        <c:auto val="1"/>
        <c:lblAlgn val="ctr"/>
        <c:lblOffset val="100"/>
        <c:noMultiLvlLbl val="0"/>
      </c:catAx>
      <c:valAx>
        <c:axId val="-400062144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9216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OCTUBRE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MENSUAL'!$E$26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MENSUAL'!$B$27:$B$37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MENSUAL'!$E$27:$E$37</c:f>
              <c:numCache>
                <c:formatCode>_("$"* #,##0.00_);_("$"* \(#,##0.00\);_("$"* "-"??_);_(@_)</c:formatCode>
                <c:ptCount val="11"/>
                <c:pt idx="0">
                  <c:v>68204.06</c:v>
                </c:pt>
                <c:pt idx="1">
                  <c:v>245402.84000000003</c:v>
                </c:pt>
                <c:pt idx="2">
                  <c:v>0</c:v>
                </c:pt>
                <c:pt idx="3">
                  <c:v>0</c:v>
                </c:pt>
                <c:pt idx="4">
                  <c:v>1714.29</c:v>
                </c:pt>
                <c:pt idx="5">
                  <c:v>0</c:v>
                </c:pt>
                <c:pt idx="6">
                  <c:v>9114.2799999999988</c:v>
                </c:pt>
                <c:pt idx="7">
                  <c:v>6857.16</c:v>
                </c:pt>
                <c:pt idx="8">
                  <c:v>84175.84</c:v>
                </c:pt>
                <c:pt idx="9">
                  <c:v>117143.01000000001</c:v>
                </c:pt>
                <c:pt idx="10">
                  <c:v>9057.91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-400073568"/>
        <c:axId val="-400061600"/>
        <c:axId val="0"/>
      </c:bar3DChart>
      <c:catAx>
        <c:axId val="-400073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1600"/>
        <c:crosses val="autoZero"/>
        <c:auto val="1"/>
        <c:lblAlgn val="ctr"/>
        <c:lblOffset val="100"/>
        <c:noMultiLvlLbl val="0"/>
      </c:catAx>
      <c:valAx>
        <c:axId val="-40006160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123825</xdr:rowOff>
    </xdr:from>
    <xdr:to>
      <xdr:col>7</xdr:col>
      <xdr:colOff>66675</xdr:colOff>
      <xdr:row>74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235</v>
      </c>
      <c r="C6" s="370">
        <f>'1. RESUMEN DE PAGADOS '!B21+'1. RESUMEN DE PAGADOS '!C21</f>
        <v>0</v>
      </c>
      <c r="D6" s="267"/>
      <c r="E6" s="373"/>
      <c r="F6" s="268"/>
    </row>
    <row r="7" spans="2:9" ht="13.5" thickBot="1" x14ac:dyDescent="0.25"/>
    <row r="8" spans="2:9" ht="39" thickBot="1" x14ac:dyDescent="0.25">
      <c r="B8" s="261" t="s">
        <v>155</v>
      </c>
      <c r="C8" s="261" t="s">
        <v>157</v>
      </c>
      <c r="D8" s="261" t="s">
        <v>234</v>
      </c>
      <c r="E8" s="261" t="s">
        <v>156</v>
      </c>
      <c r="F8" s="374" t="s">
        <v>165</v>
      </c>
    </row>
    <row r="9" spans="2:9" ht="15.75" customHeight="1" x14ac:dyDescent="0.2">
      <c r="B9" s="383" t="s">
        <v>158</v>
      </c>
      <c r="C9" s="263">
        <v>152</v>
      </c>
      <c r="D9" s="263">
        <v>0</v>
      </c>
      <c r="E9" s="380">
        <f>'1. RESUMEN DE PAGADOS '!G23</f>
        <v>631629.53</v>
      </c>
      <c r="F9" s="377">
        <f>E9/E19</f>
        <v>0.23416527731452241</v>
      </c>
    </row>
    <row r="10" spans="2:9" x14ac:dyDescent="0.2">
      <c r="B10" s="310" t="s">
        <v>159</v>
      </c>
      <c r="C10" s="375">
        <v>248</v>
      </c>
      <c r="D10" s="267">
        <v>0</v>
      </c>
      <c r="E10" s="380">
        <f>'1. RESUMEN DE PAGADOS '!H23</f>
        <v>1735350.48</v>
      </c>
      <c r="F10" s="378">
        <f>E10/E19</f>
        <v>0.64334994975154114</v>
      </c>
    </row>
    <row r="11" spans="2:9" ht="25.5" x14ac:dyDescent="0.2">
      <c r="B11" s="310" t="s">
        <v>238</v>
      </c>
      <c r="C11" s="375">
        <v>8</v>
      </c>
      <c r="D11" s="267">
        <v>0</v>
      </c>
      <c r="E11" s="380">
        <f>'1. RESUMEN DE PAGADOS '!I23</f>
        <v>34857.14</v>
      </c>
      <c r="F11" s="378">
        <f>E11/E19</f>
        <v>1.2922657138102981E-2</v>
      </c>
    </row>
    <row r="12" spans="2:9" ht="25.5" x14ac:dyDescent="0.2">
      <c r="B12" s="310" t="s">
        <v>202</v>
      </c>
      <c r="C12" s="376">
        <v>2</v>
      </c>
      <c r="D12" s="371">
        <v>0</v>
      </c>
      <c r="E12" s="380">
        <f>'1. RESUMEN DE PAGADOS '!K23</f>
        <v>5714.29</v>
      </c>
      <c r="F12" s="378">
        <f>E12/E19</f>
        <v>2.1184701457919522E-3</v>
      </c>
    </row>
    <row r="13" spans="2:9" x14ac:dyDescent="0.2">
      <c r="B13" s="310" t="s">
        <v>160</v>
      </c>
      <c r="C13" s="267">
        <v>8</v>
      </c>
      <c r="D13" s="263">
        <v>0</v>
      </c>
      <c r="E13" s="380">
        <f>'1. RESUMEN DE PAGADOS '!M23</f>
        <v>48047.66</v>
      </c>
      <c r="F13" s="378">
        <f>E13/E19</f>
        <v>1.7812804965299654E-2</v>
      </c>
    </row>
    <row r="14" spans="2:9" x14ac:dyDescent="0.2">
      <c r="B14" s="310" t="s">
        <v>197</v>
      </c>
      <c r="C14" s="267">
        <v>9</v>
      </c>
      <c r="D14" s="267">
        <v>0</v>
      </c>
      <c r="E14" s="381">
        <f>'1. RESUMEN DE PAGADOS '!O23</f>
        <v>34721.07</v>
      </c>
      <c r="F14" s="378">
        <f>E14/E19</f>
        <v>1.2872211635207974E-2</v>
      </c>
      <c r="I14" s="178">
        <f>E9+E10+E13</f>
        <v>2415027.67</v>
      </c>
    </row>
    <row r="15" spans="2:9" ht="13.5" thickBot="1" x14ac:dyDescent="0.25">
      <c r="B15" s="384" t="s">
        <v>200</v>
      </c>
      <c r="C15" s="372">
        <f>C9+C10+C11+C12+C13+C14</f>
        <v>427</v>
      </c>
      <c r="D15" s="372">
        <f>D9+D10+D11+D12+D13+D14</f>
        <v>0</v>
      </c>
      <c r="E15" s="382">
        <f>SUM(E9:E14)</f>
        <v>2490320.17</v>
      </c>
      <c r="F15" s="379"/>
    </row>
    <row r="16" spans="2:9" ht="13.5" thickBot="1" x14ac:dyDescent="0.25">
      <c r="B16" s="275" t="s">
        <v>233</v>
      </c>
      <c r="C16" s="367">
        <v>16</v>
      </c>
      <c r="D16" s="387">
        <v>31</v>
      </c>
      <c r="E16" s="380">
        <f>'1. RESUMEN DE PAGADOS '!J23</f>
        <v>77902.959999999992</v>
      </c>
      <c r="F16" s="306">
        <f>E16/E19</f>
        <v>2.8881119969204328E-2</v>
      </c>
      <c r="H16">
        <f>C9+C10+C11+C12+C13+C14</f>
        <v>427</v>
      </c>
    </row>
    <row r="17" spans="2:9" ht="13.5" thickBot="1" x14ac:dyDescent="0.25">
      <c r="B17" s="274" t="s">
        <v>199</v>
      </c>
      <c r="C17" s="385">
        <v>12</v>
      </c>
      <c r="D17" s="388">
        <v>12</v>
      </c>
      <c r="E17" s="427">
        <f>'1. RESUMEN DE PAGADOS '!N23</f>
        <v>129143.18</v>
      </c>
      <c r="F17" s="308">
        <f>E17/E19</f>
        <v>4.787750908032954E-2</v>
      </c>
      <c r="I17" s="178"/>
    </row>
    <row r="18" spans="2:9" ht="13.5" thickBot="1" x14ac:dyDescent="0.25">
      <c r="B18" s="389" t="s">
        <v>200</v>
      </c>
      <c r="C18" s="390">
        <f>C16+C17</f>
        <v>28</v>
      </c>
      <c r="D18" s="391">
        <f>D16+D17</f>
        <v>43</v>
      </c>
      <c r="E18" s="428">
        <f>E16+E17</f>
        <v>207046.13999999998</v>
      </c>
      <c r="F18" s="305"/>
    </row>
    <row r="19" spans="2:9" ht="13.5" thickBot="1" x14ac:dyDescent="0.25">
      <c r="B19" s="261" t="s">
        <v>0</v>
      </c>
      <c r="C19" s="177">
        <f>C15+C18</f>
        <v>455</v>
      </c>
      <c r="D19" s="368">
        <f>D15+D18</f>
        <v>43</v>
      </c>
      <c r="E19" s="429">
        <f>E15+E18</f>
        <v>2697366.31</v>
      </c>
      <c r="F19" s="270">
        <f>SUM(F9:F17)</f>
        <v>1</v>
      </c>
    </row>
    <row r="20" spans="2:9" ht="15" customHeight="1" thickBot="1" x14ac:dyDescent="0.25">
      <c r="B20" s="479"/>
      <c r="C20" s="480"/>
      <c r="D20" s="480"/>
      <c r="E20" s="480"/>
      <c r="F20" s="481"/>
    </row>
    <row r="21" spans="2:9" ht="39" thickBot="1" x14ac:dyDescent="0.25">
      <c r="B21" s="261" t="s">
        <v>205</v>
      </c>
      <c r="C21" s="261" t="s">
        <v>157</v>
      </c>
      <c r="D21" s="261" t="s">
        <v>237</v>
      </c>
      <c r="E21" s="261" t="s">
        <v>156</v>
      </c>
      <c r="F21" s="261" t="s">
        <v>165</v>
      </c>
    </row>
    <row r="22" spans="2:9" x14ac:dyDescent="0.2">
      <c r="B22" s="262" t="s">
        <v>161</v>
      </c>
      <c r="C22" s="263">
        <f>'3. COMP VR'!B21</f>
        <v>721</v>
      </c>
      <c r="D22" s="367">
        <f>C22</f>
        <v>721</v>
      </c>
      <c r="E22" s="264">
        <f>'3. COMP VR'!C21+'3. COMP VR'!E21</f>
        <v>686647.94000000006</v>
      </c>
      <c r="F22" s="265">
        <f>E22/E25</f>
        <v>0.32851507858832429</v>
      </c>
    </row>
    <row r="23" spans="2:9" x14ac:dyDescent="0.2">
      <c r="B23" s="271" t="s">
        <v>162</v>
      </c>
      <c r="C23" s="267">
        <f>'4. COMP VP'!C24</f>
        <v>798</v>
      </c>
      <c r="D23" s="367">
        <f>C23</f>
        <v>798</v>
      </c>
      <c r="E23" s="264">
        <f>'4. COMP VP'!D24+'4. COMP VP'!F24</f>
        <v>1313733.8</v>
      </c>
      <c r="F23" s="268">
        <f>E23/E25</f>
        <v>0.62853368867769099</v>
      </c>
    </row>
    <row r="24" spans="2:9" ht="13.5" thickBot="1" x14ac:dyDescent="0.25">
      <c r="B24" s="266" t="s">
        <v>163</v>
      </c>
      <c r="C24" s="267">
        <f>'2. COMPR DEV 30%'!B21</f>
        <v>258</v>
      </c>
      <c r="D24" s="367">
        <f>C24</f>
        <v>258</v>
      </c>
      <c r="E24" s="264">
        <f>'2. COMPR DEV 30%'!C21+'2. COMPR DEV 30%'!E21</f>
        <v>89774.799999999988</v>
      </c>
      <c r="F24" s="269">
        <f>E24/E25</f>
        <v>4.2951232733984594E-2</v>
      </c>
      <c r="G24" s="178"/>
    </row>
    <row r="25" spans="2:9" ht="13.5" thickBot="1" x14ac:dyDescent="0.25">
      <c r="B25" s="261" t="s">
        <v>0</v>
      </c>
      <c r="C25" s="177">
        <f>C22+C23+C24</f>
        <v>1777</v>
      </c>
      <c r="D25" s="177">
        <f>D22+D23+D24</f>
        <v>1777</v>
      </c>
      <c r="E25" s="179">
        <f>E22+E23+E24</f>
        <v>2090156.5400000003</v>
      </c>
      <c r="F25" s="270">
        <f>SUM(F22:F24)</f>
        <v>0.99999999999999989</v>
      </c>
    </row>
    <row r="26" spans="2:9" ht="13.5" customHeight="1" thickBot="1" x14ac:dyDescent="0.25">
      <c r="B26" s="482" t="s">
        <v>164</v>
      </c>
      <c r="C26" s="483"/>
      <c r="D26" s="483"/>
      <c r="E26" s="483"/>
      <c r="F26" s="484"/>
    </row>
    <row r="27" spans="2:9" ht="15.75" customHeight="1" thickBot="1" x14ac:dyDescent="0.25">
      <c r="B27" s="261" t="s">
        <v>109</v>
      </c>
      <c r="C27" s="394">
        <f>C19+C25</f>
        <v>2232</v>
      </c>
      <c r="D27" s="394">
        <f>D19+D25</f>
        <v>1820</v>
      </c>
      <c r="E27" s="393">
        <f>E25+E19</f>
        <v>4787522.8500000006</v>
      </c>
      <c r="F27" s="392"/>
    </row>
    <row r="28" spans="2:9" ht="15" x14ac:dyDescent="0.2">
      <c r="B28" s="327"/>
      <c r="C28" s="327"/>
      <c r="D28" s="327"/>
      <c r="E28" s="327"/>
      <c r="F28" s="328"/>
    </row>
    <row r="29" spans="2:9" ht="15.75" thickBot="1" x14ac:dyDescent="0.25">
      <c r="B29" s="161"/>
      <c r="C29" s="260"/>
      <c r="D29" s="260"/>
      <c r="E29" s="180"/>
      <c r="F29" s="328"/>
    </row>
    <row r="30" spans="2:9" ht="45.75" thickBot="1" x14ac:dyDescent="0.25">
      <c r="B30" s="329" t="s">
        <v>155</v>
      </c>
      <c r="C30" s="330" t="s">
        <v>157</v>
      </c>
      <c r="D30" s="369" t="s">
        <v>236</v>
      </c>
      <c r="E30" s="329" t="s">
        <v>156</v>
      </c>
      <c r="F30" s="329" t="s">
        <v>165</v>
      </c>
    </row>
    <row r="31" spans="2:9" ht="15" x14ac:dyDescent="0.2">
      <c r="B31" s="315" t="s">
        <v>158</v>
      </c>
      <c r="C31" s="316">
        <f>C9</f>
        <v>152</v>
      </c>
      <c r="D31" s="316">
        <f>D9</f>
        <v>0</v>
      </c>
      <c r="E31" s="318">
        <f>E9</f>
        <v>631629.53</v>
      </c>
      <c r="F31" s="321">
        <f>E31/E42</f>
        <v>0.13193243140343447</v>
      </c>
    </row>
    <row r="32" spans="2:9" ht="15" x14ac:dyDescent="0.2">
      <c r="B32" s="309" t="s">
        <v>159</v>
      </c>
      <c r="C32" s="158">
        <f t="shared" ref="C32:E36" si="0">C10</f>
        <v>248</v>
      </c>
      <c r="D32" s="158">
        <f>D10</f>
        <v>0</v>
      </c>
      <c r="E32" s="319">
        <f t="shared" si="0"/>
        <v>1735350.48</v>
      </c>
      <c r="F32" s="162">
        <f>E32/E42</f>
        <v>0.36247356605305814</v>
      </c>
    </row>
    <row r="33" spans="2:9" ht="25.5" hidden="1" x14ac:dyDescent="0.2">
      <c r="B33" s="310" t="s">
        <v>206</v>
      </c>
      <c r="C33" s="158">
        <f>C11</f>
        <v>8</v>
      </c>
      <c r="D33" s="158">
        <f>D11</f>
        <v>0</v>
      </c>
      <c r="E33" s="319">
        <f t="shared" si="0"/>
        <v>34857.14</v>
      </c>
      <c r="F33" s="162">
        <f>E33/E42</f>
        <v>7.2808300016782169E-3</v>
      </c>
    </row>
    <row r="34" spans="2:9" ht="19.5" hidden="1" customHeight="1" x14ac:dyDescent="0.2">
      <c r="B34" s="309" t="s">
        <v>202</v>
      </c>
      <c r="C34" s="158">
        <f t="shared" si="0"/>
        <v>2</v>
      </c>
      <c r="D34" s="158">
        <f>D12</f>
        <v>0</v>
      </c>
      <c r="E34" s="319">
        <f t="shared" si="0"/>
        <v>5714.29</v>
      </c>
      <c r="F34" s="162">
        <f>E34/E42</f>
        <v>1.1935796818181245E-3</v>
      </c>
    </row>
    <row r="35" spans="2:9" ht="15" x14ac:dyDescent="0.2">
      <c r="B35" s="309" t="s">
        <v>160</v>
      </c>
      <c r="C35" s="158">
        <f t="shared" si="0"/>
        <v>8</v>
      </c>
      <c r="D35" s="158">
        <f>D13</f>
        <v>0</v>
      </c>
      <c r="E35" s="319">
        <f>E13</f>
        <v>48047.66</v>
      </c>
      <c r="F35" s="162">
        <f>E35/E42</f>
        <v>1.0036016851595811E-2</v>
      </c>
    </row>
    <row r="36" spans="2:9" ht="30" x14ac:dyDescent="0.2">
      <c r="B36" s="309" t="s">
        <v>197</v>
      </c>
      <c r="C36" s="158">
        <f t="shared" si="0"/>
        <v>9</v>
      </c>
      <c r="D36" s="158">
        <f>D14</f>
        <v>0</v>
      </c>
      <c r="E36" s="319">
        <f t="shared" si="0"/>
        <v>34721.07</v>
      </c>
      <c r="F36" s="162">
        <f>E36/E42</f>
        <v>7.2524082052161905E-3</v>
      </c>
    </row>
    <row r="37" spans="2:9" ht="15" x14ac:dyDescent="0.2">
      <c r="B37" s="309" t="s">
        <v>198</v>
      </c>
      <c r="C37" s="158">
        <f t="shared" ref="C37:E38" si="1">C16</f>
        <v>16</v>
      </c>
      <c r="D37" s="158">
        <f t="shared" si="1"/>
        <v>31</v>
      </c>
      <c r="E37" s="319">
        <f t="shared" si="1"/>
        <v>77902.959999999992</v>
      </c>
      <c r="F37" s="162">
        <f>E37/E42</f>
        <v>1.6272081082599948E-2</v>
      </c>
    </row>
    <row r="38" spans="2:9" ht="15" x14ac:dyDescent="0.2">
      <c r="B38" s="311" t="s">
        <v>199</v>
      </c>
      <c r="C38" s="317">
        <f t="shared" si="1"/>
        <v>12</v>
      </c>
      <c r="D38" s="317">
        <f t="shared" si="1"/>
        <v>12</v>
      </c>
      <c r="E38" s="319">
        <f t="shared" si="1"/>
        <v>129143.18</v>
      </c>
      <c r="F38" s="162">
        <f>E38/E42</f>
        <v>2.6974948015130625E-2</v>
      </c>
    </row>
    <row r="39" spans="2:9" ht="15" x14ac:dyDescent="0.2">
      <c r="B39" s="395" t="s">
        <v>161</v>
      </c>
      <c r="C39" s="158">
        <f t="shared" ref="C39:E41" si="2">C22</f>
        <v>721</v>
      </c>
      <c r="D39" s="158">
        <f t="shared" si="2"/>
        <v>721</v>
      </c>
      <c r="E39" s="320">
        <f t="shared" si="2"/>
        <v>686647.94000000006</v>
      </c>
      <c r="F39" s="162">
        <f>E39/E42</f>
        <v>0.14342447263724289</v>
      </c>
    </row>
    <row r="40" spans="2:9" ht="15" x14ac:dyDescent="0.2">
      <c r="B40" s="312" t="s">
        <v>162</v>
      </c>
      <c r="C40" s="158">
        <f t="shared" si="2"/>
        <v>798</v>
      </c>
      <c r="D40" s="158">
        <f t="shared" si="2"/>
        <v>798</v>
      </c>
      <c r="E40" s="320">
        <f t="shared" si="2"/>
        <v>1313733.8</v>
      </c>
      <c r="F40" s="162">
        <f>E40/E42</f>
        <v>0.27440783911872091</v>
      </c>
    </row>
    <row r="41" spans="2:9" ht="15.75" thickBot="1" x14ac:dyDescent="0.3">
      <c r="B41" s="313" t="s">
        <v>163</v>
      </c>
      <c r="C41" s="322">
        <f t="shared" si="2"/>
        <v>258</v>
      </c>
      <c r="D41" s="322">
        <f t="shared" si="2"/>
        <v>258</v>
      </c>
      <c r="E41" s="323">
        <f t="shared" si="2"/>
        <v>89774.799999999988</v>
      </c>
      <c r="F41" s="314">
        <f>E41/E42</f>
        <v>1.8751826949504793E-2</v>
      </c>
    </row>
    <row r="42" spans="2:9" ht="15.75" thickBot="1" x14ac:dyDescent="0.25">
      <c r="B42" s="160" t="s">
        <v>0</v>
      </c>
      <c r="C42" s="159">
        <f>SUM(C31:C41)</f>
        <v>2232</v>
      </c>
      <c r="D42" s="159">
        <f>SUM(D31:D41)</f>
        <v>1820</v>
      </c>
      <c r="E42" s="324">
        <f>SUM(E31:E41)</f>
        <v>4787522.8499999996</v>
      </c>
      <c r="F42" s="326">
        <f>SUM(F31:F41)</f>
        <v>1.0000000000000002</v>
      </c>
      <c r="G42" s="14"/>
      <c r="H42" s="11"/>
      <c r="I42" s="178">
        <f>E42-'1. RESUMEN DE PAGADOS '!Q23</f>
        <v>-11428.569999999367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9"/>
  <sheetViews>
    <sheetView tabSelected="1" zoomScale="98" zoomScaleNormal="98" workbookViewId="0">
      <selection activeCell="I6" sqref="I6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2" spans="2:9" x14ac:dyDescent="0.2">
      <c r="B2" s="273" t="s">
        <v>235</v>
      </c>
      <c r="C2" s="370">
        <f>'1. RESUMEN DE PAGADOS '!B22+'1. RESUMEN DE PAGADOS '!C22</f>
        <v>0</v>
      </c>
      <c r="D2" s="267"/>
      <c r="E2" s="478">
        <v>46</v>
      </c>
      <c r="F2" s="268"/>
    </row>
    <row r="3" spans="2:9" ht="13.5" thickBot="1" x14ac:dyDescent="0.25"/>
    <row r="4" spans="2:9" ht="39" thickBot="1" x14ac:dyDescent="0.25">
      <c r="B4" s="423" t="s">
        <v>155</v>
      </c>
      <c r="C4" s="261" t="s">
        <v>157</v>
      </c>
      <c r="D4" s="261" t="s">
        <v>234</v>
      </c>
      <c r="E4" s="261" t="s">
        <v>156</v>
      </c>
      <c r="F4" s="374" t="s">
        <v>165</v>
      </c>
    </row>
    <row r="5" spans="2:9" ht="15.75" customHeight="1" x14ac:dyDescent="0.2">
      <c r="B5" s="422" t="s">
        <v>158</v>
      </c>
      <c r="C5" s="263">
        <f>6+11+2+4</f>
        <v>23</v>
      </c>
      <c r="D5" s="263">
        <f>[1]TOTALES!$D$4</f>
        <v>52</v>
      </c>
      <c r="E5" s="380">
        <f>'1. RESUMEN DE PAGADOS '!G20</f>
        <v>68204.06</v>
      </c>
      <c r="F5" s="377">
        <f>E5/E15</f>
        <v>0.20587255442416572</v>
      </c>
    </row>
    <row r="6" spans="2:9" x14ac:dyDescent="0.2">
      <c r="B6" s="310" t="s">
        <v>159</v>
      </c>
      <c r="C6" s="375">
        <f>10+10+7+8</f>
        <v>35</v>
      </c>
      <c r="D6" s="267">
        <f>[1]TOTALES!$D$6</f>
        <v>74</v>
      </c>
      <c r="E6" s="380">
        <f>'1. RESUMEN DE PAGADOS '!H20</f>
        <v>245402.84000000003</v>
      </c>
      <c r="F6" s="378">
        <f>E6/E15</f>
        <v>0.74074343277723997</v>
      </c>
    </row>
    <row r="7" spans="2:9" ht="25.5" x14ac:dyDescent="0.2">
      <c r="B7" s="310" t="s">
        <v>238</v>
      </c>
      <c r="C7" s="375">
        <f>1+1+1+1+1</f>
        <v>5</v>
      </c>
      <c r="D7" s="267">
        <f>7</f>
        <v>7</v>
      </c>
      <c r="E7" s="380">
        <f>'1. RESUMEN DE PAGADOS '!I20</f>
        <v>0</v>
      </c>
      <c r="F7" s="378">
        <f>E7/E15</f>
        <v>0</v>
      </c>
    </row>
    <row r="8" spans="2:9" ht="25.5" x14ac:dyDescent="0.2">
      <c r="B8" s="310" t="s">
        <v>202</v>
      </c>
      <c r="C8" s="376">
        <v>0</v>
      </c>
      <c r="D8" s="371">
        <v>2</v>
      </c>
      <c r="E8" s="380">
        <f>'1. RESUMEN DE PAGADOS '!K20</f>
        <v>0</v>
      </c>
      <c r="F8" s="378">
        <f>E8/E15</f>
        <v>0</v>
      </c>
    </row>
    <row r="9" spans="2:9" x14ac:dyDescent="0.2">
      <c r="B9" s="310" t="s">
        <v>160</v>
      </c>
      <c r="C9" s="267">
        <f>1+1</f>
        <v>2</v>
      </c>
      <c r="D9" s="263">
        <f>[1]TOTALES!$D$12</f>
        <v>3</v>
      </c>
      <c r="E9" s="380">
        <f>'1. RESUMEN DE PAGADOS '!M20</f>
        <v>1714.29</v>
      </c>
      <c r="F9" s="378">
        <f>E9/E15</f>
        <v>5.1745491591527401E-3</v>
      </c>
    </row>
    <row r="10" spans="2:9" x14ac:dyDescent="0.2">
      <c r="B10" s="310" t="s">
        <v>197</v>
      </c>
      <c r="C10" s="267">
        <v>0</v>
      </c>
      <c r="D10" s="267">
        <f>[1]TOTALES!$D$14</f>
        <v>2</v>
      </c>
      <c r="E10" s="381">
        <f>'1. RESUMEN DE PAGADOS '!O20</f>
        <v>0</v>
      </c>
      <c r="F10" s="378">
        <f>E10/E15</f>
        <v>0</v>
      </c>
      <c r="I10" s="178"/>
    </row>
    <row r="11" spans="2:9" ht="13.5" thickBot="1" x14ac:dyDescent="0.25">
      <c r="B11" s="384" t="s">
        <v>200</v>
      </c>
      <c r="C11" s="372">
        <f>C5+C6+C7+C8+C9+C10</f>
        <v>65</v>
      </c>
      <c r="D11" s="372">
        <f>D5+D6+D7+D8+D9+D10</f>
        <v>140</v>
      </c>
      <c r="E11" s="382">
        <f>SUM(E5:E10)</f>
        <v>315321.19</v>
      </c>
      <c r="F11" s="379"/>
    </row>
    <row r="12" spans="2:9" ht="13.5" thickBot="1" x14ac:dyDescent="0.25">
      <c r="B12" s="275" t="s">
        <v>233</v>
      </c>
      <c r="C12" s="367">
        <v>11</v>
      </c>
      <c r="D12" s="387">
        <f>[1]TOTALES!$D$10</f>
        <v>28</v>
      </c>
      <c r="E12" s="272">
        <f>'1. RESUMEN DE PAGADOS '!J20</f>
        <v>9114.2799999999988</v>
      </c>
      <c r="F12" s="306">
        <f>E12/E15</f>
        <v>2.7511267002830696E-2</v>
      </c>
    </row>
    <row r="13" spans="2:9" ht="13.5" thickBot="1" x14ac:dyDescent="0.25">
      <c r="B13" s="274" t="s">
        <v>199</v>
      </c>
      <c r="C13" s="385">
        <v>12</v>
      </c>
      <c r="D13" s="388">
        <v>12</v>
      </c>
      <c r="E13" s="304">
        <f>'1. RESUMEN DE PAGADOS '!N20</f>
        <v>6857.16</v>
      </c>
      <c r="F13" s="308">
        <f>E13/E15</f>
        <v>2.069819663661096E-2</v>
      </c>
      <c r="I13" s="178"/>
    </row>
    <row r="14" spans="2:9" ht="13.5" thickBot="1" x14ac:dyDescent="0.25">
      <c r="B14" s="389" t="s">
        <v>200</v>
      </c>
      <c r="C14" s="390">
        <f>C12+C13</f>
        <v>23</v>
      </c>
      <c r="D14" s="391">
        <f>D12+D13</f>
        <v>40</v>
      </c>
      <c r="E14" s="386">
        <f>E12+E13</f>
        <v>15971.439999999999</v>
      </c>
      <c r="F14" s="305"/>
    </row>
    <row r="15" spans="2:9" ht="13.5" thickBot="1" x14ac:dyDescent="0.25">
      <c r="B15" s="261" t="s">
        <v>0</v>
      </c>
      <c r="C15" s="177">
        <f>C11+C14</f>
        <v>88</v>
      </c>
      <c r="D15" s="368">
        <f>D11+D14</f>
        <v>180</v>
      </c>
      <c r="E15" s="307">
        <f>E11+E14</f>
        <v>331292.63</v>
      </c>
      <c r="F15" s="270">
        <f>SUM(F5:F13)</f>
        <v>1</v>
      </c>
    </row>
    <row r="16" spans="2:9" ht="15" customHeight="1" thickBot="1" x14ac:dyDescent="0.25">
      <c r="B16" s="479"/>
      <c r="C16" s="480"/>
      <c r="D16" s="480"/>
      <c r="E16" s="480"/>
      <c r="F16" s="481"/>
    </row>
    <row r="17" spans="2:7" ht="39" thickBot="1" x14ac:dyDescent="0.25">
      <c r="B17" s="261" t="s">
        <v>205</v>
      </c>
      <c r="C17" s="261" t="s">
        <v>157</v>
      </c>
      <c r="D17" s="261" t="s">
        <v>237</v>
      </c>
      <c r="E17" s="261" t="s">
        <v>156</v>
      </c>
      <c r="F17" s="261" t="s">
        <v>165</v>
      </c>
    </row>
    <row r="18" spans="2:7" x14ac:dyDescent="0.2">
      <c r="B18" s="262" t="s">
        <v>161</v>
      </c>
      <c r="C18" s="263">
        <f>'3. COMP VR'!B20</f>
        <v>0</v>
      </c>
      <c r="D18" s="367">
        <f>'3. COMP VR'!B9</f>
        <v>56</v>
      </c>
      <c r="E18" s="264">
        <f>'3. COMP VR'!E18+'3. COMP VR'!C18</f>
        <v>84175.84</v>
      </c>
      <c r="F18" s="265">
        <f>E18/E21</f>
        <v>0.40011948087802091</v>
      </c>
    </row>
    <row r="19" spans="2:7" x14ac:dyDescent="0.2">
      <c r="B19" s="271" t="s">
        <v>162</v>
      </c>
      <c r="C19" s="267">
        <f>'4. COMP VP'!C23</f>
        <v>0</v>
      </c>
      <c r="D19" s="367">
        <f>'4. COMP VP'!C12</f>
        <v>46</v>
      </c>
      <c r="E19" s="264">
        <f>'4. COMP VP'!D21+'4. COMP VP'!F21</f>
        <v>117143.01000000001</v>
      </c>
      <c r="F19" s="268">
        <f>E19/E21</f>
        <v>0.55682486031251743</v>
      </c>
    </row>
    <row r="20" spans="2:7" ht="13.5" thickBot="1" x14ac:dyDescent="0.25">
      <c r="B20" s="266" t="s">
        <v>163</v>
      </c>
      <c r="C20" s="267">
        <f>'2. COMPR DEV 30%'!B20</f>
        <v>0</v>
      </c>
      <c r="D20" s="367">
        <f>'2. COMPR DEV 30%'!B9</f>
        <v>16</v>
      </c>
      <c r="E20" s="264">
        <f>'2. COMPR DEV 30%'!C18+'2. COMPR DEV 30%'!E18</f>
        <v>9057.91</v>
      </c>
      <c r="F20" s="269">
        <f>E20/E21</f>
        <v>4.3055658809461654E-2</v>
      </c>
      <c r="G20" s="178"/>
    </row>
    <row r="21" spans="2:7" ht="13.5" thickBot="1" x14ac:dyDescent="0.25">
      <c r="B21" s="261" t="s">
        <v>0</v>
      </c>
      <c r="C21" s="177">
        <f>C18+C19+C20</f>
        <v>0</v>
      </c>
      <c r="D21" s="177">
        <f>D18+D19+D20</f>
        <v>118</v>
      </c>
      <c r="E21" s="179">
        <f>E18+E19+E20</f>
        <v>210376.76</v>
      </c>
      <c r="F21" s="270">
        <f>SUM(F18:F20)</f>
        <v>0.99999999999999989</v>
      </c>
    </row>
    <row r="22" spans="2:7" ht="13.5" customHeight="1" thickBot="1" x14ac:dyDescent="0.25">
      <c r="B22" s="482" t="s">
        <v>164</v>
      </c>
      <c r="C22" s="483"/>
      <c r="D22" s="483"/>
      <c r="E22" s="483"/>
      <c r="F22" s="484"/>
    </row>
    <row r="23" spans="2:7" ht="15.75" customHeight="1" thickBot="1" x14ac:dyDescent="0.25">
      <c r="B23" s="261" t="s">
        <v>109</v>
      </c>
      <c r="C23" s="394">
        <f>C15+C21</f>
        <v>88</v>
      </c>
      <c r="D23" s="394">
        <f>D15+D21</f>
        <v>298</v>
      </c>
      <c r="E23" s="393">
        <f>E21+E15</f>
        <v>541669.39</v>
      </c>
      <c r="F23" s="392"/>
    </row>
    <row r="24" spans="2:7" ht="15" x14ac:dyDescent="0.2">
      <c r="B24" s="327"/>
      <c r="C24" s="327"/>
      <c r="D24" s="327"/>
      <c r="E24" s="327"/>
      <c r="F24" s="328"/>
    </row>
    <row r="25" spans="2:7" ht="15.75" thickBot="1" x14ac:dyDescent="0.25">
      <c r="B25" s="161"/>
      <c r="C25" s="260"/>
      <c r="D25" s="260"/>
      <c r="E25" s="180"/>
      <c r="F25" s="328"/>
    </row>
    <row r="26" spans="2:7" ht="45.75" thickBot="1" x14ac:dyDescent="0.25">
      <c r="B26" s="329" t="s">
        <v>155</v>
      </c>
      <c r="C26" s="330" t="s">
        <v>157</v>
      </c>
      <c r="D26" s="369" t="s">
        <v>236</v>
      </c>
      <c r="E26" s="160" t="s">
        <v>156</v>
      </c>
      <c r="F26" s="329" t="s">
        <v>165</v>
      </c>
    </row>
    <row r="27" spans="2:7" ht="15" x14ac:dyDescent="0.2">
      <c r="B27" s="315" t="s">
        <v>158</v>
      </c>
      <c r="C27" s="316">
        <f>C5</f>
        <v>23</v>
      </c>
      <c r="D27" s="316">
        <f>D5</f>
        <v>52</v>
      </c>
      <c r="E27" s="318">
        <f>E5</f>
        <v>68204.06</v>
      </c>
      <c r="F27" s="321">
        <f>E27/E38</f>
        <v>0.12591455463266993</v>
      </c>
    </row>
    <row r="28" spans="2:7" ht="15" x14ac:dyDescent="0.2">
      <c r="B28" s="309" t="s">
        <v>159</v>
      </c>
      <c r="C28" s="158">
        <f t="shared" ref="C28:E32" si="0">C6</f>
        <v>35</v>
      </c>
      <c r="D28" s="158">
        <f>D6</f>
        <v>74</v>
      </c>
      <c r="E28" s="319">
        <f t="shared" si="0"/>
        <v>245402.84000000003</v>
      </c>
      <c r="F28" s="162">
        <f>E28/E38</f>
        <v>0.4530491191315057</v>
      </c>
    </row>
    <row r="29" spans="2:7" ht="25.5" x14ac:dyDescent="0.2">
      <c r="B29" s="310" t="s">
        <v>206</v>
      </c>
      <c r="C29" s="158">
        <f>C7</f>
        <v>5</v>
      </c>
      <c r="D29" s="158">
        <f>D7</f>
        <v>7</v>
      </c>
      <c r="E29" s="319">
        <f t="shared" si="0"/>
        <v>0</v>
      </c>
      <c r="F29" s="162">
        <f>E29/E38</f>
        <v>0</v>
      </c>
    </row>
    <row r="30" spans="2:7" ht="33.75" customHeight="1" x14ac:dyDescent="0.2">
      <c r="B30" s="309" t="s">
        <v>202</v>
      </c>
      <c r="C30" s="158">
        <f t="shared" si="0"/>
        <v>0</v>
      </c>
      <c r="D30" s="158">
        <f>D8</f>
        <v>2</v>
      </c>
      <c r="E30" s="319">
        <f t="shared" si="0"/>
        <v>0</v>
      </c>
      <c r="F30" s="162">
        <f>E30/E38</f>
        <v>0</v>
      </c>
    </row>
    <row r="31" spans="2:7" ht="15" x14ac:dyDescent="0.2">
      <c r="B31" s="309" t="s">
        <v>160</v>
      </c>
      <c r="C31" s="158">
        <f t="shared" si="0"/>
        <v>2</v>
      </c>
      <c r="D31" s="158">
        <f>D9</f>
        <v>3</v>
      </c>
      <c r="E31" s="319">
        <f>E9</f>
        <v>1714.29</v>
      </c>
      <c r="F31" s="162">
        <f>E31/E38</f>
        <v>3.1648271651458833E-3</v>
      </c>
    </row>
    <row r="32" spans="2:7" ht="30" x14ac:dyDescent="0.2">
      <c r="B32" s="309" t="s">
        <v>197</v>
      </c>
      <c r="C32" s="158">
        <f t="shared" si="0"/>
        <v>0</v>
      </c>
      <c r="D32" s="158">
        <f>D10</f>
        <v>2</v>
      </c>
      <c r="E32" s="319">
        <f t="shared" si="0"/>
        <v>0</v>
      </c>
      <c r="F32" s="162">
        <f>E32/E38</f>
        <v>0</v>
      </c>
    </row>
    <row r="33" spans="2:8" ht="15" x14ac:dyDescent="0.2">
      <c r="B33" s="309" t="s">
        <v>198</v>
      </c>
      <c r="C33" s="158">
        <f t="shared" ref="C33:E34" si="1">C12</f>
        <v>11</v>
      </c>
      <c r="D33" s="158">
        <f t="shared" si="1"/>
        <v>28</v>
      </c>
      <c r="E33" s="319">
        <f t="shared" si="1"/>
        <v>9114.2799999999988</v>
      </c>
      <c r="F33" s="162">
        <f>E33/E38</f>
        <v>1.6826278479572195E-2</v>
      </c>
    </row>
    <row r="34" spans="2:8" ht="15" x14ac:dyDescent="0.2">
      <c r="B34" s="311" t="s">
        <v>199</v>
      </c>
      <c r="C34" s="317">
        <f t="shared" si="1"/>
        <v>12</v>
      </c>
      <c r="D34" s="317">
        <f t="shared" si="1"/>
        <v>12</v>
      </c>
      <c r="E34" s="319">
        <f t="shared" si="1"/>
        <v>6857.16</v>
      </c>
      <c r="F34" s="162">
        <f>E34/E38</f>
        <v>1.2659308660583533E-2</v>
      </c>
    </row>
    <row r="35" spans="2:8" ht="15" x14ac:dyDescent="0.2">
      <c r="B35" s="395" t="s">
        <v>161</v>
      </c>
      <c r="C35" s="158">
        <f t="shared" ref="C35:E37" si="2">C18</f>
        <v>0</v>
      </c>
      <c r="D35" s="158">
        <f t="shared" si="2"/>
        <v>56</v>
      </c>
      <c r="E35" s="320">
        <f t="shared" si="2"/>
        <v>84175.84</v>
      </c>
      <c r="F35" s="162">
        <f>E35/E38</f>
        <v>0.15540076946197753</v>
      </c>
    </row>
    <row r="36" spans="2:8" ht="15" x14ac:dyDescent="0.2">
      <c r="B36" s="312" t="s">
        <v>162</v>
      </c>
      <c r="C36" s="158">
        <f t="shared" si="2"/>
        <v>0</v>
      </c>
      <c r="D36" s="158">
        <f t="shared" si="2"/>
        <v>46</v>
      </c>
      <c r="E36" s="320">
        <f t="shared" si="2"/>
        <v>117143.01000000001</v>
      </c>
      <c r="F36" s="162">
        <f>E36/E38</f>
        <v>0.21626293115806305</v>
      </c>
    </row>
    <row r="37" spans="2:8" ht="15.75" thickBot="1" x14ac:dyDescent="0.3">
      <c r="B37" s="313" t="s">
        <v>163</v>
      </c>
      <c r="C37" s="322">
        <f t="shared" si="2"/>
        <v>0</v>
      </c>
      <c r="D37" s="322">
        <f t="shared" si="2"/>
        <v>16</v>
      </c>
      <c r="E37" s="323">
        <f t="shared" si="2"/>
        <v>9057.91</v>
      </c>
      <c r="F37" s="314">
        <f>E37/E38</f>
        <v>1.672221131048221E-2</v>
      </c>
    </row>
    <row r="38" spans="2:8" ht="15.75" thickBot="1" x14ac:dyDescent="0.25">
      <c r="B38" s="160" t="s">
        <v>0</v>
      </c>
      <c r="C38" s="159">
        <f>SUM(C27:C37)</f>
        <v>88</v>
      </c>
      <c r="D38" s="159">
        <f>SUM(D27:D37)</f>
        <v>298</v>
      </c>
      <c r="E38" s="324">
        <f>SUM(E27:E37)</f>
        <v>541669.39</v>
      </c>
      <c r="F38" s="326">
        <f>SUM(F27:F37)</f>
        <v>1</v>
      </c>
      <c r="G38" s="14"/>
      <c r="H38" s="11"/>
    </row>
    <row r="39" spans="2:8" ht="15" x14ac:dyDescent="0.2">
      <c r="B39" s="161"/>
      <c r="C39" s="161"/>
      <c r="D39" s="161"/>
      <c r="E39" s="161"/>
    </row>
  </sheetData>
  <mergeCells count="2">
    <mergeCell ref="B16:F16"/>
    <mergeCell ref="B22:F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A10" zoomScale="106" zoomScaleNormal="106" workbookViewId="0">
      <selection activeCell="E20" sqref="E20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3" customWidth="1"/>
    <col min="17" max="17" width="16" style="353" customWidth="1"/>
    <col min="18" max="18" width="15.42578125" style="353" customWidth="1"/>
    <col min="19" max="19" width="11.42578125" style="353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6" t="s">
        <v>203</v>
      </c>
    </row>
    <row r="6" spans="1:22" x14ac:dyDescent="0.2">
      <c r="A6" s="492" t="s">
        <v>172</v>
      </c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</row>
    <row r="7" spans="1:22" x14ac:dyDescent="0.2">
      <c r="A7" s="492" t="s">
        <v>497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  <c r="P7" s="492"/>
    </row>
    <row r="8" spans="1:22" ht="12.75" customHeight="1" thickBot="1" x14ac:dyDescent="0.25"/>
    <row r="9" spans="1:22" ht="12.75" customHeight="1" thickBot="1" x14ac:dyDescent="0.25">
      <c r="A9" s="497" t="s">
        <v>7</v>
      </c>
      <c r="B9" s="493" t="s">
        <v>503</v>
      </c>
      <c r="C9" s="495" t="s">
        <v>502</v>
      </c>
      <c r="D9" s="495" t="s">
        <v>504</v>
      </c>
      <c r="E9" s="485" t="s">
        <v>192</v>
      </c>
      <c r="F9" s="486"/>
      <c r="G9" s="490" t="s">
        <v>141</v>
      </c>
      <c r="H9" s="487" t="s">
        <v>166</v>
      </c>
      <c r="I9" s="488"/>
      <c r="J9" s="488"/>
      <c r="K9" s="488"/>
      <c r="L9" s="489"/>
      <c r="M9" s="486" t="s">
        <v>142</v>
      </c>
      <c r="N9" s="493" t="s">
        <v>143</v>
      </c>
      <c r="O9" s="485" t="s">
        <v>150</v>
      </c>
      <c r="P9" s="500" t="s">
        <v>1</v>
      </c>
      <c r="T9" s="325"/>
      <c r="U9" s="325"/>
    </row>
    <row r="10" spans="1:22" ht="75.75" customHeight="1" thickBot="1" x14ac:dyDescent="0.25">
      <c r="A10" s="498"/>
      <c r="B10" s="494"/>
      <c r="C10" s="496"/>
      <c r="D10" s="496"/>
      <c r="E10" s="168" t="s">
        <v>170</v>
      </c>
      <c r="F10" s="168" t="s">
        <v>171</v>
      </c>
      <c r="G10" s="491"/>
      <c r="H10" s="169" t="s">
        <v>169</v>
      </c>
      <c r="I10" s="169" t="s">
        <v>201</v>
      </c>
      <c r="J10" s="170" t="s">
        <v>18</v>
      </c>
      <c r="K10" s="163" t="s">
        <v>17</v>
      </c>
      <c r="L10" s="164" t="s">
        <v>167</v>
      </c>
      <c r="M10" s="494"/>
      <c r="N10" s="494"/>
      <c r="O10" s="499"/>
      <c r="P10" s="501"/>
      <c r="Q10" s="354"/>
      <c r="R10" s="353" t="s">
        <v>149</v>
      </c>
      <c r="S10" s="353" t="s">
        <v>262</v>
      </c>
      <c r="T10" s="325"/>
      <c r="U10" s="325"/>
    </row>
    <row r="11" spans="1:22" ht="23.1" customHeight="1" x14ac:dyDescent="0.2">
      <c r="A11" s="166" t="s">
        <v>2</v>
      </c>
      <c r="B11" s="167">
        <v>0</v>
      </c>
      <c r="C11" s="256">
        <f>16+17+13+15+1</f>
        <v>62</v>
      </c>
      <c r="D11" s="256">
        <f>3+37+36+24+38</f>
        <v>138</v>
      </c>
      <c r="E11" s="167">
        <f>7+9+4+8</f>
        <v>28</v>
      </c>
      <c r="F11" s="167">
        <f>9+8+9+7+1</f>
        <v>34</v>
      </c>
      <c r="G11" s="165">
        <f>(21257.09+0.04)+(40114.3-0.04+0.01+385.71)+(15428.57-0.02)+(19405.7-0.01+0.01+1165.72)</f>
        <v>97757.08</v>
      </c>
      <c r="H11" s="257">
        <f>(47131.44-0.04+0.04+542.85)+(52571.41-0.04+0.04+1000.01)+(26571.43-0.03+0.01)+(58422.8-0.03+0.07+2457.15)</f>
        <v>188697.11000000002</v>
      </c>
      <c r="I11" s="257">
        <v>0</v>
      </c>
      <c r="J11" s="165">
        <f>(300+300+300+300)+(1200)+(285.7+285.72+285.72+285.72)+(200+200+200+200)+(285.72+285.7+285.72+285.72)</f>
        <v>5485.7200000000012</v>
      </c>
      <c r="K11" s="146">
        <v>0</v>
      </c>
      <c r="L11" s="146">
        <v>0</v>
      </c>
      <c r="M11" s="165">
        <f>(342.86+400+400)+(1142.86)+(285.72-0.01)</f>
        <v>2571.4300000000003</v>
      </c>
      <c r="N11" s="257">
        <f>10*1142.86</f>
        <v>11428.599999999999</v>
      </c>
      <c r="O11" s="171">
        <v>0</v>
      </c>
      <c r="P11" s="355">
        <f t="shared" ref="P11:P22" si="0">G11+H11+I11+J11+K11+L11+M11+N11+O11</f>
        <v>305939.94</v>
      </c>
      <c r="Q11" s="356">
        <f>P11+'2. COMPR DEV 30%'!E9+'2. COMPR DEV 30%'!C9+'3. COMP VR'!C9+'3. COMP VR'!E9+'4. COMP VP'!D12+'4. COMP VP'!F12</f>
        <v>435116.20000000007</v>
      </c>
      <c r="R11" s="435" t="s">
        <v>263</v>
      </c>
      <c r="S11" s="436" t="s">
        <v>264</v>
      </c>
      <c r="T11" s="325"/>
      <c r="U11" s="430"/>
      <c r="V11" s="396"/>
    </row>
    <row r="12" spans="1:22" ht="23.1" customHeight="1" x14ac:dyDescent="0.2">
      <c r="A12" s="147" t="s">
        <v>3</v>
      </c>
      <c r="B12" s="167">
        <v>0</v>
      </c>
      <c r="C12" s="256">
        <f>17+14+17+18</f>
        <v>66</v>
      </c>
      <c r="D12" s="256">
        <f>29+37+42+47</f>
        <v>155</v>
      </c>
      <c r="E12" s="167">
        <f>8+4+10+11</f>
        <v>33</v>
      </c>
      <c r="F12" s="167">
        <f>9+10+7+7</f>
        <v>33</v>
      </c>
      <c r="G12" s="165">
        <f>(34285.71-0.03+0.01)+(16457.13-0.01+0.02)+(36342.83-0.02+0.04)+(30857.14-0.03+0.02)</f>
        <v>117942.81000000001</v>
      </c>
      <c r="H12" s="257">
        <f>(36000.01-0.03)+(51257.16-0.05+0.02)+(50274.28-0.04+0.02)+(101828.5+0.08+571.42)</f>
        <v>239931.37</v>
      </c>
      <c r="I12" s="257">
        <v>0</v>
      </c>
      <c r="J12" s="165">
        <f>(190.47+190.48+190.48)+(190.47)+(1142.86)+(600+600)+(600+600)</f>
        <v>4304.76</v>
      </c>
      <c r="K12" s="146">
        <v>0</v>
      </c>
      <c r="L12" s="146">
        <v>0</v>
      </c>
      <c r="M12" s="165">
        <f>(2285.71)+(9142.86)</f>
        <v>11428.57</v>
      </c>
      <c r="N12" s="257">
        <f>12*1142.86</f>
        <v>13714.32</v>
      </c>
      <c r="O12" s="171">
        <v>0</v>
      </c>
      <c r="P12" s="355">
        <f t="shared" si="0"/>
        <v>387321.83</v>
      </c>
      <c r="Q12" s="357">
        <f>P12+'2. COMPR DEV 30%'!C10+'2. COMPR DEV 30%'!E10+'3. COMP VR'!C10+'3. COMP VR'!E10+'4. COMP VP'!D13+'4. COMP VP'!F13</f>
        <v>609328.7699999999</v>
      </c>
      <c r="R12" s="358"/>
      <c r="T12" s="325"/>
      <c r="U12" s="430"/>
      <c r="V12" s="396"/>
    </row>
    <row r="13" spans="1:22" ht="23.1" customHeight="1" x14ac:dyDescent="0.2">
      <c r="A13" s="147" t="s">
        <v>4</v>
      </c>
      <c r="B13" s="167">
        <f>2+1+5+8</f>
        <v>16</v>
      </c>
      <c r="C13" s="256">
        <f>1+13+1+1+1+15+10+5+1</f>
        <v>48</v>
      </c>
      <c r="D13" s="256">
        <f>4+35+1+1+5+33+22+28+1</f>
        <v>130</v>
      </c>
      <c r="E13" s="167">
        <f>7+1+1+3+7+8</f>
        <v>27</v>
      </c>
      <c r="F13" s="167">
        <f>1+8+1+13+8+5+1</f>
        <v>37</v>
      </c>
      <c r="G13" s="165">
        <f>(23999.97-0.02+0.04)+(10285.71)+(18000-0.01)+(14880.01-0.02)</f>
        <v>67165.680000000008</v>
      </c>
      <c r="H13" s="257">
        <f>(31542.89-0.06+0.01+1428.57)+(24308.59-0.04+0.03)+(54428.56-0.03+0.01+571.44)+(48600-0.02+0.02)</f>
        <v>160879.97</v>
      </c>
      <c r="I13" s="257">
        <f>(342.86+685.71+1200+1200)+(11428.57)</f>
        <v>14857.14</v>
      </c>
      <c r="J13" s="165">
        <f>(571.43)+(1142.86)+(95.24+95.24+95.24+95.24+95.24+95.24-0.01)+(228.57+228.57+0.01+228.57+228.57+228.57)+(571.43+571.43)+(1142.86)+(285.72-0.01+285.72)+(285.72-0.02+285.72+285.72+285.72)+(914.29+228.57)+(228.57+228.57+228.57)</f>
        <v>9257.16</v>
      </c>
      <c r="K13" s="146">
        <v>0</v>
      </c>
      <c r="L13" s="146">
        <v>0</v>
      </c>
      <c r="M13" s="165">
        <f>(2285.72)+(3428.57)+(228.57+0.01+228.57+228.57+228.57+228.57)+(1142.86)</f>
        <v>8000.0099999999993</v>
      </c>
      <c r="N13" s="257">
        <f>14*1142.86</f>
        <v>16000.039999999999</v>
      </c>
      <c r="O13" s="171">
        <v>0</v>
      </c>
      <c r="P13" s="355">
        <f t="shared" si="0"/>
        <v>276160.00000000006</v>
      </c>
      <c r="Q13" s="357">
        <f>P13+'2. COMPR DEV 30%'!C11+'2. COMPR DEV 30%'!E11+'3. COMP VR'!C11+'3. COMP VR'!E11+'4. COMP VP'!D14+'4. COMP VP'!F14</f>
        <v>522218.82</v>
      </c>
      <c r="R13" s="359"/>
      <c r="T13" s="325"/>
      <c r="U13" s="430"/>
      <c r="V13" s="396"/>
    </row>
    <row r="14" spans="1:22" ht="23.1" customHeight="1" x14ac:dyDescent="0.2">
      <c r="A14" s="147" t="s">
        <v>5</v>
      </c>
      <c r="B14" s="167">
        <f>4+10+8+7</f>
        <v>29</v>
      </c>
      <c r="C14" s="256">
        <f>9+5+6+5+1</f>
        <v>26</v>
      </c>
      <c r="D14" s="256">
        <f>32+35+39+29+1</f>
        <v>136</v>
      </c>
      <c r="E14" s="167">
        <f>5+8+6+6</f>
        <v>25</v>
      </c>
      <c r="F14" s="167">
        <f>8+7+8+6+1</f>
        <v>30</v>
      </c>
      <c r="G14" s="165">
        <f>(9428.58-0.01)+(13714.29-0.02+0.01)+(13714.3-0.02)+(13714.27+0.01)</f>
        <v>50571.409999999996</v>
      </c>
      <c r="H14" s="257">
        <f>(31440.02-0.04+0.02+228.57)+(45051.41-0.05+0.04)+(50034.28-0.05+0.04)+(44571.4-0.01+0.02)</f>
        <v>171325.65</v>
      </c>
      <c r="I14" s="257">
        <v>0</v>
      </c>
      <c r="J14" s="165">
        <f>(380.95)+(304.76+304.76+304.76+0.01)+(1142.86)+(800)+(571.43+571.43)</f>
        <v>4380.96</v>
      </c>
      <c r="K14" s="146">
        <f>(5714.3-0.01)</f>
        <v>5714.29</v>
      </c>
      <c r="L14" s="146">
        <v>0</v>
      </c>
      <c r="M14" s="165">
        <f>(1142.86)+(2285.72-0.01)+(1142.86)+(333.34)</f>
        <v>4904.7699999999995</v>
      </c>
      <c r="N14" s="257">
        <f>6*1142.86</f>
        <v>6857.16</v>
      </c>
      <c r="O14" s="171">
        <v>0</v>
      </c>
      <c r="P14" s="355">
        <f t="shared" si="0"/>
        <v>243754.23999999999</v>
      </c>
      <c r="Q14" s="357">
        <f>P14+'2. COMPR DEV 30%'!C12+'2. COMPR DEV 30%'!E12+'3. COMP VR'!C12+'3. COMP VR'!E12+'4. COMP VP'!D15+'4. COMP VP'!F15</f>
        <v>391219.13</v>
      </c>
      <c r="T14" s="325"/>
      <c r="U14" s="430"/>
      <c r="V14" s="396"/>
    </row>
    <row r="15" spans="1:22" ht="23.1" customHeight="1" x14ac:dyDescent="0.2">
      <c r="A15" s="147" t="s">
        <v>6</v>
      </c>
      <c r="B15" s="167">
        <f>5+5+6+4</f>
        <v>20</v>
      </c>
      <c r="C15" s="256">
        <f>5+3+3+5</f>
        <v>16</v>
      </c>
      <c r="D15" s="256">
        <f>19+15+22+14</f>
        <v>70</v>
      </c>
      <c r="E15" s="167">
        <f>3+3+5+4</f>
        <v>15</v>
      </c>
      <c r="F15" s="167">
        <f>7+5+4+5</f>
        <v>21</v>
      </c>
      <c r="G15" s="165">
        <f>(17142.87-0.02)+(3428.57)+(4285.72-0.01)+(14400-0.01)</f>
        <v>39257.119999999995</v>
      </c>
      <c r="H15" s="257">
        <f>(14487.54-0.02+0.01+1131.44)+(17428.58-0.03+0.01+1714.29)+(32114.31-0.03+171.43)+(32285.73-0.02)</f>
        <v>99333.24000000002</v>
      </c>
      <c r="I15" s="257">
        <v>0</v>
      </c>
      <c r="J15" s="165">
        <f>(380.95+0.01+380.95+380.95)+(571.43+571.43)+(571.43)+(1142.86)+(1200)+(1142.86)+(1142.86)</f>
        <v>7485.7299999999987</v>
      </c>
      <c r="K15" s="146">
        <v>0</v>
      </c>
      <c r="L15" s="146">
        <v>0</v>
      </c>
      <c r="M15" s="165">
        <f>(8000.01-0.01)+(1142.86)</f>
        <v>9142.86</v>
      </c>
      <c r="N15" s="257">
        <f>7*1142.86</f>
        <v>8000.0199999999995</v>
      </c>
      <c r="O15" s="171">
        <v>0</v>
      </c>
      <c r="P15" s="355">
        <f t="shared" si="0"/>
        <v>163218.97</v>
      </c>
      <c r="Q15" s="357">
        <f>P15+'2. COMPR DEV 30%'!C13+'2. COMPR DEV 30%'!E13+'3. COMP VR'!C13+'3. COMP VR'!E13+'4. COMP VP'!D16+'4. COMP VP'!F16</f>
        <v>387642.55</v>
      </c>
      <c r="R15" s="358"/>
      <c r="T15" s="325"/>
      <c r="U15" s="430"/>
      <c r="V15" s="396"/>
    </row>
    <row r="16" spans="1:22" ht="23.1" customHeight="1" x14ac:dyDescent="0.2">
      <c r="A16" s="147" t="s">
        <v>8</v>
      </c>
      <c r="B16" s="167">
        <f>6+7+8+5</f>
        <v>26</v>
      </c>
      <c r="C16" s="256">
        <f>4+2+1+1+5</f>
        <v>13</v>
      </c>
      <c r="D16" s="256">
        <f>21+18+19+12+3</f>
        <v>73</v>
      </c>
      <c r="E16" s="167">
        <f>3+3+1+3+6</f>
        <v>16</v>
      </c>
      <c r="F16" s="167">
        <f>7+6+6+4</f>
        <v>23</v>
      </c>
      <c r="G16" s="165">
        <f>(9600)+(10285.71)+(17142.85)+(10285.71)</f>
        <v>47314.27</v>
      </c>
      <c r="H16" s="257">
        <f>(29729.58-0.02+0.03)+(22925.74-0.04+11428.58)+(46714.29-0.01)+(30765.72-0.02+5714.29)</f>
        <v>147278.13999999998</v>
      </c>
      <c r="I16" s="257">
        <v>0</v>
      </c>
      <c r="J16" s="165">
        <f>(1142.86)+(571.43+571.43)+(1142.86)+(300+300+300)+(228.57+228.57+228.57+228.57+0.01)</f>
        <v>5242.87</v>
      </c>
      <c r="K16" s="146">
        <v>0</v>
      </c>
      <c r="L16" s="146">
        <v>0</v>
      </c>
      <c r="M16" s="165">
        <f>(285.72-0.02+285.72+285.72)+(1714.29)</f>
        <v>2571.4300000000003</v>
      </c>
      <c r="N16" s="257">
        <f>13*1142.86</f>
        <v>14857.179999999998</v>
      </c>
      <c r="O16" s="171">
        <v>0</v>
      </c>
      <c r="P16" s="355">
        <f t="shared" si="0"/>
        <v>217263.88999999996</v>
      </c>
      <c r="Q16" s="357">
        <f>P16+'2. COMPR DEV 30%'!C14+'2. COMPR DEV 30%'!E14+'3. COMP VR'!C14+'3. COMP VR'!E14+'4. COMP VP'!D17+'4. COMP VP'!F17</f>
        <v>418090.24999999988</v>
      </c>
      <c r="T16" s="325"/>
      <c r="U16" s="430"/>
      <c r="V16" s="396"/>
    </row>
    <row r="17" spans="1:24" ht="23.1" customHeight="1" x14ac:dyDescent="0.2">
      <c r="A17" s="147" t="s">
        <v>9</v>
      </c>
      <c r="B17" s="167">
        <f>8+7+7+8+1</f>
        <v>31</v>
      </c>
      <c r="C17" s="256">
        <f>2+3+4+4</f>
        <v>13</v>
      </c>
      <c r="D17" s="256">
        <f>18+22+26+27+1</f>
        <v>94</v>
      </c>
      <c r="E17" s="167">
        <f>2+3+5+4</f>
        <v>14</v>
      </c>
      <c r="F17" s="167">
        <f>8+7+6+8+1</f>
        <v>30</v>
      </c>
      <c r="G17" s="165">
        <f>(7714.3-0.02+857.14)+(11142.86+857.14)+(15257.15-0.03+0.01)+(7028.56+0.02)</f>
        <v>42857.13</v>
      </c>
      <c r="H17" s="257">
        <f>(14285.72-0.01)+(28114.3-0.05+0.01+857.14)+(36965.69+0.02)+(31485.67-0.01+0.05)</f>
        <v>111708.53</v>
      </c>
      <c r="I17" s="257">
        <v>0</v>
      </c>
      <c r="J17" s="165">
        <f>(190.48-0.01+190.48)+(285.72-0.02+285.72+285.72)+(380.95+190.48+380.95+190.48)+(380.95+380.95+380.95+0.01)+(200+600)+(266.67-0.01+266.67+266.67)+(190.48)+(800)+(300)+(228.57+228.57)+(188.57)+(1200)+(1142.86)+(600+600)+(285.72+95.24+285.72+95.24-0.02)</f>
        <v>11364.76</v>
      </c>
      <c r="K17" s="146">
        <v>0</v>
      </c>
      <c r="L17" s="146">
        <f>11428.57</f>
        <v>11428.57</v>
      </c>
      <c r="M17" s="165">
        <f>(1285.72+428.57)</f>
        <v>1714.29</v>
      </c>
      <c r="N17" s="257">
        <f>18*1142.86</f>
        <v>20571.48</v>
      </c>
      <c r="O17" s="171">
        <v>3912.12</v>
      </c>
      <c r="P17" s="355">
        <f t="shared" si="0"/>
        <v>203556.88000000003</v>
      </c>
      <c r="Q17" s="357">
        <f>P17+'2. COMPR DEV 30%'!C15+'2. COMPR DEV 30%'!E15+'3. COMP VR'!C15+'3. COMP VR'!E15+'4. COMP VP'!D18+'4. COMP VP'!F18</f>
        <v>496332.3</v>
      </c>
      <c r="R17" s="357"/>
      <c r="T17" s="325"/>
      <c r="U17" s="430"/>
      <c r="V17" s="396"/>
    </row>
    <row r="18" spans="1:24" ht="23.1" customHeight="1" x14ac:dyDescent="0.2">
      <c r="A18" s="147" t="s">
        <v>10</v>
      </c>
      <c r="B18" s="167">
        <f>12+9+6+3</f>
        <v>30</v>
      </c>
      <c r="C18" s="256">
        <f>2+4+5+1+1</f>
        <v>13</v>
      </c>
      <c r="D18" s="256">
        <f>32+26+20+7+1</f>
        <v>86</v>
      </c>
      <c r="E18" s="167">
        <f>3+4+4+1</f>
        <v>12</v>
      </c>
      <c r="F18" s="167">
        <f>11+9+7+3+1</f>
        <v>31</v>
      </c>
      <c r="G18" s="165">
        <f>(13542.84-0.02+0.02+1028.58)+(10628.57)+(19474.28-0.02+0.02+2228.58)+(6857.15-0.01)</f>
        <v>53759.99</v>
      </c>
      <c r="H18" s="257">
        <f>(54800.01-0.06+0.02+3428.58)+(40200.03-0.06+0.01+2228.58)+(21205.7-0.02+0.02+1120.01)+(32171.43-0.01)</f>
        <v>155154.24000000002</v>
      </c>
      <c r="I18" s="257">
        <f>(20000)</f>
        <v>20000</v>
      </c>
      <c r="J18" s="165">
        <f>(1142.86)+(1200)+(1142.86)+(1200)+(285.72)+(285.72-0.02+285.72+285.72+285.72)+(1142.86)+(380.95+380.95+380.95+0.01)+(285.72-0.01+285.72)+(1142.86)+(142.86+142.86+142.86-0.01)+(285.72+285.72+285.72-0.02+285.72)</f>
        <v>11685.74</v>
      </c>
      <c r="K18" s="146">
        <v>0</v>
      </c>
      <c r="L18" s="146">
        <v>0</v>
      </c>
      <c r="M18" s="165">
        <f>(285.72)+(1142.86)</f>
        <v>1428.58</v>
      </c>
      <c r="N18" s="257">
        <f>17*1142.86</f>
        <v>19428.62</v>
      </c>
      <c r="O18" s="171">
        <v>0</v>
      </c>
      <c r="P18" s="355">
        <f t="shared" si="0"/>
        <v>261457.16999999998</v>
      </c>
      <c r="Q18" s="357">
        <f>P18+'2. COMPR DEV 30%'!C16+'2. COMPR DEV 30%'!E16+'3. COMP VR'!C16+'3. COMP VR'!E16+'4. COMP VP'!D19+'4. COMP VP'!F19</f>
        <v>437003.05999999994</v>
      </c>
      <c r="T18" s="325"/>
      <c r="U18" s="430"/>
      <c r="V18" s="396"/>
    </row>
    <row r="19" spans="1:24" ht="23.1" customHeight="1" x14ac:dyDescent="0.2">
      <c r="A19" s="148" t="s">
        <v>12</v>
      </c>
      <c r="B19" s="167">
        <f>5+11+8+7+10+1</f>
        <v>42</v>
      </c>
      <c r="C19" s="256">
        <f>3+1+3+3+2+1</f>
        <v>13</v>
      </c>
      <c r="D19" s="256">
        <f>13+28+28+23+25+1+3</f>
        <v>121</v>
      </c>
      <c r="E19" s="167">
        <f>2+5+6+4+6+1</f>
        <v>24</v>
      </c>
      <c r="F19" s="167">
        <f>6+7+5+6+6+1</f>
        <v>31</v>
      </c>
      <c r="G19" s="165">
        <f>(6857.16-0.02)+(13199.99)+(6857.14)+(12857.15-0.01)+(7028.57+0.01-0.01)</f>
        <v>46799.979999999996</v>
      </c>
      <c r="H19" s="257">
        <f>(49714.32-0.03)+(44066.07-0.02+0.02+761.9)+(31599.97-0.03+0.03+1600.02)+(33040.02-0.04+0.01)+(54285.71-0.01+0.02+571.43)</f>
        <v>215639.38999999998</v>
      </c>
      <c r="I19" s="257">
        <v>0</v>
      </c>
      <c r="J19" s="165">
        <f>(1142.86)+(1200)+(342.86)+(800)+(380.95+380.95+380.95+0.01)+(380.95+380.95+0.01+380.95)+(285.72+95.24)+(571.43+571.43)+(1142.86)+(1142.86)</f>
        <v>9580.98</v>
      </c>
      <c r="K19" s="146">
        <v>0</v>
      </c>
      <c r="L19" s="146">
        <v>0</v>
      </c>
      <c r="M19" s="165">
        <f>(1714.29)+(1000+857.14+1000)</f>
        <v>4571.43</v>
      </c>
      <c r="N19" s="257">
        <f>10*1142.86</f>
        <v>11428.599999999999</v>
      </c>
      <c r="O19" s="171">
        <f>(11467.27)+(7826.3)+(11515.38)</f>
        <v>30808.949999999997</v>
      </c>
      <c r="P19" s="355">
        <f t="shared" si="0"/>
        <v>318829.32999999996</v>
      </c>
      <c r="Q19" s="357">
        <f>P19+'2. COMPR DEV 30%'!C17+'2. COMPR DEV 30%'!E17+'3. COMP VR'!C17+'3. COMP VR'!E17+'4. COMP VP'!D20+'4. COMP VP'!F20</f>
        <v>560330.94999999995</v>
      </c>
      <c r="R19" s="358"/>
      <c r="T19" s="325"/>
      <c r="U19" s="430"/>
      <c r="V19" s="396"/>
      <c r="X19" s="396"/>
    </row>
    <row r="20" spans="1:24" ht="23.1" customHeight="1" x14ac:dyDescent="0.2">
      <c r="A20" s="149" t="s">
        <v>13</v>
      </c>
      <c r="B20" s="167">
        <f>10+8+8+9</f>
        <v>35</v>
      </c>
      <c r="C20" s="256">
        <f>2+3+4+2</f>
        <v>11</v>
      </c>
      <c r="D20" s="256">
        <f>25+19+27+22</f>
        <v>93</v>
      </c>
      <c r="E20" s="167">
        <f>3+8+7+3</f>
        <v>21</v>
      </c>
      <c r="F20" s="167">
        <f>9+3+5+8</f>
        <v>25</v>
      </c>
      <c r="G20" s="165">
        <f>(19714.27+0.01)+(13714.3-0.02)+(17142.87-0.02)+(17632.67-0.02)</f>
        <v>68204.06</v>
      </c>
      <c r="H20" s="257">
        <f>(78714.28-0.03+0.03)+(49142.88-0.05+571.43)+(49717.15-0.02+0.02)+(67257.11-0.01+0.05)</f>
        <v>245402.84000000003</v>
      </c>
      <c r="I20" s="257">
        <v>0</v>
      </c>
      <c r="J20" s="165">
        <f>(1200)+(1142.86)+(1028.57)+(380.95+380.96+380.95)+(285.7)+(571.43)+(571.43+571.43)+(285.7+285.72+285.72)+(1142.86)+(600)</f>
        <v>9114.2799999999988</v>
      </c>
      <c r="K20" s="146">
        <v>0</v>
      </c>
      <c r="L20" s="146">
        <v>0</v>
      </c>
      <c r="M20" s="165">
        <f>(571.43)+(1142.86)</f>
        <v>1714.29</v>
      </c>
      <c r="N20" s="257">
        <f>6*1142.86</f>
        <v>6857.16</v>
      </c>
      <c r="O20" s="171">
        <v>0</v>
      </c>
      <c r="P20" s="355">
        <f t="shared" si="0"/>
        <v>331292.63</v>
      </c>
      <c r="Q20" s="357">
        <f>P20+'2. COMPR DEV 30%'!C18+'2. COMPR DEV 30%'!E18+'3. COMP VR'!C18+'3. COMP VR'!E18+'4. COMP VP'!D21+'4. COMP VP'!F21</f>
        <v>541669.39</v>
      </c>
      <c r="R20" s="360"/>
      <c r="T20" s="353"/>
      <c r="U20" s="430"/>
      <c r="V20" s="396"/>
    </row>
    <row r="21" spans="1:24" ht="23.1" customHeight="1" x14ac:dyDescent="0.2">
      <c r="A21" s="150" t="s">
        <v>14</v>
      </c>
      <c r="B21" s="167">
        <v>0</v>
      </c>
      <c r="C21" s="256">
        <v>0</v>
      </c>
      <c r="D21" s="256">
        <v>0</v>
      </c>
      <c r="E21" s="167">
        <v>0</v>
      </c>
      <c r="F21" s="167">
        <v>0</v>
      </c>
      <c r="G21" s="165">
        <v>0</v>
      </c>
      <c r="H21" s="257">
        <v>0</v>
      </c>
      <c r="I21" s="257">
        <v>0</v>
      </c>
      <c r="J21" s="165">
        <v>0</v>
      </c>
      <c r="K21" s="146">
        <v>0</v>
      </c>
      <c r="L21" s="146">
        <v>0</v>
      </c>
      <c r="M21" s="165">
        <v>0</v>
      </c>
      <c r="N21" s="257">
        <v>0</v>
      </c>
      <c r="O21" s="171">
        <v>0</v>
      </c>
      <c r="P21" s="355">
        <f t="shared" si="0"/>
        <v>0</v>
      </c>
      <c r="Q21" s="357">
        <f>P21+'2. COMPR DEV 30%'!C19+'2. COMPR DEV 30%'!E19+'3. COMP VR'!C19+'3. COMP VR'!E19+'4. COMP VP'!D22+'4. COMP VP'!F22</f>
        <v>0</v>
      </c>
      <c r="R21" s="358"/>
      <c r="T21" s="353"/>
      <c r="U21" s="430"/>
      <c r="V21" s="396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5">
        <f t="shared" si="0"/>
        <v>0</v>
      </c>
      <c r="Q22" s="357">
        <f>P22+'2. COMPR DEV 30%'!C20+'2. COMPR DEV 30%'!E20+'3. COMP VR'!C20+'3. COMP VR'!E20+'4. COMP VP'!D23+'4. COMP VP'!F23</f>
        <v>0</v>
      </c>
      <c r="R22" s="357"/>
      <c r="T22" s="353"/>
      <c r="U22" s="430"/>
      <c r="V22" s="396"/>
    </row>
    <row r="23" spans="1:24" ht="27.75" customHeight="1" thickBot="1" x14ac:dyDescent="0.25">
      <c r="A23" s="172" t="s">
        <v>0</v>
      </c>
      <c r="B23" s="173">
        <f t="shared" ref="B23:I23" si="1">SUM(B11:B22)</f>
        <v>229</v>
      </c>
      <c r="C23" s="173">
        <f t="shared" si="1"/>
        <v>281</v>
      </c>
      <c r="D23" s="173">
        <f t="shared" si="1"/>
        <v>1096</v>
      </c>
      <c r="E23" s="173">
        <f t="shared" si="1"/>
        <v>215</v>
      </c>
      <c r="F23" s="173">
        <f>SUM(F11:F22)</f>
        <v>295</v>
      </c>
      <c r="G23" s="174">
        <f t="shared" si="1"/>
        <v>631629.53</v>
      </c>
      <c r="H23" s="174">
        <f t="shared" si="1"/>
        <v>1735350.48</v>
      </c>
      <c r="I23" s="174">
        <f t="shared" si="1"/>
        <v>34857.14</v>
      </c>
      <c r="J23" s="174">
        <f t="shared" ref="J23:O23" si="2">SUM(J11:J22)</f>
        <v>77902.959999999992</v>
      </c>
      <c r="K23" s="174">
        <f t="shared" si="2"/>
        <v>5714.29</v>
      </c>
      <c r="L23" s="174">
        <f t="shared" si="2"/>
        <v>11428.57</v>
      </c>
      <c r="M23" s="174">
        <f t="shared" si="2"/>
        <v>48047.66</v>
      </c>
      <c r="N23" s="174">
        <f t="shared" si="2"/>
        <v>129143.18</v>
      </c>
      <c r="O23" s="175">
        <f t="shared" si="2"/>
        <v>34721.07</v>
      </c>
      <c r="P23" s="361">
        <f>G23+H23+I23+J23+K23+L23+M23+N23+O23</f>
        <v>2708794.88</v>
      </c>
      <c r="Q23" s="362">
        <f>SUM(Q11:Q22)</f>
        <v>4798951.419999999</v>
      </c>
      <c r="T23" s="325"/>
      <c r="U23" s="430"/>
      <c r="V23" s="396"/>
    </row>
    <row r="24" spans="1:24" s="353" customFormat="1" x14ac:dyDescent="0.2">
      <c r="A24" s="122" t="s">
        <v>486</v>
      </c>
      <c r="B24" s="431"/>
      <c r="C24" s="431"/>
      <c r="D24" s="431"/>
      <c r="E24" s="431"/>
      <c r="F24" s="431"/>
      <c r="G24" s="366"/>
      <c r="H24" s="431"/>
      <c r="I24" s="431"/>
      <c r="J24" s="431"/>
      <c r="K24" s="431"/>
      <c r="L24" s="431"/>
      <c r="M24" s="366"/>
      <c r="N24" s="2" t="s">
        <v>505</v>
      </c>
      <c r="O24" s="366"/>
      <c r="Q24" s="356">
        <f>SUM(Q11:Q23)-Q23</f>
        <v>4798951.419999999</v>
      </c>
      <c r="R24" s="358"/>
    </row>
    <row r="25" spans="1:24" s="353" customFormat="1" x14ac:dyDescent="0.2">
      <c r="A25" s="6" t="s">
        <v>168</v>
      </c>
      <c r="B25" s="119"/>
      <c r="C25" s="431"/>
      <c r="D25" s="431"/>
      <c r="E25" s="431"/>
      <c r="F25" s="431"/>
      <c r="G25" s="366"/>
      <c r="H25" s="431"/>
      <c r="I25" s="431"/>
      <c r="J25" s="431"/>
      <c r="K25" s="431"/>
      <c r="L25" s="431"/>
      <c r="M25" s="366"/>
      <c r="N25" s="366"/>
      <c r="O25" s="366"/>
      <c r="P25" s="363"/>
      <c r="Q25" s="358"/>
      <c r="V25" s="358"/>
    </row>
    <row r="26" spans="1:24" s="353" customFormat="1" x14ac:dyDescent="0.2">
      <c r="B26" s="433"/>
      <c r="C26" s="431"/>
      <c r="D26" s="431"/>
      <c r="E26" s="431"/>
      <c r="F26" s="431"/>
      <c r="G26" s="366"/>
      <c r="H26" s="431"/>
      <c r="I26" s="431"/>
      <c r="J26" s="431"/>
      <c r="K26" s="431"/>
      <c r="L26" s="431"/>
      <c r="M26" s="366"/>
      <c r="N26" s="366"/>
      <c r="O26" s="366"/>
      <c r="P26" s="358"/>
      <c r="Q26" s="420"/>
      <c r="V26" s="358"/>
    </row>
    <row r="27" spans="1:24" s="353" customFormat="1" x14ac:dyDescent="0.2">
      <c r="A27" s="431"/>
      <c r="B27" s="433"/>
      <c r="C27" s="431"/>
      <c r="D27" s="431"/>
      <c r="E27" s="431"/>
      <c r="F27" s="431"/>
      <c r="G27" s="366"/>
      <c r="H27" s="431"/>
      <c r="I27" s="431"/>
      <c r="J27" s="431"/>
      <c r="K27" s="431"/>
      <c r="L27" s="431"/>
      <c r="M27" s="366"/>
      <c r="N27" s="366"/>
      <c r="O27" s="366"/>
      <c r="P27" s="358"/>
      <c r="Q27" s="358"/>
    </row>
    <row r="28" spans="1:24" s="353" customFormat="1" x14ac:dyDescent="0.2">
      <c r="A28" s="119" t="s">
        <v>147</v>
      </c>
      <c r="B28" s="433"/>
      <c r="C28" s="432"/>
      <c r="D28" s="432"/>
      <c r="E28" s="432"/>
      <c r="F28" s="432"/>
      <c r="G28" s="119"/>
      <c r="H28" s="432"/>
      <c r="I28" s="432"/>
      <c r="J28" s="432"/>
      <c r="K28" s="432"/>
      <c r="L28" s="432"/>
      <c r="M28" s="119"/>
      <c r="N28" s="119"/>
      <c r="O28" s="119"/>
      <c r="P28" s="119"/>
      <c r="Q28" s="358"/>
    </row>
    <row r="29" spans="1:24" s="353" customFormat="1" x14ac:dyDescent="0.2">
      <c r="A29" s="432"/>
      <c r="B29" s="433"/>
      <c r="C29" s="431"/>
      <c r="D29" s="431"/>
      <c r="E29" s="431"/>
      <c r="F29" s="431"/>
      <c r="G29" s="366"/>
      <c r="H29" s="431"/>
      <c r="I29" s="431"/>
      <c r="J29" s="431"/>
      <c r="K29" s="431"/>
      <c r="L29" s="431"/>
      <c r="M29" s="366"/>
      <c r="N29" s="366"/>
      <c r="O29" s="366"/>
      <c r="Q29" s="420"/>
      <c r="U29" s="358"/>
    </row>
    <row r="30" spans="1:24" s="353" customFormat="1" x14ac:dyDescent="0.2">
      <c r="A30" s="432"/>
      <c r="B30" s="119"/>
      <c r="C30" s="432"/>
      <c r="D30" s="432"/>
      <c r="E30" s="432"/>
      <c r="F30" s="432"/>
      <c r="G30" s="119"/>
      <c r="H30" s="432"/>
      <c r="I30" s="432"/>
      <c r="J30" s="432"/>
      <c r="K30" s="432"/>
      <c r="L30" s="432"/>
      <c r="M30" s="119"/>
      <c r="N30" s="119"/>
      <c r="O30" s="119"/>
      <c r="P30" s="119"/>
      <c r="Q30" s="420"/>
    </row>
    <row r="31" spans="1:24" s="353" customFormat="1" x14ac:dyDescent="0.2">
      <c r="A31" s="432"/>
      <c r="B31" s="119"/>
      <c r="C31" s="432"/>
      <c r="D31" s="432"/>
      <c r="E31" s="432"/>
      <c r="F31" s="432"/>
      <c r="G31" s="119"/>
      <c r="H31" s="432"/>
      <c r="I31" s="432"/>
      <c r="J31" s="432"/>
      <c r="K31" s="432"/>
      <c r="L31" s="432"/>
      <c r="M31" s="119"/>
      <c r="N31" s="119"/>
      <c r="O31" s="119"/>
      <c r="P31" s="119"/>
    </row>
    <row r="32" spans="1:24" s="353" customFormat="1" x14ac:dyDescent="0.2">
      <c r="A32" s="432"/>
      <c r="B32" s="119"/>
      <c r="C32" s="432"/>
      <c r="D32" s="432"/>
      <c r="E32" s="432"/>
      <c r="F32" s="432"/>
      <c r="G32" s="8" t="s">
        <v>487</v>
      </c>
      <c r="H32" s="465"/>
      <c r="I32" s="466"/>
      <c r="J32" s="467"/>
      <c r="K32" s="467"/>
      <c r="L32" s="5"/>
      <c r="M32" s="8" t="s">
        <v>130</v>
      </c>
      <c r="N32" s="465"/>
      <c r="O32" s="466"/>
      <c r="P32" s="364"/>
    </row>
    <row r="33" spans="1:18" s="353" customFormat="1" x14ac:dyDescent="0.2">
      <c r="A33" s="432"/>
      <c r="B33" s="119"/>
      <c r="D33" s="432"/>
      <c r="E33" s="432"/>
      <c r="F33" s="432"/>
      <c r="G33" s="15"/>
      <c r="H33" s="9" t="s">
        <v>488</v>
      </c>
      <c r="I33" s="2"/>
      <c r="J33" s="6"/>
      <c r="K33" s="6"/>
      <c r="L33" s="5"/>
      <c r="M33" s="15"/>
      <c r="N33" s="9" t="s">
        <v>490</v>
      </c>
      <c r="O33" s="2"/>
    </row>
    <row r="34" spans="1:18" s="353" customFormat="1" x14ac:dyDescent="0.2">
      <c r="A34" s="432"/>
      <c r="B34" s="119"/>
      <c r="C34" s="432"/>
      <c r="D34" s="432"/>
      <c r="E34" s="432"/>
      <c r="F34" s="432"/>
      <c r="G34" s="4"/>
      <c r="H34" s="468" t="s">
        <v>491</v>
      </c>
      <c r="I34" s="2"/>
      <c r="J34" s="3"/>
      <c r="K34" s="3"/>
      <c r="L34" s="2"/>
      <c r="M34" s="4"/>
      <c r="N34" s="468" t="s">
        <v>489</v>
      </c>
      <c r="O34" s="2"/>
      <c r="Q34" s="434"/>
    </row>
    <row r="35" spans="1:18" x14ac:dyDescent="0.2">
      <c r="A35" s="6"/>
      <c r="B35" s="424"/>
      <c r="C35" s="425"/>
      <c r="D35" s="425"/>
      <c r="E35" s="425"/>
      <c r="F35" s="425"/>
      <c r="G35" s="325"/>
      <c r="H35" s="425"/>
      <c r="I35" s="425"/>
      <c r="J35" s="3"/>
      <c r="K35" s="3"/>
      <c r="L35" s="3"/>
      <c r="Q35" s="434"/>
      <c r="R35" s="358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5"/>
      <c r="Q36" s="434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5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6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6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8" workbookViewId="0">
      <selection activeCell="C18" sqref="C18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261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502" t="s">
        <v>68</v>
      </c>
      <c r="B4" s="502"/>
      <c r="C4" s="502"/>
      <c r="D4" s="502"/>
      <c r="E4" s="502"/>
      <c r="F4" s="112"/>
      <c r="G4" s="502" t="s">
        <v>68</v>
      </c>
      <c r="H4" s="502"/>
      <c r="I4" s="502"/>
      <c r="J4" s="502"/>
      <c r="K4" s="502"/>
    </row>
    <row r="5" spans="1:11" s="10" customFormat="1" ht="9" x14ac:dyDescent="0.15">
      <c r="A5" s="502" t="s">
        <v>69</v>
      </c>
      <c r="B5" s="502"/>
      <c r="C5" s="502"/>
      <c r="D5" s="502"/>
      <c r="E5" s="502"/>
      <c r="F5" s="112"/>
      <c r="G5" s="502" t="s">
        <v>69</v>
      </c>
      <c r="H5" s="502"/>
      <c r="I5" s="502"/>
      <c r="J5" s="502"/>
      <c r="K5" s="502"/>
    </row>
    <row r="6" spans="1:11" s="10" customFormat="1" ht="9" x14ac:dyDescent="0.15">
      <c r="A6" s="506" t="s">
        <v>492</v>
      </c>
      <c r="B6" s="506"/>
      <c r="C6" s="506"/>
      <c r="D6" s="506"/>
      <c r="E6" s="506"/>
      <c r="F6" s="112"/>
      <c r="G6" s="506" t="s">
        <v>499</v>
      </c>
      <c r="H6" s="506"/>
      <c r="I6" s="506"/>
      <c r="J6" s="506"/>
      <c r="K6" s="506"/>
    </row>
    <row r="7" spans="1:11" ht="15" customHeight="1" x14ac:dyDescent="0.25">
      <c r="A7" s="127"/>
      <c r="B7" s="503" t="s">
        <v>493</v>
      </c>
      <c r="C7" s="504"/>
      <c r="D7" s="504"/>
      <c r="E7" s="505"/>
      <c r="F7" s="68"/>
      <c r="G7" s="71"/>
      <c r="H7" s="507" t="s">
        <v>498</v>
      </c>
      <c r="I7" s="508"/>
      <c r="J7" s="508"/>
      <c r="K7" s="509"/>
    </row>
    <row r="8" spans="1:11" ht="77.25" customHeight="1" x14ac:dyDescent="0.25">
      <c r="A8" s="128" t="s">
        <v>70</v>
      </c>
      <c r="B8" s="129" t="s">
        <v>119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119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6+6+3+1</f>
        <v>16</v>
      </c>
      <c r="C9" s="278">
        <f>232.33+240.99+71+58.76</f>
        <v>603.08000000000004</v>
      </c>
      <c r="D9" s="278">
        <f>7744.51+8033.19+2366.96+1958.58</f>
        <v>20103.239999999998</v>
      </c>
      <c r="E9" s="279">
        <f>2091.02+2168.98+639.09+528.81</f>
        <v>5427.9</v>
      </c>
      <c r="F9" s="68"/>
      <c r="G9" s="76" t="s">
        <v>56</v>
      </c>
      <c r="H9" s="277">
        <v>25</v>
      </c>
      <c r="I9" s="278">
        <v>857.02</v>
      </c>
      <c r="J9" s="278">
        <v>28566.57</v>
      </c>
      <c r="K9" s="279">
        <v>7712.96</v>
      </c>
    </row>
    <row r="10" spans="1:11" ht="15" x14ac:dyDescent="0.25">
      <c r="A10" s="276" t="s">
        <v>57</v>
      </c>
      <c r="B10" s="277">
        <f>4+8+7+2</f>
        <v>21</v>
      </c>
      <c r="C10" s="278">
        <f>140+341.73+319.59+14.65</f>
        <v>815.96999999999991</v>
      </c>
      <c r="D10" s="278">
        <f>4666.74+11390.98+10653.14+488.3</f>
        <v>27199.16</v>
      </c>
      <c r="E10" s="279">
        <f>1260.02+3075.58+2876.35+131.84</f>
        <v>7343.7900000000009</v>
      </c>
      <c r="F10" s="68"/>
      <c r="G10" s="76" t="s">
        <v>57</v>
      </c>
      <c r="H10" s="277">
        <v>25</v>
      </c>
      <c r="I10" s="280">
        <v>911.44</v>
      </c>
      <c r="J10" s="280">
        <v>12434.68</v>
      </c>
      <c r="K10" s="279">
        <v>8202.7500000000018</v>
      </c>
    </row>
    <row r="11" spans="1:11" ht="15" x14ac:dyDescent="0.25">
      <c r="A11" s="276" t="s">
        <v>58</v>
      </c>
      <c r="B11" s="277">
        <f>4+7+9+10+2</f>
        <v>32</v>
      </c>
      <c r="C11" s="278">
        <f>168.99+268.91+265.68+275.56+73.27</f>
        <v>1052.4100000000001</v>
      </c>
      <c r="D11" s="278">
        <f>5632.92+8963.5+8855.56+9185.65+2442.18</f>
        <v>35079.81</v>
      </c>
      <c r="E11" s="279">
        <f>1520.89+2420.15+2390.99+2480.13+659.39</f>
        <v>9471.5499999999993</v>
      </c>
      <c r="F11" s="68"/>
      <c r="G11" s="76" t="s">
        <v>58</v>
      </c>
      <c r="H11" s="277">
        <v>23</v>
      </c>
      <c r="I11" s="280">
        <v>895.42000000000007</v>
      </c>
      <c r="J11" s="469">
        <v>29846.589999999997</v>
      </c>
      <c r="K11" s="470">
        <v>8058.5500000000011</v>
      </c>
    </row>
    <row r="12" spans="1:11" ht="15" x14ac:dyDescent="0.25">
      <c r="A12" s="276" t="s">
        <v>59</v>
      </c>
      <c r="B12" s="277">
        <f>7+4+3</f>
        <v>14</v>
      </c>
      <c r="C12" s="280">
        <f>242.51+51.43+82.49</f>
        <v>376.43</v>
      </c>
      <c r="D12" s="280">
        <f>8083.1+1714.29+2749.87</f>
        <v>12547.259999999998</v>
      </c>
      <c r="E12" s="279">
        <f>2182.42+462.86+742.47</f>
        <v>3387.75</v>
      </c>
      <c r="F12" s="68"/>
      <c r="G12" s="76" t="s">
        <v>59</v>
      </c>
      <c r="H12" s="277">
        <v>10</v>
      </c>
      <c r="I12" s="280">
        <v>269.23</v>
      </c>
      <c r="J12" s="280">
        <v>8973.65</v>
      </c>
      <c r="K12" s="279">
        <v>2422.86</v>
      </c>
    </row>
    <row r="13" spans="1:11" ht="15" x14ac:dyDescent="0.25">
      <c r="A13" s="276" t="s">
        <v>60</v>
      </c>
      <c r="B13" s="277">
        <f>12+4+13+7+6</f>
        <v>42</v>
      </c>
      <c r="C13" s="278">
        <f>399.83+116.99+348.68+201.89+156.99</f>
        <v>1224.3799999999999</v>
      </c>
      <c r="D13" s="278">
        <f>13327.42+3899.56+11622.19+6729.2+5232.8</f>
        <v>40811.17</v>
      </c>
      <c r="E13" s="279">
        <f>3598.39+1052.87+3137.97+1816.87+1412.86</f>
        <v>11018.96</v>
      </c>
      <c r="F13" s="68"/>
      <c r="G13" s="76" t="s">
        <v>60</v>
      </c>
      <c r="H13" s="277">
        <v>14</v>
      </c>
      <c r="I13" s="280">
        <v>548.13</v>
      </c>
      <c r="J13" s="280">
        <v>18270.580000000002</v>
      </c>
      <c r="K13" s="279">
        <v>4933.05</v>
      </c>
    </row>
    <row r="14" spans="1:11" ht="15" x14ac:dyDescent="0.25">
      <c r="A14" s="276" t="s">
        <v>61</v>
      </c>
      <c r="B14" s="277">
        <f>6+12+7+4</f>
        <v>29</v>
      </c>
      <c r="C14" s="278">
        <f>269.48+295.24+291.03+133.31</f>
        <v>989.06</v>
      </c>
      <c r="D14" s="278">
        <f>8982.87+9840.84+9700.9+4443.67</f>
        <v>32968.28</v>
      </c>
      <c r="E14" s="279">
        <f>2425.36+2657+2619.24+1199.79</f>
        <v>8901.39</v>
      </c>
      <c r="F14" s="68"/>
      <c r="G14" s="76" t="s">
        <v>61</v>
      </c>
      <c r="H14" s="277">
        <v>16</v>
      </c>
      <c r="I14" s="280">
        <v>743.39</v>
      </c>
      <c r="J14" s="280">
        <v>24779.439999999999</v>
      </c>
      <c r="K14" s="279">
        <v>6690.45</v>
      </c>
    </row>
    <row r="15" spans="1:11" ht="15" x14ac:dyDescent="0.25">
      <c r="A15" s="281" t="s">
        <v>62</v>
      </c>
      <c r="B15" s="277">
        <f>11+7+7+6</f>
        <v>31</v>
      </c>
      <c r="C15" s="280">
        <f>316.1+248.18+360.25+269</f>
        <v>1193.53</v>
      </c>
      <c r="D15" s="280">
        <f>10536.05+8272.19+12008.75+8966.9</f>
        <v>39783.89</v>
      </c>
      <c r="E15" s="279">
        <f>2844.7+2233.49+3242.38+2421.06</f>
        <v>10741.63</v>
      </c>
      <c r="F15" s="68"/>
      <c r="G15" s="76" t="s">
        <v>62</v>
      </c>
      <c r="H15" s="277">
        <v>17</v>
      </c>
      <c r="I15" s="280">
        <v>489.1</v>
      </c>
      <c r="J15" s="280">
        <v>16302.849999999999</v>
      </c>
      <c r="K15" s="279">
        <v>4401.7700000000004</v>
      </c>
    </row>
    <row r="16" spans="1:11" ht="15" x14ac:dyDescent="0.25">
      <c r="A16" s="276" t="s">
        <v>63</v>
      </c>
      <c r="B16" s="277">
        <f>6+12+2+12</f>
        <v>32</v>
      </c>
      <c r="C16" s="278">
        <f>183.36+509.9+88.74+430.97</f>
        <v>1212.97</v>
      </c>
      <c r="D16" s="278">
        <f>6111.86+16995.93+2958.02+14365.75</f>
        <v>40431.56</v>
      </c>
      <c r="E16" s="279">
        <f>1650.19+4588.87+798.66+3878.75</f>
        <v>10916.47</v>
      </c>
      <c r="F16" s="68"/>
      <c r="G16" s="76" t="s">
        <v>63</v>
      </c>
      <c r="H16" s="277">
        <v>23</v>
      </c>
      <c r="I16" s="280">
        <v>808.94</v>
      </c>
      <c r="J16" s="280">
        <v>26964.11</v>
      </c>
      <c r="K16" s="279">
        <v>7280.2999999999993</v>
      </c>
    </row>
    <row r="17" spans="1:13" ht="15" x14ac:dyDescent="0.25">
      <c r="A17" s="276" t="s">
        <v>75</v>
      </c>
      <c r="B17" s="277">
        <f>1+2+3+5+4</f>
        <v>15</v>
      </c>
      <c r="C17" s="278">
        <f>27.23+121.63+145.45+121.37+188.31</f>
        <v>603.99</v>
      </c>
      <c r="D17" s="278">
        <f>907.5+4054.18+4848.09+4045.46+6276.81</f>
        <v>20132.04</v>
      </c>
      <c r="E17" s="279">
        <f>245.02+1094.62+1308.98+1092.27+1694.74</f>
        <v>5435.63</v>
      </c>
      <c r="F17" s="68"/>
      <c r="G17" s="76" t="s">
        <v>75</v>
      </c>
      <c r="H17" s="277">
        <v>33</v>
      </c>
      <c r="I17" s="280">
        <v>1020.5999999999999</v>
      </c>
      <c r="J17" s="280">
        <v>34019.47</v>
      </c>
      <c r="K17" s="279">
        <v>9185.25</v>
      </c>
    </row>
    <row r="18" spans="1:13" ht="15" x14ac:dyDescent="0.25">
      <c r="A18" s="276" t="s">
        <v>64</v>
      </c>
      <c r="B18" s="277">
        <f>7+6+4+9</f>
        <v>26</v>
      </c>
      <c r="C18" s="278">
        <f>270.58+145.56+196.17+293.51</f>
        <v>905.81999999999994</v>
      </c>
      <c r="D18" s="278">
        <f>9019.22+4851.67+6538.62+9783.47</f>
        <v>30192.979999999996</v>
      </c>
      <c r="E18" s="279">
        <f>2435.19+1309.93+1765.42+2641.55</f>
        <v>8152.09</v>
      </c>
      <c r="F18" s="68"/>
      <c r="G18" s="76" t="s">
        <v>64</v>
      </c>
      <c r="H18" s="277">
        <v>23</v>
      </c>
      <c r="I18" s="280">
        <v>937.36</v>
      </c>
      <c r="J18" s="280">
        <v>31244.399999999998</v>
      </c>
      <c r="K18" s="279">
        <v>8435.9599999999991</v>
      </c>
    </row>
    <row r="19" spans="1:13" ht="15" x14ac:dyDescent="0.25">
      <c r="A19" s="276" t="s">
        <v>65</v>
      </c>
      <c r="B19" s="277">
        <v>0</v>
      </c>
      <c r="C19" s="278">
        <v>0</v>
      </c>
      <c r="D19" s="278">
        <v>0</v>
      </c>
      <c r="E19" s="279">
        <v>0</v>
      </c>
      <c r="F19" s="68"/>
      <c r="G19" s="76" t="s">
        <v>65</v>
      </c>
      <c r="H19" s="277">
        <v>19</v>
      </c>
      <c r="I19" s="280">
        <v>705.8900000000001</v>
      </c>
      <c r="J19" s="280">
        <v>23529.39</v>
      </c>
      <c r="K19" s="279">
        <v>6352.91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v>20</v>
      </c>
      <c r="I20" s="280">
        <v>761.49</v>
      </c>
      <c r="J20" s="280">
        <v>25382.79</v>
      </c>
      <c r="K20" s="279">
        <v>6853.34</v>
      </c>
    </row>
    <row r="21" spans="1:13" ht="15" x14ac:dyDescent="0.25">
      <c r="A21" s="282" t="s">
        <v>0</v>
      </c>
      <c r="B21" s="283">
        <f>SUM(B9:B20)</f>
        <v>258</v>
      </c>
      <c r="C21" s="284">
        <f>SUM(C9:C20)</f>
        <v>8977.64</v>
      </c>
      <c r="D21" s="285">
        <f>SUM(D9:D20)</f>
        <v>299249.38999999996</v>
      </c>
      <c r="E21" s="286">
        <f>SUM(E9:E20)</f>
        <v>80797.159999999989</v>
      </c>
      <c r="F21" s="68"/>
      <c r="G21" s="77" t="s">
        <v>0</v>
      </c>
      <c r="H21" s="85">
        <v>248</v>
      </c>
      <c r="I21" s="110">
        <v>8948.01</v>
      </c>
      <c r="J21" s="471">
        <v>280314.51999999996</v>
      </c>
      <c r="K21" s="111">
        <v>80530.149999999994</v>
      </c>
    </row>
    <row r="22" spans="1:13" ht="15" x14ac:dyDescent="0.25">
      <c r="A22" s="123" t="s">
        <v>486</v>
      </c>
      <c r="B22" s="70"/>
      <c r="C22" s="70"/>
      <c r="D22" s="70"/>
      <c r="F22" s="68"/>
      <c r="G22" s="78"/>
      <c r="H22" s="70"/>
      <c r="I22" s="2" t="s">
        <v>505</v>
      </c>
    </row>
    <row r="23" spans="1:13" ht="15" x14ac:dyDescent="0.25">
      <c r="A23" s="70"/>
      <c r="B23" s="70"/>
      <c r="C23" s="70"/>
      <c r="D23" s="70"/>
      <c r="E23" s="70"/>
      <c r="F23" s="68"/>
      <c r="G23" s="70"/>
      <c r="H23" s="70"/>
      <c r="I23" s="70"/>
      <c r="J23" s="70"/>
      <c r="K23" s="70"/>
    </row>
    <row r="24" spans="1:13" ht="15" x14ac:dyDescent="0.25">
      <c r="A24" s="79"/>
      <c r="B24" s="70"/>
      <c r="C24" s="80"/>
      <c r="D24" s="156"/>
      <c r="E24" s="70"/>
      <c r="F24" s="68"/>
      <c r="G24" s="79"/>
      <c r="H24" s="70"/>
      <c r="I24" s="70"/>
      <c r="J24" s="70"/>
      <c r="K24" s="70"/>
      <c r="M24" s="42"/>
    </row>
    <row r="25" spans="1:13" x14ac:dyDescent="0.2">
      <c r="A25" s="70"/>
      <c r="B25" s="8" t="s">
        <v>487</v>
      </c>
      <c r="C25" s="465"/>
      <c r="D25" s="466"/>
      <c r="E25" s="467"/>
      <c r="F25" s="467"/>
      <c r="G25" s="5"/>
      <c r="H25" s="8" t="s">
        <v>130</v>
      </c>
      <c r="I25" s="465"/>
      <c r="J25" s="466"/>
      <c r="K25" s="364"/>
    </row>
    <row r="26" spans="1:13" x14ac:dyDescent="0.2">
      <c r="A26" s="79"/>
      <c r="B26" s="15"/>
      <c r="C26" s="9" t="s">
        <v>488</v>
      </c>
      <c r="D26" s="2"/>
      <c r="E26" s="6"/>
      <c r="F26" s="6"/>
      <c r="G26" s="5"/>
      <c r="H26" s="15"/>
      <c r="I26" s="9" t="s">
        <v>490</v>
      </c>
      <c r="J26" s="2"/>
      <c r="K26" s="353"/>
    </row>
    <row r="27" spans="1:13" x14ac:dyDescent="0.2">
      <c r="A27" s="70"/>
      <c r="B27" s="4"/>
      <c r="C27" s="468" t="s">
        <v>491</v>
      </c>
      <c r="D27" s="2"/>
      <c r="E27" s="3"/>
      <c r="F27" s="3"/>
      <c r="G27" s="2"/>
      <c r="H27" s="4"/>
      <c r="I27" s="468" t="s">
        <v>489</v>
      </c>
      <c r="J27" s="2"/>
      <c r="K27" s="353"/>
    </row>
    <row r="28" spans="1:13" ht="15" x14ac:dyDescent="0.25">
      <c r="A28" s="68"/>
      <c r="B28" s="68"/>
      <c r="C28" s="81"/>
      <c r="E28" s="68"/>
      <c r="F28" s="70"/>
      <c r="G28" s="68"/>
      <c r="H28" s="68"/>
      <c r="I28" s="70"/>
      <c r="J28" s="70"/>
      <c r="K28" s="68"/>
    </row>
    <row r="29" spans="1:13" ht="15" x14ac:dyDescent="0.25">
      <c r="A29" s="68"/>
      <c r="B29" s="68"/>
      <c r="C29" s="70"/>
      <c r="E29" s="68"/>
      <c r="F29" s="82"/>
      <c r="G29" s="68"/>
      <c r="H29" s="68"/>
      <c r="I29" s="70"/>
      <c r="J29" s="70"/>
      <c r="K29" s="68"/>
    </row>
    <row r="30" spans="1:13" ht="15" x14ac:dyDescent="0.25">
      <c r="A30" s="83"/>
      <c r="B30" s="68"/>
      <c r="C30" s="70"/>
      <c r="D30" s="42"/>
      <c r="E30" s="68"/>
      <c r="F30" s="79"/>
      <c r="G30" s="83"/>
      <c r="H30" s="68"/>
      <c r="I30" s="70"/>
      <c r="J30" s="70"/>
      <c r="K30" s="68"/>
    </row>
    <row r="31" spans="1:13" ht="15" x14ac:dyDescent="0.25">
      <c r="A31" s="81"/>
      <c r="B31" s="68"/>
      <c r="C31" s="81"/>
      <c r="D31" s="81"/>
      <c r="E31" s="81"/>
      <c r="F31" s="68"/>
      <c r="G31" s="68"/>
      <c r="H31" s="68"/>
      <c r="I31" s="68"/>
      <c r="J31" s="68"/>
      <c r="K31" s="68"/>
    </row>
    <row r="32" spans="1:13" ht="15" x14ac:dyDescent="0.25">
      <c r="A32" s="68"/>
      <c r="B32" s="68"/>
      <c r="C32" s="68"/>
      <c r="D32" s="68"/>
      <c r="E32" s="68"/>
    </row>
    <row r="33" spans="1:5" ht="15" x14ac:dyDescent="0.25">
      <c r="A33" s="68"/>
      <c r="B33" s="68"/>
      <c r="C33" s="68"/>
      <c r="D33" s="68"/>
      <c r="E33" s="68"/>
    </row>
    <row r="34" spans="1:5" ht="15" x14ac:dyDescent="0.25">
      <c r="A34" s="68"/>
      <c r="B34" s="68"/>
      <c r="C34" s="68"/>
      <c r="D34" s="68"/>
      <c r="E34" s="68"/>
    </row>
    <row r="35" spans="1:5" ht="15" x14ac:dyDescent="0.25">
      <c r="A35" s="70"/>
      <c r="B35" s="68"/>
      <c r="C35" s="68"/>
      <c r="D35" s="68"/>
      <c r="E35" s="68"/>
    </row>
    <row r="36" spans="1:5" x14ac:dyDescent="0.2">
      <c r="A36" s="84"/>
      <c r="B36" s="70"/>
      <c r="C36" s="70"/>
      <c r="D36" s="70"/>
      <c r="E36" s="70"/>
    </row>
    <row r="37" spans="1:5" ht="15" x14ac:dyDescent="0.25">
      <c r="A37" s="68"/>
      <c r="B37" s="81"/>
      <c r="C37" s="81"/>
      <c r="D37" s="81"/>
      <c r="E37" s="70"/>
    </row>
    <row r="38" spans="1:5" ht="15" x14ac:dyDescent="0.25">
      <c r="A38" s="68"/>
      <c r="B38" s="81"/>
      <c r="C38" s="81"/>
      <c r="D38" s="81"/>
      <c r="E38" s="70"/>
    </row>
    <row r="39" spans="1:5" x14ac:dyDescent="0.2">
      <c r="A39" s="70"/>
      <c r="B39" s="70"/>
      <c r="C39" s="70"/>
      <c r="D39" s="70"/>
      <c r="E39" s="70"/>
    </row>
    <row r="40" spans="1:5" x14ac:dyDescent="0.2">
      <c r="A40" s="70"/>
      <c r="B40" s="70"/>
      <c r="C40" s="70"/>
      <c r="D40" s="70"/>
      <c r="E40" s="70"/>
    </row>
    <row r="41" spans="1:5" x14ac:dyDescent="0.2">
      <c r="A41" s="70"/>
      <c r="B41" s="70"/>
      <c r="C41" s="70"/>
      <c r="D41" s="70"/>
      <c r="E41" s="70"/>
    </row>
    <row r="42" spans="1:5" x14ac:dyDescent="0.2">
      <c r="A42" s="70"/>
      <c r="B42" s="70"/>
      <c r="C42" s="70"/>
      <c r="D42" s="70"/>
      <c r="E42" s="70"/>
    </row>
    <row r="43" spans="1:5" x14ac:dyDescent="0.2">
      <c r="A43" s="70"/>
      <c r="B43" s="70"/>
      <c r="C43" s="70"/>
      <c r="D43" s="70"/>
      <c r="E43" s="70"/>
    </row>
    <row r="44" spans="1:5" x14ac:dyDescent="0.2">
      <c r="A44" s="70"/>
      <c r="B44" s="70"/>
      <c r="C44" s="70"/>
      <c r="D44" s="70"/>
      <c r="E44" s="70"/>
    </row>
    <row r="45" spans="1:5" x14ac:dyDescent="0.2">
      <c r="A45" s="70"/>
      <c r="B45" s="70"/>
      <c r="C45" s="70"/>
      <c r="D45" s="70"/>
      <c r="E45" s="70"/>
    </row>
    <row r="46" spans="1:5" x14ac:dyDescent="0.2">
      <c r="A46" s="70"/>
      <c r="B46" s="70"/>
      <c r="C46" s="70"/>
      <c r="D46" s="70"/>
      <c r="E46" s="70"/>
    </row>
    <row r="47" spans="1:5" x14ac:dyDescent="0.2">
      <c r="A47" s="70"/>
      <c r="B47" s="70"/>
      <c r="C47" s="70"/>
      <c r="D47" s="70"/>
      <c r="E47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57031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482</v>
      </c>
    </row>
    <row r="4" spans="1:14" x14ac:dyDescent="0.2">
      <c r="A4" s="510" t="s">
        <v>76</v>
      </c>
      <c r="B4" s="510"/>
      <c r="C4" s="510"/>
      <c r="D4" s="510"/>
      <c r="E4" s="510"/>
      <c r="F4" s="2"/>
      <c r="G4" s="510" t="s">
        <v>76</v>
      </c>
      <c r="H4" s="510"/>
      <c r="I4" s="510"/>
      <c r="J4" s="510"/>
      <c r="K4" s="510"/>
    </row>
    <row r="5" spans="1:14" x14ac:dyDescent="0.2">
      <c r="A5" s="510" t="s">
        <v>494</v>
      </c>
      <c r="B5" s="510"/>
      <c r="C5" s="510"/>
      <c r="D5" s="510"/>
      <c r="E5" s="510"/>
      <c r="F5" s="2"/>
      <c r="G5" s="510" t="s">
        <v>501</v>
      </c>
      <c r="H5" s="510"/>
      <c r="I5" s="510"/>
      <c r="J5" s="510"/>
      <c r="K5" s="510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503" t="str">
        <f>'2. COMPR DEV 30%'!B7:E7</f>
        <v>DEL 01 DE ENERO AL 31 DE DICIEMBRE DEL AÑO 2022</v>
      </c>
      <c r="C7" s="504"/>
      <c r="D7" s="504"/>
      <c r="E7" s="505"/>
      <c r="G7" s="19"/>
      <c r="H7" s="511" t="s">
        <v>498</v>
      </c>
      <c r="I7" s="512"/>
      <c r="J7" s="512"/>
      <c r="K7" s="513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6+14+12+24</f>
        <v>56</v>
      </c>
      <c r="C9" s="300">
        <f>8.12+14.53+8.48+22.13</f>
        <v>53.26</v>
      </c>
      <c r="D9" s="300">
        <f>4728.27+10811.43+13975.72+19573.03</f>
        <v>49088.45</v>
      </c>
      <c r="E9" s="300">
        <f>4350.58+9856.94+13277.77+19035.22</f>
        <v>46520.51</v>
      </c>
      <c r="G9" s="29" t="s">
        <v>56</v>
      </c>
      <c r="H9" s="299">
        <v>83</v>
      </c>
      <c r="I9" s="300">
        <v>115.64000000000001</v>
      </c>
      <c r="J9" s="300">
        <v>83311.760000000009</v>
      </c>
      <c r="K9" s="300">
        <v>78765.06</v>
      </c>
      <c r="L9" s="42"/>
      <c r="M9" s="42"/>
    </row>
    <row r="10" spans="1:14" x14ac:dyDescent="0.2">
      <c r="A10" s="298" t="s">
        <v>57</v>
      </c>
      <c r="B10" s="299">
        <f>19+14+27+31</f>
        <v>91</v>
      </c>
      <c r="C10" s="300">
        <f>41.5+12.89+44.41+57.64</f>
        <v>156.44</v>
      </c>
      <c r="D10" s="300">
        <f>38034.94+12572.96+26573.64+38432.83</f>
        <v>115614.37000000001</v>
      </c>
      <c r="E10" s="300">
        <f>37428.41+11199.48+24892.53+36170.2</f>
        <v>109690.62</v>
      </c>
      <c r="F10" s="176"/>
      <c r="G10" s="24" t="s">
        <v>57</v>
      </c>
      <c r="H10" s="302">
        <v>85</v>
      </c>
      <c r="I10" s="477">
        <v>166.46000000000004</v>
      </c>
      <c r="J10" s="477">
        <v>82953.849999999991</v>
      </c>
      <c r="K10" s="476">
        <v>79310.16</v>
      </c>
      <c r="L10" s="11"/>
      <c r="M10" s="11"/>
    </row>
    <row r="11" spans="1:14" x14ac:dyDescent="0.2">
      <c r="A11" s="298" t="s">
        <v>58</v>
      </c>
      <c r="B11" s="299">
        <f>16+16+19+33+13</f>
        <v>97</v>
      </c>
      <c r="C11" s="300">
        <f>26.4+17.8+13.36+30.92+8.19</f>
        <v>96.67</v>
      </c>
      <c r="D11" s="300">
        <f>16989.91+11625.92+19453.72+23149.07+10675.57</f>
        <v>81894.19</v>
      </c>
      <c r="E11" s="300">
        <f>15876.21+10711.41+17530.25+20522.62+9654.69</f>
        <v>74295.179999999993</v>
      </c>
      <c r="G11" s="89" t="s">
        <v>58</v>
      </c>
      <c r="H11" s="302">
        <v>99</v>
      </c>
      <c r="I11" s="477">
        <v>130.04000000000002</v>
      </c>
      <c r="J11" s="477">
        <v>99120.49</v>
      </c>
      <c r="K11" s="476">
        <v>94341.91</v>
      </c>
      <c r="L11" s="90"/>
      <c r="M11" s="91"/>
    </row>
    <row r="12" spans="1:14" x14ac:dyDescent="0.2">
      <c r="A12" s="298" t="s">
        <v>59</v>
      </c>
      <c r="B12" s="299">
        <f>12+19+20</f>
        <v>51</v>
      </c>
      <c r="C12" s="300">
        <f>30.2+35.31+42.06</f>
        <v>107.57000000000001</v>
      </c>
      <c r="D12" s="300">
        <f>12705.15+19827.01+22146.87</f>
        <v>54679.03</v>
      </c>
      <c r="E12" s="300">
        <f>12435.25+18550.08+21179.12</f>
        <v>52164.45</v>
      </c>
      <c r="G12" s="29" t="s">
        <v>59</v>
      </c>
      <c r="H12" s="302">
        <v>62</v>
      </c>
      <c r="I12" s="477">
        <v>71.45</v>
      </c>
      <c r="J12" s="477">
        <v>54884.89</v>
      </c>
      <c r="K12" s="476">
        <v>50897.62</v>
      </c>
      <c r="L12" s="91"/>
      <c r="M12" s="92"/>
    </row>
    <row r="13" spans="1:14" x14ac:dyDescent="0.2">
      <c r="A13" s="298" t="s">
        <v>60</v>
      </c>
      <c r="B13" s="299">
        <f>16+15+18+24+15</f>
        <v>88</v>
      </c>
      <c r="C13" s="300">
        <f>35.73+15.82+22.98+36.68+35.24</f>
        <v>146.45000000000002</v>
      </c>
      <c r="D13" s="300">
        <f>14318.02+11688.94+16149.98+21805.3+21142.34</f>
        <v>85104.58</v>
      </c>
      <c r="E13" s="300">
        <f>14123.41+11641.58+14662.03+20577.66+20171.81</f>
        <v>81176.489999999991</v>
      </c>
      <c r="G13" s="29" t="s">
        <v>60</v>
      </c>
      <c r="H13" s="302">
        <v>96</v>
      </c>
      <c r="I13" s="477">
        <v>85.09</v>
      </c>
      <c r="J13" s="477">
        <v>85567.81</v>
      </c>
      <c r="K13" s="476">
        <v>75952.350000000006</v>
      </c>
      <c r="L13" s="42"/>
      <c r="M13" s="91"/>
    </row>
    <row r="14" spans="1:14" x14ac:dyDescent="0.2">
      <c r="A14" s="298" t="s">
        <v>61</v>
      </c>
      <c r="B14" s="299">
        <f>11+13+13+23</f>
        <v>60</v>
      </c>
      <c r="C14" s="300">
        <f>7.88+18.04+28.04+33.37</f>
        <v>87.329999999999984</v>
      </c>
      <c r="D14" s="300">
        <f>7397.12+13551.25+14063.32+22236.39</f>
        <v>57248.08</v>
      </c>
      <c r="E14" s="300">
        <f>6833.11+13042.9+13630.28+21342.1</f>
        <v>54848.39</v>
      </c>
      <c r="G14" s="29" t="s">
        <v>61</v>
      </c>
      <c r="H14" s="302">
        <v>82</v>
      </c>
      <c r="I14" s="477">
        <v>85.36</v>
      </c>
      <c r="J14" s="477">
        <v>73274.09</v>
      </c>
      <c r="K14" s="476">
        <v>69752.92</v>
      </c>
      <c r="L14" s="91"/>
      <c r="N14" s="42"/>
    </row>
    <row r="15" spans="1:14" x14ac:dyDescent="0.2">
      <c r="A15" s="301" t="s">
        <v>62</v>
      </c>
      <c r="B15" s="299">
        <f>15+16+17+13</f>
        <v>61</v>
      </c>
      <c r="C15" s="300">
        <f>13.06+31.69+28.21+20.17</f>
        <v>93.13000000000001</v>
      </c>
      <c r="D15" s="300">
        <f>16970.02+16378.84+14596.22+16761.39</f>
        <v>64706.47</v>
      </c>
      <c r="E15" s="300">
        <f>15934.75+15700.4+14093.05+16161.53</f>
        <v>61889.729999999996</v>
      </c>
      <c r="G15" s="29" t="s">
        <v>62</v>
      </c>
      <c r="H15" s="302">
        <v>75</v>
      </c>
      <c r="I15" s="477">
        <v>118.37</v>
      </c>
      <c r="J15" s="477">
        <v>73737.26999999999</v>
      </c>
      <c r="K15" s="476">
        <v>67993.59</v>
      </c>
      <c r="L15" s="42"/>
      <c r="N15" s="42"/>
    </row>
    <row r="16" spans="1:14" x14ac:dyDescent="0.2">
      <c r="A16" s="298" t="s">
        <v>63</v>
      </c>
      <c r="B16" s="299">
        <f>14+9+17+9</f>
        <v>49</v>
      </c>
      <c r="C16" s="300">
        <f>8.01+12.93+29.54+12.78</f>
        <v>63.26</v>
      </c>
      <c r="D16" s="300">
        <f>15853.38+15638.17+15574.26+6631.89</f>
        <v>53697.7</v>
      </c>
      <c r="E16" s="300">
        <f>14786.36+15799.96+15212.43+6125.76</f>
        <v>51924.51</v>
      </c>
      <c r="G16" s="29" t="s">
        <v>63</v>
      </c>
      <c r="H16" s="302">
        <v>82</v>
      </c>
      <c r="I16" s="477">
        <v>142.56</v>
      </c>
      <c r="J16" s="477">
        <v>88260.59</v>
      </c>
      <c r="K16" s="476">
        <v>83459.06</v>
      </c>
      <c r="L16" s="93"/>
      <c r="M16" s="11"/>
      <c r="N16" s="42"/>
    </row>
    <row r="17" spans="1:14" x14ac:dyDescent="0.2">
      <c r="A17" s="298" t="s">
        <v>75</v>
      </c>
      <c r="B17" s="299">
        <f>1+23+18+19+19</f>
        <v>80</v>
      </c>
      <c r="C17" s="300">
        <f>36.69+24.64+5.04+28.53</f>
        <v>94.9</v>
      </c>
      <c r="D17" s="300">
        <f>864.96+21628.69+13168.03+17408.72+20975.4</f>
        <v>74045.8</v>
      </c>
      <c r="E17" s="300">
        <f>675.51+20498.26+12620.42+15392.47+19876.55</f>
        <v>69063.209999999992</v>
      </c>
      <c r="G17" s="29" t="s">
        <v>75</v>
      </c>
      <c r="H17" s="302">
        <v>76</v>
      </c>
      <c r="I17" s="477">
        <v>77.539999999999992</v>
      </c>
      <c r="J17" s="477">
        <v>65717.95</v>
      </c>
      <c r="K17" s="476">
        <v>59994.15</v>
      </c>
      <c r="L17" s="91"/>
      <c r="M17" s="11"/>
      <c r="N17" s="42"/>
    </row>
    <row r="18" spans="1:14" x14ac:dyDescent="0.2">
      <c r="A18" s="298" t="s">
        <v>64</v>
      </c>
      <c r="B18" s="299">
        <f>17+20+22+29</f>
        <v>88</v>
      </c>
      <c r="C18" s="300">
        <f>45.78+37.74+17.88+19.76</f>
        <v>121.16000000000001</v>
      </c>
      <c r="D18" s="300">
        <f>21139.22+22583.36+22775.29+23556.79</f>
        <v>90054.66</v>
      </c>
      <c r="E18" s="300">
        <f>20741.3+21062.01+20940.26+21311.11</f>
        <v>84054.68</v>
      </c>
      <c r="G18" s="29" t="s">
        <v>64</v>
      </c>
      <c r="H18" s="302">
        <v>91</v>
      </c>
      <c r="I18" s="477">
        <v>108.77000000000001</v>
      </c>
      <c r="J18" s="477">
        <v>91407.44</v>
      </c>
      <c r="K18" s="476">
        <v>85501.53</v>
      </c>
      <c r="L18" s="91"/>
      <c r="M18" s="94"/>
      <c r="N18" s="42"/>
    </row>
    <row r="19" spans="1:14" x14ac:dyDescent="0.2">
      <c r="A19" s="298" t="s">
        <v>65</v>
      </c>
      <c r="B19" s="299">
        <v>0</v>
      </c>
      <c r="C19" s="300">
        <v>0</v>
      </c>
      <c r="D19" s="300">
        <v>0</v>
      </c>
      <c r="E19" s="300">
        <v>0</v>
      </c>
      <c r="G19" s="29" t="s">
        <v>65</v>
      </c>
      <c r="H19" s="302">
        <v>113</v>
      </c>
      <c r="I19" s="477">
        <v>140.94</v>
      </c>
      <c r="J19" s="477">
        <v>102316.38</v>
      </c>
      <c r="K19" s="476">
        <v>93843.42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302">
        <v>103</v>
      </c>
      <c r="I20" s="477">
        <v>168.64</v>
      </c>
      <c r="J20" s="477">
        <v>104655.48</v>
      </c>
      <c r="K20" s="476">
        <v>99934.23000000001</v>
      </c>
      <c r="L20" s="42"/>
      <c r="M20" s="91"/>
      <c r="N20" s="42"/>
    </row>
    <row r="21" spans="1:14" x14ac:dyDescent="0.2">
      <c r="A21" s="31" t="s">
        <v>0</v>
      </c>
      <c r="B21" s="95">
        <f>SUM(B9:B20)</f>
        <v>721</v>
      </c>
      <c r="C21" s="157">
        <f>SUM(C9:C20)</f>
        <v>1020.17</v>
      </c>
      <c r="D21" s="157">
        <f>SUM(D9:D20)</f>
        <v>726133.33000000007</v>
      </c>
      <c r="E21" s="157">
        <f>SUM(E9:E20)</f>
        <v>685627.77</v>
      </c>
      <c r="G21" s="31" t="s">
        <v>0</v>
      </c>
      <c r="H21" s="96">
        <v>1047</v>
      </c>
      <c r="I21" s="97">
        <v>1410.8600000000001</v>
      </c>
      <c r="J21" s="97">
        <v>1005207.9999999999</v>
      </c>
      <c r="K21" s="97">
        <v>939746</v>
      </c>
      <c r="L21" s="11"/>
      <c r="M21" s="11"/>
      <c r="N21" s="42"/>
    </row>
    <row r="22" spans="1:14" x14ac:dyDescent="0.2">
      <c r="A22" s="122" t="s">
        <v>486</v>
      </c>
      <c r="B22" s="2"/>
      <c r="C22" s="2"/>
      <c r="D22" s="2"/>
      <c r="E22" s="7"/>
      <c r="G22" s="27"/>
      <c r="H22" s="2"/>
      <c r="I22" s="2" t="s">
        <v>505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41"/>
      <c r="D27" s="441"/>
      <c r="E27" s="441"/>
      <c r="F27" s="2"/>
    </row>
    <row r="28" spans="1:14" x14ac:dyDescent="0.2">
      <c r="A28" s="5"/>
      <c r="B28" s="8" t="s">
        <v>487</v>
      </c>
      <c r="C28" s="465"/>
      <c r="D28" s="466"/>
      <c r="E28" s="467"/>
      <c r="F28" s="467"/>
      <c r="G28" s="5"/>
      <c r="H28" s="8" t="s">
        <v>130</v>
      </c>
      <c r="I28" s="465"/>
      <c r="J28" s="466"/>
      <c r="K28" s="364"/>
    </row>
    <row r="29" spans="1:14" x14ac:dyDescent="0.2">
      <c r="A29" s="5"/>
      <c r="B29" s="15"/>
      <c r="C29" s="9" t="s">
        <v>488</v>
      </c>
      <c r="D29" s="2"/>
      <c r="E29" s="6"/>
      <c r="F29" s="6"/>
      <c r="G29" s="5"/>
      <c r="H29" s="15"/>
      <c r="I29" s="9" t="s">
        <v>490</v>
      </c>
      <c r="J29" s="2"/>
      <c r="K29" s="353"/>
    </row>
    <row r="30" spans="1:14" x14ac:dyDescent="0.2">
      <c r="A30" s="5"/>
      <c r="B30" s="4"/>
      <c r="C30" s="468" t="s">
        <v>491</v>
      </c>
      <c r="D30" s="2"/>
      <c r="E30" s="3"/>
      <c r="F30" s="3"/>
      <c r="G30" s="2"/>
      <c r="H30" s="4"/>
      <c r="I30" s="468" t="s">
        <v>489</v>
      </c>
      <c r="J30" s="2"/>
      <c r="K30" s="353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7" workbookViewId="0">
      <selection activeCell="D21" sqref="D21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481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10" t="s">
        <v>77</v>
      </c>
      <c r="C8" s="510"/>
      <c r="D8" s="510"/>
      <c r="E8" s="510"/>
      <c r="F8" s="510"/>
      <c r="G8" s="2"/>
      <c r="H8" s="510" t="s">
        <v>77</v>
      </c>
      <c r="I8" s="510"/>
      <c r="J8" s="510"/>
      <c r="K8" s="510"/>
      <c r="L8" s="510"/>
    </row>
    <row r="9" spans="2:15" x14ac:dyDescent="0.2">
      <c r="B9" s="514" t="s">
        <v>495</v>
      </c>
      <c r="C9" s="514"/>
      <c r="D9" s="514"/>
      <c r="E9" s="514"/>
      <c r="F9" s="514"/>
      <c r="G9" s="2"/>
      <c r="H9" s="514" t="s">
        <v>500</v>
      </c>
      <c r="I9" s="514"/>
      <c r="J9" s="514"/>
      <c r="K9" s="514"/>
      <c r="L9" s="514"/>
    </row>
    <row r="10" spans="2:15" ht="12.75" customHeight="1" x14ac:dyDescent="0.2">
      <c r="B10" s="19"/>
      <c r="C10" s="503" t="s">
        <v>496</v>
      </c>
      <c r="D10" s="504"/>
      <c r="E10" s="504"/>
      <c r="F10" s="505"/>
      <c r="H10" s="19"/>
      <c r="I10" s="511" t="s">
        <v>498</v>
      </c>
      <c r="J10" s="512"/>
      <c r="K10" s="512"/>
      <c r="L10" s="515"/>
    </row>
    <row r="11" spans="2:15" ht="45" x14ac:dyDescent="0.2">
      <c r="B11" s="33" t="s">
        <v>70</v>
      </c>
      <c r="C11" s="40" t="s">
        <v>116</v>
      </c>
      <c r="D11" s="35" t="s">
        <v>72</v>
      </c>
      <c r="E11" s="437" t="s">
        <v>73</v>
      </c>
      <c r="F11" s="439" t="s">
        <v>78</v>
      </c>
      <c r="H11" s="33" t="s">
        <v>70</v>
      </c>
      <c r="I11" s="40" t="s">
        <v>116</v>
      </c>
      <c r="J11" s="35" t="s">
        <v>72</v>
      </c>
      <c r="K11" s="35" t="s">
        <v>73</v>
      </c>
      <c r="L11" s="28" t="s">
        <v>78</v>
      </c>
      <c r="N11" s="352"/>
    </row>
    <row r="12" spans="2:15" x14ac:dyDescent="0.2">
      <c r="B12" s="29" t="s">
        <v>56</v>
      </c>
      <c r="C12" s="38">
        <f>9+19+5+13</f>
        <v>46</v>
      </c>
      <c r="D12" s="300">
        <f>57.24+183.18+41.57+116.58</f>
        <v>398.57</v>
      </c>
      <c r="E12" s="300">
        <f>10856.4+33025.8+8155.8+20548.8</f>
        <v>72586.8</v>
      </c>
      <c r="F12" s="300">
        <f>11371.35+34673.99+8529.87+21597.73</f>
        <v>76172.94</v>
      </c>
      <c r="H12" s="29" t="s">
        <v>56</v>
      </c>
      <c r="I12" s="38">
        <v>47</v>
      </c>
      <c r="J12" s="472">
        <v>394.84000000000003</v>
      </c>
      <c r="K12" s="472">
        <v>90036.48000000001</v>
      </c>
      <c r="L12" s="473">
        <v>96748.079999999987</v>
      </c>
      <c r="M12" s="125"/>
      <c r="O12" s="42"/>
    </row>
    <row r="13" spans="2:15" x14ac:dyDescent="0.2">
      <c r="B13" s="29" t="s">
        <v>57</v>
      </c>
      <c r="C13" s="38">
        <f>11+21+19+9</f>
        <v>60</v>
      </c>
      <c r="D13" s="36">
        <f>87.89+177.85+207.82+79.6</f>
        <v>553.16</v>
      </c>
      <c r="E13" s="438">
        <f>16264.2+31936.2+36779.4+13489.8</f>
        <v>98469.6</v>
      </c>
      <c r="F13" s="440">
        <f>17054.99+33536.48+38649.36+14206.13</f>
        <v>103446.96</v>
      </c>
      <c r="H13" s="29" t="s">
        <v>57</v>
      </c>
      <c r="I13" s="302">
        <v>42</v>
      </c>
      <c r="J13" s="474">
        <v>356.93000000000006</v>
      </c>
      <c r="K13" s="474">
        <v>65469.229999999996</v>
      </c>
      <c r="L13" s="303">
        <v>68785.97</v>
      </c>
      <c r="M13" s="125"/>
      <c r="N13" s="91"/>
      <c r="O13" s="42"/>
    </row>
    <row r="14" spans="2:15" x14ac:dyDescent="0.2">
      <c r="B14" s="29" t="s">
        <v>58</v>
      </c>
      <c r="C14" s="38">
        <f>19+23+15+27+9</f>
        <v>93</v>
      </c>
      <c r="D14" s="36">
        <f>141.71+173.19+146.51+216.45+65.22</f>
        <v>743.07999999999993</v>
      </c>
      <c r="E14" s="36">
        <f>25440.4+32554.2+27678+53815.69+12490.8</f>
        <v>151979.09</v>
      </c>
      <c r="F14" s="30">
        <f>26715.48+34112.56+28996.36+57497.88+13077.65</f>
        <v>160399.93</v>
      </c>
      <c r="H14" s="29" t="s">
        <v>58</v>
      </c>
      <c r="I14" s="302">
        <v>85</v>
      </c>
      <c r="J14" s="474">
        <v>609.20000000000005</v>
      </c>
      <c r="K14" s="474">
        <v>122088.59999999999</v>
      </c>
      <c r="L14" s="303">
        <v>128533.81</v>
      </c>
      <c r="M14" s="125"/>
      <c r="N14" s="90"/>
      <c r="O14" s="11"/>
    </row>
    <row r="15" spans="2:15" x14ac:dyDescent="0.2">
      <c r="B15" s="29" t="s">
        <v>59</v>
      </c>
      <c r="C15" s="38">
        <f>30+20+11</f>
        <v>61</v>
      </c>
      <c r="D15" s="36">
        <f>234.78+154.93+69.4</f>
        <v>459.11</v>
      </c>
      <c r="E15" s="36">
        <f>45652.8+27594+13591.8</f>
        <v>86838.6</v>
      </c>
      <c r="F15" s="30">
        <f>47765.27+28987.97+14216.34</f>
        <v>90969.579999999987</v>
      </c>
      <c r="H15" s="29" t="s">
        <v>59</v>
      </c>
      <c r="I15" s="302">
        <v>116</v>
      </c>
      <c r="J15" s="475">
        <v>970.55</v>
      </c>
      <c r="K15" s="475">
        <v>184753.2</v>
      </c>
      <c r="L15" s="476">
        <v>193886.79</v>
      </c>
      <c r="M15" s="99"/>
      <c r="O15" s="11"/>
    </row>
    <row r="16" spans="2:15" x14ac:dyDescent="0.2">
      <c r="B16" s="29" t="s">
        <v>60</v>
      </c>
      <c r="C16" s="38">
        <f>19+13+18+19+21</f>
        <v>90</v>
      </c>
      <c r="D16" s="36">
        <f>133.94+66.89+137.82+158.3+144.35</f>
        <v>641.29999999999995</v>
      </c>
      <c r="E16" s="36">
        <f>24375+17189.28+24907.8+29274.4+27699.78</f>
        <v>123446.26000000001</v>
      </c>
      <c r="F16" s="30">
        <f>25580.38+18790.28+26147.92+30698.88+28998.54</f>
        <v>130216</v>
      </c>
      <c r="H16" s="29" t="s">
        <v>60</v>
      </c>
      <c r="I16" s="302">
        <v>124</v>
      </c>
      <c r="J16" s="474">
        <v>1019.6600000000001</v>
      </c>
      <c r="K16" s="474">
        <v>190551.96</v>
      </c>
      <c r="L16" s="303">
        <v>200123.46000000002</v>
      </c>
      <c r="M16" s="91"/>
      <c r="N16" s="90"/>
      <c r="O16" s="11"/>
    </row>
    <row r="17" spans="1:16" x14ac:dyDescent="0.2">
      <c r="B17" s="29" t="s">
        <v>61</v>
      </c>
      <c r="C17" s="38">
        <f>21+37+25+8</f>
        <v>91</v>
      </c>
      <c r="D17" s="36">
        <f>186.93+238.7+209.05+53.55</f>
        <v>688.23</v>
      </c>
      <c r="E17" s="36">
        <f>34131+43899.6+41404.2+9178.8</f>
        <v>128613.6</v>
      </c>
      <c r="F17" s="30">
        <f>35813.1+46047.1+43791.01+9660.75</f>
        <v>135311.96</v>
      </c>
      <c r="H17" s="29" t="s">
        <v>61</v>
      </c>
      <c r="I17" s="302">
        <v>78</v>
      </c>
      <c r="J17" s="474">
        <v>515.70000000000005</v>
      </c>
      <c r="K17" s="474">
        <v>93701.400000000009</v>
      </c>
      <c r="L17" s="303">
        <v>98341.62</v>
      </c>
      <c r="M17" s="91"/>
      <c r="N17" s="90"/>
      <c r="O17" s="11"/>
    </row>
    <row r="18" spans="1:16" x14ac:dyDescent="0.2">
      <c r="B18" s="24" t="s">
        <v>79</v>
      </c>
      <c r="C18" s="38">
        <f>18+33+50+26</f>
        <v>127</v>
      </c>
      <c r="D18" s="36">
        <f>95.67+231.52+353.36+234</f>
        <v>914.55</v>
      </c>
      <c r="E18" s="36">
        <f>24786+51629.88+74984.16+51093.12</f>
        <v>202493.16</v>
      </c>
      <c r="F18" s="30">
        <f>27332.95+55768.55+79646.73+55194.62</f>
        <v>217942.84999999998</v>
      </c>
      <c r="G18" s="100"/>
      <c r="H18" s="101" t="s">
        <v>79</v>
      </c>
      <c r="I18" s="302">
        <v>104</v>
      </c>
      <c r="J18" s="474">
        <v>776.40000000000009</v>
      </c>
      <c r="K18" s="474">
        <v>143984.12</v>
      </c>
      <c r="L18" s="303">
        <v>151223.74</v>
      </c>
      <c r="M18" s="42"/>
      <c r="N18" s="90"/>
      <c r="O18" s="42"/>
    </row>
    <row r="19" spans="1:16" x14ac:dyDescent="0.2">
      <c r="B19" s="88" t="s">
        <v>63</v>
      </c>
      <c r="C19" s="38">
        <f>14+4+34+8</f>
        <v>60</v>
      </c>
      <c r="D19" s="36">
        <f>128.78+12.76+305.67+61.83</f>
        <v>509.04</v>
      </c>
      <c r="E19" s="36">
        <f>23855.4+16900.12+52944+10239</f>
        <v>103938.52</v>
      </c>
      <c r="F19" s="30">
        <f>25014.1+19415.82+55694.4+10795.32</f>
        <v>110919.64000000001</v>
      </c>
      <c r="H19" s="89" t="s">
        <v>63</v>
      </c>
      <c r="I19" s="302">
        <v>82</v>
      </c>
      <c r="J19" s="474">
        <v>717.84</v>
      </c>
      <c r="K19" s="474">
        <v>137550.51</v>
      </c>
      <c r="L19" s="303">
        <v>144996.56999999998</v>
      </c>
      <c r="M19" s="42"/>
      <c r="N19" s="11"/>
      <c r="O19" s="11"/>
    </row>
    <row r="20" spans="1:16" x14ac:dyDescent="0.2">
      <c r="B20" s="88" t="s">
        <v>75</v>
      </c>
      <c r="C20" s="38">
        <f>1+29+24+23+15</f>
        <v>92</v>
      </c>
      <c r="D20" s="36">
        <f>11.01+267.07+151.81+173.24+164.01</f>
        <v>767.14</v>
      </c>
      <c r="E20" s="36">
        <f>2175.6+59332.2+27624.96+36756+29788.8</f>
        <v>155677.56</v>
      </c>
      <c r="F20" s="30">
        <f>2274.7+63750.97+28991.1+39255.38+31264.6</f>
        <v>165536.75</v>
      </c>
      <c r="H20" s="29" t="s">
        <v>75</v>
      </c>
      <c r="I20" s="302">
        <v>87</v>
      </c>
      <c r="J20" s="474">
        <v>649.84</v>
      </c>
      <c r="K20" s="474">
        <v>116931.48000000001</v>
      </c>
      <c r="L20" s="303">
        <v>122778.89</v>
      </c>
      <c r="M20" s="102"/>
      <c r="N20" s="93"/>
      <c r="O20" s="91"/>
      <c r="P20" s="11"/>
    </row>
    <row r="21" spans="1:16" x14ac:dyDescent="0.2">
      <c r="B21" s="29" t="s">
        <v>64</v>
      </c>
      <c r="C21" s="38">
        <f>23+29+20+6</f>
        <v>78</v>
      </c>
      <c r="D21" s="36">
        <f>167.89+212.34+120.35+28.06</f>
        <v>528.64</v>
      </c>
      <c r="E21" s="36">
        <f>30892.8+41338.2+27611.77+9686.4</f>
        <v>109529.17</v>
      </c>
      <c r="F21" s="30">
        <f>32403.57+43787.71+29593.99+10829.1</f>
        <v>116614.37000000001</v>
      </c>
      <c r="H21" s="29" t="s">
        <v>64</v>
      </c>
      <c r="I21" s="302">
        <v>78</v>
      </c>
      <c r="J21" s="474">
        <v>584.67999999999995</v>
      </c>
      <c r="K21" s="474">
        <v>109804.79999999999</v>
      </c>
      <c r="L21" s="303">
        <v>115415.43</v>
      </c>
      <c r="M21" s="91"/>
      <c r="N21" s="42"/>
      <c r="O21" s="11"/>
    </row>
    <row r="22" spans="1:16" x14ac:dyDescent="0.2">
      <c r="B22" s="29" t="s">
        <v>65</v>
      </c>
      <c r="C22" s="38">
        <v>0</v>
      </c>
      <c r="D22" s="36">
        <v>0</v>
      </c>
      <c r="E22" s="36">
        <v>0</v>
      </c>
      <c r="F22" s="30">
        <v>0</v>
      </c>
      <c r="H22" s="29" t="s">
        <v>65</v>
      </c>
      <c r="I22" s="302">
        <v>85</v>
      </c>
      <c r="J22" s="474">
        <v>637.45000000000005</v>
      </c>
      <c r="K22" s="474">
        <v>137100.24</v>
      </c>
      <c r="L22" s="303">
        <v>146791.25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02">
        <v>65</v>
      </c>
      <c r="J23" s="474">
        <v>500.15999999999997</v>
      </c>
      <c r="K23" s="474">
        <v>100520.67</v>
      </c>
      <c r="L23" s="303">
        <v>106928.54000000001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798</v>
      </c>
      <c r="D24" s="37">
        <f>SUM(D12:D23)</f>
        <v>6202.8200000000006</v>
      </c>
      <c r="E24" s="105">
        <f>SUM(E12:E23)</f>
        <v>1233572.3599999999</v>
      </c>
      <c r="F24" s="32">
        <f>SUM(F12:F23)</f>
        <v>1307530.98</v>
      </c>
      <c r="H24" s="31" t="s">
        <v>0</v>
      </c>
      <c r="I24" s="39">
        <v>993</v>
      </c>
      <c r="J24" s="37">
        <v>7733.2500000000009</v>
      </c>
      <c r="K24" s="105">
        <v>1492492.69</v>
      </c>
      <c r="L24" s="32">
        <v>1574554.15</v>
      </c>
      <c r="M24" s="42"/>
      <c r="N24" s="106"/>
      <c r="O24" s="11"/>
    </row>
    <row r="25" spans="1:16" x14ac:dyDescent="0.2">
      <c r="B25" s="331" t="s">
        <v>486</v>
      </c>
      <c r="I25" s="5"/>
      <c r="J25" s="2" t="s">
        <v>505</v>
      </c>
      <c r="L25" s="8"/>
      <c r="M25" s="42"/>
    </row>
    <row r="26" spans="1:16" x14ac:dyDescent="0.2">
      <c r="I26" s="5"/>
      <c r="N26" s="11"/>
    </row>
    <row r="27" spans="1:16" x14ac:dyDescent="0.2">
      <c r="A27" s="5"/>
      <c r="B27" s="119"/>
      <c r="C27" s="2"/>
      <c r="D27" s="2"/>
      <c r="E27" s="2"/>
      <c r="F27" s="2"/>
      <c r="G27" s="2"/>
    </row>
    <row r="28" spans="1:16" x14ac:dyDescent="0.2">
      <c r="B28" s="119"/>
    </row>
    <row r="29" spans="1:16" x14ac:dyDescent="0.2">
      <c r="B29" s="119"/>
      <c r="E29" s="14"/>
      <c r="N29" s="11"/>
    </row>
    <row r="30" spans="1:16" x14ac:dyDescent="0.2">
      <c r="B30" s="2"/>
      <c r="D30" s="4"/>
      <c r="E30" s="4"/>
    </row>
    <row r="31" spans="1:16" x14ac:dyDescent="0.2">
      <c r="B31" s="2"/>
      <c r="C31" s="8" t="s">
        <v>487</v>
      </c>
      <c r="D31" s="465"/>
      <c r="E31" s="466"/>
      <c r="F31" s="467"/>
      <c r="G31" s="467"/>
      <c r="H31" s="5"/>
      <c r="I31" s="8" t="s">
        <v>130</v>
      </c>
      <c r="J31" s="465"/>
      <c r="K31" s="466"/>
      <c r="L31" s="364"/>
    </row>
    <row r="32" spans="1:16" x14ac:dyDescent="0.2">
      <c r="A32" s="2"/>
      <c r="B32" s="34"/>
      <c r="C32" s="15"/>
      <c r="D32" s="9" t="s">
        <v>488</v>
      </c>
      <c r="E32" s="2"/>
      <c r="F32" s="6"/>
      <c r="G32" s="6"/>
      <c r="H32" s="5"/>
      <c r="I32" s="15"/>
      <c r="J32" s="9" t="s">
        <v>490</v>
      </c>
      <c r="K32" s="2"/>
      <c r="L32" s="353"/>
      <c r="M32" s="5"/>
    </row>
    <row r="33" spans="1:13" x14ac:dyDescent="0.2">
      <c r="A33" s="41"/>
      <c r="B33" s="41"/>
      <c r="C33" s="4"/>
      <c r="D33" s="468" t="s">
        <v>491</v>
      </c>
      <c r="E33" s="2"/>
      <c r="F33" s="3"/>
      <c r="G33" s="3"/>
      <c r="H33" s="2"/>
      <c r="I33" s="4"/>
      <c r="J33" s="468" t="s">
        <v>489</v>
      </c>
      <c r="K33" s="2"/>
      <c r="L33" s="353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117</v>
      </c>
    </row>
    <row r="3" spans="2:18" x14ac:dyDescent="0.2">
      <c r="B3" s="516" t="s">
        <v>196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</row>
    <row r="4" spans="2:18" x14ac:dyDescent="0.2">
      <c r="B4" s="517" t="s">
        <v>478</v>
      </c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18" t="s">
        <v>204</v>
      </c>
      <c r="C6" s="518"/>
      <c r="D6" s="518"/>
      <c r="E6" s="518"/>
      <c r="F6" s="518"/>
      <c r="G6" s="518"/>
      <c r="H6" s="518"/>
      <c r="I6" s="518"/>
      <c r="J6" s="518"/>
      <c r="K6" s="518"/>
      <c r="L6" s="518"/>
      <c r="M6" s="296">
        <f>C25</f>
        <v>48</v>
      </c>
      <c r="N6" s="187"/>
      <c r="O6" s="187"/>
      <c r="P6" s="187"/>
    </row>
    <row r="7" spans="2:18" ht="12" thickBot="1" x14ac:dyDescent="0.25">
      <c r="B7" s="519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</row>
    <row r="8" spans="2:18" ht="12.75" thickBot="1" x14ac:dyDescent="0.25">
      <c r="B8" s="520" t="s">
        <v>19</v>
      </c>
      <c r="C8" s="521"/>
      <c r="D8" s="520" t="s">
        <v>174</v>
      </c>
      <c r="E8" s="522"/>
      <c r="F8" s="517"/>
      <c r="G8" s="532" t="s">
        <v>21</v>
      </c>
      <c r="H8" s="534"/>
      <c r="I8" s="544">
        <f>SUM(I10:I32)</f>
        <v>0</v>
      </c>
      <c r="J8" s="532" t="s">
        <v>20</v>
      </c>
      <c r="K8" s="534"/>
      <c r="L8" s="531"/>
      <c r="M8" s="532" t="s">
        <v>22</v>
      </c>
      <c r="N8" s="533"/>
      <c r="O8" s="533"/>
      <c r="P8" s="534"/>
    </row>
    <row r="9" spans="2:18" ht="12.75" thickBot="1" x14ac:dyDescent="0.25">
      <c r="B9" s="523" t="s">
        <v>23</v>
      </c>
      <c r="C9" s="524"/>
      <c r="D9" s="225" t="s">
        <v>175</v>
      </c>
      <c r="E9" s="224" t="s">
        <v>176</v>
      </c>
      <c r="F9" s="517"/>
      <c r="G9" s="525" t="s">
        <v>26</v>
      </c>
      <c r="H9" s="526"/>
      <c r="I9" s="544"/>
      <c r="J9" s="525" t="s">
        <v>25</v>
      </c>
      <c r="K9" s="526"/>
      <c r="L9" s="531"/>
      <c r="M9" s="527" t="s">
        <v>27</v>
      </c>
      <c r="N9" s="528"/>
      <c r="O9" s="529" t="s">
        <v>29</v>
      </c>
      <c r="P9" s="530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17"/>
      <c r="G10" s="221" t="s">
        <v>186</v>
      </c>
      <c r="H10" s="234">
        <v>0</v>
      </c>
      <c r="I10" s="544"/>
      <c r="J10" s="190" t="s">
        <v>154</v>
      </c>
      <c r="K10" s="228">
        <v>0</v>
      </c>
      <c r="L10" s="531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17"/>
      <c r="G11" s="207" t="s">
        <v>187</v>
      </c>
      <c r="H11" s="232">
        <v>5</v>
      </c>
      <c r="I11" s="544"/>
      <c r="J11" s="190" t="s">
        <v>179</v>
      </c>
      <c r="K11" s="228">
        <v>1</v>
      </c>
      <c r="L11" s="531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17"/>
      <c r="G12" s="207" t="s">
        <v>35</v>
      </c>
      <c r="H12" s="232">
        <v>7</v>
      </c>
      <c r="I12" s="544"/>
      <c r="J12" s="190" t="s">
        <v>112</v>
      </c>
      <c r="K12" s="228">
        <v>1</v>
      </c>
      <c r="L12" s="531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17"/>
      <c r="G13" s="207" t="s">
        <v>38</v>
      </c>
      <c r="H13" s="232">
        <v>11</v>
      </c>
      <c r="I13" s="544"/>
      <c r="J13" s="190" t="s">
        <v>113</v>
      </c>
      <c r="K13" s="228">
        <v>0</v>
      </c>
      <c r="L13" s="531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17"/>
      <c r="G14" s="207" t="s">
        <v>183</v>
      </c>
      <c r="H14" s="232">
        <v>10</v>
      </c>
      <c r="I14" s="544"/>
      <c r="J14" s="190" t="s">
        <v>188</v>
      </c>
      <c r="K14" s="228">
        <v>0</v>
      </c>
      <c r="L14" s="531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17"/>
      <c r="G15" s="222" t="s">
        <v>184</v>
      </c>
      <c r="H15" s="232">
        <v>11</v>
      </c>
      <c r="I15" s="544"/>
      <c r="J15" s="190" t="s">
        <v>114</v>
      </c>
      <c r="K15" s="228">
        <v>0</v>
      </c>
      <c r="L15" s="531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17"/>
      <c r="G16" s="222" t="s">
        <v>185</v>
      </c>
      <c r="H16" s="232">
        <v>4</v>
      </c>
      <c r="I16" s="544"/>
      <c r="J16" s="190" t="s">
        <v>47</v>
      </c>
      <c r="K16" s="228">
        <v>1</v>
      </c>
      <c r="L16" s="531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17"/>
      <c r="G17" s="223" t="s">
        <v>140</v>
      </c>
      <c r="H17" s="233">
        <v>0</v>
      </c>
      <c r="I17" s="544"/>
      <c r="J17" s="190" t="s">
        <v>138</v>
      </c>
      <c r="K17" s="228">
        <v>1</v>
      </c>
      <c r="L17" s="531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17"/>
      <c r="G18" s="220" t="s">
        <v>0</v>
      </c>
      <c r="H18" s="235">
        <f>SUM(H10:H17)</f>
        <v>48</v>
      </c>
      <c r="I18" s="544"/>
      <c r="J18" s="190" t="s">
        <v>144</v>
      </c>
      <c r="K18" s="228">
        <v>1</v>
      </c>
      <c r="L18" s="531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17"/>
      <c r="I19" s="544"/>
      <c r="J19" s="190" t="s">
        <v>137</v>
      </c>
      <c r="K19" s="228">
        <v>2</v>
      </c>
      <c r="L19" s="531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17"/>
      <c r="G20" s="545" t="s">
        <v>24</v>
      </c>
      <c r="H20" s="546"/>
      <c r="I20" s="544"/>
      <c r="J20" s="191" t="s">
        <v>190</v>
      </c>
      <c r="K20" s="228">
        <v>6</v>
      </c>
      <c r="L20" s="531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17"/>
      <c r="G21" s="211" t="s">
        <v>32</v>
      </c>
      <c r="H21" s="236">
        <v>16</v>
      </c>
      <c r="I21" s="544"/>
      <c r="J21" s="191" t="s">
        <v>173</v>
      </c>
      <c r="K21" s="228">
        <v>1</v>
      </c>
      <c r="L21" s="531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17"/>
      <c r="G22" s="208" t="s">
        <v>34</v>
      </c>
      <c r="H22" s="237">
        <v>3</v>
      </c>
      <c r="I22" s="544"/>
      <c r="J22" s="191" t="s">
        <v>191</v>
      </c>
      <c r="K22" s="228">
        <v>0</v>
      </c>
      <c r="L22" s="531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17"/>
      <c r="G23" s="208" t="s">
        <v>37</v>
      </c>
      <c r="H23" s="237">
        <v>24</v>
      </c>
      <c r="I23" s="544"/>
      <c r="J23" s="190" t="s">
        <v>54</v>
      </c>
      <c r="K23" s="228">
        <v>0</v>
      </c>
      <c r="L23" s="531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133</v>
      </c>
      <c r="C24" s="226">
        <f t="shared" si="0"/>
        <v>0</v>
      </c>
      <c r="D24" s="229">
        <v>0</v>
      </c>
      <c r="E24" s="231">
        <v>0</v>
      </c>
      <c r="F24" s="517"/>
      <c r="G24" s="208" t="s">
        <v>40</v>
      </c>
      <c r="H24" s="237">
        <v>4</v>
      </c>
      <c r="I24" s="544"/>
      <c r="J24" s="190" t="s">
        <v>135</v>
      </c>
      <c r="K24" s="228">
        <v>0</v>
      </c>
      <c r="L24" s="531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17"/>
      <c r="G25" s="209" t="s">
        <v>42</v>
      </c>
      <c r="H25" s="237">
        <v>1</v>
      </c>
      <c r="I25" s="544"/>
      <c r="J25" s="190" t="s">
        <v>134</v>
      </c>
      <c r="K25" s="228">
        <v>1</v>
      </c>
      <c r="L25" s="531"/>
      <c r="M25" s="540" t="s">
        <v>30</v>
      </c>
      <c r="N25" s="541"/>
      <c r="O25" s="542" t="s">
        <v>28</v>
      </c>
      <c r="P25" s="543"/>
    </row>
    <row r="26" spans="2:18" ht="12" thickBot="1" x14ac:dyDescent="0.25">
      <c r="B26" s="121" t="s">
        <v>151</v>
      </c>
      <c r="C26" s="188"/>
      <c r="D26" s="188"/>
      <c r="E26" s="188"/>
      <c r="F26" s="517"/>
      <c r="G26" s="209" t="s">
        <v>44</v>
      </c>
      <c r="H26" s="237">
        <v>0</v>
      </c>
      <c r="I26" s="544"/>
      <c r="J26" s="190" t="s">
        <v>55</v>
      </c>
      <c r="K26" s="228">
        <v>9</v>
      </c>
      <c r="L26" s="531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17"/>
      <c r="G27" s="210" t="s">
        <v>120</v>
      </c>
      <c r="H27" s="238">
        <v>0</v>
      </c>
      <c r="I27" s="544"/>
      <c r="J27" s="190" t="s">
        <v>125</v>
      </c>
      <c r="K27" s="228">
        <v>0</v>
      </c>
      <c r="L27" s="531"/>
      <c r="M27" s="535"/>
      <c r="N27" s="535"/>
      <c r="O27" s="535"/>
      <c r="P27" s="536"/>
    </row>
    <row r="28" spans="2:18" ht="12" thickBot="1" x14ac:dyDescent="0.25">
      <c r="B28" s="259"/>
      <c r="C28" s="188"/>
      <c r="D28" s="188"/>
      <c r="E28" s="188"/>
      <c r="F28" s="517"/>
      <c r="G28" s="218" t="s">
        <v>0</v>
      </c>
      <c r="H28" s="219">
        <f>H21+H22+H23+H24+H25+H26+H27</f>
        <v>48</v>
      </c>
      <c r="I28" s="544"/>
      <c r="J28" s="190" t="s">
        <v>145</v>
      </c>
      <c r="K28" s="228">
        <v>3</v>
      </c>
      <c r="L28" s="531"/>
      <c r="M28" s="537" t="s">
        <v>115</v>
      </c>
      <c r="N28" s="538"/>
      <c r="O28" s="538"/>
      <c r="P28" s="539"/>
    </row>
    <row r="29" spans="2:18" ht="16.5" x14ac:dyDescent="0.2">
      <c r="B29" s="259"/>
      <c r="C29" s="188"/>
      <c r="D29" s="188"/>
      <c r="E29" s="188"/>
      <c r="F29" s="517"/>
      <c r="I29" s="544"/>
      <c r="J29" s="190" t="s">
        <v>129</v>
      </c>
      <c r="K29" s="228">
        <v>0</v>
      </c>
      <c r="L29" s="531"/>
      <c r="M29" s="241" t="s">
        <v>122</v>
      </c>
      <c r="N29" s="254">
        <v>24</v>
      </c>
      <c r="O29" s="194" t="s">
        <v>178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17"/>
      <c r="I30" s="544"/>
      <c r="J30" s="214" t="s">
        <v>136</v>
      </c>
      <c r="K30" s="228">
        <v>0</v>
      </c>
      <c r="L30" s="531"/>
      <c r="M30" s="241" t="s">
        <v>123</v>
      </c>
      <c r="N30" s="254">
        <v>0</v>
      </c>
      <c r="O30" s="195" t="s">
        <v>180</v>
      </c>
      <c r="P30" s="192">
        <v>1</v>
      </c>
    </row>
    <row r="31" spans="2:18" ht="16.5" x14ac:dyDescent="0.2">
      <c r="B31" s="259"/>
      <c r="C31" s="188"/>
      <c r="D31" s="188"/>
      <c r="E31" s="188"/>
      <c r="F31" s="517"/>
      <c r="G31" s="188"/>
      <c r="H31" s="188"/>
      <c r="I31" s="544"/>
      <c r="J31" s="214" t="s">
        <v>207</v>
      </c>
      <c r="K31" s="228">
        <v>13</v>
      </c>
      <c r="L31" s="531"/>
      <c r="M31" s="241" t="s">
        <v>177</v>
      </c>
      <c r="N31" s="254">
        <v>0</v>
      </c>
      <c r="O31" s="195" t="s">
        <v>181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17"/>
      <c r="G32" s="188"/>
      <c r="H32" s="188"/>
      <c r="I32" s="544"/>
      <c r="J32" s="214" t="s">
        <v>189</v>
      </c>
      <c r="K32" s="228">
        <v>8</v>
      </c>
      <c r="L32" s="531"/>
      <c r="M32" s="242" t="s">
        <v>121</v>
      </c>
      <c r="N32" s="255">
        <v>4</v>
      </c>
      <c r="O32" s="196" t="s">
        <v>182</v>
      </c>
      <c r="P32" s="193">
        <v>15</v>
      </c>
    </row>
    <row r="33" spans="2:18" ht="12.75" thickBot="1" x14ac:dyDescent="0.25">
      <c r="F33" s="517"/>
      <c r="G33" s="189"/>
      <c r="H33" s="189"/>
      <c r="I33" s="544"/>
      <c r="J33" s="215" t="s">
        <v>0</v>
      </c>
      <c r="K33" s="217">
        <f>SUM(K10:K32)</f>
        <v>48</v>
      </c>
      <c r="L33" s="531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483</v>
      </c>
      <c r="P34" s="64"/>
    </row>
    <row r="35" spans="2:18" ht="12.75" x14ac:dyDescent="0.2">
      <c r="B35" s="109" t="s">
        <v>124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146</v>
      </c>
    </row>
    <row r="42" spans="2:18" ht="12.75" x14ac:dyDescent="0.2">
      <c r="N42" s="64" t="s">
        <v>66</v>
      </c>
    </row>
  </sheetData>
  <mergeCells count="22"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  <mergeCell ref="B3:P3"/>
    <mergeCell ref="B4:P4"/>
    <mergeCell ref="B6:L6"/>
    <mergeCell ref="B7:P7"/>
    <mergeCell ref="B8:C8"/>
    <mergeCell ref="D8:E8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H10" sqref="H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118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92" t="s">
        <v>98</v>
      </c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</row>
    <row r="4" spans="1:20" x14ac:dyDescent="0.2">
      <c r="A4" s="2"/>
      <c r="B4" s="492" t="s">
        <v>99</v>
      </c>
      <c r="C4" s="492"/>
      <c r="D4" s="492"/>
      <c r="E4" s="492"/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492"/>
    </row>
    <row r="5" spans="1:20" x14ac:dyDescent="0.2">
      <c r="A5" s="2"/>
      <c r="B5" s="492" t="s">
        <v>139</v>
      </c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47" t="s">
        <v>479</v>
      </c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7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8" t="s">
        <v>100</v>
      </c>
      <c r="D8" s="549"/>
      <c r="E8" s="549"/>
      <c r="F8" s="549"/>
      <c r="G8" s="550"/>
      <c r="H8" s="46" t="s">
        <v>101</v>
      </c>
      <c r="I8" s="548" t="s">
        <v>102</v>
      </c>
      <c r="J8" s="549"/>
      <c r="K8" s="549"/>
      <c r="L8" s="549"/>
      <c r="M8" s="550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103</v>
      </c>
      <c r="D9" s="48" t="s">
        <v>30</v>
      </c>
      <c r="E9" s="48" t="s">
        <v>104</v>
      </c>
      <c r="F9" s="48" t="s">
        <v>29</v>
      </c>
      <c r="G9" s="48" t="s">
        <v>28</v>
      </c>
      <c r="H9" s="107" t="s">
        <v>105</v>
      </c>
      <c r="I9" s="152" t="s">
        <v>106</v>
      </c>
      <c r="J9" s="48" t="s">
        <v>30</v>
      </c>
      <c r="K9" s="48" t="s">
        <v>104</v>
      </c>
      <c r="L9" s="48" t="s">
        <v>29</v>
      </c>
      <c r="M9" s="108" t="s">
        <v>28</v>
      </c>
      <c r="N9" s="107" t="s">
        <v>128</v>
      </c>
      <c r="O9" s="153" t="s">
        <v>127</v>
      </c>
      <c r="P9" s="118" t="s">
        <v>107</v>
      </c>
      <c r="Q9" s="23"/>
      <c r="R9" s="23"/>
      <c r="S9" s="23"/>
      <c r="T9" s="23"/>
    </row>
    <row r="10" spans="1:20" ht="21.95" customHeight="1" thickBot="1" x14ac:dyDescent="0.25">
      <c r="A10" s="2"/>
      <c r="B10" s="397" t="s">
        <v>56</v>
      </c>
      <c r="C10" s="398">
        <v>24</v>
      </c>
      <c r="D10" s="399">
        <v>12</v>
      </c>
      <c r="E10" s="399">
        <v>22</v>
      </c>
      <c r="F10" s="399">
        <v>1</v>
      </c>
      <c r="G10" s="400">
        <v>9</v>
      </c>
      <c r="H10" s="401">
        <f>SUM(D10:G10)</f>
        <v>44</v>
      </c>
      <c r="I10" s="402">
        <v>24</v>
      </c>
      <c r="J10" s="399">
        <v>7</v>
      </c>
      <c r="K10" s="399">
        <v>21</v>
      </c>
      <c r="L10" s="399">
        <v>0</v>
      </c>
      <c r="M10" s="399">
        <v>6</v>
      </c>
      <c r="N10" s="401">
        <f>SUM(J10:M10)</f>
        <v>34</v>
      </c>
      <c r="O10" s="403">
        <f>+C10+I10</f>
        <v>48</v>
      </c>
      <c r="P10" s="404">
        <f t="shared" ref="P10:P21" si="0">+N10+H10</f>
        <v>78</v>
      </c>
      <c r="Q10" s="49"/>
      <c r="R10" s="49"/>
      <c r="S10" s="25"/>
      <c r="T10" s="25"/>
    </row>
    <row r="11" spans="1:20" ht="21.95" customHeight="1" thickBot="1" x14ac:dyDescent="0.25">
      <c r="A11" s="2"/>
      <c r="B11" s="405" t="s">
        <v>57</v>
      </c>
      <c r="C11" s="406">
        <v>0</v>
      </c>
      <c r="D11" s="407">
        <v>0</v>
      </c>
      <c r="E11" s="407">
        <v>0</v>
      </c>
      <c r="F11" s="407">
        <v>0</v>
      </c>
      <c r="G11" s="407">
        <v>0</v>
      </c>
      <c r="H11" s="401">
        <f t="shared" ref="H11:H21" si="1">SUM(D11:G11)</f>
        <v>0</v>
      </c>
      <c r="I11" s="406">
        <v>0</v>
      </c>
      <c r="J11" s="407">
        <v>0</v>
      </c>
      <c r="K11" s="407">
        <v>0</v>
      </c>
      <c r="L11" s="407">
        <v>0</v>
      </c>
      <c r="M11" s="407">
        <v>0</v>
      </c>
      <c r="N11" s="401">
        <f t="shared" ref="N11:N21" si="2">SUM(J11:M11)</f>
        <v>0</v>
      </c>
      <c r="O11" s="408">
        <f t="shared" ref="O11:O21" si="3">+C11+I11</f>
        <v>0</v>
      </c>
      <c r="P11" s="404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5" t="s">
        <v>58</v>
      </c>
      <c r="C12" s="406">
        <v>0</v>
      </c>
      <c r="D12" s="407">
        <v>0</v>
      </c>
      <c r="E12" s="407">
        <v>0</v>
      </c>
      <c r="F12" s="407">
        <v>0</v>
      </c>
      <c r="G12" s="407">
        <v>0</v>
      </c>
      <c r="H12" s="401">
        <f>SUM(D12:G12)</f>
        <v>0</v>
      </c>
      <c r="I12" s="406">
        <v>0</v>
      </c>
      <c r="J12" s="407">
        <v>0</v>
      </c>
      <c r="K12" s="407">
        <v>0</v>
      </c>
      <c r="L12" s="407">
        <v>0</v>
      </c>
      <c r="M12" s="407">
        <v>0</v>
      </c>
      <c r="N12" s="401">
        <f t="shared" si="2"/>
        <v>0</v>
      </c>
      <c r="O12" s="408">
        <f t="shared" si="3"/>
        <v>0</v>
      </c>
      <c r="P12" s="404">
        <f t="shared" si="0"/>
        <v>0</v>
      </c>
      <c r="Q12" s="50"/>
      <c r="R12" s="25"/>
      <c r="S12" s="25" t="s">
        <v>108</v>
      </c>
      <c r="T12" s="25"/>
    </row>
    <row r="13" spans="1:20" ht="21.95" customHeight="1" thickBot="1" x14ac:dyDescent="0.25">
      <c r="A13" s="2"/>
      <c r="B13" s="405" t="s">
        <v>59</v>
      </c>
      <c r="C13" s="406">
        <v>0</v>
      </c>
      <c r="D13" s="407">
        <v>0</v>
      </c>
      <c r="E13" s="407">
        <v>0</v>
      </c>
      <c r="F13" s="407">
        <v>0</v>
      </c>
      <c r="G13" s="407">
        <v>0</v>
      </c>
      <c r="H13" s="401">
        <f>SUM(D13:G13)</f>
        <v>0</v>
      </c>
      <c r="I13" s="406">
        <v>0</v>
      </c>
      <c r="J13" s="407">
        <v>0</v>
      </c>
      <c r="K13" s="407">
        <v>0</v>
      </c>
      <c r="L13" s="407">
        <v>0</v>
      </c>
      <c r="M13" s="407">
        <v>0</v>
      </c>
      <c r="N13" s="401">
        <f t="shared" si="2"/>
        <v>0</v>
      </c>
      <c r="O13" s="408">
        <f t="shared" si="3"/>
        <v>0</v>
      </c>
      <c r="P13" s="404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5" t="s">
        <v>60</v>
      </c>
      <c r="C14" s="406">
        <v>0</v>
      </c>
      <c r="D14" s="407">
        <v>0</v>
      </c>
      <c r="E14" s="407">
        <v>0</v>
      </c>
      <c r="F14" s="407">
        <v>0</v>
      </c>
      <c r="G14" s="407">
        <v>0</v>
      </c>
      <c r="H14" s="401">
        <f>SUM(D14:G14)</f>
        <v>0</v>
      </c>
      <c r="I14" s="406">
        <v>0</v>
      </c>
      <c r="J14" s="407">
        <v>0</v>
      </c>
      <c r="K14" s="407">
        <v>0</v>
      </c>
      <c r="L14" s="407">
        <v>0</v>
      </c>
      <c r="M14" s="407">
        <v>0</v>
      </c>
      <c r="N14" s="401">
        <f t="shared" si="2"/>
        <v>0</v>
      </c>
      <c r="O14" s="408">
        <f>+C14+I14</f>
        <v>0</v>
      </c>
      <c r="P14" s="409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5" t="s">
        <v>61</v>
      </c>
      <c r="C15" s="406">
        <v>0</v>
      </c>
      <c r="D15" s="407">
        <v>0</v>
      </c>
      <c r="E15" s="407">
        <v>0</v>
      </c>
      <c r="F15" s="407">
        <v>0</v>
      </c>
      <c r="G15" s="407">
        <v>0</v>
      </c>
      <c r="H15" s="401">
        <f t="shared" si="1"/>
        <v>0</v>
      </c>
      <c r="I15" s="406">
        <v>0</v>
      </c>
      <c r="J15" s="407">
        <v>0</v>
      </c>
      <c r="K15" s="407">
        <v>0</v>
      </c>
      <c r="L15" s="407">
        <v>0</v>
      </c>
      <c r="M15" s="407">
        <v>0</v>
      </c>
      <c r="N15" s="401">
        <f t="shared" si="2"/>
        <v>0</v>
      </c>
      <c r="O15" s="408">
        <f t="shared" si="3"/>
        <v>0</v>
      </c>
      <c r="P15" s="409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5" t="s">
        <v>62</v>
      </c>
      <c r="C16" s="406">
        <v>0</v>
      </c>
      <c r="D16" s="407">
        <v>0</v>
      </c>
      <c r="E16" s="407">
        <v>0</v>
      </c>
      <c r="F16" s="407">
        <v>0</v>
      </c>
      <c r="G16" s="407">
        <v>0</v>
      </c>
      <c r="H16" s="401">
        <f t="shared" si="1"/>
        <v>0</v>
      </c>
      <c r="I16" s="406">
        <v>0</v>
      </c>
      <c r="J16" s="407">
        <v>0</v>
      </c>
      <c r="K16" s="407">
        <v>0</v>
      </c>
      <c r="L16" s="407">
        <v>0</v>
      </c>
      <c r="M16" s="407">
        <v>0</v>
      </c>
      <c r="N16" s="401">
        <f t="shared" si="2"/>
        <v>0</v>
      </c>
      <c r="O16" s="408">
        <f t="shared" si="3"/>
        <v>0</v>
      </c>
      <c r="P16" s="409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10" t="s">
        <v>63</v>
      </c>
      <c r="C17" s="406">
        <v>0</v>
      </c>
      <c r="D17" s="407">
        <v>0</v>
      </c>
      <c r="E17" s="407">
        <v>0</v>
      </c>
      <c r="F17" s="407">
        <v>0</v>
      </c>
      <c r="G17" s="407">
        <v>0</v>
      </c>
      <c r="H17" s="401">
        <f t="shared" si="1"/>
        <v>0</v>
      </c>
      <c r="I17" s="406">
        <v>0</v>
      </c>
      <c r="J17" s="407">
        <v>0</v>
      </c>
      <c r="K17" s="407">
        <v>0</v>
      </c>
      <c r="L17" s="407">
        <v>0</v>
      </c>
      <c r="M17" s="407">
        <v>0</v>
      </c>
      <c r="N17" s="401">
        <f t="shared" si="2"/>
        <v>0</v>
      </c>
      <c r="O17" s="408">
        <f t="shared" si="3"/>
        <v>0</v>
      </c>
      <c r="P17" s="409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5" t="s">
        <v>126</v>
      </c>
      <c r="C18" s="406">
        <v>0</v>
      </c>
      <c r="D18" s="407">
        <v>0</v>
      </c>
      <c r="E18" s="407">
        <v>0</v>
      </c>
      <c r="F18" s="407">
        <v>0</v>
      </c>
      <c r="G18" s="407">
        <v>0</v>
      </c>
      <c r="H18" s="416">
        <f t="shared" si="1"/>
        <v>0</v>
      </c>
      <c r="I18" s="406">
        <v>0</v>
      </c>
      <c r="J18" s="407">
        <v>0</v>
      </c>
      <c r="K18" s="407">
        <v>0</v>
      </c>
      <c r="L18" s="407">
        <v>0</v>
      </c>
      <c r="M18" s="407">
        <v>0</v>
      </c>
      <c r="N18" s="416">
        <f t="shared" si="2"/>
        <v>0</v>
      </c>
      <c r="O18" s="417">
        <f t="shared" si="3"/>
        <v>0</v>
      </c>
      <c r="P18" s="418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9" t="s">
        <v>64</v>
      </c>
      <c r="C19" s="406">
        <v>0</v>
      </c>
      <c r="D19" s="407">
        <v>0</v>
      </c>
      <c r="E19" s="407">
        <v>0</v>
      </c>
      <c r="F19" s="407">
        <v>0</v>
      </c>
      <c r="G19" s="407">
        <v>0</v>
      </c>
      <c r="H19" s="416">
        <f t="shared" si="1"/>
        <v>0</v>
      </c>
      <c r="I19" s="406">
        <v>0</v>
      </c>
      <c r="J19" s="407">
        <v>0</v>
      </c>
      <c r="K19" s="407">
        <v>0</v>
      </c>
      <c r="L19" s="407">
        <v>0</v>
      </c>
      <c r="M19" s="407">
        <v>0</v>
      </c>
      <c r="N19" s="416">
        <f t="shared" si="2"/>
        <v>0</v>
      </c>
      <c r="O19" s="417">
        <f t="shared" si="3"/>
        <v>0</v>
      </c>
      <c r="P19" s="418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6">
        <v>0</v>
      </c>
      <c r="D20" s="407">
        <v>0</v>
      </c>
      <c r="E20" s="407">
        <v>0</v>
      </c>
      <c r="F20" s="407">
        <v>0</v>
      </c>
      <c r="G20" s="407">
        <v>0</v>
      </c>
      <c r="H20" s="126">
        <f t="shared" si="1"/>
        <v>0</v>
      </c>
      <c r="I20" s="406">
        <v>0</v>
      </c>
      <c r="J20" s="407">
        <v>0</v>
      </c>
      <c r="K20" s="407">
        <v>0</v>
      </c>
      <c r="L20" s="407">
        <v>0</v>
      </c>
      <c r="M20" s="407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6">
        <v>0</v>
      </c>
      <c r="D21" s="407">
        <v>0</v>
      </c>
      <c r="E21" s="407">
        <v>0</v>
      </c>
      <c r="F21" s="407">
        <v>0</v>
      </c>
      <c r="G21" s="407">
        <v>0</v>
      </c>
      <c r="H21" s="126">
        <f t="shared" si="1"/>
        <v>0</v>
      </c>
      <c r="I21" s="406">
        <v>0</v>
      </c>
      <c r="J21" s="407">
        <v>0</v>
      </c>
      <c r="K21" s="407">
        <v>0</v>
      </c>
      <c r="L21" s="407">
        <v>0</v>
      </c>
      <c r="M21" s="407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109</v>
      </c>
      <c r="C22" s="140">
        <f>SUM(C10:C21)</f>
        <v>24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9</v>
      </c>
      <c r="H22" s="142">
        <f t="shared" si="4"/>
        <v>44</v>
      </c>
      <c r="I22" s="143">
        <f t="shared" si="4"/>
        <v>24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6</v>
      </c>
      <c r="N22" s="142">
        <f t="shared" si="4"/>
        <v>34</v>
      </c>
      <c r="O22" s="145">
        <f t="shared" si="4"/>
        <v>48</v>
      </c>
      <c r="P22" s="142">
        <f t="shared" si="4"/>
        <v>78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151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484</v>
      </c>
    </row>
    <row r="24" spans="1:20" x14ac:dyDescent="0.2">
      <c r="A24" s="2"/>
      <c r="B24" s="52" t="s">
        <v>110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92"/>
      <c r="C33" s="492"/>
      <c r="D33" s="492"/>
      <c r="E33" s="492"/>
      <c r="F33" s="492"/>
      <c r="G33" s="492"/>
      <c r="H33" s="492"/>
      <c r="I33" s="492"/>
      <c r="J33" s="492"/>
      <c r="K33" s="492"/>
      <c r="L33" s="492"/>
      <c r="M33" s="492"/>
      <c r="N33" s="492"/>
      <c r="O33" s="492"/>
      <c r="P33" s="492"/>
      <c r="Q33" s="1"/>
    </row>
    <row r="34" spans="1:17" ht="15.95" customHeight="1" x14ac:dyDescent="0.2">
      <c r="B34" s="492"/>
      <c r="C34" s="492"/>
      <c r="D34" s="492"/>
      <c r="E34" s="492"/>
      <c r="F34" s="492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1"/>
    </row>
    <row r="35" spans="1:17" ht="15.95" customHeight="1" x14ac:dyDescent="0.2">
      <c r="B35" s="492"/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51"/>
      <c r="D37" s="551"/>
      <c r="E37" s="551"/>
      <c r="F37" s="551"/>
      <c r="G37" s="551"/>
      <c r="H37" s="551"/>
      <c r="I37" s="551"/>
      <c r="J37" s="551"/>
      <c r="K37" s="551"/>
      <c r="L37" s="551"/>
      <c r="M37" s="551"/>
      <c r="N37" s="551"/>
      <c r="O37" s="551"/>
      <c r="P37" s="54"/>
    </row>
    <row r="38" spans="1:17" ht="21.95" customHeight="1" x14ac:dyDescent="0.2">
      <c r="B38" s="53"/>
      <c r="C38" s="552"/>
      <c r="D38" s="552"/>
      <c r="E38" s="552"/>
      <c r="F38" s="552"/>
      <c r="G38" s="552"/>
      <c r="H38" s="55"/>
      <c r="I38" s="552"/>
      <c r="J38" s="552"/>
      <c r="K38" s="552"/>
      <c r="L38" s="552"/>
      <c r="M38" s="552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108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3:P33"/>
    <mergeCell ref="B34:P34"/>
    <mergeCell ref="B35:P35"/>
    <mergeCell ref="C37:O37"/>
    <mergeCell ref="C38:G38"/>
    <mergeCell ref="I38:M38"/>
    <mergeCell ref="B3:P3"/>
    <mergeCell ref="B4:P4"/>
    <mergeCell ref="B5:P5"/>
    <mergeCell ref="C7:O7"/>
    <mergeCell ref="C8:G8"/>
    <mergeCell ref="I8:M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12" t="s">
        <v>148</v>
      </c>
    </row>
    <row r="2" spans="1:19" x14ac:dyDescent="0.2">
      <c r="B2" s="553" t="s">
        <v>480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413"/>
    </row>
    <row r="4" spans="1:19" x14ac:dyDescent="0.2">
      <c r="B4" s="182"/>
      <c r="Q4" s="182"/>
      <c r="R4" s="181"/>
    </row>
    <row r="5" spans="1:19" ht="38.25" x14ac:dyDescent="0.25">
      <c r="B5" s="332" t="s">
        <v>239</v>
      </c>
      <c r="C5" s="333" t="s">
        <v>81</v>
      </c>
      <c r="D5" s="334" t="s">
        <v>131</v>
      </c>
      <c r="E5" s="335" t="s">
        <v>82</v>
      </c>
      <c r="F5" s="336" t="s">
        <v>83</v>
      </c>
      <c r="G5" s="336" t="s">
        <v>208</v>
      </c>
      <c r="H5" s="335" t="s">
        <v>24</v>
      </c>
      <c r="I5" s="332" t="s">
        <v>259</v>
      </c>
      <c r="J5" s="336" t="s">
        <v>84</v>
      </c>
      <c r="K5" s="336" t="s">
        <v>85</v>
      </c>
      <c r="L5" s="336" t="s">
        <v>86</v>
      </c>
      <c r="M5" s="336" t="s">
        <v>87</v>
      </c>
      <c r="N5" s="337" t="s">
        <v>209</v>
      </c>
      <c r="O5" s="338" t="s">
        <v>260</v>
      </c>
      <c r="P5" s="339" t="s">
        <v>88</v>
      </c>
      <c r="Q5" s="332" t="s">
        <v>23</v>
      </c>
      <c r="R5" s="332" t="s">
        <v>132</v>
      </c>
      <c r="S5" s="340" t="s">
        <v>89</v>
      </c>
    </row>
    <row r="6" spans="1:19" ht="39.75" customHeight="1" x14ac:dyDescent="0.2">
      <c r="A6" s="182">
        <v>1</v>
      </c>
      <c r="B6" s="421" t="s">
        <v>210</v>
      </c>
      <c r="C6" s="442" t="s">
        <v>397</v>
      </c>
      <c r="D6" s="343" t="s">
        <v>398</v>
      </c>
      <c r="E6" s="344" t="s">
        <v>399</v>
      </c>
      <c r="F6" s="345">
        <v>84</v>
      </c>
      <c r="G6" s="341" t="s">
        <v>256</v>
      </c>
      <c r="H6" s="345" t="s">
        <v>37</v>
      </c>
      <c r="I6" s="346">
        <v>3</v>
      </c>
      <c r="J6" s="347">
        <v>0</v>
      </c>
      <c r="K6" s="347">
        <v>1142.8599999999999</v>
      </c>
      <c r="L6" s="347">
        <v>0</v>
      </c>
      <c r="M6" s="347">
        <v>0</v>
      </c>
      <c r="N6" s="347">
        <v>0</v>
      </c>
      <c r="O6" s="348">
        <v>44164</v>
      </c>
      <c r="P6" s="411" t="s">
        <v>400</v>
      </c>
      <c r="Q6" s="350" t="s">
        <v>90</v>
      </c>
      <c r="R6" s="350" t="s">
        <v>91</v>
      </c>
      <c r="S6" s="351">
        <v>44218</v>
      </c>
    </row>
    <row r="7" spans="1:19" ht="24" x14ac:dyDescent="0.2">
      <c r="A7" s="182">
        <v>2</v>
      </c>
      <c r="B7" s="342" t="s">
        <v>212</v>
      </c>
      <c r="C7" s="442" t="s">
        <v>401</v>
      </c>
      <c r="D7" s="343" t="s">
        <v>402</v>
      </c>
      <c r="E7" s="344" t="s">
        <v>403</v>
      </c>
      <c r="F7" s="345">
        <v>60</v>
      </c>
      <c r="G7" s="341" t="s">
        <v>211</v>
      </c>
      <c r="H7" s="345" t="s">
        <v>32</v>
      </c>
      <c r="I7" s="346">
        <v>1</v>
      </c>
      <c r="J7" s="347">
        <v>3428.57</v>
      </c>
      <c r="K7" s="347">
        <v>5714.29</v>
      </c>
      <c r="L7" s="347">
        <v>0</v>
      </c>
      <c r="M7" s="347">
        <v>0</v>
      </c>
      <c r="N7" s="347">
        <v>0</v>
      </c>
      <c r="O7" s="348">
        <v>44194</v>
      </c>
      <c r="P7" s="349" t="s">
        <v>404</v>
      </c>
      <c r="Q7" s="350" t="s">
        <v>405</v>
      </c>
      <c r="R7" s="350" t="s">
        <v>46</v>
      </c>
      <c r="S7" s="351">
        <v>44221</v>
      </c>
    </row>
    <row r="8" spans="1:19" ht="45" x14ac:dyDescent="0.2">
      <c r="A8" s="182">
        <v>3</v>
      </c>
      <c r="B8" s="342" t="s">
        <v>213</v>
      </c>
      <c r="C8" s="442" t="s">
        <v>406</v>
      </c>
      <c r="D8" s="343" t="s">
        <v>407</v>
      </c>
      <c r="E8" s="344" t="s">
        <v>408</v>
      </c>
      <c r="F8" s="345">
        <v>83</v>
      </c>
      <c r="G8" s="341" t="s">
        <v>256</v>
      </c>
      <c r="H8" s="345" t="s">
        <v>37</v>
      </c>
      <c r="I8" s="346">
        <v>5</v>
      </c>
      <c r="J8" s="347">
        <v>0</v>
      </c>
      <c r="K8" s="347">
        <v>2285.71</v>
      </c>
      <c r="L8" s="347">
        <v>0</v>
      </c>
      <c r="M8" s="347">
        <v>0</v>
      </c>
      <c r="N8" s="347">
        <v>0</v>
      </c>
      <c r="O8" s="348">
        <v>44202</v>
      </c>
      <c r="P8" s="411" t="s">
        <v>409</v>
      </c>
      <c r="Q8" s="350" t="s">
        <v>90</v>
      </c>
      <c r="R8" s="350" t="s">
        <v>91</v>
      </c>
      <c r="S8" s="351">
        <v>44221</v>
      </c>
    </row>
    <row r="9" spans="1:19" ht="30" customHeight="1" x14ac:dyDescent="0.2">
      <c r="A9" s="182">
        <v>4</v>
      </c>
      <c r="B9" s="421" t="s">
        <v>214</v>
      </c>
      <c r="C9" s="442" t="s">
        <v>389</v>
      </c>
      <c r="D9" s="343" t="s">
        <v>390</v>
      </c>
      <c r="E9" s="344" t="s">
        <v>391</v>
      </c>
      <c r="F9" s="345">
        <v>74</v>
      </c>
      <c r="G9" s="341" t="s">
        <v>256</v>
      </c>
      <c r="H9" s="345" t="s">
        <v>37</v>
      </c>
      <c r="I9" s="346">
        <v>2</v>
      </c>
      <c r="J9" s="347">
        <v>0</v>
      </c>
      <c r="K9" s="347">
        <v>3428.57</v>
      </c>
      <c r="L9" s="347">
        <v>0</v>
      </c>
      <c r="M9" s="347">
        <v>0</v>
      </c>
      <c r="N9" s="347">
        <v>0</v>
      </c>
      <c r="O9" s="348">
        <v>44207</v>
      </c>
      <c r="P9" s="349" t="s">
        <v>392</v>
      </c>
      <c r="Q9" s="350" t="s">
        <v>36</v>
      </c>
      <c r="R9" s="350" t="s">
        <v>91</v>
      </c>
      <c r="S9" s="351">
        <v>44218</v>
      </c>
    </row>
    <row r="10" spans="1:19" ht="24" x14ac:dyDescent="0.2">
      <c r="A10" s="182">
        <v>5</v>
      </c>
      <c r="B10" s="342" t="s">
        <v>215</v>
      </c>
      <c r="C10" s="442" t="s">
        <v>364</v>
      </c>
      <c r="D10" s="343" t="s">
        <v>365</v>
      </c>
      <c r="E10" s="344" t="s">
        <v>366</v>
      </c>
      <c r="F10" s="345">
        <v>77</v>
      </c>
      <c r="G10" s="341" t="s">
        <v>256</v>
      </c>
      <c r="H10" s="345" t="s">
        <v>37</v>
      </c>
      <c r="I10" s="346">
        <v>1</v>
      </c>
      <c r="J10" s="347">
        <v>0</v>
      </c>
      <c r="K10" s="347">
        <v>3428.57</v>
      </c>
      <c r="L10" s="347">
        <v>0</v>
      </c>
      <c r="M10" s="347">
        <v>0</v>
      </c>
      <c r="N10" s="347">
        <v>0</v>
      </c>
      <c r="O10" s="348">
        <v>43919</v>
      </c>
      <c r="P10" s="349" t="s">
        <v>367</v>
      </c>
      <c r="Q10" s="350" t="s">
        <v>240</v>
      </c>
      <c r="R10" s="350" t="s">
        <v>91</v>
      </c>
      <c r="S10" s="351">
        <v>44217</v>
      </c>
    </row>
    <row r="11" spans="1:19" ht="45" x14ac:dyDescent="0.2">
      <c r="A11" s="182">
        <v>6</v>
      </c>
      <c r="B11" s="342" t="s">
        <v>216</v>
      </c>
      <c r="C11" s="442" t="s">
        <v>422</v>
      </c>
      <c r="D11" s="343" t="s">
        <v>423</v>
      </c>
      <c r="E11" s="344" t="s">
        <v>424</v>
      </c>
      <c r="F11" s="345">
        <v>78</v>
      </c>
      <c r="G11" s="345" t="s">
        <v>211</v>
      </c>
      <c r="H11" s="345" t="s">
        <v>37</v>
      </c>
      <c r="I11" s="346">
        <v>3</v>
      </c>
      <c r="J11" s="347">
        <v>0</v>
      </c>
      <c r="K11" s="347">
        <v>3428.57</v>
      </c>
      <c r="L11" s="347">
        <v>0</v>
      </c>
      <c r="M11" s="347">
        <v>1142.8599999999999</v>
      </c>
      <c r="N11" s="347">
        <v>0</v>
      </c>
      <c r="O11" s="348">
        <v>44193</v>
      </c>
      <c r="P11" s="411" t="s">
        <v>425</v>
      </c>
      <c r="Q11" s="350" t="s">
        <v>36</v>
      </c>
      <c r="R11" s="452" t="s">
        <v>36</v>
      </c>
      <c r="S11" s="351">
        <v>44224</v>
      </c>
    </row>
    <row r="12" spans="1:19" ht="24" x14ac:dyDescent="0.2">
      <c r="A12" s="182">
        <v>7</v>
      </c>
      <c r="B12" s="421" t="s">
        <v>217</v>
      </c>
      <c r="C12" s="442" t="s">
        <v>453</v>
      </c>
      <c r="D12" s="343" t="s">
        <v>454</v>
      </c>
      <c r="E12" s="344" t="s">
        <v>455</v>
      </c>
      <c r="F12" s="345">
        <v>65</v>
      </c>
      <c r="G12" s="341" t="s">
        <v>211</v>
      </c>
      <c r="H12" s="345" t="s">
        <v>32</v>
      </c>
      <c r="I12" s="346">
        <v>6</v>
      </c>
      <c r="J12" s="347">
        <v>3428.57</v>
      </c>
      <c r="K12" s="347">
        <v>5714.29</v>
      </c>
      <c r="L12" s="347">
        <v>0</v>
      </c>
      <c r="M12" s="347">
        <v>1142.8599999999999</v>
      </c>
      <c r="N12" s="347">
        <v>0</v>
      </c>
      <c r="O12" s="348">
        <v>44151</v>
      </c>
      <c r="P12" s="411" t="s">
        <v>456</v>
      </c>
      <c r="Q12" s="350" t="s">
        <v>457</v>
      </c>
      <c r="R12" s="350" t="s">
        <v>51</v>
      </c>
      <c r="S12" s="351">
        <v>44225</v>
      </c>
    </row>
    <row r="13" spans="1:19" ht="24" x14ac:dyDescent="0.2">
      <c r="A13" s="182">
        <v>8</v>
      </c>
      <c r="B13" s="342" t="s">
        <v>218</v>
      </c>
      <c r="C13" s="442" t="s">
        <v>449</v>
      </c>
      <c r="D13" s="343" t="s">
        <v>450</v>
      </c>
      <c r="E13" s="344" t="s">
        <v>451</v>
      </c>
      <c r="F13" s="345">
        <v>64</v>
      </c>
      <c r="G13" s="345" t="s">
        <v>211</v>
      </c>
      <c r="H13" s="345" t="s">
        <v>37</v>
      </c>
      <c r="I13" s="346">
        <v>4</v>
      </c>
      <c r="J13" s="347">
        <v>0</v>
      </c>
      <c r="K13" s="347">
        <v>5714.29</v>
      </c>
      <c r="L13" s="347">
        <v>0</v>
      </c>
      <c r="M13" s="347">
        <v>1142.8599999999999</v>
      </c>
      <c r="N13" s="347">
        <v>0</v>
      </c>
      <c r="O13" s="348">
        <v>44204</v>
      </c>
      <c r="P13" s="411" t="s">
        <v>452</v>
      </c>
      <c r="Q13" s="350" t="s">
        <v>51</v>
      </c>
      <c r="R13" s="350" t="s">
        <v>51</v>
      </c>
      <c r="S13" s="351">
        <v>44225</v>
      </c>
    </row>
    <row r="14" spans="1:19" ht="36" x14ac:dyDescent="0.2">
      <c r="A14" s="182">
        <v>9</v>
      </c>
      <c r="B14" s="342" t="s">
        <v>219</v>
      </c>
      <c r="C14" s="442" t="s">
        <v>294</v>
      </c>
      <c r="D14" s="343" t="s">
        <v>295</v>
      </c>
      <c r="E14" s="344" t="s">
        <v>296</v>
      </c>
      <c r="F14" s="345">
        <v>48</v>
      </c>
      <c r="G14" s="345" t="s">
        <v>211</v>
      </c>
      <c r="H14" s="345" t="s">
        <v>32</v>
      </c>
      <c r="I14" s="346">
        <v>2</v>
      </c>
      <c r="J14" s="347">
        <v>3428.57</v>
      </c>
      <c r="K14" s="347">
        <v>3428.57</v>
      </c>
      <c r="L14" s="347">
        <v>0</v>
      </c>
      <c r="M14" s="347">
        <v>1142.8599999999999</v>
      </c>
      <c r="N14" s="347">
        <v>0</v>
      </c>
      <c r="O14" s="348">
        <v>44160</v>
      </c>
      <c r="P14" s="411" t="s">
        <v>297</v>
      </c>
      <c r="Q14" s="350" t="s">
        <v>298</v>
      </c>
      <c r="R14" s="350" t="s">
        <v>50</v>
      </c>
      <c r="S14" s="351">
        <v>44207</v>
      </c>
    </row>
    <row r="15" spans="1:19" ht="24" x14ac:dyDescent="0.2">
      <c r="A15" s="182">
        <v>10</v>
      </c>
      <c r="B15" s="421" t="s">
        <v>220</v>
      </c>
      <c r="C15" s="442" t="s">
        <v>381</v>
      </c>
      <c r="D15" s="343" t="s">
        <v>382</v>
      </c>
      <c r="E15" s="344" t="s">
        <v>383</v>
      </c>
      <c r="F15" s="345">
        <v>86</v>
      </c>
      <c r="G15" s="341" t="s">
        <v>256</v>
      </c>
      <c r="H15" s="345" t="s">
        <v>37</v>
      </c>
      <c r="I15" s="346">
        <v>1</v>
      </c>
      <c r="J15" s="347">
        <v>0</v>
      </c>
      <c r="K15" s="347">
        <v>3428.57</v>
      </c>
      <c r="L15" s="347">
        <v>0</v>
      </c>
      <c r="M15" s="347">
        <v>0</v>
      </c>
      <c r="N15" s="347">
        <v>0</v>
      </c>
      <c r="O15" s="348">
        <v>43603</v>
      </c>
      <c r="P15" s="411" t="s">
        <v>384</v>
      </c>
      <c r="Q15" s="350" t="s">
        <v>51</v>
      </c>
      <c r="R15" s="350" t="s">
        <v>50</v>
      </c>
      <c r="S15" s="351">
        <v>44218</v>
      </c>
    </row>
    <row r="16" spans="1:19" ht="44.25" customHeight="1" x14ac:dyDescent="0.2">
      <c r="A16" s="182">
        <v>11</v>
      </c>
      <c r="B16" s="342" t="s">
        <v>221</v>
      </c>
      <c r="C16" s="442" t="s">
        <v>315</v>
      </c>
      <c r="D16" s="343" t="s">
        <v>316</v>
      </c>
      <c r="E16" s="344" t="s">
        <v>317</v>
      </c>
      <c r="F16" s="345">
        <v>64</v>
      </c>
      <c r="G16" s="341" t="s">
        <v>211</v>
      </c>
      <c r="H16" s="345" t="s">
        <v>32</v>
      </c>
      <c r="I16" s="346">
        <v>1</v>
      </c>
      <c r="J16" s="347">
        <v>3428.57</v>
      </c>
      <c r="K16" s="347">
        <v>5714.29</v>
      </c>
      <c r="L16" s="347">
        <v>0</v>
      </c>
      <c r="M16" s="347">
        <v>1142.8599999999999</v>
      </c>
      <c r="N16" s="347">
        <v>0</v>
      </c>
      <c r="O16" s="348">
        <v>44178</v>
      </c>
      <c r="P16" s="411" t="s">
        <v>318</v>
      </c>
      <c r="Q16" s="350" t="s">
        <v>90</v>
      </c>
      <c r="R16" s="350" t="s">
        <v>111</v>
      </c>
      <c r="S16" s="351">
        <v>44208</v>
      </c>
    </row>
    <row r="17" spans="1:19" ht="27" x14ac:dyDescent="0.2">
      <c r="A17" s="182">
        <v>12</v>
      </c>
      <c r="B17" s="342" t="s">
        <v>222</v>
      </c>
      <c r="C17" s="442" t="s">
        <v>462</v>
      </c>
      <c r="D17" s="343" t="s">
        <v>463</v>
      </c>
      <c r="E17" s="344" t="s">
        <v>464</v>
      </c>
      <c r="F17" s="345">
        <v>76</v>
      </c>
      <c r="G17" s="341" t="s">
        <v>211</v>
      </c>
      <c r="H17" s="345" t="s">
        <v>37</v>
      </c>
      <c r="I17" s="346">
        <v>4</v>
      </c>
      <c r="J17" s="347">
        <v>0</v>
      </c>
      <c r="K17" s="347">
        <v>2285.71</v>
      </c>
      <c r="L17" s="347">
        <v>0</v>
      </c>
      <c r="M17" s="347">
        <v>0</v>
      </c>
      <c r="N17" s="347">
        <v>0</v>
      </c>
      <c r="O17" s="348">
        <v>44200</v>
      </c>
      <c r="P17" s="411" t="s">
        <v>465</v>
      </c>
      <c r="Q17" s="350" t="s">
        <v>90</v>
      </c>
      <c r="R17" s="350" t="s">
        <v>91</v>
      </c>
      <c r="S17" s="351">
        <v>44225</v>
      </c>
    </row>
    <row r="18" spans="1:19" ht="27" x14ac:dyDescent="0.2">
      <c r="A18" s="182">
        <v>13</v>
      </c>
      <c r="B18" s="421" t="s">
        <v>223</v>
      </c>
      <c r="C18" s="442" t="s">
        <v>323</v>
      </c>
      <c r="D18" s="343" t="s">
        <v>324</v>
      </c>
      <c r="E18" s="344" t="s">
        <v>325</v>
      </c>
      <c r="F18" s="345">
        <v>52</v>
      </c>
      <c r="G18" s="345" t="s">
        <v>211</v>
      </c>
      <c r="H18" s="345" t="s">
        <v>32</v>
      </c>
      <c r="I18" s="346">
        <v>2</v>
      </c>
      <c r="J18" s="347">
        <v>3428.57</v>
      </c>
      <c r="K18" s="347">
        <v>11428.57</v>
      </c>
      <c r="L18" s="347">
        <v>0</v>
      </c>
      <c r="M18" s="347">
        <v>0</v>
      </c>
      <c r="N18" s="347">
        <v>0</v>
      </c>
      <c r="O18" s="348">
        <v>44188</v>
      </c>
      <c r="P18" s="411" t="s">
        <v>326</v>
      </c>
      <c r="Q18" s="350" t="s">
        <v>90</v>
      </c>
      <c r="R18" s="350" t="s">
        <v>91</v>
      </c>
      <c r="S18" s="351">
        <v>44209</v>
      </c>
    </row>
    <row r="19" spans="1:19" ht="36" x14ac:dyDescent="0.2">
      <c r="A19" s="182">
        <v>14</v>
      </c>
      <c r="B19" s="342" t="s">
        <v>224</v>
      </c>
      <c r="C19" s="442" t="s">
        <v>327</v>
      </c>
      <c r="D19" s="343" t="s">
        <v>328</v>
      </c>
      <c r="E19" s="344" t="s">
        <v>329</v>
      </c>
      <c r="F19" s="345">
        <v>55</v>
      </c>
      <c r="G19" s="345" t="s">
        <v>256</v>
      </c>
      <c r="H19" s="345" t="s">
        <v>32</v>
      </c>
      <c r="I19" s="346">
        <v>2</v>
      </c>
      <c r="J19" s="347">
        <v>3428.57</v>
      </c>
      <c r="K19" s="347">
        <v>0</v>
      </c>
      <c r="L19" s="347">
        <v>0</v>
      </c>
      <c r="M19" s="347">
        <v>0</v>
      </c>
      <c r="N19" s="347">
        <v>0</v>
      </c>
      <c r="O19" s="348">
        <v>44175</v>
      </c>
      <c r="P19" s="411" t="s">
        <v>330</v>
      </c>
      <c r="Q19" s="350" t="s">
        <v>90</v>
      </c>
      <c r="R19" s="350" t="s">
        <v>92</v>
      </c>
      <c r="S19" s="351">
        <v>44210</v>
      </c>
    </row>
    <row r="20" spans="1:19" ht="36" x14ac:dyDescent="0.2">
      <c r="A20" s="182">
        <v>15</v>
      </c>
      <c r="B20" s="342" t="s">
        <v>225</v>
      </c>
      <c r="C20" s="442" t="s">
        <v>286</v>
      </c>
      <c r="D20" s="343" t="s">
        <v>287</v>
      </c>
      <c r="E20" s="344" t="s">
        <v>288</v>
      </c>
      <c r="F20" s="345">
        <v>49</v>
      </c>
      <c r="G20" s="345" t="s">
        <v>211</v>
      </c>
      <c r="H20" s="345" t="s">
        <v>32</v>
      </c>
      <c r="I20" s="346">
        <v>3</v>
      </c>
      <c r="J20" s="347">
        <v>3428.57</v>
      </c>
      <c r="K20" s="347">
        <v>0</v>
      </c>
      <c r="L20" s="347">
        <v>0</v>
      </c>
      <c r="M20" s="347">
        <v>0</v>
      </c>
      <c r="N20" s="347">
        <v>0</v>
      </c>
      <c r="O20" s="348">
        <v>44121</v>
      </c>
      <c r="P20" s="411" t="s">
        <v>289</v>
      </c>
      <c r="Q20" s="350" t="s">
        <v>92</v>
      </c>
      <c r="R20" s="350" t="s">
        <v>92</v>
      </c>
      <c r="S20" s="351">
        <v>44204</v>
      </c>
    </row>
    <row r="21" spans="1:19" ht="24" x14ac:dyDescent="0.2">
      <c r="A21" s="182">
        <v>16</v>
      </c>
      <c r="B21" s="421" t="s">
        <v>226</v>
      </c>
      <c r="C21" s="442" t="s">
        <v>360</v>
      </c>
      <c r="D21" s="343" t="s">
        <v>361</v>
      </c>
      <c r="E21" s="344" t="s">
        <v>362</v>
      </c>
      <c r="F21" s="345">
        <v>97</v>
      </c>
      <c r="G21" s="345" t="s">
        <v>256</v>
      </c>
      <c r="H21" s="345" t="s">
        <v>40</v>
      </c>
      <c r="I21" s="346">
        <v>1</v>
      </c>
      <c r="J21" s="347">
        <v>0</v>
      </c>
      <c r="K21" s="347">
        <v>1142.8599999999999</v>
      </c>
      <c r="L21" s="347">
        <v>0</v>
      </c>
      <c r="M21" s="347">
        <v>0</v>
      </c>
      <c r="N21" s="347">
        <v>0</v>
      </c>
      <c r="O21" s="348">
        <v>44123</v>
      </c>
      <c r="P21" s="349" t="s">
        <v>363</v>
      </c>
      <c r="Q21" s="350" t="s">
        <v>90</v>
      </c>
      <c r="R21" s="350" t="s">
        <v>111</v>
      </c>
      <c r="S21" s="351">
        <v>44216</v>
      </c>
    </row>
    <row r="22" spans="1:19" ht="27" x14ac:dyDescent="0.2">
      <c r="A22" s="182">
        <v>17</v>
      </c>
      <c r="B22" s="342" t="s">
        <v>227</v>
      </c>
      <c r="C22" s="442" t="s">
        <v>414</v>
      </c>
      <c r="D22" s="343" t="s">
        <v>415</v>
      </c>
      <c r="E22" s="344" t="s">
        <v>416</v>
      </c>
      <c r="F22" s="345">
        <v>77</v>
      </c>
      <c r="G22" s="345" t="s">
        <v>256</v>
      </c>
      <c r="H22" s="345" t="s">
        <v>37</v>
      </c>
      <c r="I22" s="346">
        <v>4</v>
      </c>
      <c r="J22" s="347">
        <v>0</v>
      </c>
      <c r="K22" s="347">
        <v>3428.57</v>
      </c>
      <c r="L22" s="347">
        <v>0</v>
      </c>
      <c r="M22" s="347">
        <v>0</v>
      </c>
      <c r="N22" s="347">
        <v>0</v>
      </c>
      <c r="O22" s="348">
        <v>44190</v>
      </c>
      <c r="P22" s="411" t="s">
        <v>417</v>
      </c>
      <c r="Q22" s="350" t="s">
        <v>90</v>
      </c>
      <c r="R22" s="350" t="s">
        <v>49</v>
      </c>
      <c r="S22" s="351">
        <v>44222</v>
      </c>
    </row>
    <row r="23" spans="1:19" ht="36" x14ac:dyDescent="0.2">
      <c r="A23" s="182">
        <v>18</v>
      </c>
      <c r="B23" s="342" t="s">
        <v>228</v>
      </c>
      <c r="C23" s="442" t="s">
        <v>331</v>
      </c>
      <c r="D23" s="343" t="s">
        <v>332</v>
      </c>
      <c r="E23" s="344" t="s">
        <v>333</v>
      </c>
      <c r="F23" s="345">
        <v>69</v>
      </c>
      <c r="G23" s="341" t="s">
        <v>256</v>
      </c>
      <c r="H23" s="345" t="s">
        <v>40</v>
      </c>
      <c r="I23" s="346">
        <v>1</v>
      </c>
      <c r="J23" s="347">
        <v>0</v>
      </c>
      <c r="K23" s="347">
        <v>3428.57</v>
      </c>
      <c r="L23" s="347">
        <v>0</v>
      </c>
      <c r="M23" s="347">
        <v>1142.8599999999999</v>
      </c>
      <c r="N23" s="347">
        <v>0</v>
      </c>
      <c r="O23" s="348">
        <v>44075</v>
      </c>
      <c r="P23" s="411" t="s">
        <v>334</v>
      </c>
      <c r="Q23" s="350" t="s">
        <v>90</v>
      </c>
      <c r="R23" s="350" t="s">
        <v>91</v>
      </c>
      <c r="S23" s="351">
        <v>44210</v>
      </c>
    </row>
    <row r="24" spans="1:19" ht="24" x14ac:dyDescent="0.2">
      <c r="A24" s="182">
        <v>19</v>
      </c>
      <c r="B24" s="421" t="s">
        <v>229</v>
      </c>
      <c r="C24" s="442" t="s">
        <v>418</v>
      </c>
      <c r="D24" s="343" t="s">
        <v>419</v>
      </c>
      <c r="E24" s="344" t="s">
        <v>420</v>
      </c>
      <c r="F24" s="345">
        <v>49</v>
      </c>
      <c r="G24" s="341" t="s">
        <v>256</v>
      </c>
      <c r="H24" s="345" t="s">
        <v>32</v>
      </c>
      <c r="I24" s="346">
        <v>2</v>
      </c>
      <c r="J24" s="347">
        <v>3428.57</v>
      </c>
      <c r="K24" s="347">
        <v>0</v>
      </c>
      <c r="L24" s="347">
        <v>0</v>
      </c>
      <c r="M24" s="347">
        <v>0</v>
      </c>
      <c r="N24" s="347">
        <v>0</v>
      </c>
      <c r="O24" s="348">
        <v>44089</v>
      </c>
      <c r="P24" s="349" t="s">
        <v>421</v>
      </c>
      <c r="Q24" s="350" t="s">
        <v>90</v>
      </c>
      <c r="R24" s="350" t="s">
        <v>91</v>
      </c>
      <c r="S24" s="351">
        <v>44223</v>
      </c>
    </row>
    <row r="25" spans="1:19" ht="36" x14ac:dyDescent="0.2">
      <c r="A25" s="182">
        <v>20</v>
      </c>
      <c r="B25" s="342" t="s">
        <v>230</v>
      </c>
      <c r="C25" s="442" t="s">
        <v>319</v>
      </c>
      <c r="D25" s="343" t="s">
        <v>320</v>
      </c>
      <c r="E25" s="344" t="s">
        <v>321</v>
      </c>
      <c r="F25" s="345">
        <v>88</v>
      </c>
      <c r="G25" s="341" t="s">
        <v>211</v>
      </c>
      <c r="H25" s="345" t="s">
        <v>37</v>
      </c>
      <c r="I25" s="346">
        <v>4</v>
      </c>
      <c r="J25" s="347">
        <v>0</v>
      </c>
      <c r="K25" s="347">
        <v>3428.57</v>
      </c>
      <c r="L25" s="347">
        <v>0</v>
      </c>
      <c r="M25" s="347">
        <v>0</v>
      </c>
      <c r="N25" s="347">
        <v>0</v>
      </c>
      <c r="O25" s="348">
        <v>43994</v>
      </c>
      <c r="P25" s="411" t="s">
        <v>322</v>
      </c>
      <c r="Q25" s="350" t="s">
        <v>240</v>
      </c>
      <c r="R25" s="350" t="s">
        <v>91</v>
      </c>
      <c r="S25" s="351">
        <v>44208</v>
      </c>
    </row>
    <row r="26" spans="1:19" ht="35.25" customHeight="1" x14ac:dyDescent="0.2">
      <c r="A26" s="182">
        <v>21</v>
      </c>
      <c r="B26" s="342" t="s">
        <v>231</v>
      </c>
      <c r="C26" s="442" t="s">
        <v>377</v>
      </c>
      <c r="D26" s="343" t="s">
        <v>378</v>
      </c>
      <c r="E26" s="344" t="s">
        <v>379</v>
      </c>
      <c r="F26" s="345">
        <v>77</v>
      </c>
      <c r="G26" s="341" t="s">
        <v>256</v>
      </c>
      <c r="H26" s="345" t="s">
        <v>37</v>
      </c>
      <c r="I26" s="346">
        <v>4</v>
      </c>
      <c r="J26" s="347">
        <v>0</v>
      </c>
      <c r="K26" s="347">
        <v>3428.57</v>
      </c>
      <c r="L26" s="347">
        <v>0</v>
      </c>
      <c r="M26" s="347">
        <v>0</v>
      </c>
      <c r="N26" s="347">
        <v>0</v>
      </c>
      <c r="O26" s="348">
        <v>44182</v>
      </c>
      <c r="P26" s="411" t="s">
        <v>380</v>
      </c>
      <c r="Q26" s="350" t="s">
        <v>50</v>
      </c>
      <c r="R26" s="350" t="s">
        <v>50</v>
      </c>
      <c r="S26" s="351">
        <v>44218</v>
      </c>
    </row>
    <row r="27" spans="1:19" ht="36" x14ac:dyDescent="0.2">
      <c r="A27" s="182">
        <v>22</v>
      </c>
      <c r="B27" s="421" t="s">
        <v>232</v>
      </c>
      <c r="C27" s="442" t="s">
        <v>311</v>
      </c>
      <c r="D27" s="343" t="s">
        <v>312</v>
      </c>
      <c r="E27" s="344" t="s">
        <v>313</v>
      </c>
      <c r="F27" s="345">
        <v>62</v>
      </c>
      <c r="G27" s="345" t="s">
        <v>211</v>
      </c>
      <c r="H27" s="345" t="s">
        <v>34</v>
      </c>
      <c r="I27" s="346">
        <v>3</v>
      </c>
      <c r="J27" s="347">
        <v>3428.57</v>
      </c>
      <c r="K27" s="347">
        <v>4571.43</v>
      </c>
      <c r="L27" s="347">
        <v>0</v>
      </c>
      <c r="M27" s="347">
        <v>1142.8599999999999</v>
      </c>
      <c r="N27" s="347">
        <v>0</v>
      </c>
      <c r="O27" s="348">
        <v>44170</v>
      </c>
      <c r="P27" s="411" t="s">
        <v>314</v>
      </c>
      <c r="Q27" s="350" t="s">
        <v>90</v>
      </c>
      <c r="R27" s="350" t="s">
        <v>46</v>
      </c>
      <c r="S27" s="351">
        <v>44208</v>
      </c>
    </row>
    <row r="28" spans="1:19" ht="24" x14ac:dyDescent="0.2">
      <c r="A28" s="182">
        <v>23</v>
      </c>
      <c r="B28" s="342" t="s">
        <v>241</v>
      </c>
      <c r="C28" s="442" t="s">
        <v>368</v>
      </c>
      <c r="D28" s="443" t="s">
        <v>369</v>
      </c>
      <c r="E28" s="444" t="s">
        <v>370</v>
      </c>
      <c r="F28" s="445">
        <v>63</v>
      </c>
      <c r="G28" s="345" t="s">
        <v>211</v>
      </c>
      <c r="H28" s="445" t="s">
        <v>37</v>
      </c>
      <c r="I28" s="446">
        <v>4</v>
      </c>
      <c r="J28" s="447">
        <v>0</v>
      </c>
      <c r="K28" s="447">
        <v>5714.29</v>
      </c>
      <c r="L28" s="447">
        <v>0</v>
      </c>
      <c r="M28" s="447">
        <v>1142.8599999999999</v>
      </c>
      <c r="N28" s="447">
        <v>0</v>
      </c>
      <c r="O28" s="448">
        <v>44070</v>
      </c>
      <c r="P28" s="449" t="s">
        <v>371</v>
      </c>
      <c r="Q28" s="450" t="s">
        <v>372</v>
      </c>
      <c r="R28" s="450" t="s">
        <v>91</v>
      </c>
      <c r="S28" s="451">
        <v>44217</v>
      </c>
    </row>
    <row r="29" spans="1:19" ht="46.5" customHeight="1" x14ac:dyDescent="0.2">
      <c r="A29" s="182">
        <v>24</v>
      </c>
      <c r="B29" s="342" t="s">
        <v>242</v>
      </c>
      <c r="C29" s="442" t="s">
        <v>373</v>
      </c>
      <c r="D29" s="343" t="s">
        <v>374</v>
      </c>
      <c r="E29" s="344" t="s">
        <v>375</v>
      </c>
      <c r="F29" s="345">
        <v>52</v>
      </c>
      <c r="G29" s="345" t="s">
        <v>211</v>
      </c>
      <c r="H29" s="345" t="s">
        <v>32</v>
      </c>
      <c r="I29" s="346">
        <v>5</v>
      </c>
      <c r="J29" s="347">
        <v>3428.57</v>
      </c>
      <c r="K29" s="347">
        <v>5714.29</v>
      </c>
      <c r="L29" s="347">
        <v>0</v>
      </c>
      <c r="M29" s="347">
        <v>0</v>
      </c>
      <c r="N29" s="347">
        <v>0</v>
      </c>
      <c r="O29" s="348">
        <v>44148</v>
      </c>
      <c r="P29" s="349" t="s">
        <v>376</v>
      </c>
      <c r="Q29" s="350" t="s">
        <v>90</v>
      </c>
      <c r="R29" s="350" t="s">
        <v>50</v>
      </c>
      <c r="S29" s="351">
        <v>44218</v>
      </c>
    </row>
    <row r="30" spans="1:19" ht="36" x14ac:dyDescent="0.2">
      <c r="A30" s="182">
        <v>2</v>
      </c>
      <c r="B30" s="421" t="s">
        <v>243</v>
      </c>
      <c r="C30" s="442" t="s">
        <v>282</v>
      </c>
      <c r="D30" s="343" t="s">
        <v>283</v>
      </c>
      <c r="E30" s="344" t="s">
        <v>284</v>
      </c>
      <c r="F30" s="345">
        <v>65</v>
      </c>
      <c r="G30" s="341" t="s">
        <v>211</v>
      </c>
      <c r="H30" s="345" t="s">
        <v>42</v>
      </c>
      <c r="I30" s="346">
        <v>3</v>
      </c>
      <c r="J30" s="347">
        <v>0</v>
      </c>
      <c r="K30" s="347">
        <v>11428.57</v>
      </c>
      <c r="L30" s="347">
        <v>0</v>
      </c>
      <c r="M30" s="347">
        <v>0</v>
      </c>
      <c r="N30" s="347">
        <v>0</v>
      </c>
      <c r="O30" s="348">
        <v>43151</v>
      </c>
      <c r="P30" s="411" t="s">
        <v>285</v>
      </c>
      <c r="Q30" s="350" t="s">
        <v>36</v>
      </c>
      <c r="R30" s="350" t="s">
        <v>36</v>
      </c>
      <c r="S30" s="351">
        <v>44203</v>
      </c>
    </row>
    <row r="31" spans="1:19" ht="24" x14ac:dyDescent="0.2">
      <c r="A31" s="182">
        <v>3</v>
      </c>
      <c r="B31" s="342" t="s">
        <v>244</v>
      </c>
      <c r="C31" s="442" t="s">
        <v>458</v>
      </c>
      <c r="D31" s="343" t="s">
        <v>459</v>
      </c>
      <c r="E31" s="344" t="s">
        <v>460</v>
      </c>
      <c r="F31" s="345">
        <v>58</v>
      </c>
      <c r="G31" s="341" t="s">
        <v>211</v>
      </c>
      <c r="H31" s="345" t="s">
        <v>34</v>
      </c>
      <c r="I31" s="346">
        <v>3</v>
      </c>
      <c r="J31" s="347">
        <v>3428.57</v>
      </c>
      <c r="K31" s="347">
        <v>3428.57</v>
      </c>
      <c r="L31" s="347">
        <v>0</v>
      </c>
      <c r="M31" s="347">
        <v>1142.8599999999999</v>
      </c>
      <c r="N31" s="347">
        <v>0</v>
      </c>
      <c r="O31" s="348">
        <v>44167</v>
      </c>
      <c r="P31" s="411" t="s">
        <v>461</v>
      </c>
      <c r="Q31" s="350" t="s">
        <v>51</v>
      </c>
      <c r="R31" s="350" t="s">
        <v>51</v>
      </c>
      <c r="S31" s="351">
        <v>44225</v>
      </c>
    </row>
    <row r="32" spans="1:19" ht="24" x14ac:dyDescent="0.2">
      <c r="A32" s="182">
        <v>4</v>
      </c>
      <c r="B32" s="342" t="s">
        <v>245</v>
      </c>
      <c r="C32" s="442" t="s">
        <v>431</v>
      </c>
      <c r="D32" s="343" t="s">
        <v>432</v>
      </c>
      <c r="E32" s="344" t="s">
        <v>433</v>
      </c>
      <c r="F32" s="345">
        <v>79</v>
      </c>
      <c r="G32" s="341" t="s">
        <v>211</v>
      </c>
      <c r="H32" s="345" t="s">
        <v>37</v>
      </c>
      <c r="I32" s="346">
        <v>7</v>
      </c>
      <c r="J32" s="347">
        <v>0</v>
      </c>
      <c r="K32" s="347">
        <v>3428.57</v>
      </c>
      <c r="L32" s="347">
        <v>0</v>
      </c>
      <c r="M32" s="347">
        <v>0</v>
      </c>
      <c r="N32" s="347">
        <v>0</v>
      </c>
      <c r="O32" s="348">
        <v>44060</v>
      </c>
      <c r="P32" s="411" t="s">
        <v>434</v>
      </c>
      <c r="Q32" s="350" t="s">
        <v>51</v>
      </c>
      <c r="R32" s="350" t="s">
        <v>50</v>
      </c>
      <c r="S32" s="351">
        <v>44225</v>
      </c>
    </row>
    <row r="33" spans="1:19" ht="24" x14ac:dyDescent="0.2">
      <c r="A33" s="182">
        <v>5</v>
      </c>
      <c r="B33" s="421" t="s">
        <v>246</v>
      </c>
      <c r="C33" s="442" t="s">
        <v>347</v>
      </c>
      <c r="D33" s="343" t="s">
        <v>348</v>
      </c>
      <c r="E33" s="344" t="s">
        <v>349</v>
      </c>
      <c r="F33" s="345">
        <v>81</v>
      </c>
      <c r="G33" s="341" t="s">
        <v>256</v>
      </c>
      <c r="H33" s="345" t="s">
        <v>37</v>
      </c>
      <c r="I33" s="346">
        <v>1</v>
      </c>
      <c r="J33" s="347">
        <v>0</v>
      </c>
      <c r="K33" s="347">
        <v>1142.8599999999999</v>
      </c>
      <c r="L33" s="347">
        <v>0</v>
      </c>
      <c r="M33" s="347">
        <v>0</v>
      </c>
      <c r="N33" s="347">
        <v>0</v>
      </c>
      <c r="O33" s="348">
        <v>44038</v>
      </c>
      <c r="P33" s="349" t="s">
        <v>350</v>
      </c>
      <c r="Q33" s="350" t="s">
        <v>92</v>
      </c>
      <c r="R33" s="350" t="s">
        <v>92</v>
      </c>
      <c r="S33" s="351">
        <v>44211</v>
      </c>
    </row>
    <row r="34" spans="1:19" ht="36" x14ac:dyDescent="0.2">
      <c r="A34" s="182">
        <v>6</v>
      </c>
      <c r="B34" s="342" t="s">
        <v>247</v>
      </c>
      <c r="C34" s="442" t="s">
        <v>355</v>
      </c>
      <c r="D34" s="343" t="s">
        <v>356</v>
      </c>
      <c r="E34" s="344" t="s">
        <v>357</v>
      </c>
      <c r="F34" s="345">
        <v>46</v>
      </c>
      <c r="G34" s="341" t="s">
        <v>256</v>
      </c>
      <c r="H34" s="345" t="s">
        <v>34</v>
      </c>
      <c r="I34" s="346">
        <v>1</v>
      </c>
      <c r="J34" s="347">
        <v>3428.57</v>
      </c>
      <c r="K34" s="347">
        <v>0</v>
      </c>
      <c r="L34" s="347">
        <v>0</v>
      </c>
      <c r="M34" s="347">
        <v>0</v>
      </c>
      <c r="N34" s="347">
        <v>0</v>
      </c>
      <c r="O34" s="348">
        <v>44187</v>
      </c>
      <c r="P34" s="411" t="s">
        <v>358</v>
      </c>
      <c r="Q34" s="350" t="s">
        <v>90</v>
      </c>
      <c r="R34" s="350" t="s">
        <v>359</v>
      </c>
      <c r="S34" s="351">
        <v>44215</v>
      </c>
    </row>
    <row r="35" spans="1:19" ht="54" x14ac:dyDescent="0.2">
      <c r="A35" s="182">
        <v>7</v>
      </c>
      <c r="B35" s="342" t="s">
        <v>248</v>
      </c>
      <c r="C35" s="442" t="s">
        <v>299</v>
      </c>
      <c r="D35" s="343" t="s">
        <v>300</v>
      </c>
      <c r="E35" s="344" t="s">
        <v>301</v>
      </c>
      <c r="F35" s="345">
        <v>67</v>
      </c>
      <c r="G35" s="341" t="s">
        <v>256</v>
      </c>
      <c r="H35" s="345" t="s">
        <v>32</v>
      </c>
      <c r="I35" s="346">
        <v>2</v>
      </c>
      <c r="J35" s="347">
        <v>3428.57</v>
      </c>
      <c r="K35" s="347">
        <v>5714.29</v>
      </c>
      <c r="L35" s="347">
        <v>0</v>
      </c>
      <c r="M35" s="347">
        <v>1142.8599999999999</v>
      </c>
      <c r="N35" s="347">
        <v>0</v>
      </c>
      <c r="O35" s="348">
        <v>44174</v>
      </c>
      <c r="P35" s="411" t="s">
        <v>302</v>
      </c>
      <c r="Q35" s="350" t="s">
        <v>90</v>
      </c>
      <c r="R35" s="350" t="s">
        <v>50</v>
      </c>
      <c r="S35" s="351">
        <v>44207</v>
      </c>
    </row>
    <row r="36" spans="1:19" ht="24" x14ac:dyDescent="0.2">
      <c r="A36" s="182">
        <v>8</v>
      </c>
      <c r="B36" s="421" t="s">
        <v>249</v>
      </c>
      <c r="C36" s="442" t="s">
        <v>277</v>
      </c>
      <c r="D36" s="343" t="s">
        <v>278</v>
      </c>
      <c r="E36" s="344" t="s">
        <v>279</v>
      </c>
      <c r="F36" s="345">
        <v>54</v>
      </c>
      <c r="G36" s="341" t="s">
        <v>211</v>
      </c>
      <c r="H36" s="345" t="s">
        <v>32</v>
      </c>
      <c r="I36" s="346">
        <v>1</v>
      </c>
      <c r="J36" s="347">
        <v>3428.57</v>
      </c>
      <c r="K36" s="347">
        <v>0</v>
      </c>
      <c r="L36" s="347">
        <v>571.42999999999995</v>
      </c>
      <c r="M36" s="347">
        <v>0</v>
      </c>
      <c r="N36" s="347">
        <v>0</v>
      </c>
      <c r="O36" s="348">
        <v>44004</v>
      </c>
      <c r="P36" s="349" t="s">
        <v>280</v>
      </c>
      <c r="Q36" s="350" t="s">
        <v>281</v>
      </c>
      <c r="R36" s="350" t="s">
        <v>91</v>
      </c>
      <c r="S36" s="351">
        <v>44203</v>
      </c>
    </row>
    <row r="37" spans="1:19" ht="24" x14ac:dyDescent="0.2">
      <c r="A37" s="182">
        <v>9</v>
      </c>
      <c r="B37" s="342" t="s">
        <v>250</v>
      </c>
      <c r="C37" s="442" t="s">
        <v>303</v>
      </c>
      <c r="D37" s="343" t="s">
        <v>304</v>
      </c>
      <c r="E37" s="344" t="s">
        <v>305</v>
      </c>
      <c r="F37" s="345">
        <v>80</v>
      </c>
      <c r="G37" s="341" t="s">
        <v>256</v>
      </c>
      <c r="H37" s="345" t="s">
        <v>37</v>
      </c>
      <c r="I37" s="346">
        <v>3</v>
      </c>
      <c r="J37" s="347">
        <v>0</v>
      </c>
      <c r="K37" s="347">
        <v>3428.57</v>
      </c>
      <c r="L37" s="347">
        <v>0</v>
      </c>
      <c r="M37" s="347">
        <v>1142.8599999999999</v>
      </c>
      <c r="N37" s="347">
        <v>0</v>
      </c>
      <c r="O37" s="348">
        <v>44181</v>
      </c>
      <c r="P37" s="411" t="s">
        <v>257</v>
      </c>
      <c r="Q37" s="350" t="s">
        <v>306</v>
      </c>
      <c r="R37" s="350" t="s">
        <v>51</v>
      </c>
      <c r="S37" s="351">
        <v>44207</v>
      </c>
    </row>
    <row r="38" spans="1:19" ht="27" x14ac:dyDescent="0.2">
      <c r="A38" s="182">
        <v>10</v>
      </c>
      <c r="B38" s="342" t="s">
        <v>251</v>
      </c>
      <c r="C38" s="442" t="s">
        <v>335</v>
      </c>
      <c r="D38" s="343" t="s">
        <v>336</v>
      </c>
      <c r="E38" s="344" t="s">
        <v>337</v>
      </c>
      <c r="F38" s="345">
        <v>92</v>
      </c>
      <c r="G38" s="341" t="s">
        <v>211</v>
      </c>
      <c r="H38" s="345" t="s">
        <v>37</v>
      </c>
      <c r="I38" s="346">
        <v>5</v>
      </c>
      <c r="J38" s="347">
        <v>0</v>
      </c>
      <c r="K38" s="347">
        <v>3428.57</v>
      </c>
      <c r="L38" s="347">
        <v>0</v>
      </c>
      <c r="M38" s="347">
        <v>0</v>
      </c>
      <c r="N38" s="347">
        <v>0</v>
      </c>
      <c r="O38" s="348">
        <v>44007</v>
      </c>
      <c r="P38" s="411" t="s">
        <v>338</v>
      </c>
      <c r="Q38" s="350" t="s">
        <v>339</v>
      </c>
      <c r="R38" s="350" t="s">
        <v>31</v>
      </c>
      <c r="S38" s="351">
        <v>44211</v>
      </c>
    </row>
    <row r="39" spans="1:19" ht="24" x14ac:dyDescent="0.2">
      <c r="A39" s="182">
        <v>11</v>
      </c>
      <c r="B39" s="421" t="s">
        <v>252</v>
      </c>
      <c r="C39" s="442" t="s">
        <v>344</v>
      </c>
      <c r="D39" s="343" t="s">
        <v>345</v>
      </c>
      <c r="E39" s="344" t="s">
        <v>346</v>
      </c>
      <c r="F39" s="345">
        <v>90</v>
      </c>
      <c r="G39" s="341" t="s">
        <v>211</v>
      </c>
      <c r="H39" s="345" t="s">
        <v>37</v>
      </c>
      <c r="I39" s="346">
        <v>4</v>
      </c>
      <c r="J39" s="347">
        <v>0</v>
      </c>
      <c r="K39" s="347">
        <v>1142.8599999999999</v>
      </c>
      <c r="L39" s="347">
        <v>0</v>
      </c>
      <c r="M39" s="347">
        <v>0</v>
      </c>
      <c r="N39" s="347">
        <v>0</v>
      </c>
      <c r="O39" s="348">
        <v>43922</v>
      </c>
      <c r="P39" s="349" t="s">
        <v>55</v>
      </c>
      <c r="Q39" s="350" t="s">
        <v>255</v>
      </c>
      <c r="R39" s="350" t="s">
        <v>92</v>
      </c>
      <c r="S39" s="351">
        <v>44211</v>
      </c>
    </row>
    <row r="40" spans="1:19" ht="36" x14ac:dyDescent="0.2">
      <c r="A40" s="182">
        <v>12</v>
      </c>
      <c r="B40" s="342" t="s">
        <v>253</v>
      </c>
      <c r="C40" s="442" t="s">
        <v>385</v>
      </c>
      <c r="D40" s="343" t="s">
        <v>386</v>
      </c>
      <c r="E40" s="344" t="s">
        <v>387</v>
      </c>
      <c r="F40" s="345">
        <v>86</v>
      </c>
      <c r="G40" s="341" t="s">
        <v>211</v>
      </c>
      <c r="H40" s="345" t="s">
        <v>37</v>
      </c>
      <c r="I40" s="346">
        <v>1</v>
      </c>
      <c r="J40" s="347">
        <v>0</v>
      </c>
      <c r="K40" s="347">
        <v>3428.57</v>
      </c>
      <c r="L40" s="347">
        <v>0</v>
      </c>
      <c r="M40" s="347">
        <v>0</v>
      </c>
      <c r="N40" s="347">
        <v>0</v>
      </c>
      <c r="O40" s="348">
        <v>43695</v>
      </c>
      <c r="P40" s="411" t="s">
        <v>388</v>
      </c>
      <c r="Q40" s="350" t="s">
        <v>50</v>
      </c>
      <c r="R40" s="350" t="s">
        <v>50</v>
      </c>
      <c r="S40" s="351">
        <v>44218</v>
      </c>
    </row>
    <row r="41" spans="1:19" ht="24" x14ac:dyDescent="0.2">
      <c r="A41" s="182">
        <v>13</v>
      </c>
      <c r="B41" s="342" t="s">
        <v>254</v>
      </c>
      <c r="C41" s="442" t="s">
        <v>393</v>
      </c>
      <c r="D41" s="343" t="s">
        <v>394</v>
      </c>
      <c r="E41" s="344" t="s">
        <v>395</v>
      </c>
      <c r="F41" s="345">
        <v>98</v>
      </c>
      <c r="G41" s="345" t="s">
        <v>256</v>
      </c>
      <c r="H41" s="345" t="s">
        <v>37</v>
      </c>
      <c r="I41" s="346">
        <v>2</v>
      </c>
      <c r="J41" s="347">
        <v>0</v>
      </c>
      <c r="K41" s="347">
        <v>1142.8599999999999</v>
      </c>
      <c r="L41" s="347">
        <v>0</v>
      </c>
      <c r="M41" s="347">
        <v>0</v>
      </c>
      <c r="N41" s="347">
        <v>0</v>
      </c>
      <c r="O41" s="348">
        <v>44211</v>
      </c>
      <c r="P41" s="349" t="s">
        <v>396</v>
      </c>
      <c r="Q41" s="350" t="s">
        <v>90</v>
      </c>
      <c r="R41" s="350" t="s">
        <v>91</v>
      </c>
      <c r="S41" s="351">
        <v>44218</v>
      </c>
    </row>
    <row r="42" spans="1:19" ht="36.75" customHeight="1" x14ac:dyDescent="0.2">
      <c r="A42" s="182">
        <v>14</v>
      </c>
      <c r="B42" s="421" t="s">
        <v>466</v>
      </c>
      <c r="C42" s="442" t="s">
        <v>290</v>
      </c>
      <c r="D42" s="343" t="s">
        <v>291</v>
      </c>
      <c r="E42" s="344" t="s">
        <v>292</v>
      </c>
      <c r="F42" s="345">
        <v>60</v>
      </c>
      <c r="G42" s="341" t="s">
        <v>256</v>
      </c>
      <c r="H42" s="345" t="s">
        <v>32</v>
      </c>
      <c r="I42" s="346">
        <v>3</v>
      </c>
      <c r="J42" s="347">
        <v>3428.57</v>
      </c>
      <c r="K42" s="347">
        <v>11428.57</v>
      </c>
      <c r="L42" s="347">
        <v>0</v>
      </c>
      <c r="M42" s="347">
        <v>1142.8599999999999</v>
      </c>
      <c r="N42" s="347">
        <v>0</v>
      </c>
      <c r="O42" s="348">
        <v>44143</v>
      </c>
      <c r="P42" s="411" t="s">
        <v>293</v>
      </c>
      <c r="Q42" s="350" t="s">
        <v>90</v>
      </c>
      <c r="R42" s="350" t="s">
        <v>48</v>
      </c>
      <c r="S42" s="351">
        <v>44207</v>
      </c>
    </row>
    <row r="43" spans="1:19" ht="27.75" x14ac:dyDescent="0.2">
      <c r="A43" s="182">
        <v>15</v>
      </c>
      <c r="B43" s="342" t="s">
        <v>467</v>
      </c>
      <c r="C43" s="442" t="s">
        <v>426</v>
      </c>
      <c r="D43" s="443" t="s">
        <v>427</v>
      </c>
      <c r="E43" s="344" t="s">
        <v>428</v>
      </c>
      <c r="F43" s="345">
        <v>71</v>
      </c>
      <c r="G43" s="345" t="s">
        <v>211</v>
      </c>
      <c r="H43" s="345" t="s">
        <v>32</v>
      </c>
      <c r="I43" s="346">
        <v>2</v>
      </c>
      <c r="J43" s="453">
        <v>3428.57</v>
      </c>
      <c r="K43" s="453">
        <v>3428.57</v>
      </c>
      <c r="L43" s="453">
        <v>0</v>
      </c>
      <c r="M43" s="453">
        <v>0</v>
      </c>
      <c r="N43" s="453">
        <v>0</v>
      </c>
      <c r="O43" s="348">
        <v>44167</v>
      </c>
      <c r="P43" s="349" t="s">
        <v>429</v>
      </c>
      <c r="Q43" s="350" t="s">
        <v>430</v>
      </c>
      <c r="R43" s="452" t="s">
        <v>36</v>
      </c>
      <c r="S43" s="351">
        <v>44224</v>
      </c>
    </row>
    <row r="44" spans="1:19" ht="46.5" customHeight="1" x14ac:dyDescent="0.2">
      <c r="A44" s="182">
        <v>16</v>
      </c>
      <c r="B44" s="342" t="s">
        <v>468</v>
      </c>
      <c r="C44" s="442" t="s">
        <v>444</v>
      </c>
      <c r="D44" s="343" t="s">
        <v>445</v>
      </c>
      <c r="E44" s="344" t="s">
        <v>446</v>
      </c>
      <c r="F44" s="345">
        <v>59</v>
      </c>
      <c r="G44" s="341" t="s">
        <v>211</v>
      </c>
      <c r="H44" s="345" t="s">
        <v>32</v>
      </c>
      <c r="I44" s="346">
        <v>5</v>
      </c>
      <c r="J44" s="347">
        <v>3428.57</v>
      </c>
      <c r="K44" s="347">
        <v>3428.57</v>
      </c>
      <c r="L44" s="347">
        <v>0</v>
      </c>
      <c r="M44" s="347">
        <v>1142.8599999999999</v>
      </c>
      <c r="N44" s="347">
        <v>0</v>
      </c>
      <c r="O44" s="348">
        <v>44169</v>
      </c>
      <c r="P44" s="349" t="s">
        <v>447</v>
      </c>
      <c r="Q44" s="454" t="s">
        <v>448</v>
      </c>
      <c r="R44" s="350" t="s">
        <v>31</v>
      </c>
      <c r="S44" s="351">
        <v>44225</v>
      </c>
    </row>
    <row r="45" spans="1:19" ht="24" x14ac:dyDescent="0.2">
      <c r="A45" s="182">
        <v>17</v>
      </c>
      <c r="B45" s="421" t="s">
        <v>469</v>
      </c>
      <c r="C45" s="442" t="s">
        <v>273</v>
      </c>
      <c r="D45" s="343" t="s">
        <v>274</v>
      </c>
      <c r="E45" s="344" t="s">
        <v>275</v>
      </c>
      <c r="F45" s="345">
        <v>77</v>
      </c>
      <c r="G45" s="341" t="s">
        <v>211</v>
      </c>
      <c r="H45" s="345" t="s">
        <v>37</v>
      </c>
      <c r="I45" s="346">
        <v>4</v>
      </c>
      <c r="J45" s="347">
        <v>0</v>
      </c>
      <c r="K45" s="347">
        <v>3428.57</v>
      </c>
      <c r="L45" s="347">
        <v>0</v>
      </c>
      <c r="M45" s="347">
        <v>0</v>
      </c>
      <c r="N45" s="347">
        <v>0</v>
      </c>
      <c r="O45" s="348">
        <v>44175</v>
      </c>
      <c r="P45" s="349" t="s">
        <v>276</v>
      </c>
      <c r="Q45" s="350" t="s">
        <v>258</v>
      </c>
      <c r="R45" s="350" t="s">
        <v>91</v>
      </c>
      <c r="S45" s="351">
        <v>44203</v>
      </c>
    </row>
    <row r="46" spans="1:19" ht="24" x14ac:dyDescent="0.2">
      <c r="A46" s="182">
        <v>18</v>
      </c>
      <c r="B46" s="342" t="s">
        <v>470</v>
      </c>
      <c r="C46" s="442" t="s">
        <v>435</v>
      </c>
      <c r="D46" s="343" t="s">
        <v>436</v>
      </c>
      <c r="E46" s="344" t="s">
        <v>437</v>
      </c>
      <c r="F46" s="345">
        <v>67</v>
      </c>
      <c r="G46" s="341" t="s">
        <v>256</v>
      </c>
      <c r="H46" s="345" t="s">
        <v>40</v>
      </c>
      <c r="I46" s="346">
        <v>5</v>
      </c>
      <c r="J46" s="347">
        <v>0</v>
      </c>
      <c r="K46" s="347">
        <v>3428.57</v>
      </c>
      <c r="L46" s="347">
        <v>0</v>
      </c>
      <c r="M46" s="347">
        <v>0</v>
      </c>
      <c r="N46" s="347">
        <v>0</v>
      </c>
      <c r="O46" s="348">
        <v>43988</v>
      </c>
      <c r="P46" s="349" t="s">
        <v>438</v>
      </c>
      <c r="Q46" s="350" t="s">
        <v>51</v>
      </c>
      <c r="R46" s="350" t="s">
        <v>51</v>
      </c>
      <c r="S46" s="351">
        <v>44225</v>
      </c>
    </row>
    <row r="47" spans="1:19" ht="36" x14ac:dyDescent="0.2">
      <c r="A47" s="182">
        <v>19</v>
      </c>
      <c r="B47" s="342" t="s">
        <v>471</v>
      </c>
      <c r="C47" s="442" t="s">
        <v>269</v>
      </c>
      <c r="D47" s="343" t="s">
        <v>270</v>
      </c>
      <c r="E47" s="344" t="s">
        <v>271</v>
      </c>
      <c r="F47" s="345">
        <v>82</v>
      </c>
      <c r="G47" s="341" t="s">
        <v>256</v>
      </c>
      <c r="H47" s="345" t="s">
        <v>37</v>
      </c>
      <c r="I47" s="346">
        <v>1</v>
      </c>
      <c r="J47" s="347">
        <v>0</v>
      </c>
      <c r="K47" s="347">
        <v>3428.57</v>
      </c>
      <c r="L47" s="347">
        <v>0</v>
      </c>
      <c r="M47" s="347">
        <v>0</v>
      </c>
      <c r="N47" s="347">
        <v>0</v>
      </c>
      <c r="O47" s="348">
        <v>44150</v>
      </c>
      <c r="P47" s="411" t="s">
        <v>272</v>
      </c>
      <c r="Q47" s="350" t="s">
        <v>90</v>
      </c>
      <c r="R47" s="350" t="s">
        <v>111</v>
      </c>
      <c r="S47" s="351">
        <v>44203</v>
      </c>
    </row>
    <row r="48" spans="1:19" ht="36" x14ac:dyDescent="0.2">
      <c r="A48" s="182">
        <v>20</v>
      </c>
      <c r="B48" s="421" t="s">
        <v>472</v>
      </c>
      <c r="C48" s="442" t="s">
        <v>265</v>
      </c>
      <c r="D48" s="343" t="s">
        <v>266</v>
      </c>
      <c r="E48" s="344" t="s">
        <v>267</v>
      </c>
      <c r="F48" s="345">
        <v>82</v>
      </c>
      <c r="G48" s="341" t="s">
        <v>256</v>
      </c>
      <c r="H48" s="345" t="s">
        <v>40</v>
      </c>
      <c r="I48" s="346">
        <v>4</v>
      </c>
      <c r="J48" s="347">
        <v>0</v>
      </c>
      <c r="K48" s="347">
        <v>3428.57</v>
      </c>
      <c r="L48" s="347">
        <v>0</v>
      </c>
      <c r="M48" s="347">
        <v>0</v>
      </c>
      <c r="N48" s="347">
        <v>0</v>
      </c>
      <c r="O48" s="348">
        <v>43604</v>
      </c>
      <c r="P48" s="411" t="s">
        <v>268</v>
      </c>
      <c r="Q48" s="350" t="s">
        <v>90</v>
      </c>
      <c r="R48" s="350" t="s">
        <v>91</v>
      </c>
      <c r="S48" s="351">
        <v>44201</v>
      </c>
    </row>
    <row r="49" spans="1:19" ht="24" x14ac:dyDescent="0.2">
      <c r="A49" s="182">
        <v>21</v>
      </c>
      <c r="B49" s="342" t="s">
        <v>473</v>
      </c>
      <c r="C49" s="442" t="s">
        <v>439</v>
      </c>
      <c r="D49" s="343" t="s">
        <v>440</v>
      </c>
      <c r="E49" s="344" t="s">
        <v>441</v>
      </c>
      <c r="F49" s="345">
        <v>85</v>
      </c>
      <c r="G49" s="341" t="s">
        <v>211</v>
      </c>
      <c r="H49" s="345" t="s">
        <v>37</v>
      </c>
      <c r="I49" s="346">
        <v>1</v>
      </c>
      <c r="J49" s="347">
        <v>0</v>
      </c>
      <c r="K49" s="347">
        <v>3428.57</v>
      </c>
      <c r="L49" s="347">
        <v>0</v>
      </c>
      <c r="M49" s="347">
        <v>0</v>
      </c>
      <c r="N49" s="347">
        <v>0</v>
      </c>
      <c r="O49" s="348">
        <v>44187</v>
      </c>
      <c r="P49" s="349" t="s">
        <v>442</v>
      </c>
      <c r="Q49" s="350" t="s">
        <v>443</v>
      </c>
      <c r="R49" s="350" t="s">
        <v>51</v>
      </c>
      <c r="S49" s="351">
        <v>44225</v>
      </c>
    </row>
    <row r="50" spans="1:19" ht="24" x14ac:dyDescent="0.2">
      <c r="A50" s="182">
        <v>22</v>
      </c>
      <c r="B50" s="342" t="s">
        <v>474</v>
      </c>
      <c r="C50" s="442" t="s">
        <v>340</v>
      </c>
      <c r="D50" s="343" t="s">
        <v>341</v>
      </c>
      <c r="E50" s="344" t="s">
        <v>342</v>
      </c>
      <c r="F50" s="345">
        <v>87</v>
      </c>
      <c r="G50" s="341" t="s">
        <v>256</v>
      </c>
      <c r="H50" s="345" t="s">
        <v>37</v>
      </c>
      <c r="I50" s="346">
        <v>3</v>
      </c>
      <c r="J50" s="347">
        <v>0</v>
      </c>
      <c r="K50" s="347">
        <v>3428.57</v>
      </c>
      <c r="L50" s="347">
        <v>0</v>
      </c>
      <c r="M50" s="347">
        <v>0</v>
      </c>
      <c r="N50" s="347">
        <v>0</v>
      </c>
      <c r="O50" s="348">
        <v>44204</v>
      </c>
      <c r="P50" s="411" t="s">
        <v>343</v>
      </c>
      <c r="Q50" s="350" t="s">
        <v>90</v>
      </c>
      <c r="R50" s="350" t="s">
        <v>91</v>
      </c>
      <c r="S50" s="351">
        <v>44211</v>
      </c>
    </row>
    <row r="51" spans="1:19" ht="24" x14ac:dyDescent="0.2">
      <c r="A51" s="182">
        <v>23</v>
      </c>
      <c r="B51" s="421" t="s">
        <v>475</v>
      </c>
      <c r="C51" s="442" t="s">
        <v>410</v>
      </c>
      <c r="D51" s="343" t="s">
        <v>411</v>
      </c>
      <c r="E51" s="344" t="s">
        <v>412</v>
      </c>
      <c r="F51" s="345">
        <v>55</v>
      </c>
      <c r="G51" s="341" t="s">
        <v>256</v>
      </c>
      <c r="H51" s="345" t="s">
        <v>32</v>
      </c>
      <c r="I51" s="346">
        <v>4</v>
      </c>
      <c r="J51" s="347">
        <v>3428.57</v>
      </c>
      <c r="K51" s="347">
        <v>11428.57</v>
      </c>
      <c r="L51" s="347">
        <v>0</v>
      </c>
      <c r="M51" s="347">
        <v>1142.8599999999999</v>
      </c>
      <c r="N51" s="347">
        <v>0</v>
      </c>
      <c r="O51" s="348">
        <v>44187</v>
      </c>
      <c r="P51" s="411" t="s">
        <v>413</v>
      </c>
      <c r="Q51" s="350" t="s">
        <v>90</v>
      </c>
      <c r="R51" s="350" t="s">
        <v>91</v>
      </c>
      <c r="S51" s="351">
        <v>44222</v>
      </c>
    </row>
    <row r="52" spans="1:19" ht="24" x14ac:dyDescent="0.2">
      <c r="A52" s="182">
        <v>24</v>
      </c>
      <c r="B52" s="342" t="s">
        <v>476</v>
      </c>
      <c r="C52" s="442" t="s">
        <v>351</v>
      </c>
      <c r="D52" s="343" t="s">
        <v>352</v>
      </c>
      <c r="E52" s="344" t="s">
        <v>353</v>
      </c>
      <c r="F52" s="345">
        <v>76</v>
      </c>
      <c r="G52" s="345" t="s">
        <v>256</v>
      </c>
      <c r="H52" s="345" t="s">
        <v>37</v>
      </c>
      <c r="I52" s="346">
        <v>4</v>
      </c>
      <c r="J52" s="347">
        <v>0</v>
      </c>
      <c r="K52" s="347">
        <v>1142.8599999999999</v>
      </c>
      <c r="L52" s="347">
        <v>0</v>
      </c>
      <c r="M52" s="347">
        <v>0</v>
      </c>
      <c r="N52" s="347">
        <v>0</v>
      </c>
      <c r="O52" s="348">
        <v>44026</v>
      </c>
      <c r="P52" s="349" t="s">
        <v>354</v>
      </c>
      <c r="Q52" s="350" t="s">
        <v>90</v>
      </c>
      <c r="R52" s="350" t="s">
        <v>91</v>
      </c>
      <c r="S52" s="351">
        <v>44215</v>
      </c>
    </row>
    <row r="53" spans="1:19" ht="54.75" thickBot="1" x14ac:dyDescent="0.25">
      <c r="A53" s="182">
        <v>25</v>
      </c>
      <c r="B53" s="342" t="s">
        <v>477</v>
      </c>
      <c r="C53" s="455" t="s">
        <v>307</v>
      </c>
      <c r="D53" s="456" t="s">
        <v>308</v>
      </c>
      <c r="E53" s="457" t="s">
        <v>309</v>
      </c>
      <c r="F53" s="458">
        <v>46</v>
      </c>
      <c r="G53" s="341" t="s">
        <v>256</v>
      </c>
      <c r="H53" s="458" t="s">
        <v>32</v>
      </c>
      <c r="I53" s="459">
        <v>4</v>
      </c>
      <c r="J53" s="460">
        <v>3428.57</v>
      </c>
      <c r="K53" s="460">
        <v>15000</v>
      </c>
      <c r="L53" s="460">
        <v>0</v>
      </c>
      <c r="M53" s="460">
        <v>1142.8599999999999</v>
      </c>
      <c r="N53" s="460">
        <v>0</v>
      </c>
      <c r="O53" s="461">
        <v>44143</v>
      </c>
      <c r="P53" s="462" t="s">
        <v>310</v>
      </c>
      <c r="Q53" s="463" t="s">
        <v>90</v>
      </c>
      <c r="R53" s="463" t="s">
        <v>46</v>
      </c>
      <c r="S53" s="464">
        <v>44208</v>
      </c>
    </row>
    <row r="54" spans="1:19" ht="9" customHeight="1" x14ac:dyDescent="0.2">
      <c r="B54" s="421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485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152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4"/>
      <c r="R58" s="181"/>
    </row>
    <row r="59" spans="1:19" x14ac:dyDescent="0.2">
      <c r="B59" s="186" t="s">
        <v>152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153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5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2022-04-07T13:21:39Z</cp:lastPrinted>
  <dcterms:created xsi:type="dcterms:W3CDTF">2002-04-29T19:59:45Z</dcterms:created>
  <dcterms:modified xsi:type="dcterms:W3CDTF">2023-01-27T21:23:51Z</dcterms:modified>
</cp:coreProperties>
</file>