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Blanca.Batres\Documents\2022\OIR\Información Oficiosa\Informes por disposición legal\"/>
    </mc:Choice>
  </mc:AlternateContent>
  <bookViews>
    <workbookView xWindow="0" yWindow="0" windowWidth="20490" windowHeight="7155" tabRatio="601" firstSheet="1" activeTab="1"/>
  </bookViews>
  <sheets>
    <sheet name="RESUMEN ACUMULADO" sheetId="27" r:id="rId1"/>
    <sheet name="RESUMEN MENSUAL" sheetId="25" r:id="rId2"/>
    <sheet name="1. RESUMEN DE PAGADOS " sheetId="4" r:id="rId3"/>
    <sheet name="2. COMPR DEV 30%" sheetId="16" r:id="rId4"/>
    <sheet name="3. COMP VR" sheetId="17" r:id="rId5"/>
    <sheet name="4. COMP VP" sheetId="18" r:id="rId6"/>
    <sheet name="5.ESTADÍSCAS X REPORTE mensual" sheetId="29" r:id="rId7"/>
    <sheet name="6. REPORTADOS F+ DETALLE-SEG" sheetId="11" r:id="rId8"/>
    <sheet name="8. REPORTE DE FALLECIDOS ENERO" sheetId="20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0" i="25" l="1"/>
  <c r="E19" i="25"/>
  <c r="E18" i="25"/>
  <c r="E10" i="25"/>
  <c r="E12" i="25"/>
  <c r="E13" i="25"/>
  <c r="E9" i="25"/>
  <c r="E8" i="25"/>
  <c r="E7" i="25"/>
  <c r="E6" i="25"/>
  <c r="E5" i="25"/>
  <c r="N16" i="4"/>
  <c r="J16" i="4"/>
  <c r="C16" i="4"/>
  <c r="B16" i="4"/>
  <c r="D16" i="4"/>
  <c r="F16" i="4"/>
  <c r="E16" i="4"/>
  <c r="M16" i="4"/>
  <c r="H16" i="4"/>
  <c r="G16" i="4"/>
  <c r="F17" i="18"/>
  <c r="E17" i="18"/>
  <c r="D17" i="18"/>
  <c r="C17" i="18"/>
  <c r="E14" i="17"/>
  <c r="D14" i="17"/>
  <c r="C14" i="17"/>
  <c r="B14" i="17"/>
  <c r="E14" i="16"/>
  <c r="D14" i="16"/>
  <c r="C14" i="16"/>
  <c r="B14" i="16"/>
  <c r="F16" i="18"/>
  <c r="E16" i="18"/>
  <c r="D16" i="18"/>
  <c r="C16" i="18"/>
  <c r="E13" i="17"/>
  <c r="D13" i="17"/>
  <c r="C13" i="17"/>
  <c r="B13" i="17"/>
  <c r="E13" i="16"/>
  <c r="D13" i="16"/>
  <c r="C13" i="16"/>
  <c r="B13" i="16"/>
  <c r="J15" i="4"/>
  <c r="N15" i="4" l="1"/>
  <c r="C15" i="4"/>
  <c r="B15" i="4"/>
  <c r="D15" i="4"/>
  <c r="F15" i="4"/>
  <c r="E15" i="4"/>
  <c r="M15" i="4"/>
  <c r="H15" i="4"/>
  <c r="G15" i="4"/>
  <c r="J14" i="4"/>
  <c r="N14" i="4"/>
  <c r="K14" i="4"/>
  <c r="H14" i="4"/>
  <c r="M14" i="4"/>
  <c r="G14" i="4"/>
  <c r="F14" i="4"/>
  <c r="E14" i="4"/>
  <c r="D14" i="4"/>
  <c r="C14" i="4"/>
  <c r="B14" i="4"/>
  <c r="F15" i="18"/>
  <c r="E15" i="18"/>
  <c r="D15" i="18"/>
  <c r="C15" i="18"/>
  <c r="E12" i="17"/>
  <c r="D12" i="17"/>
  <c r="C12" i="17"/>
  <c r="B12" i="17"/>
  <c r="E12" i="16"/>
  <c r="D12" i="16"/>
  <c r="C12" i="16"/>
  <c r="B12" i="16"/>
  <c r="D13" i="4" l="1"/>
  <c r="F13" i="4"/>
  <c r="E13" i="4"/>
  <c r="C13" i="4"/>
  <c r="B13" i="4"/>
  <c r="M13" i="4"/>
  <c r="H13" i="4"/>
  <c r="G13" i="4"/>
  <c r="N13" i="4" l="1"/>
  <c r="J13" i="4"/>
  <c r="I13" i="4"/>
  <c r="F14" i="18" l="1"/>
  <c r="E14" i="18"/>
  <c r="D14" i="18"/>
  <c r="C14" i="18"/>
  <c r="E11" i="17"/>
  <c r="D11" i="17"/>
  <c r="C11" i="17"/>
  <c r="B11" i="17"/>
  <c r="E11" i="16"/>
  <c r="D11" i="16"/>
  <c r="C11" i="16"/>
  <c r="B11" i="16"/>
  <c r="C12" i="4" l="1"/>
  <c r="C11" i="4"/>
  <c r="N12" i="4" l="1"/>
  <c r="J12" i="4"/>
  <c r="M12" i="4"/>
  <c r="H12" i="4"/>
  <c r="G12" i="4"/>
  <c r="F11" i="4"/>
  <c r="F12" i="4"/>
  <c r="E12" i="4"/>
  <c r="D12" i="4"/>
  <c r="E10" i="17" l="1"/>
  <c r="D10" i="17"/>
  <c r="C10" i="17"/>
  <c r="B10" i="17"/>
  <c r="F13" i="18"/>
  <c r="E13" i="18"/>
  <c r="D13" i="18"/>
  <c r="C13" i="18"/>
  <c r="E10" i="16"/>
  <c r="D10" i="16"/>
  <c r="C10" i="16"/>
  <c r="B10" i="16"/>
  <c r="J11" i="4" l="1"/>
  <c r="C9" i="17" l="1"/>
  <c r="F12" i="18" l="1"/>
  <c r="E12" i="18"/>
  <c r="D12" i="18"/>
  <c r="C12" i="18"/>
  <c r="E9" i="17"/>
  <c r="D9" i="17"/>
  <c r="B9" i="17"/>
  <c r="E9" i="16"/>
  <c r="D9" i="16" l="1"/>
  <c r="C9" i="16" l="1"/>
  <c r="B9" i="16"/>
  <c r="H11" i="4" l="1"/>
  <c r="G11" i="4"/>
  <c r="E11" i="4"/>
  <c r="D11" i="4"/>
  <c r="M11" i="4"/>
  <c r="N11" i="4" l="1"/>
  <c r="E21" i="17" l="1"/>
  <c r="D21" i="17"/>
  <c r="D18" i="25"/>
  <c r="D35" i="25" s="1"/>
  <c r="D12" i="25"/>
  <c r="D10" i="25"/>
  <c r="D9" i="25"/>
  <c r="D7" i="25"/>
  <c r="D29" i="25" s="1"/>
  <c r="D6" i="25"/>
  <c r="D28" i="25" s="1"/>
  <c r="D5" i="25"/>
  <c r="D27" i="25" s="1"/>
  <c r="D19" i="25"/>
  <c r="D36" i="25" s="1"/>
  <c r="E28" i="25"/>
  <c r="E31" i="25"/>
  <c r="I23" i="4"/>
  <c r="E11" i="27" s="1"/>
  <c r="E33" i="27" s="1"/>
  <c r="C24" i="18"/>
  <c r="C23" i="27" s="1"/>
  <c r="C40" i="27" s="1"/>
  <c r="F24" i="18"/>
  <c r="D24" i="18"/>
  <c r="D21" i="16"/>
  <c r="E37" i="25"/>
  <c r="C21" i="16"/>
  <c r="D20" i="25"/>
  <c r="D37" i="25" s="1"/>
  <c r="P22" i="4"/>
  <c r="Q22" i="4"/>
  <c r="P21" i="4"/>
  <c r="Q21" i="4" s="1"/>
  <c r="P20" i="4"/>
  <c r="Q20" i="4" s="1"/>
  <c r="P19" i="4"/>
  <c r="P18" i="4"/>
  <c r="Q18" i="4"/>
  <c r="P17" i="4"/>
  <c r="Q17" i="4" s="1"/>
  <c r="P16" i="4"/>
  <c r="Q16" i="4" s="1"/>
  <c r="P15" i="4"/>
  <c r="Q15" i="4" s="1"/>
  <c r="P14" i="4"/>
  <c r="Q14" i="4" s="1"/>
  <c r="P13" i="4"/>
  <c r="Q13" i="4" s="1"/>
  <c r="P12" i="4"/>
  <c r="P33" i="29"/>
  <c r="N33" i="29"/>
  <c r="K33" i="29"/>
  <c r="H28" i="29"/>
  <c r="P26" i="29"/>
  <c r="N26" i="29"/>
  <c r="E25" i="29"/>
  <c r="D25" i="29"/>
  <c r="P24" i="29"/>
  <c r="N24" i="29"/>
  <c r="C24" i="29"/>
  <c r="C23" i="29"/>
  <c r="C22" i="29"/>
  <c r="C21" i="29"/>
  <c r="C20" i="29"/>
  <c r="C19" i="29"/>
  <c r="H18" i="29"/>
  <c r="C18" i="29"/>
  <c r="C17" i="29"/>
  <c r="C16" i="29"/>
  <c r="C15" i="29"/>
  <c r="C14" i="29"/>
  <c r="C13" i="29"/>
  <c r="C12" i="29"/>
  <c r="C11" i="29"/>
  <c r="C10" i="29"/>
  <c r="C25" i="29" s="1"/>
  <c r="M6" i="29" s="1"/>
  <c r="I8" i="29"/>
  <c r="H16" i="27"/>
  <c r="C18" i="27"/>
  <c r="C19" i="25"/>
  <c r="C18" i="25"/>
  <c r="C35" i="25" s="1"/>
  <c r="C14" i="25"/>
  <c r="C2" i="25"/>
  <c r="C7" i="25"/>
  <c r="C29" i="25" s="1"/>
  <c r="C9" i="25"/>
  <c r="C31" i="25" s="1"/>
  <c r="C6" i="25"/>
  <c r="C28" i="25" s="1"/>
  <c r="C5" i="25"/>
  <c r="C27" i="25" s="1"/>
  <c r="M22" i="11"/>
  <c r="L22" i="11"/>
  <c r="K22" i="11"/>
  <c r="J22" i="11"/>
  <c r="I22" i="11"/>
  <c r="G22" i="11"/>
  <c r="F22" i="11"/>
  <c r="E22" i="11"/>
  <c r="D22" i="11"/>
  <c r="C22" i="11"/>
  <c r="O21" i="11"/>
  <c r="N21" i="11"/>
  <c r="P21" i="11" s="1"/>
  <c r="H21" i="11"/>
  <c r="O20" i="11"/>
  <c r="N20" i="11"/>
  <c r="P20" i="11" s="1"/>
  <c r="H20" i="11"/>
  <c r="O19" i="11"/>
  <c r="N19" i="11"/>
  <c r="H19" i="11"/>
  <c r="P19" i="11" s="1"/>
  <c r="O18" i="11"/>
  <c r="N18" i="11"/>
  <c r="P18" i="11"/>
  <c r="H18" i="11"/>
  <c r="O17" i="11"/>
  <c r="N17" i="11"/>
  <c r="H17" i="11"/>
  <c r="O16" i="11"/>
  <c r="N16" i="11"/>
  <c r="H16" i="11"/>
  <c r="O15" i="11"/>
  <c r="N15" i="11"/>
  <c r="H15" i="11"/>
  <c r="P15" i="11"/>
  <c r="O14" i="11"/>
  <c r="N14" i="11"/>
  <c r="P14" i="11" s="1"/>
  <c r="H14" i="11"/>
  <c r="O13" i="11"/>
  <c r="N13" i="11"/>
  <c r="H13" i="11"/>
  <c r="P13" i="11"/>
  <c r="O12" i="11"/>
  <c r="N12" i="11"/>
  <c r="P12" i="11" s="1"/>
  <c r="H12" i="11"/>
  <c r="O11" i="11"/>
  <c r="N11" i="11"/>
  <c r="H11" i="11"/>
  <c r="O10" i="11"/>
  <c r="O22" i="11"/>
  <c r="N10" i="11"/>
  <c r="N22" i="11" s="1"/>
  <c r="H10" i="11"/>
  <c r="H22" i="11" s="1"/>
  <c r="D38" i="27"/>
  <c r="C38" i="27"/>
  <c r="D37" i="27"/>
  <c r="C37" i="27"/>
  <c r="D36" i="27"/>
  <c r="C36" i="27"/>
  <c r="D34" i="27"/>
  <c r="C34" i="27"/>
  <c r="D33" i="27"/>
  <c r="C33" i="27"/>
  <c r="D18" i="27"/>
  <c r="D35" i="27"/>
  <c r="C35" i="27"/>
  <c r="D32" i="27"/>
  <c r="C32" i="27"/>
  <c r="D31" i="27"/>
  <c r="C31" i="27"/>
  <c r="C6" i="27"/>
  <c r="C20" i="25"/>
  <c r="C37" i="25" s="1"/>
  <c r="E24" i="18"/>
  <c r="F23" i="4"/>
  <c r="E23" i="4"/>
  <c r="D23" i="4"/>
  <c r="N23" i="4"/>
  <c r="E17" i="27" s="1"/>
  <c r="E21" i="16"/>
  <c r="C23" i="4"/>
  <c r="M23" i="4"/>
  <c r="E13" i="27" s="1"/>
  <c r="E35" i="27" s="1"/>
  <c r="D34" i="25"/>
  <c r="D33" i="25"/>
  <c r="D32" i="25"/>
  <c r="D31" i="25"/>
  <c r="D30" i="25"/>
  <c r="C34" i="25"/>
  <c r="C33" i="25"/>
  <c r="D14" i="25"/>
  <c r="C30" i="25"/>
  <c r="Q19" i="4"/>
  <c r="B7" i="17"/>
  <c r="Q12" i="4"/>
  <c r="L23" i="4"/>
  <c r="E30" i="25"/>
  <c r="C32" i="25"/>
  <c r="B23" i="4"/>
  <c r="K23" i="4"/>
  <c r="E12" i="27" s="1"/>
  <c r="E34" i="27" s="1"/>
  <c r="J23" i="4"/>
  <c r="E16" i="27" s="1"/>
  <c r="E37" i="27" s="1"/>
  <c r="B21" i="16"/>
  <c r="C24" i="27" s="1"/>
  <c r="E29" i="25"/>
  <c r="C15" i="27"/>
  <c r="C19" i="27"/>
  <c r="D15" i="27"/>
  <c r="D19" i="27"/>
  <c r="P11" i="4"/>
  <c r="Q11" i="4" s="1"/>
  <c r="P11" i="11"/>
  <c r="P17" i="11"/>
  <c r="P16" i="11"/>
  <c r="P10" i="11"/>
  <c r="P22" i="11" s="1"/>
  <c r="E35" i="25"/>
  <c r="C21" i="17"/>
  <c r="B21" i="17"/>
  <c r="C22" i="27" s="1"/>
  <c r="E34" i="25"/>
  <c r="E33" i="25"/>
  <c r="E14" i="25"/>
  <c r="E27" i="25"/>
  <c r="G23" i="4"/>
  <c r="E9" i="27" s="1"/>
  <c r="E31" i="27" s="1"/>
  <c r="O23" i="4"/>
  <c r="E14" i="27" s="1"/>
  <c r="E36" i="27" s="1"/>
  <c r="H23" i="4"/>
  <c r="E10" i="27" s="1"/>
  <c r="E32" i="27" s="1"/>
  <c r="C21" i="25" l="1"/>
  <c r="D11" i="25"/>
  <c r="D15" i="25" s="1"/>
  <c r="C11" i="25"/>
  <c r="C15" i="25" s="1"/>
  <c r="C23" i="25" s="1"/>
  <c r="C36" i="25"/>
  <c r="C38" i="25" s="1"/>
  <c r="E22" i="27"/>
  <c r="E39" i="27" s="1"/>
  <c r="D22" i="27"/>
  <c r="D39" i="27" s="1"/>
  <c r="C39" i="27"/>
  <c r="D21" i="25"/>
  <c r="D23" i="25" s="1"/>
  <c r="E11" i="25"/>
  <c r="E15" i="25" s="1"/>
  <c r="F8" i="25" s="1"/>
  <c r="E18" i="27"/>
  <c r="E38" i="27"/>
  <c r="E32" i="25"/>
  <c r="P23" i="4"/>
  <c r="I14" i="27"/>
  <c r="E15" i="27"/>
  <c r="D38" i="25"/>
  <c r="E24" i="27"/>
  <c r="E41" i="27" s="1"/>
  <c r="D24" i="27"/>
  <c r="D41" i="27" s="1"/>
  <c r="C41" i="27"/>
  <c r="E21" i="25"/>
  <c r="F18" i="25" s="1"/>
  <c r="Q23" i="4"/>
  <c r="Q24" i="4" s="1"/>
  <c r="E23" i="27"/>
  <c r="D23" i="27"/>
  <c r="E36" i="25"/>
  <c r="C25" i="27"/>
  <c r="C27" i="27" s="1"/>
  <c r="E19" i="27" l="1"/>
  <c r="F13" i="27" s="1"/>
  <c r="C42" i="27"/>
  <c r="F7" i="25"/>
  <c r="F13" i="25"/>
  <c r="F5" i="25"/>
  <c r="F10" i="25"/>
  <c r="F12" i="25"/>
  <c r="F9" i="25"/>
  <c r="F6" i="25"/>
  <c r="E25" i="27"/>
  <c r="F24" i="27" s="1"/>
  <c r="E23" i="25"/>
  <c r="F20" i="25"/>
  <c r="F19" i="25"/>
  <c r="E40" i="27"/>
  <c r="E42" i="27" s="1"/>
  <c r="F36" i="27" s="1"/>
  <c r="E38" i="25"/>
  <c r="F36" i="25" s="1"/>
  <c r="D40" i="27"/>
  <c r="D42" i="27" s="1"/>
  <c r="D25" i="27"/>
  <c r="D27" i="27" s="1"/>
  <c r="F12" i="27" l="1"/>
  <c r="F14" i="27"/>
  <c r="F16" i="27"/>
  <c r="F9" i="27"/>
  <c r="F10" i="27"/>
  <c r="F11" i="27"/>
  <c r="F17" i="27"/>
  <c r="F15" i="25"/>
  <c r="F21" i="25"/>
  <c r="E27" i="27"/>
  <c r="F23" i="27"/>
  <c r="F22" i="27"/>
  <c r="F41" i="27"/>
  <c r="F39" i="27"/>
  <c r="F40" i="27"/>
  <c r="F34" i="27"/>
  <c r="F31" i="27"/>
  <c r="F32" i="27"/>
  <c r="F37" i="27"/>
  <c r="F35" i="27"/>
  <c r="I42" i="27"/>
  <c r="F33" i="27"/>
  <c r="F38" i="27"/>
  <c r="F28" i="25"/>
  <c r="F33" i="25"/>
  <c r="F27" i="25"/>
  <c r="F32" i="25"/>
  <c r="F30" i="25"/>
  <c r="F35" i="25"/>
  <c r="F29" i="25"/>
  <c r="F31" i="25"/>
  <c r="F37" i="25"/>
  <c r="F34" i="25"/>
  <c r="F19" i="27" l="1"/>
  <c r="F25" i="27"/>
  <c r="F42" i="27"/>
  <c r="F38" i="25"/>
</calcChain>
</file>

<file path=xl/sharedStrings.xml><?xml version="1.0" encoding="utf-8"?>
<sst xmlns="http://schemas.openxmlformats.org/spreadsheetml/2006/main" count="903" uniqueCount="506">
  <si>
    <t>TOTAL</t>
  </si>
  <si>
    <t>TOTAL GENERAL PAGADO EN SEGUROS</t>
  </si>
  <si>
    <t>Ene.</t>
  </si>
  <si>
    <t>Feb.</t>
  </si>
  <si>
    <t>Mar.</t>
  </si>
  <si>
    <t>Abril</t>
  </si>
  <si>
    <t>Mayo</t>
  </si>
  <si>
    <t xml:space="preserve">MES   </t>
  </si>
  <si>
    <t>Junio</t>
  </si>
  <si>
    <t>Julio</t>
  </si>
  <si>
    <t>Agosto</t>
  </si>
  <si>
    <t xml:space="preserve"> </t>
  </si>
  <si>
    <t>Sept.</t>
  </si>
  <si>
    <t>Octubre</t>
  </si>
  <si>
    <t>Noviem</t>
  </si>
  <si>
    <t>Diciem</t>
  </si>
  <si>
    <t>Vo.Bo.</t>
  </si>
  <si>
    <t>DOBLE PAGO POR MUERTE ACCIDENTAL</t>
  </si>
  <si>
    <t xml:space="preserve">PAGO DEL 10% DE GASTOS FUNERARIOS </t>
  </si>
  <si>
    <t>FALLECIDOS</t>
  </si>
  <si>
    <t xml:space="preserve">CAUSAS DE MAYOR </t>
  </si>
  <si>
    <t xml:space="preserve">RANGO DE </t>
  </si>
  <si>
    <t>TIPOS DE SEGUROS RECLAMADOS</t>
  </si>
  <si>
    <t>LUGAR DE FALLECIMIENTO</t>
  </si>
  <si>
    <t>RÉGIMEN</t>
  </si>
  <si>
    <t>INCIDENCIA</t>
  </si>
  <si>
    <t>FALLECIMIENTOS POR EDADES</t>
  </si>
  <si>
    <t xml:space="preserve">OPCIONAL </t>
  </si>
  <si>
    <t>SEPELIO</t>
  </si>
  <si>
    <t>DOTAL</t>
  </si>
  <si>
    <t>BÁSICO</t>
  </si>
  <si>
    <t>AHUACHAPÁN</t>
  </si>
  <si>
    <t>DA</t>
  </si>
  <si>
    <t xml:space="preserve">SANTA ANA  </t>
  </si>
  <si>
    <t>AA</t>
  </si>
  <si>
    <t>50 a 59  AÑOS</t>
  </si>
  <si>
    <t>SONSONATE</t>
  </si>
  <si>
    <t>DP</t>
  </si>
  <si>
    <t>60 a 69  AÑOS</t>
  </si>
  <si>
    <t>CHALATENANGO</t>
  </si>
  <si>
    <t>AP</t>
  </si>
  <si>
    <t xml:space="preserve">LA LIBERTAD </t>
  </si>
  <si>
    <t>CV</t>
  </si>
  <si>
    <t xml:space="preserve">SAN SALVADOR  </t>
  </si>
  <si>
    <t>Doc Sub</t>
  </si>
  <si>
    <t xml:space="preserve">CUSCATLÁN  </t>
  </si>
  <si>
    <t>LA PAZ</t>
  </si>
  <si>
    <t>DIABETES MELLITUS</t>
  </si>
  <si>
    <t>CABAÑAS</t>
  </si>
  <si>
    <t>SAN VICENTE</t>
  </si>
  <si>
    <t>USULUTÁN</t>
  </si>
  <si>
    <t>SAN MIGUEL</t>
  </si>
  <si>
    <t>MORAZÁN</t>
  </si>
  <si>
    <t>LA UNIÓN</t>
  </si>
  <si>
    <t>INSUFICIENCIA RESPIRATORIA</t>
  </si>
  <si>
    <t>PARO CARDIORESPIRATORIO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</si>
  <si>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</si>
  <si>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</si>
  <si>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</si>
  <si>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</si>
  <si>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</si>
  <si>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</si>
  <si>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</si>
  <si>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</si>
  <si>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</si>
  <si>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</si>
  <si>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Jefa Unidad de Seguros</t>
  </si>
  <si>
    <t>DICIEMBRE</t>
  </si>
  <si>
    <t>RESUMEN SOBRE VALORES PAGADOS EN DEVOLUCION DEL 30%</t>
  </si>
  <si>
    <t xml:space="preserve"> DE LOS APORTES PAGADOS EN EL SEGURO DE VIDA OPCIONAL A LOS  </t>
  </si>
  <si>
    <t>MESES</t>
  </si>
  <si>
    <t>Nº DE VALORES DE RESCATE RECLAMADOS</t>
  </si>
  <si>
    <t>RENTA RETENIDA 10%</t>
  </si>
  <si>
    <t>VALORES PAGADOS POR LOS ASEGURADOS</t>
  </si>
  <si>
    <t>CANTIDAD PAGADA</t>
  </si>
  <si>
    <t>SEPTIEMBRE</t>
  </si>
  <si>
    <t xml:space="preserve">RESUMEN SOBRE VALORES DE RESCATE </t>
  </si>
  <si>
    <t xml:space="preserve">RESUMEN MENSUAL SOBRE PAGO DE SEGURO  </t>
  </si>
  <si>
    <t>CANTIDAD LÍQUIDA PAGADA</t>
  </si>
  <si>
    <t xml:space="preserve">JULIO  </t>
  </si>
  <si>
    <t>Dina Lariza Rivera Menjívar</t>
  </si>
  <si>
    <t>NO.DE EXPEDIENTE</t>
  </si>
  <si>
    <t>NOBRE DEL ASEGURADO FALLECIDO</t>
  </si>
  <si>
    <t>EDAD</t>
  </si>
  <si>
    <t>S.V.B</t>
  </si>
  <si>
    <t>S.V.O.</t>
  </si>
  <si>
    <t>S.V.D.</t>
  </si>
  <si>
    <t>SXS</t>
  </si>
  <si>
    <t>CAUSA DE FALLECIMIENTO</t>
  </si>
  <si>
    <t>FECHA DE RECIBIDO</t>
  </si>
  <si>
    <t>SAN SALVADOR</t>
  </si>
  <si>
    <t>OFICINA CENTRAL</t>
  </si>
  <si>
    <t>SANTA ANA</t>
  </si>
  <si>
    <t>DA = DOCENTE ACTIVO</t>
  </si>
  <si>
    <t>AA = ADMINISTRATIVO ACTIVO</t>
  </si>
  <si>
    <t>DP = DOCENTE PENSIONADO</t>
  </si>
  <si>
    <t>AP = ADMINISTRATIVO PENSIONADO</t>
  </si>
  <si>
    <t>CV = COTIZANTE VOLUNTARIO</t>
  </si>
  <si>
    <t>ASEGURADOS REPORTADOS FALLECIDOS EN SEGUROS DE VIDA BÁSICO,</t>
  </si>
  <si>
    <t>OPCIONAL,  DOTAL Y SEGURO POR SEPELIO.</t>
  </si>
  <si>
    <t xml:space="preserve">        TIPOS DE SEGUROS RECLAMADOS</t>
  </si>
  <si>
    <t xml:space="preserve">TOTAL </t>
  </si>
  <si>
    <t xml:space="preserve">         TIPOS DE SEGUROS RECLAMADOS</t>
  </si>
  <si>
    <t>HOMBRES FALLECIDOS</t>
  </si>
  <si>
    <t>OPCIONAL</t>
  </si>
  <si>
    <t>SEGUROS RECLAMADOS HOMBRES</t>
  </si>
  <si>
    <t>MUJERES FALLECIDAS</t>
  </si>
  <si>
    <t>GENERAL SEGUROS RECLAMADOS</t>
  </si>
  <si>
    <t>.</t>
  </si>
  <si>
    <t>TOTALES</t>
  </si>
  <si>
    <r>
      <rPr>
        <b/>
        <i/>
        <sz val="10"/>
        <rFont val="Arial"/>
        <family val="2"/>
      </rPr>
      <t>NOTA:</t>
    </r>
    <r>
      <rPr>
        <i/>
        <sz val="10"/>
        <rFont val="Arial"/>
        <family val="2"/>
      </rPr>
      <t xml:space="preserve">  Donde aparece "0" es porque no hubo reclamo.</t>
    </r>
  </si>
  <si>
    <t>LA LIBERTAD</t>
  </si>
  <si>
    <t>CANCER DE MAMA</t>
  </si>
  <si>
    <t>CANCER DE COLON</t>
  </si>
  <si>
    <t>CANCER DE OTRO TIPO</t>
  </si>
  <si>
    <t>DETALLE DE SEGUROS INDIVIDUALES</t>
  </si>
  <si>
    <t>NUMERO DE SEGUROS RECLAMADOS</t>
  </si>
  <si>
    <t>No. 5</t>
  </si>
  <si>
    <t>No. 6</t>
  </si>
  <si>
    <t>Nº DE DEVOLUCIONES DEL 30% RECLAMADAS</t>
  </si>
  <si>
    <t>D.P.Inval</t>
  </si>
  <si>
    <t>SOLO SVB</t>
  </si>
  <si>
    <t>SOLO SVO</t>
  </si>
  <si>
    <t>SOLO SVD</t>
  </si>
  <si>
    <t xml:space="preserve">ABREVIADURAS: </t>
  </si>
  <si>
    <t>SHOCK HIPOVOLÉMICO</t>
  </si>
  <si>
    <t>SEPTIEM.</t>
  </si>
  <si>
    <t>TOTAL GENERAL FALLECIDOS</t>
  </si>
  <si>
    <t>TOTAL SEGUROS RECLAMADOS MUJERES</t>
  </si>
  <si>
    <t>TRAUMATISMOS O POLITRAUMATISMO HECHO DE TRANSITO U OTRO</t>
  </si>
  <si>
    <t>Vo. Bo.</t>
  </si>
  <si>
    <t>CÓDIGO</t>
  </si>
  <si>
    <t>REPORTADO EN</t>
  </si>
  <si>
    <t>EE UU</t>
  </si>
  <si>
    <t>NEUMONIA O BRONCONEUMONÍAS</t>
  </si>
  <si>
    <t>MUERTES POR ARMAS DE FUEGO, CORTOPUNZANTES U OTROS</t>
  </si>
  <si>
    <t>VIRUS DE INMUNODEFICIENCIA HUMANA (VIH)</t>
  </si>
  <si>
    <t>ENFERMEDADES O INSUFICIENC. RENALES</t>
  </si>
  <si>
    <t>ENFERMEDADES O EDEMAS PULMONARES</t>
  </si>
  <si>
    <t>TAMBIÉN RECLAMOS POR TIPO DE SEGURO</t>
  </si>
  <si>
    <t>100 y más AÑOS</t>
  </si>
  <si>
    <t>PAGADO EN SEGURO DE VIDA BÁSICO</t>
  </si>
  <si>
    <t>PAGADO EN SEGURO DE VIDA DOTAL</t>
  </si>
  <si>
    <t>PAGADO EN SEGURO POR SEPELIO</t>
  </si>
  <si>
    <t xml:space="preserve">ENFERMEDADES O FALLAS HEPATICAS; CIRROSIS </t>
  </si>
  <si>
    <t>SHOCK SÉPTICOS; SÉPSIS O SEPTICEMIAS</t>
  </si>
  <si>
    <t xml:space="preserve">Dina Lariza Rivera Menjívar </t>
  </si>
  <si>
    <t xml:space="preserve">             </t>
  </si>
  <si>
    <t>No. 8</t>
  </si>
  <si>
    <t>SPS</t>
  </si>
  <si>
    <t>PAGADO EN SEGURO DECRECIENTE DE DEUDA</t>
  </si>
  <si>
    <t>*lr</t>
  </si>
  <si>
    <t>ABREVIATURAS:</t>
  </si>
  <si>
    <t xml:space="preserve">   Jefa Unidad de Seguros</t>
  </si>
  <si>
    <t>ASFIXIA POR ESTRANGULACIÓN,AHORCAMIENTO O SUMERSION</t>
  </si>
  <si>
    <t>Trámite</t>
  </si>
  <si>
    <t xml:space="preserve">Monto </t>
  </si>
  <si>
    <t>N° de Resoluciones de pagos</t>
  </si>
  <si>
    <t>Seguro de Vida Básico</t>
  </si>
  <si>
    <t>Seguro de Vida Opcional</t>
  </si>
  <si>
    <t>Seguro de Vida Dotal</t>
  </si>
  <si>
    <t>Valores de Rescate</t>
  </si>
  <si>
    <t xml:space="preserve">Vencimiento de póliza </t>
  </si>
  <si>
    <t xml:space="preserve">Devolución del 30% </t>
  </si>
  <si>
    <t>* Valores incluyen pagos a realizar, sin descuento de Renta</t>
  </si>
  <si>
    <t xml:space="preserve">Participación porcentual </t>
  </si>
  <si>
    <t>SEGURO DE VIDA OPCIONAL</t>
  </si>
  <si>
    <t>PAGO DEL 100% DEL SVO  AL ASEGURADO (EN VIDA) POR INCAPACIDAD TOTAL Y PERMANENTE</t>
  </si>
  <si>
    <t>NOTAS:</t>
  </si>
  <si>
    <t>PAGADO                     SEGURO DE VIDA OPCIONAL</t>
  </si>
  <si>
    <t>HOMBRES (CUADROS APROBADOS POR CD)</t>
  </si>
  <si>
    <t>MUJERES (CUADROS APROBADOS POR CD)</t>
  </si>
  <si>
    <t>CUADRO RESUMEN DE PAGOS APROBADOS A BENEFICIARIOS DE SEGUROS DE VIDA BÁSICO, OPCIONAL, DOTAL, SEPELIO, DEUDA Y BENEFICIOS DE SVO</t>
  </si>
  <si>
    <t>FALLA MULTIORGANICA</t>
  </si>
  <si>
    <t>GÉNERO</t>
  </si>
  <si>
    <t>HOMBRE</t>
  </si>
  <si>
    <t>MUJER</t>
  </si>
  <si>
    <t>SOLO SPS</t>
  </si>
  <si>
    <t>SVO con otro seguro</t>
  </si>
  <si>
    <t xml:space="preserve">ACCIDENTES CEREBRO VASCULARES O TUMOR CEREBRAL </t>
  </si>
  <si>
    <t>SVD con otro seguro</t>
  </si>
  <si>
    <t>SPS con otro seguro</t>
  </si>
  <si>
    <t>SVB con otro seguro</t>
  </si>
  <si>
    <t>70 a 79 AÑOS</t>
  </si>
  <si>
    <t>80 a 89 AÑOS</t>
  </si>
  <si>
    <t>90 A 99 AÑOS</t>
  </si>
  <si>
    <t>25 a 39  AÑOS</t>
  </si>
  <si>
    <t>40 a 49  AÑOS</t>
  </si>
  <si>
    <t>CANCER UTERINO, CERVIX O DE OVARIO</t>
  </si>
  <si>
    <t>OTRAS</t>
  </si>
  <si>
    <t xml:space="preserve"> ENFERMEDADEDES CARDÍACAS, INFARTO AL MIOCARDIO O PARO CARDIACO </t>
  </si>
  <si>
    <t>HIPERTESIÓN ARTERIAL</t>
  </si>
  <si>
    <t xml:space="preserve">FALLECIDOS </t>
  </si>
  <si>
    <r>
      <rPr>
        <b/>
        <sz val="7"/>
        <rFont val="Arial"/>
        <family val="2"/>
      </rPr>
      <t>DA</t>
    </r>
    <r>
      <rPr>
        <sz val="7"/>
        <rFont val="Arial"/>
        <family val="2"/>
      </rPr>
      <t xml:space="preserve">=DOCENTE ACTIVO;  </t>
    </r>
    <r>
      <rPr>
        <b/>
        <sz val="7"/>
        <rFont val="Arial"/>
        <family val="2"/>
      </rPr>
      <t>AA</t>
    </r>
    <r>
      <rPr>
        <sz val="7"/>
        <rFont val="Arial"/>
        <family val="2"/>
      </rPr>
      <t xml:space="preserve">=ADMINISTRATIVO ACTIVO; </t>
    </r>
    <r>
      <rPr>
        <b/>
        <sz val="7"/>
        <rFont val="Arial"/>
        <family val="2"/>
      </rPr>
      <t>DP</t>
    </r>
    <r>
      <rPr>
        <sz val="7"/>
        <rFont val="Arial"/>
        <family val="2"/>
      </rPr>
      <t xml:space="preserve">= DOCENTE PENSIONADO; </t>
    </r>
    <r>
      <rPr>
        <b/>
        <sz val="7"/>
        <rFont val="Arial"/>
        <family val="2"/>
      </rPr>
      <t>AP</t>
    </r>
    <r>
      <rPr>
        <sz val="7"/>
        <rFont val="Arial"/>
        <family val="2"/>
      </rPr>
      <t xml:space="preserve">= ADMINISTRATIVO PENSIONADO; </t>
    </r>
    <r>
      <rPr>
        <b/>
        <sz val="7"/>
        <rFont val="Arial"/>
        <family val="2"/>
      </rPr>
      <t>CV</t>
    </r>
    <r>
      <rPr>
        <sz val="7"/>
        <rFont val="Arial"/>
        <family val="2"/>
      </rPr>
      <t xml:space="preserve">=COTIZANTE VOLUNTARIO; </t>
    </r>
  </si>
  <si>
    <r>
      <rPr>
        <b/>
        <sz val="7"/>
        <rFont val="Arial"/>
        <family val="2"/>
      </rPr>
      <t>Doc Sub=</t>
    </r>
    <r>
      <rPr>
        <sz val="7"/>
        <rFont val="Arial"/>
        <family val="2"/>
      </rPr>
      <t xml:space="preserve">DOCENTE SUBSIDIADO, </t>
    </r>
    <r>
      <rPr>
        <b/>
        <sz val="7"/>
        <rFont val="Arial"/>
        <family val="2"/>
      </rPr>
      <t>DP INVAL</t>
    </r>
    <r>
      <rPr>
        <sz val="7"/>
        <rFont val="Arial"/>
        <family val="2"/>
      </rPr>
      <t xml:space="preserve">=DOCENTE PENSIONADO CON INVALIDEZ, </t>
    </r>
    <r>
      <rPr>
        <b/>
        <sz val="7"/>
        <rFont val="Arial"/>
        <family val="2"/>
      </rPr>
      <t>DOC INAC</t>
    </r>
    <r>
      <rPr>
        <sz val="7"/>
        <rFont val="Arial"/>
        <family val="2"/>
      </rPr>
      <t xml:space="preserve">= DOCENTE INACTIVO </t>
    </r>
  </si>
  <si>
    <r>
      <rPr>
        <b/>
        <sz val="7"/>
        <rFont val="Arial"/>
        <family val="2"/>
      </rPr>
      <t xml:space="preserve">SVB= </t>
    </r>
    <r>
      <rPr>
        <sz val="7"/>
        <rFont val="Arial"/>
        <family val="2"/>
      </rPr>
      <t xml:space="preserve">Seguro de Vida básico; </t>
    </r>
    <r>
      <rPr>
        <b/>
        <sz val="7"/>
        <rFont val="Arial"/>
        <family val="2"/>
      </rPr>
      <t>SVO</t>
    </r>
    <r>
      <rPr>
        <sz val="7"/>
        <rFont val="Arial"/>
        <family val="2"/>
      </rPr>
      <t xml:space="preserve">= Seguro de Vida Opcional; </t>
    </r>
    <r>
      <rPr>
        <b/>
        <sz val="7"/>
        <rFont val="Arial"/>
        <family val="2"/>
      </rPr>
      <t>SVD</t>
    </r>
    <r>
      <rPr>
        <sz val="7"/>
        <rFont val="Arial"/>
        <family val="2"/>
      </rPr>
      <t xml:space="preserve">= Seguro de Vida Dotal; </t>
    </r>
    <r>
      <rPr>
        <b/>
        <sz val="7"/>
        <rFont val="Arial"/>
        <family val="2"/>
      </rPr>
      <t>SxS</t>
    </r>
    <r>
      <rPr>
        <sz val="7"/>
        <rFont val="Arial"/>
        <family val="2"/>
      </rPr>
      <t>= Seguro por Sepelio.</t>
    </r>
  </si>
  <si>
    <t xml:space="preserve">ESTADÍSTICA  GENERAL SOBRE ASEGURADOS FALLECIDOS REPORTADOS POR DEPARTAMENTO, GÉNERO, RÉGIMEN, CAUSA DE SINIESTRO, EDAD, </t>
  </si>
  <si>
    <t>Seguro Decreciente de Deuda</t>
  </si>
  <si>
    <t xml:space="preserve">Ayuda Gastos Funerarios                 </t>
  </si>
  <si>
    <t xml:space="preserve">Seguro por Sepelio </t>
  </si>
  <si>
    <t>Sub total</t>
  </si>
  <si>
    <t>PAGADO CASO ESPECIAL                     SEGURO DE VIDA OPCIONAL</t>
  </si>
  <si>
    <t xml:space="preserve">Pago Doble por muerte accidental </t>
  </si>
  <si>
    <t>No.2</t>
  </si>
  <si>
    <t xml:space="preserve">ASEGURADOS  FALLECIDOS REPORTADOS EN EL MES  </t>
  </si>
  <si>
    <t>Trámite*</t>
  </si>
  <si>
    <t xml:space="preserve">Caso Especial - Seguro de Vida Opcional </t>
  </si>
  <si>
    <t xml:space="preserve">COVID O SOSPECHA  O RELACIONADAS </t>
  </si>
  <si>
    <t>GENERO</t>
  </si>
  <si>
    <r>
      <t xml:space="preserve">S.D.D. </t>
    </r>
    <r>
      <rPr>
        <b/>
        <sz val="8"/>
        <color indexed="10"/>
        <rFont val="Calibri"/>
        <family val="2"/>
      </rPr>
      <t>(Seguro Decreciente de Deuda)</t>
    </r>
  </si>
  <si>
    <t>1</t>
  </si>
  <si>
    <t>MASCULINO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</si>
  <si>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</si>
  <si>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</si>
  <si>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</si>
  <si>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</si>
  <si>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</si>
  <si>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</si>
  <si>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</si>
  <si>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</si>
  <si>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</si>
  <si>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</si>
  <si>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</si>
  <si>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</si>
  <si>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</si>
  <si>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</si>
  <si>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</si>
  <si>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</si>
  <si>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</si>
  <si>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</si>
  <si>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</si>
  <si>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</si>
  <si>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</si>
  <si>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 xml:space="preserve">Ayuda Gastos Funerarios            </t>
  </si>
  <si>
    <t>N° de Beneficiarios por Seguro</t>
  </si>
  <si>
    <t xml:space="preserve">N° de Asegurados fallecidos </t>
  </si>
  <si>
    <t>N° población beneficiaida</t>
  </si>
  <si>
    <t>N° de Asegurados beneficiados</t>
  </si>
  <si>
    <t>Caso Especial - Seguro de Vida Opcional</t>
  </si>
  <si>
    <t>No.</t>
  </si>
  <si>
    <t>SANTA TECLA, LA LIBERTAD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</si>
  <si>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</si>
  <si>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</si>
  <si>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</si>
  <si>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</si>
  <si>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</si>
  <si>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</si>
  <si>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</si>
  <si>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</si>
  <si>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</si>
  <si>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</si>
  <si>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</si>
  <si>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</si>
  <si>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</si>
  <si>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</si>
  <si>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CHALCHUAPA, SANTA ANA</t>
  </si>
  <si>
    <t>FEMENINO</t>
  </si>
  <si>
    <t>PARO CARDIO RESPIRATORIO</t>
  </si>
  <si>
    <t>MEJICANOS, SAN SALVADOR</t>
  </si>
  <si>
    <t>NO. DE BENEFICIARIOS</t>
  </si>
  <si>
    <t>FECHA DE FALLECIMIENTO</t>
  </si>
  <si>
    <t>No. 2</t>
  </si>
  <si>
    <t>GF</t>
  </si>
  <si>
    <t>R 01-12</t>
  </si>
  <si>
    <t>R 01-16</t>
  </si>
  <si>
    <t>CMCD04.5.2.1/R2021-001</t>
  </si>
  <si>
    <t>20282</t>
  </si>
  <si>
    <t>VIRGINIA ORELLANA VDA. DE COLOCHO</t>
  </si>
  <si>
    <t>SHOCK SÉPTICO, NEUMONÍA ASPIRATIVA, ACCIDENTE CEREBRO VASCULAR ISQUÉMICO, DEMENCIA SENIL</t>
  </si>
  <si>
    <t>CMCD04.5.2.1/R2021-002</t>
  </si>
  <si>
    <t>13804</t>
  </si>
  <si>
    <t>VICENTA ANDREA MAZARIEGO QUIJANO</t>
  </si>
  <si>
    <t>SHOCK SÉPTICO, GASTROENTERITIS AGUDA, PANCITOPENIA LEUCEMIA MIELOCITICA AGUDA</t>
  </si>
  <si>
    <t>CMCD04.5.2.1/R2021-003</t>
  </si>
  <si>
    <t>13406</t>
  </si>
  <si>
    <t>JOSÉ ABELINO SALGADO NOLASCO</t>
  </si>
  <si>
    <t>PIELONEFRITIS CRÓNICO</t>
  </si>
  <si>
    <t>CMCD04.5.2.1/R2021-004</t>
  </si>
  <si>
    <t>45348</t>
  </si>
  <si>
    <t>EFRAÍN VÁSQUEZ CERÓN</t>
  </si>
  <si>
    <t>PARO CARDIACO</t>
  </si>
  <si>
    <t>ILOPANGO, SAN SALVADOR</t>
  </si>
  <si>
    <t>CMCD04.5.2.1/R2021-005</t>
  </si>
  <si>
    <t>15601</t>
  </si>
  <si>
    <t>CARLOS FRANCISCO ORTÍZ</t>
  </si>
  <si>
    <t>NEUMONÍA ASPIRATIVA, ENFERMEDAD MULTIORGÁNICA, ANEMÍA, DIABETES MELLITUS TIPO 2</t>
  </si>
  <si>
    <t>CMCD04.5.2.1/R2021-006</t>
  </si>
  <si>
    <t>47426</t>
  </si>
  <si>
    <t>MARVÍN RICARDO ÁLVAREZ QUEZADA</t>
  </si>
  <si>
    <t>FIBRILACIÓN VENTRICULAR, INFARTO AGUDO DE MIOCARDIO ENFERMEDAD RENAL CRÓNICA ESTUDIO V</t>
  </si>
  <si>
    <t>CMCD04.5.2.1/R2021-007</t>
  </si>
  <si>
    <t>03187</t>
  </si>
  <si>
    <t>MARÍA TERESA DE JESÚS LEIVA DE SORTO</t>
  </si>
  <si>
    <t>PARO CARDIORESPIRATORIO,  MUERTE CEREBRAL MÁS EVENTO CEREBROVASCULAR ISQUÉMICO</t>
  </si>
  <si>
    <t>CMCD04.5.2.1/R2021-008</t>
  </si>
  <si>
    <t>24345</t>
  </si>
  <si>
    <t>NELSÓN ANTONIO PÉREZ COREAS</t>
  </si>
  <si>
    <t>DIABETES MELLITUS 2, HIPERTENSIÓN ARTERIAL CRÓNICA, PARO CARDIORESPIRATORIO</t>
  </si>
  <si>
    <t>SANTIAGO DE MARÍA, USULUTÁN</t>
  </si>
  <si>
    <t>CMCD04.5.2.1/R2021-009</t>
  </si>
  <si>
    <t>04631</t>
  </si>
  <si>
    <t>BLANCA IDALIA RODRÍGUEZ PINEDA</t>
  </si>
  <si>
    <t>OTRAS FORMAS DE CHOQUE, SINDROME DE RESPUESTA INFAMATORIA SISTEMICA DE ORIGEN INFECCIOSO, FALLA ÓRGANICA, SOSPECHA COVID-19 VIRUS NO IDENTIFICADO</t>
  </si>
  <si>
    <t>CMCD04.5.2.1/R2021-010</t>
  </si>
  <si>
    <t>17893</t>
  </si>
  <si>
    <t>VICTORINA DE JESÚS DÍAZ</t>
  </si>
  <si>
    <t>CHINAMECA, SAN MIGUEL</t>
  </si>
  <si>
    <t>CMCD04.5.2.1/R2021-011</t>
  </si>
  <si>
    <t>67137</t>
  </si>
  <si>
    <t>ELA CRISTINA TEJADA DE TOLOSA</t>
  </si>
  <si>
    <t>TUMOR MALIGNO DE LA VEJIGA URINARIA, PARTE NO ESPECIFICADA, INFECCIÓN CONSECUTIVA A PROCEDIMIENTO, NO CLASIFICADA EN OTRA PARTE</t>
  </si>
  <si>
    <t>CMCD04.5.2.1/R2021-012</t>
  </si>
  <si>
    <t>30123</t>
  </si>
  <si>
    <t>SALVADOR ANTONIO HERNÁNDEZ PINTO</t>
  </si>
  <si>
    <t>INSUFICIENCIA CARDÍACA, HIPERTENSIÓN ESENCIAL, DIABETES MELLITUS INSULINODEPENDIENTE</t>
  </si>
  <si>
    <t>CMCD04.5.2.1/R2021-013</t>
  </si>
  <si>
    <t>02608</t>
  </si>
  <si>
    <t>ROBERTO PINEDA MORALES</t>
  </si>
  <si>
    <t>ENCEFALOPATÍA HÉPATICA, SÉPSIS, PERÍTONITIS BACTERIANA ESPONTANEA, HEPATOPATÍA CRÓNICA</t>
  </si>
  <si>
    <t>CMCD04.5.2.1/R2021-014</t>
  </si>
  <si>
    <t>21346</t>
  </si>
  <si>
    <t>JOSÉ GUILLERMO FIGUEROA CASTRO</t>
  </si>
  <si>
    <t>INFARTO AGUDO DE MIOCARDIO, INSUFICIENCIA RENAL AGUDA, INSUFICIENCIA CARDÍACA CONGESTIVA</t>
  </si>
  <si>
    <t>CMCD04.5.2.1/R2021-015</t>
  </si>
  <si>
    <t>32279</t>
  </si>
  <si>
    <t>GUSTAVO ADOLFO TURCIOS CASTILLO</t>
  </si>
  <si>
    <t>FALLA MULTIÓRGANICA, SHOCK SÉPTICO, MELANOMA MALIGNO ESTADIO IV</t>
  </si>
  <si>
    <t>CMCD04.5.2.1/R2021-016</t>
  </si>
  <si>
    <t>70052</t>
  </si>
  <si>
    <t>XIOMARA EUNICE HERRERA DE MARTÍNEZ</t>
  </si>
  <si>
    <t>FALLE MULTIPLE DE ÓRGANOS, NEUMONÍA, SOSPECHA DE COVID 19, HIPERTENSIÓN ARTERIAL, OBESIDAD MORBIDA</t>
  </si>
  <si>
    <t>CMCD04.5.2.1/R2021-017</t>
  </si>
  <si>
    <t>16270</t>
  </si>
  <si>
    <t>ELVA LILA VILLEGAS DE GAVIDIA</t>
  </si>
  <si>
    <t>HIPERTENSIÓN ARTERIAL, ENFERMEDAD RENAL CRÓNICA, NEUMONÍA POR COVID GUIÓN DIECINUEVE</t>
  </si>
  <si>
    <t>CMCD04.5.2.1/R2021-018</t>
  </si>
  <si>
    <t>21927</t>
  </si>
  <si>
    <t>ROMULO SERGIO ALVARADO ARÉVALO</t>
  </si>
  <si>
    <t>PARO CARDIO RESPIRATORIO A CONSECUENCIA DE EPILEPSIA, HIPERTENSIÓN ARTERIAL</t>
  </si>
  <si>
    <t>APANECA, AHUACHAPÁN</t>
  </si>
  <si>
    <t>CMCD04.5.2.1/R2021-019</t>
  </si>
  <si>
    <t>22219</t>
  </si>
  <si>
    <t>ROSA AMELIA GARCÍA GÓMEZ</t>
  </si>
  <si>
    <t>SOSPECHA COVID GUIÓN DIECINUEVE, NEUMONÍA ATÍPICA</t>
  </si>
  <si>
    <t>CMCD04.5.2.1/R2021-020</t>
  </si>
  <si>
    <t>21536</t>
  </si>
  <si>
    <t>MARTÍN SALVADOR FIGUEROA GUEVARA</t>
  </si>
  <si>
    <t>CMCD04.5.2.1/R2021-021</t>
  </si>
  <si>
    <t>15850</t>
  </si>
  <si>
    <t>HERMELINDA FIGUEROA SALAZAR</t>
  </si>
  <si>
    <t>NEUMONÍA ATIPICA, SOSPECHA DE COVID-19</t>
  </si>
  <si>
    <t>CMCD04.5.2.1/R2021-022</t>
  </si>
  <si>
    <t>13321</t>
  </si>
  <si>
    <t>MARGARITA GARCÍA DE URQUILLA</t>
  </si>
  <si>
    <t>SOSPECHA NEUMONÍA COVID-19</t>
  </si>
  <si>
    <t>CMCD04.5.2.1/R2021-023</t>
  </si>
  <si>
    <t>16377</t>
  </si>
  <si>
    <t>SANDRA ELIZABETH RODRÍGUEZ DERAS</t>
  </si>
  <si>
    <t>NEUMONÍA VIRAL ASOCIADA A SARS COV GUION DOS, DIABETES MELLITUS TIPO DOS, HIPERTENSIÓN ARTERIAL</t>
  </si>
  <si>
    <t>PLAN MAESTRO</t>
  </si>
  <si>
    <t>CMCD04.5.2.1/R2021-024</t>
  </si>
  <si>
    <t>23659</t>
  </si>
  <si>
    <t>ANA DILIA CASTRO DE GÚZMAN</t>
  </si>
  <si>
    <t>HEMORRAGÍA GASTROINTESTINAL</t>
  </si>
  <si>
    <t>CMCD04.5.2.1/R2021-025</t>
  </si>
  <si>
    <t>11419</t>
  </si>
  <si>
    <t>ROSALINA SANABRIA CHINCHILLA DE FUENTES</t>
  </si>
  <si>
    <t>CARDIORESPIRATORIO</t>
  </si>
  <si>
    <t>CMCD04.5.2.1/R2021-026</t>
  </si>
  <si>
    <t>00070</t>
  </si>
  <si>
    <t>RICARDO BARRERA RIVAS</t>
  </si>
  <si>
    <t>INSUFICIENCIA RENAL</t>
  </si>
  <si>
    <t>JIQUILISCO, USULUTÁN</t>
  </si>
  <si>
    <t>CMCD04.5.2.1/R2021-027</t>
  </si>
  <si>
    <t>48795</t>
  </si>
  <si>
    <t>HÉCTOR JONÁS GONZÁLEZ QUINTANILLA</t>
  </si>
  <si>
    <t>IPERTENSIÓN ARTERIAL, SOSPECHA DE COVID-19</t>
  </si>
  <si>
    <t>CMCD04.5.2.1/R2021-028</t>
  </si>
  <si>
    <t>16813</t>
  </si>
  <si>
    <t>MARÍA ANTONIA ALEMÁN VIUDA DE CASTRO</t>
  </si>
  <si>
    <t>INFARTO AGUDO DE MIOCARDIO, SHOCK HIPOVOLEMICO, DIABETES MELLITUS DESCOMPENSADA</t>
  </si>
  <si>
    <t>CMCD04.5.2.1/R2021-029</t>
  </si>
  <si>
    <t>21883</t>
  </si>
  <si>
    <t>NILCA EMILY ARGUETA DE GARCÍA</t>
  </si>
  <si>
    <t>EDEMA AGUDO DE PULMÓN, TROMBOSIS EN CLAVICULA</t>
  </si>
  <si>
    <t>CMCD04.5.2.1/R2021-030</t>
  </si>
  <si>
    <t>16955</t>
  </si>
  <si>
    <t>JUSTINIANO FILADELFO GARCÍA HERNÁNDEZ</t>
  </si>
  <si>
    <t>PARO CARDIORESPIRATORIO A CAUSA DE NEUMONÍA MÁS INSUFICIENCIA CADÍACA CONGESTIVA</t>
  </si>
  <si>
    <t>CMCD04.5.2.1/R2021-031</t>
  </si>
  <si>
    <t>02554</t>
  </si>
  <si>
    <t>RITA ELEONORA MORÁN DE GUTIÉRREZ</t>
  </si>
  <si>
    <t>CARDIOPATÍA ISQUÉMICA</t>
  </si>
  <si>
    <t>CMCD04.5.2.1/R2021-032</t>
  </si>
  <si>
    <t>23297</t>
  </si>
  <si>
    <t>MARÍA ESTER DUEÑAS VDA. DE GARCÍA</t>
  </si>
  <si>
    <t>PARO CARDIORESPIRATORIO MÁS UROSÉPSIS</t>
  </si>
  <si>
    <t>CMCD04.5.2.1/R2021-033</t>
  </si>
  <si>
    <t>22656</t>
  </si>
  <si>
    <t>MARÍA ELVIRA SÁNCHEZ VDA. DE GÓMEZ</t>
  </si>
  <si>
    <t>ACCIDENTE CEREBRO VASCULAR HEMORRÁGICO, HIPERTENCIÓN ARTERIAL CRÓNICA</t>
  </si>
  <si>
    <t>CMCD04.5.2.1/R2021-034</t>
  </si>
  <si>
    <t>05139</t>
  </si>
  <si>
    <t>JAIME MARROQUÍN VALENCIA</t>
  </si>
  <si>
    <t>ASFIXIA POR ASPIRACIÓN DE CONTENIDO GASTRICO</t>
  </si>
  <si>
    <t>SAN RAFAEL OBRAJUELI, LA PAZ</t>
  </si>
  <si>
    <t>CMCD04.5.2.1/R2021-035</t>
  </si>
  <si>
    <t>10355</t>
  </si>
  <si>
    <t>GRACIELA CARRILLO DURÁN DE HERNÁNDEZ</t>
  </si>
  <si>
    <t>CÁNCER DE MAMA, SANGRADO DE TUBO DIGESTIVO SUPERIOR, DIABETES MELLITUS TIPO 2, HIPERTENSIÓN ARTERIAL CRÓNICA</t>
  </si>
  <si>
    <t>CMCD04.5.2.1/R2021-036</t>
  </si>
  <si>
    <t>37799</t>
  </si>
  <si>
    <t>ANA CRISTINA CHÁVEZ DE SÁNCHEZ</t>
  </si>
  <si>
    <t>SOSPECHA COVID-19 VIRUS NO IDENTIFICADO</t>
  </si>
  <si>
    <t>CMCD04.5.2.1/R2021-037</t>
  </si>
  <si>
    <t>16315</t>
  </si>
  <si>
    <t>MARÍA ERCILIA HERNÁNDEZ DE ALFARO</t>
  </si>
  <si>
    <t>HEMORRAGIA GASTROINTESTINAL, CIRROSIS HÉPATICA</t>
  </si>
  <si>
    <t>CMCD04.5.2.1/R2021-038</t>
  </si>
  <si>
    <t>65565</t>
  </si>
  <si>
    <t>MARÍA GUADALUPE MARTÍNEZ ORTIZ DE ÁGUILA</t>
  </si>
  <si>
    <t>HISTOPLASMA SISTÉMICA</t>
  </si>
  <si>
    <t>CMCD04.5.2.1/R2021-039</t>
  </si>
  <si>
    <t>01477</t>
  </si>
  <si>
    <t>SANTOS LUISA CAMPOS VDA. DE CHÁVEZ</t>
  </si>
  <si>
    <t>COAGULACIÓN INTRAVASCULAR DISEMINADA, DETERIORO DEL ADULTO, INSUFICIENCIA CARDIACA CONGESTIVA, HAPATOPATÍA</t>
  </si>
  <si>
    <t>CMCD04.5.2.1/R2021-040</t>
  </si>
  <si>
    <t>15583</t>
  </si>
  <si>
    <t>LUIS ALONSO MARROQUÍN SALAZAR</t>
  </si>
  <si>
    <t>PARO CARDIORRESPIRATORIO, INFARTO FULMINANTE, DESNUTRICIÓN DEL ADULTO</t>
  </si>
  <si>
    <t>JUAYUA, SONSONATE</t>
  </si>
  <si>
    <t>CMCD04.5.2.1/R2021-041</t>
  </si>
  <si>
    <t>18006</t>
  </si>
  <si>
    <t>SANTOS GODOY CACÉRES DÍAZ</t>
  </si>
  <si>
    <t>NEUMONÍA ATIPICA LEVE COVID-19</t>
  </si>
  <si>
    <t>CMCD04.5.2.1/R2021-042</t>
  </si>
  <si>
    <t>19472</t>
  </si>
  <si>
    <t>FRANCISCA CATALINA CHAVARRÍA DE HERNÁNDEZ</t>
  </si>
  <si>
    <t>SÉPSIS URINARIA</t>
  </si>
  <si>
    <t>CMCD04.5.2.1/R2021-043</t>
  </si>
  <si>
    <t>22842</t>
  </si>
  <si>
    <t>JOSÉ RODRIGO ARRAZOLA RODRÍGUEZ</t>
  </si>
  <si>
    <t>SHOK NEUROGÉNICO</t>
  </si>
  <si>
    <t>JUCUAPA, USULUTAN</t>
  </si>
  <si>
    <t>CMCD04.5.2.1/R2021-045</t>
  </si>
  <si>
    <t>32252</t>
  </si>
  <si>
    <t>ELMER DANILO QUEZADA LEIVA</t>
  </si>
  <si>
    <t>PARO RESPIRATORIO</t>
  </si>
  <si>
    <t>SAN PEDRO PUXTLA, AHUACHAPAN</t>
  </si>
  <si>
    <t>CMCD04.5.2.1/R2021-046</t>
  </si>
  <si>
    <t>18096</t>
  </si>
  <si>
    <t>HEDILBERTO RODRÍGUEZ BONILLA</t>
  </si>
  <si>
    <t>COVID-19 POSITIVO</t>
  </si>
  <si>
    <t>CMCD04.5.2.1/R2021-047</t>
  </si>
  <si>
    <t>61384</t>
  </si>
  <si>
    <t>FRANCISCO ARMANDO SARAVIA TORRES</t>
  </si>
  <si>
    <t>COVID-19 MÁS NEUMONÍA GRAVE</t>
  </si>
  <si>
    <t>NUEVA GUADALUPE, SAN MIGUEL</t>
  </si>
  <si>
    <t>CMCD04.5.2.1/R2021-048</t>
  </si>
  <si>
    <t>47399</t>
  </si>
  <si>
    <t>JAVIER ROLANDO VÁSQUEZ ALVARENGA</t>
  </si>
  <si>
    <t>NEUMONÍA ATIPICA GRAVE, SOSPECHA COVID-19</t>
  </si>
  <si>
    <t>CMCD04.5.2.1/R2021-049</t>
  </si>
  <si>
    <t>20995</t>
  </si>
  <si>
    <t>JOSÉ ARMANDO TESHÉ</t>
  </si>
  <si>
    <t>ENFERMEDAD RENAL CRÓNICA, DERRAME PLEURAL DERECHO, DIABETES MELLITUS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</si>
  <si>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</si>
  <si>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</si>
  <si>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</si>
  <si>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</si>
  <si>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</si>
  <si>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</si>
  <si>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</si>
  <si>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</si>
  <si>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</si>
  <si>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</si>
  <si>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</si>
  <si>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</si>
  <si>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Y POR TIPOS DE SEGUROS DEL 01 AL 31 DE ENERO AÑO 2021</t>
  </si>
  <si>
    <t>DEL 01 AL 31 DE ENERO A ÑO 2021</t>
  </si>
  <si>
    <t xml:space="preserve">            REPORTE DE FALLECIDOS DURANTE EL MES DE ENERO 2021</t>
  </si>
  <si>
    <t>No. 4</t>
  </si>
  <si>
    <t>No. 3</t>
  </si>
  <si>
    <t>San Salvador, 11 de febrero de 2021</t>
  </si>
  <si>
    <t>San Salvador, 15 de febrero 2021</t>
  </si>
  <si>
    <t>San Salvador, 15 de enero 2021</t>
  </si>
  <si>
    <t>*BM</t>
  </si>
  <si>
    <t>Elaboró:</t>
  </si>
  <si>
    <t>Sandra Beraly Morataya Quinteros</t>
  </si>
  <si>
    <t>Jefe Unidad de Seguros</t>
  </si>
  <si>
    <t>Walter Edgardo Funes Callejas</t>
  </si>
  <si>
    <t>Jefa de Reclamos</t>
  </si>
  <si>
    <t>ASEGURADOS QUE CUMPLIERON 70 AÑOS DE EDAD DURANTE EL AÑO 2022</t>
  </si>
  <si>
    <t>DEL 01 DE ENERO AL 31 DE DICIEMBRE DEL AÑO 2022</t>
  </si>
  <si>
    <t>DE SEGURO DE VIDA DOTAL PAGADOS AÑO 2022</t>
  </si>
  <si>
    <t>DE VIDA DOTAL POR VENCIMIENTO DE PÓLIZA  AÑO 2022</t>
  </si>
  <si>
    <t>DEL 01  DE ENERO AL 31 DICIEMBRE DEL AÑO 2022</t>
  </si>
  <si>
    <t>CORRESPONDIENTE AL PERIODO DEL 01 DE ENERO AL 31 DE DICIEMBRE DEL AÑO 2022</t>
  </si>
  <si>
    <t>ESTADÍSTICAS GENERALES 2021</t>
  </si>
  <si>
    <t>ASEGURADOS QUE CUMPLIERON 70 AÑOS DE EDAD DURANTE EL AÑO 2021</t>
  </si>
  <si>
    <t>DE VIDA DOTAL POR VENCIMIENTO DE PÓLIZA AÑO 2021</t>
  </si>
  <si>
    <t>DE SEGURO DE VIDA DOTAL PAGADOS AÑO 2021</t>
  </si>
  <si>
    <t>SEGUROS PEND. DE PAGO DE OTROS AÑOS, PAGADOS EN EL 2022 (CUADROS APROBADOS POR CD+ CASOS DE INV)</t>
  </si>
  <si>
    <t xml:space="preserve"> FALLECIDOS  AÑO 2022 QUE HAN RECLAMADO Y PAGADO (CUADROS APROBADOS POR CD)</t>
  </si>
  <si>
    <t>Nº DE BENEF. A LOS QUE SE LES HA PAGADO EN EL AÑO 2022 (CUADROS APROBADOS POR CD + CASOS DE INV)</t>
  </si>
  <si>
    <t>San Salvador, 30 de junio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</si>
</sst>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* #,##0.00_-;\-&quot;$&quot;* #,##0.00_-;_-&quot;$&quot;* &quot;-&quot;??_-;_-@_-"/>
    <numFmt numFmtId="164" formatCode="&quot;$&quot;#,##0.00_);[Red]\(&quot;$&quot;#,##0.00\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-[$$-C09]* #,##0.00_-;\-[$$-C09]* #,##0.00_-;_-[$$-C09]* &quot;-&quot;??_-;_-@_-"/>
    <numFmt numFmtId="168" formatCode="_([$$-440A]* #,##0.00_);_([$$-440A]* \(#,##0.00\);_([$$-440A]* &quot;-&quot;??_);_(@_)"/>
    <numFmt numFmtId="169" formatCode="dd/mm/yyyy;@"/>
    <numFmt numFmtId="170" formatCode="_([$€]* #,##0.00_);_([$€]* \(#,##0.00\);_([$€]* &quot;-&quot;??_);_(@_)"/>
    <numFmt numFmtId="171" formatCode="&quot;$&quot;#,##0.00;[Red]&quot;$&quot;#,##0.00"/>
  </numFmts>
  <fonts count="82" x14ac:knownFonts="1">
    <font>
      <sz val="10"/>
      <name val="Arial"/>
    </font>
    <font>
      <b/>
      <sz val="10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4"/>
      <name val="Arial"/>
      <family val="2"/>
    </font>
    <font>
      <sz val="5"/>
      <name val="Arial"/>
      <family val="2"/>
    </font>
    <font>
      <b/>
      <sz val="9"/>
      <name val="Bookman Old Style"/>
      <family val="1"/>
    </font>
    <font>
      <b/>
      <sz val="8"/>
      <name val="Bookman Old Style"/>
      <family val="1"/>
    </font>
    <font>
      <b/>
      <sz val="7"/>
      <name val="Bookman Old Style"/>
      <family val="1"/>
    </font>
    <font>
      <sz val="10"/>
      <name val="Tahoma"/>
      <family val="2"/>
    </font>
    <font>
      <i/>
      <sz val="5"/>
      <name val="Arial"/>
      <family val="2"/>
    </font>
    <font>
      <b/>
      <sz val="7"/>
      <name val="Arial"/>
      <family val="2"/>
    </font>
    <font>
      <sz val="10"/>
      <color indexed="8"/>
      <name val="Tahoma"/>
      <family val="2"/>
    </font>
    <font>
      <b/>
      <sz val="10"/>
      <color indexed="63"/>
      <name val="Arial"/>
      <family val="2"/>
    </font>
    <font>
      <b/>
      <sz val="10"/>
      <color indexed="18"/>
      <name val="Arial"/>
      <family val="2"/>
    </font>
    <font>
      <b/>
      <sz val="9"/>
      <color indexed="8"/>
      <name val="Tahoma"/>
      <family val="2"/>
    </font>
    <font>
      <b/>
      <sz val="12"/>
      <color indexed="8"/>
      <name val="Arial"/>
      <family val="2"/>
    </font>
    <font>
      <i/>
      <sz val="4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6"/>
      <name val="Arial"/>
      <family val="2"/>
    </font>
    <font>
      <b/>
      <sz val="4"/>
      <name val="Arial"/>
      <family val="2"/>
    </font>
    <font>
      <sz val="8"/>
      <name val="Tahoma"/>
      <family val="2"/>
    </font>
    <font>
      <b/>
      <sz val="9"/>
      <name val="Tahoma"/>
      <family val="2"/>
    </font>
    <font>
      <sz val="11"/>
      <name val="Museo Sans 300"/>
      <family val="3"/>
    </font>
    <font>
      <sz val="10"/>
      <name val="Museo Sans 300"/>
      <family val="3"/>
    </font>
    <font>
      <b/>
      <sz val="8"/>
      <color indexed="1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Museo Sans 300"/>
      <family val="3"/>
    </font>
    <font>
      <sz val="11"/>
      <color theme="1"/>
      <name val="Museo Sans 300"/>
      <family val="3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Museo Sans 300"/>
      <family val="3"/>
    </font>
    <font>
      <sz val="10"/>
      <color theme="1"/>
      <name val="Museo Sans 300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6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9"/>
      <color rgb="FFFF0000"/>
      <name val="Arial"/>
      <family val="2"/>
    </font>
    <font>
      <sz val="8"/>
      <color theme="4" tint="-0.249977111117893"/>
      <name val="Tahoma"/>
      <family val="2"/>
    </font>
    <font>
      <b/>
      <sz val="9"/>
      <color theme="4" tint="-0.249977111117893"/>
      <name val="Arial"/>
      <family val="2"/>
    </font>
    <font>
      <sz val="8"/>
      <color theme="4" tint="-0.249977111117893"/>
      <name val="Arial"/>
      <family val="2"/>
    </font>
    <font>
      <b/>
      <sz val="8"/>
      <color theme="4" tint="-0.249977111117893"/>
      <name val="Arial"/>
      <family val="2"/>
    </font>
    <font>
      <b/>
      <sz val="8"/>
      <color theme="4" tint="-0.249977111117893"/>
      <name val="Calibri"/>
      <family val="2"/>
      <scheme val="minor"/>
    </font>
    <font>
      <sz val="8"/>
      <color theme="4"/>
      <name val="Tahoma"/>
      <family val="2"/>
    </font>
    <font>
      <sz val="8"/>
      <color theme="4"/>
      <name val="Arial"/>
      <family val="2"/>
    </font>
    <font>
      <b/>
      <sz val="8"/>
      <color theme="4"/>
      <name val="Arial"/>
      <family val="2"/>
    </font>
    <font>
      <b/>
      <sz val="9"/>
      <name val="Calibri"/>
      <family val="2"/>
      <scheme val="minor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8" tint="-0.249977111117893"/>
      <name val="Arial"/>
      <family val="2"/>
    </font>
    <font>
      <b/>
      <sz val="9"/>
      <color rgb="FFFF0000"/>
      <name val="Arial"/>
      <family val="2"/>
    </font>
    <font>
      <sz val="7"/>
      <color rgb="FFFF0000"/>
      <name val="Arial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4">
    <xf numFmtId="0" fontId="0" fillId="0" borderId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40" fillId="0" borderId="0" applyNumberFormat="0" applyFill="0" applyBorder="0" applyAlignment="0" applyProtection="0"/>
    <xf numFmtId="166" fontId="13" fillId="0" borderId="0" applyFont="0" applyFill="0" applyBorder="0" applyAlignment="0" applyProtection="0"/>
    <xf numFmtId="166" fontId="3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39" fillId="0" borderId="0"/>
    <xf numFmtId="0" fontId="3" fillId="0" borderId="0"/>
    <xf numFmtId="0" fontId="3" fillId="0" borderId="0"/>
    <xf numFmtId="0" fontId="39" fillId="0" borderId="0"/>
    <xf numFmtId="9" fontId="1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94">
    <xf numFmtId="0" fontId="0" fillId="0" borderId="0" xfId="0"/>
    <xf numFmtId="0" fontId="4" fillId="0" borderId="0" xfId="0" applyFont="1"/>
    <xf numFmtId="0" fontId="3" fillId="0" borderId="0" xfId="0" applyFont="1"/>
    <xf numFmtId="0" fontId="1" fillId="0" borderId="0" xfId="0" applyFont="1"/>
    <xf numFmtId="0" fontId="8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11" fillId="0" borderId="0" xfId="0" applyFont="1"/>
    <xf numFmtId="0" fontId="0" fillId="0" borderId="0" xfId="0" applyBorder="1"/>
    <xf numFmtId="9" fontId="0" fillId="0" borderId="0" xfId="11" applyFont="1"/>
    <xf numFmtId="0" fontId="9" fillId="0" borderId="0" xfId="0" applyFont="1"/>
    <xf numFmtId="0" fontId="8" fillId="0" borderId="0" xfId="0" applyFont="1" applyBorder="1" applyAlignment="1">
      <alignment horizontal="center"/>
    </xf>
    <xf numFmtId="166" fontId="0" fillId="0" borderId="0" xfId="0" applyNumberFormat="1"/>
    <xf numFmtId="166" fontId="3" fillId="0" borderId="0" xfId="0" applyNumberFormat="1" applyFont="1"/>
    <xf numFmtId="0" fontId="8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16" fillId="0" borderId="0" xfId="0" applyFont="1"/>
    <xf numFmtId="0" fontId="17" fillId="0" borderId="0" xfId="0" applyFont="1" applyAlignment="1">
      <alignment horizontal="center"/>
    </xf>
    <xf numFmtId="0" fontId="3" fillId="0" borderId="2" xfId="0" applyFont="1" applyBorder="1"/>
    <xf numFmtId="0" fontId="20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7" fontId="21" fillId="0" borderId="5" xfId="0" applyNumberFormat="1" applyFont="1" applyBorder="1" applyAlignment="1">
      <alignment horizontal="left"/>
    </xf>
    <xf numFmtId="164" fontId="0" fillId="0" borderId="0" xfId="0" applyNumberFormat="1" applyBorder="1" applyAlignment="1">
      <alignment horizontal="center"/>
    </xf>
    <xf numFmtId="0" fontId="17" fillId="0" borderId="0" xfId="0" applyFont="1"/>
    <xf numFmtId="0" fontId="22" fillId="0" borderId="0" xfId="0" applyFont="1"/>
    <xf numFmtId="0" fontId="19" fillId="0" borderId="1" xfId="0" applyFont="1" applyBorder="1" applyAlignment="1">
      <alignment horizontal="center" vertical="center" wrapText="1"/>
    </xf>
    <xf numFmtId="17" fontId="21" fillId="0" borderId="2" xfId="0" applyNumberFormat="1" applyFont="1" applyBorder="1" applyAlignment="1">
      <alignment horizontal="left"/>
    </xf>
    <xf numFmtId="167" fontId="3" fillId="0" borderId="1" xfId="0" applyNumberFormat="1" applyFont="1" applyBorder="1" applyAlignment="1">
      <alignment horizontal="center"/>
    </xf>
    <xf numFmtId="0" fontId="1" fillId="0" borderId="1" xfId="0" applyFont="1" applyBorder="1"/>
    <xf numFmtId="167" fontId="1" fillId="0" borderId="1" xfId="0" applyNumberFormat="1" applyFont="1" applyBorder="1" applyAlignment="1">
      <alignment horizontal="center"/>
    </xf>
    <xf numFmtId="0" fontId="19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9" fillId="0" borderId="7" xfId="0" applyFont="1" applyBorder="1" applyAlignment="1">
      <alignment horizontal="center" vertical="center" wrapText="1"/>
    </xf>
    <xf numFmtId="167" fontId="3" fillId="0" borderId="7" xfId="0" applyNumberFormat="1" applyFont="1" applyBorder="1" applyAlignment="1">
      <alignment horizontal="center"/>
    </xf>
    <xf numFmtId="167" fontId="1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0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7" fontId="0" fillId="0" borderId="0" xfId="0" applyNumberFormat="1"/>
    <xf numFmtId="0" fontId="18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right"/>
    </xf>
    <xf numFmtId="0" fontId="26" fillId="0" borderId="0" xfId="0" applyFont="1" applyBorder="1" applyAlignment="1">
      <alignment horizontal="center"/>
    </xf>
    <xf numFmtId="0" fontId="30" fillId="0" borderId="0" xfId="0" applyFont="1"/>
    <xf numFmtId="0" fontId="3" fillId="0" borderId="0" xfId="0" applyFont="1" applyAlignment="1"/>
    <xf numFmtId="0" fontId="5" fillId="0" borderId="0" xfId="0" applyFont="1" applyAlignment="1"/>
    <xf numFmtId="0" fontId="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17" fontId="24" fillId="0" borderId="0" xfId="0" applyNumberFormat="1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4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7" fontId="27" fillId="0" borderId="0" xfId="0" applyNumberFormat="1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9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39" fillId="0" borderId="0" xfId="7"/>
    <xf numFmtId="0" fontId="17" fillId="0" borderId="0" xfId="7" applyFont="1" applyAlignment="1">
      <alignment horizontal="center"/>
    </xf>
    <xf numFmtId="0" fontId="3" fillId="0" borderId="0" xfId="7" applyFont="1"/>
    <xf numFmtId="0" fontId="3" fillId="0" borderId="2" xfId="7" applyFont="1" applyBorder="1"/>
    <xf numFmtId="0" fontId="19" fillId="0" borderId="14" xfId="7" applyFont="1" applyBorder="1" applyAlignment="1">
      <alignment horizontal="center" vertical="center" wrapText="1"/>
    </xf>
    <xf numFmtId="0" fontId="19" fillId="0" borderId="3" xfId="7" applyFont="1" applyBorder="1" applyAlignment="1">
      <alignment horizontal="center" vertical="center" wrapText="1"/>
    </xf>
    <xf numFmtId="0" fontId="19" fillId="0" borderId="15" xfId="7" applyFont="1" applyBorder="1" applyAlignment="1">
      <alignment horizontal="center" vertical="center" wrapText="1"/>
    </xf>
    <xf numFmtId="0" fontId="19" fillId="0" borderId="4" xfId="7" applyFont="1" applyBorder="1" applyAlignment="1">
      <alignment horizontal="center" vertical="center" wrapText="1"/>
    </xf>
    <xf numFmtId="17" fontId="21" fillId="0" borderId="5" xfId="7" applyNumberFormat="1" applyFont="1" applyBorder="1" applyAlignment="1">
      <alignment horizontal="left"/>
    </xf>
    <xf numFmtId="0" fontId="1" fillId="0" borderId="5" xfId="7" applyFont="1" applyBorder="1"/>
    <xf numFmtId="0" fontId="22" fillId="0" borderId="0" xfId="7" applyFont="1"/>
    <xf numFmtId="0" fontId="5" fillId="0" borderId="0" xfId="7" applyFont="1"/>
    <xf numFmtId="166" fontId="3" fillId="0" borderId="0" xfId="7" applyNumberFormat="1" applyFont="1"/>
    <xf numFmtId="0" fontId="8" fillId="0" borderId="0" xfId="7" applyFont="1"/>
    <xf numFmtId="0" fontId="3" fillId="0" borderId="0" xfId="7" applyFont="1" applyAlignment="1">
      <alignment horizontal="left"/>
    </xf>
    <xf numFmtId="0" fontId="3" fillId="0" borderId="0" xfId="7" applyFont="1" applyAlignment="1">
      <alignment horizontal="center"/>
    </xf>
    <xf numFmtId="0" fontId="17" fillId="0" borderId="0" xfId="7" applyFont="1"/>
    <xf numFmtId="0" fontId="1" fillId="0" borderId="5" xfId="7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17" fontId="21" fillId="0" borderId="16" xfId="0" applyNumberFormat="1" applyFont="1" applyBorder="1" applyAlignment="1">
      <alignment horizontal="left"/>
    </xf>
    <xf numFmtId="17" fontId="21" fillId="0" borderId="14" xfId="0" applyNumberFormat="1" applyFont="1" applyBorder="1" applyAlignment="1">
      <alignment horizontal="left"/>
    </xf>
    <xf numFmtId="0" fontId="0" fillId="0" borderId="0" xfId="11" applyNumberFormat="1" applyFont="1"/>
    <xf numFmtId="167" fontId="0" fillId="0" borderId="0" xfId="11" applyNumberFormat="1" applyFont="1"/>
    <xf numFmtId="0" fontId="3" fillId="0" borderId="0" xfId="11" applyNumberFormat="1" applyFont="1"/>
    <xf numFmtId="0" fontId="0" fillId="0" borderId="0" xfId="0" applyNumberFormat="1"/>
    <xf numFmtId="1" fontId="0" fillId="0" borderId="0" xfId="11" applyNumberFormat="1" applyFont="1"/>
    <xf numFmtId="167" fontId="3" fillId="0" borderId="0" xfId="11" applyNumberFormat="1" applyFont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6" fontId="1" fillId="0" borderId="1" xfId="5" applyFont="1" applyBorder="1" applyAlignment="1">
      <alignment horizontal="center"/>
    </xf>
    <xf numFmtId="0" fontId="11" fillId="0" borderId="0" xfId="0" applyFont="1" applyAlignment="1">
      <alignment horizontal="left"/>
    </xf>
    <xf numFmtId="166" fontId="0" fillId="0" borderId="0" xfId="5" applyFont="1"/>
    <xf numFmtId="0" fontId="0" fillId="0" borderId="17" xfId="0" applyBorder="1"/>
    <xf numFmtId="17" fontId="21" fillId="0" borderId="18" xfId="0" applyNumberFormat="1" applyFont="1" applyBorder="1" applyAlignment="1">
      <alignment horizontal="left"/>
    </xf>
    <xf numFmtId="4" fontId="0" fillId="0" borderId="0" xfId="11" applyNumberFormat="1" applyFont="1"/>
    <xf numFmtId="1" fontId="3" fillId="0" borderId="0" xfId="11" applyNumberFormat="1" applyFont="1"/>
    <xf numFmtId="166" fontId="3" fillId="0" borderId="0" xfId="5" applyFont="1"/>
    <xf numFmtId="167" fontId="1" fillId="0" borderId="19" xfId="0" applyNumberFormat="1" applyFont="1" applyBorder="1" applyAlignment="1">
      <alignment horizontal="center"/>
    </xf>
    <xf numFmtId="9" fontId="1" fillId="0" borderId="0" xfId="1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44" fontId="9" fillId="0" borderId="5" xfId="6" applyFont="1" applyBorder="1" applyAlignment="1">
      <alignment horizontal="center"/>
    </xf>
    <xf numFmtId="167" fontId="9" fillId="0" borderId="5" xfId="7" applyNumberFormat="1" applyFont="1" applyBorder="1" applyAlignment="1">
      <alignment horizontal="center"/>
    </xf>
    <xf numFmtId="0" fontId="43" fillId="0" borderId="0" xfId="7" applyFont="1"/>
    <xf numFmtId="167" fontId="5" fillId="0" borderId="5" xfId="0" applyNumberFormat="1" applyFont="1" applyBorder="1" applyAlignment="1">
      <alignment horizontal="center"/>
    </xf>
    <xf numFmtId="0" fontId="9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wrapText="1"/>
    </xf>
    <xf numFmtId="0" fontId="2" fillId="0" borderId="25" xfId="0" applyFont="1" applyBorder="1" applyAlignment="1">
      <alignment horizontal="center" vertical="center" wrapText="1"/>
    </xf>
    <xf numFmtId="0" fontId="44" fillId="0" borderId="0" xfId="0" applyFont="1"/>
    <xf numFmtId="1" fontId="1" fillId="0" borderId="0" xfId="0" applyNumberFormat="1" applyFont="1" applyBorder="1" applyAlignment="1">
      <alignment horizontal="center"/>
    </xf>
    <xf numFmtId="0" fontId="33" fillId="0" borderId="0" xfId="0" applyFont="1" applyFill="1" applyBorder="1" applyAlignment="1">
      <alignment horizontal="left" vertical="top"/>
    </xf>
    <xf numFmtId="0" fontId="17" fillId="0" borderId="0" xfId="0" applyFont="1" applyAlignment="1">
      <alignment vertical="center"/>
    </xf>
    <xf numFmtId="0" fontId="17" fillId="0" borderId="0" xfId="7" applyFont="1" applyAlignment="1">
      <alignment vertical="center"/>
    </xf>
    <xf numFmtId="0" fontId="8" fillId="0" borderId="0" xfId="0" applyFont="1" applyAlignment="1">
      <alignment horizontal="right"/>
    </xf>
    <xf numFmtId="167" fontId="45" fillId="0" borderId="0" xfId="0" applyNumberFormat="1" applyFont="1"/>
    <xf numFmtId="0" fontId="5" fillId="0" borderId="26" xfId="0" applyFont="1" applyBorder="1" applyAlignment="1">
      <alignment horizontal="center"/>
    </xf>
    <xf numFmtId="0" fontId="3" fillId="0" borderId="2" xfId="9" applyFont="1" applyBorder="1"/>
    <xf numFmtId="0" fontId="19" fillId="0" borderId="14" xfId="9" applyFont="1" applyBorder="1" applyAlignment="1">
      <alignment horizontal="center" vertical="center" wrapText="1"/>
    </xf>
    <xf numFmtId="0" fontId="20" fillId="0" borderId="2" xfId="9" applyFont="1" applyBorder="1" applyAlignment="1">
      <alignment horizontal="center" vertical="center" wrapText="1"/>
    </xf>
    <xf numFmtId="0" fontId="19" fillId="0" borderId="3" xfId="9" applyFont="1" applyBorder="1" applyAlignment="1">
      <alignment horizontal="center" vertical="center" wrapText="1"/>
    </xf>
    <xf numFmtId="0" fontId="19" fillId="0" borderId="15" xfId="9" applyFont="1" applyBorder="1" applyAlignment="1">
      <alignment horizontal="center" vertical="center" wrapText="1"/>
    </xf>
    <xf numFmtId="0" fontId="19" fillId="0" borderId="4" xfId="9" applyFont="1" applyBorder="1" applyAlignment="1">
      <alignment horizontal="center" vertical="center" wrapText="1"/>
    </xf>
    <xf numFmtId="0" fontId="20" fillId="0" borderId="15" xfId="9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/>
    </xf>
    <xf numFmtId="17" fontId="34" fillId="0" borderId="28" xfId="0" applyNumberFormat="1" applyFont="1" applyBorder="1" applyAlignment="1">
      <alignment horizontal="left"/>
    </xf>
    <xf numFmtId="17" fontId="34" fillId="0" borderId="29" xfId="0" applyNumberFormat="1" applyFont="1" applyBorder="1" applyAlignment="1">
      <alignment horizontal="left"/>
    </xf>
    <xf numFmtId="0" fontId="5" fillId="0" borderId="13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17" fontId="35" fillId="0" borderId="31" xfId="0" applyNumberFormat="1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166" fontId="5" fillId="0" borderId="37" xfId="5" applyFont="1" applyBorder="1" applyAlignment="1">
      <alignment horizontal="center"/>
    </xf>
    <xf numFmtId="17" fontId="5" fillId="0" borderId="38" xfId="0" applyNumberFormat="1" applyFont="1" applyBorder="1" applyAlignment="1">
      <alignment horizontal="center"/>
    </xf>
    <xf numFmtId="17" fontId="5" fillId="0" borderId="39" xfId="0" applyNumberFormat="1" applyFont="1" applyBorder="1" applyAlignment="1">
      <alignment horizontal="center"/>
    </xf>
    <xf numFmtId="17" fontId="5" fillId="0" borderId="40" xfId="0" applyNumberFormat="1" applyFont="1" applyBorder="1" applyAlignment="1">
      <alignment horizontal="center"/>
    </xf>
    <xf numFmtId="17" fontId="5" fillId="0" borderId="41" xfId="0" applyNumberFormat="1" applyFont="1" applyBorder="1" applyAlignment="1">
      <alignment horizontal="center"/>
    </xf>
    <xf numFmtId="166" fontId="5" fillId="0" borderId="0" xfId="0" applyNumberFormat="1" applyFont="1"/>
    <xf numFmtId="0" fontId="7" fillId="2" borderId="13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/>
    </xf>
    <xf numFmtId="0" fontId="6" fillId="2" borderId="43" xfId="0" applyFont="1" applyFill="1" applyBorder="1" applyAlignment="1">
      <alignment horizontal="center"/>
    </xf>
    <xf numFmtId="167" fontId="3" fillId="0" borderId="0" xfId="7" applyNumberFormat="1" applyFont="1"/>
    <xf numFmtId="166" fontId="1" fillId="0" borderId="6" xfId="4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46" fillId="0" borderId="46" xfId="0" applyFont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left" vertical="center" wrapText="1"/>
    </xf>
    <xf numFmtId="10" fontId="47" fillId="0" borderId="44" xfId="11" applyNumberFormat="1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 shrinkToFit="1"/>
    </xf>
    <xf numFmtId="0" fontId="7" fillId="0" borderId="48" xfId="0" applyFont="1" applyBorder="1" applyAlignment="1">
      <alignment horizontal="center" vertical="center" wrapText="1" shrinkToFit="1"/>
    </xf>
    <xf numFmtId="166" fontId="5" fillId="0" borderId="49" xfId="5" applyFont="1" applyBorder="1" applyAlignment="1">
      <alignment horizontal="center"/>
    </xf>
    <xf numFmtId="17" fontId="5" fillId="0" borderId="50" xfId="0" applyNumberFormat="1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7" fillId="0" borderId="51" xfId="0" applyFont="1" applyBorder="1" applyAlignment="1">
      <alignment horizontal="center" vertical="center" wrapText="1" shrinkToFit="1"/>
    </xf>
    <xf numFmtId="0" fontId="7" fillId="0" borderId="52" xfId="0" applyFont="1" applyBorder="1" applyAlignment="1">
      <alignment horizontal="center" vertical="center" wrapText="1" shrinkToFit="1"/>
    </xf>
    <xf numFmtId="0" fontId="7" fillId="0" borderId="53" xfId="0" applyFont="1" applyBorder="1" applyAlignment="1">
      <alignment horizontal="center" vertical="center" wrapText="1" shrinkToFit="1"/>
    </xf>
    <xf numFmtId="166" fontId="5" fillId="0" borderId="54" xfId="5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55" xfId="0" applyFont="1" applyBorder="1" applyAlignment="1">
      <alignment horizontal="center"/>
    </xf>
    <xf numFmtId="166" fontId="6" fillId="0" borderId="55" xfId="4" applyFont="1" applyBorder="1" applyAlignment="1">
      <alignment horizontal="center"/>
    </xf>
    <xf numFmtId="166" fontId="6" fillId="0" borderId="56" xfId="4" applyFont="1" applyBorder="1" applyAlignment="1">
      <alignment horizontal="center"/>
    </xf>
    <xf numFmtId="0" fontId="0" fillId="0" borderId="57" xfId="0" applyBorder="1"/>
    <xf numFmtId="0" fontId="1" fillId="0" borderId="58" xfId="0" applyFont="1" applyBorder="1" applyAlignment="1">
      <alignment horizontal="center"/>
    </xf>
    <xf numFmtId="44" fontId="0" fillId="0" borderId="0" xfId="0" applyNumberFormat="1"/>
    <xf numFmtId="166" fontId="1" fillId="0" borderId="46" xfId="0" applyNumberFormat="1" applyFont="1" applyBorder="1" applyAlignment="1">
      <alignment horizontal="center"/>
    </xf>
    <xf numFmtId="166" fontId="47" fillId="0" borderId="0" xfId="4" applyFont="1" applyBorder="1" applyAlignment="1">
      <alignment horizontal="left" vertical="center" wrapText="1"/>
    </xf>
    <xf numFmtId="0" fontId="48" fillId="0" borderId="0" xfId="7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7" applyFont="1" applyAlignment="1">
      <alignment horizontal="left" vertical="center"/>
    </xf>
    <xf numFmtId="0" fontId="48" fillId="0" borderId="0" xfId="0" applyFont="1" applyAlignment="1">
      <alignment horizontal="left" vertical="center"/>
    </xf>
    <xf numFmtId="44" fontId="48" fillId="0" borderId="0" xfId="6" applyFont="1" applyAlignment="1">
      <alignment horizontal="left" vertical="center"/>
    </xf>
    <xf numFmtId="0" fontId="49" fillId="0" borderId="0" xfId="7" applyFont="1" applyAlignment="1">
      <alignment horizontal="left" vertical="center"/>
    </xf>
    <xf numFmtId="0" fontId="6" fillId="0" borderId="0" xfId="0" applyFont="1" applyBorder="1" applyAlignment="1">
      <alignment horizontal="center" wrapText="1"/>
    </xf>
    <xf numFmtId="0" fontId="5" fillId="0" borderId="0" xfId="0" applyFont="1" applyBorder="1"/>
    <xf numFmtId="1" fontId="6" fillId="0" borderId="0" xfId="0" applyNumberFormat="1" applyFont="1" applyFill="1" applyBorder="1" applyAlignment="1">
      <alignment horizontal="center"/>
    </xf>
    <xf numFmtId="1" fontId="9" fillId="0" borderId="0" xfId="0" applyNumberFormat="1" applyFont="1" applyBorder="1" applyAlignment="1">
      <alignment horizontal="center"/>
    </xf>
    <xf numFmtId="1" fontId="32" fillId="0" borderId="40" xfId="0" applyNumberFormat="1" applyFont="1" applyFill="1" applyBorder="1" applyAlignment="1">
      <alignment horizontal="left" vertical="center" wrapText="1"/>
    </xf>
    <xf numFmtId="1" fontId="17" fillId="0" borderId="40" xfId="0" applyNumberFormat="1" applyFont="1" applyFill="1" applyBorder="1" applyAlignment="1">
      <alignment horizontal="left" vertical="center" wrapText="1"/>
    </xf>
    <xf numFmtId="37" fontId="8" fillId="0" borderId="59" xfId="0" applyNumberFormat="1" applyFont="1" applyFill="1" applyBorder="1" applyAlignment="1">
      <alignment horizontal="center"/>
    </xf>
    <xf numFmtId="37" fontId="8" fillId="0" borderId="60" xfId="0" applyNumberFormat="1" applyFont="1" applyFill="1" applyBorder="1" applyAlignment="1">
      <alignment horizontal="center"/>
    </xf>
    <xf numFmtId="167" fontId="32" fillId="0" borderId="61" xfId="0" applyNumberFormat="1" applyFont="1" applyBorder="1" applyAlignment="1">
      <alignment horizontal="left" vertical="center" wrapText="1"/>
    </xf>
    <xf numFmtId="167" fontId="32" fillId="0" borderId="40" xfId="0" applyNumberFormat="1" applyFont="1" applyBorder="1" applyAlignment="1">
      <alignment horizontal="left" vertical="center" wrapText="1"/>
    </xf>
    <xf numFmtId="167" fontId="32" fillId="0" borderId="62" xfId="0" applyNumberFormat="1" applyFont="1" applyBorder="1" applyAlignment="1">
      <alignment horizontal="left" vertical="center" wrapText="1"/>
    </xf>
    <xf numFmtId="167" fontId="5" fillId="0" borderId="40" xfId="0" applyNumberFormat="1" applyFont="1" applyBorder="1" applyAlignment="1">
      <alignment horizontal="center"/>
    </xf>
    <xf numFmtId="168" fontId="5" fillId="0" borderId="0" xfId="5" applyNumberFormat="1" applyFont="1" applyBorder="1"/>
    <xf numFmtId="167" fontId="5" fillId="0" borderId="40" xfId="0" applyNumberFormat="1" applyFont="1" applyFill="1" applyBorder="1" applyAlignment="1">
      <alignment horizontal="center"/>
    </xf>
    <xf numFmtId="168" fontId="5" fillId="0" borderId="40" xfId="5" applyNumberFormat="1" applyFont="1" applyBorder="1"/>
    <xf numFmtId="168" fontId="5" fillId="0" borderId="40" xfId="5" applyNumberFormat="1" applyFont="1" applyBorder="1" applyAlignment="1">
      <alignment horizontal="center"/>
    </xf>
    <xf numFmtId="168" fontId="5" fillId="0" borderId="40" xfId="5" applyNumberFormat="1" applyFont="1" applyFill="1" applyBorder="1" applyAlignment="1">
      <alignment horizontal="center"/>
    </xf>
    <xf numFmtId="168" fontId="5" fillId="0" borderId="62" xfId="5" applyNumberFormat="1" applyFont="1" applyFill="1" applyBorder="1" applyAlignment="1">
      <alignment horizontal="center"/>
    </xf>
    <xf numFmtId="167" fontId="5" fillId="0" borderId="51" xfId="0" applyNumberFormat="1" applyFont="1" applyBorder="1" applyAlignment="1">
      <alignment horizontal="center"/>
    </xf>
    <xf numFmtId="167" fontId="5" fillId="0" borderId="47" xfId="0" applyNumberFormat="1" applyFont="1" applyBorder="1" applyAlignment="1">
      <alignment horizontal="center"/>
    </xf>
    <xf numFmtId="167" fontId="5" fillId="0" borderId="63" xfId="0" applyNumberFormat="1" applyFont="1" applyBorder="1" applyAlignment="1">
      <alignment horizontal="center"/>
    </xf>
    <xf numFmtId="167" fontId="5" fillId="0" borderId="37" xfId="0" applyNumberFormat="1" applyFont="1" applyBorder="1" applyAlignment="1">
      <alignment horizontal="center"/>
    </xf>
    <xf numFmtId="1" fontId="11" fillId="0" borderId="40" xfId="0" applyNumberFormat="1" applyFont="1" applyFill="1" applyBorder="1" applyAlignment="1">
      <alignment horizontal="left"/>
    </xf>
    <xf numFmtId="1" fontId="5" fillId="0" borderId="40" xfId="0" applyNumberFormat="1" applyFont="1" applyFill="1" applyBorder="1" applyAlignment="1">
      <alignment horizontal="left"/>
    </xf>
    <xf numFmtId="0" fontId="5" fillId="0" borderId="40" xfId="0" applyFont="1" applyFill="1" applyBorder="1" applyAlignment="1">
      <alignment horizontal="left" wrapText="1"/>
    </xf>
    <xf numFmtId="1" fontId="5" fillId="0" borderId="41" xfId="0" applyNumberFormat="1" applyFont="1" applyFill="1" applyBorder="1" applyAlignment="1">
      <alignment horizontal="left"/>
    </xf>
    <xf numFmtId="1" fontId="5" fillId="0" borderId="63" xfId="0" applyNumberFormat="1" applyFont="1" applyFill="1" applyBorder="1" applyAlignment="1">
      <alignment horizontal="left"/>
    </xf>
    <xf numFmtId="0" fontId="5" fillId="0" borderId="40" xfId="0" applyFont="1" applyFill="1" applyBorder="1" applyAlignment="1">
      <alignment horizontal="left"/>
    </xf>
    <xf numFmtId="0" fontId="5" fillId="0" borderId="40" xfId="0" applyFont="1" applyBorder="1" applyAlignment="1">
      <alignment horizontal="left"/>
    </xf>
    <xf numFmtId="0" fontId="5" fillId="0" borderId="63" xfId="0" applyFont="1" applyFill="1" applyBorder="1" applyAlignment="1">
      <alignment horizontal="left"/>
    </xf>
    <xf numFmtId="1" fontId="32" fillId="0" borderId="41" xfId="0" applyNumberFormat="1" applyFont="1" applyFill="1" applyBorder="1" applyAlignment="1">
      <alignment horizontal="left" vertical="center" wrapText="1"/>
    </xf>
    <xf numFmtId="0" fontId="6" fillId="0" borderId="64" xfId="0" applyFont="1" applyBorder="1" applyAlignment="1">
      <alignment vertical="center"/>
    </xf>
    <xf numFmtId="0" fontId="9" fillId="0" borderId="46" xfId="0" applyFont="1" applyFill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1" fontId="9" fillId="0" borderId="65" xfId="0" applyNumberFormat="1" applyFont="1" applyBorder="1" applyAlignment="1">
      <alignment horizontal="center" vertical="center"/>
    </xf>
    <xf numFmtId="1" fontId="6" fillId="0" borderId="64" xfId="0" applyNumberFormat="1" applyFont="1" applyFill="1" applyBorder="1" applyAlignment="1">
      <alignment horizontal="center" vertical="center"/>
    </xf>
    <xf numFmtId="1" fontId="6" fillId="0" borderId="65" xfId="0" applyNumberFormat="1" applyFont="1" applyFill="1" applyBorder="1" applyAlignment="1">
      <alignment horizontal="center" vertical="center"/>
    </xf>
    <xf numFmtId="1" fontId="6" fillId="0" borderId="47" xfId="0" applyNumberFormat="1" applyFont="1" applyFill="1" applyBorder="1" applyAlignment="1">
      <alignment horizontal="center" vertical="center"/>
    </xf>
    <xf numFmtId="1" fontId="11" fillId="0" borderId="61" xfId="0" applyNumberFormat="1" applyFont="1" applyFill="1" applyBorder="1" applyAlignment="1">
      <alignment horizontal="left"/>
    </xf>
    <xf numFmtId="0" fontId="5" fillId="0" borderId="40" xfId="0" applyFont="1" applyBorder="1"/>
    <xf numFmtId="1" fontId="11" fillId="0" borderId="62" xfId="0" applyNumberFormat="1" applyFont="1" applyFill="1" applyBorder="1" applyAlignment="1">
      <alignment horizontal="left"/>
    </xf>
    <xf numFmtId="0" fontId="7" fillId="0" borderId="42" xfId="0" applyFont="1" applyBorder="1" applyAlignment="1">
      <alignment horizontal="center" wrapText="1"/>
    </xf>
    <xf numFmtId="0" fontId="7" fillId="0" borderId="45" xfId="0" applyFont="1" applyBorder="1" applyAlignment="1">
      <alignment horizontal="center" wrapText="1"/>
    </xf>
    <xf numFmtId="1" fontId="5" fillId="0" borderId="54" xfId="0" applyNumberFormat="1" applyFont="1" applyFill="1" applyBorder="1" applyAlignment="1">
      <alignment horizontal="center"/>
    </xf>
    <xf numFmtId="1" fontId="5" fillId="0" borderId="63" xfId="0" applyNumberFormat="1" applyFont="1" applyFill="1" applyBorder="1" applyAlignment="1">
      <alignment horizontal="center"/>
    </xf>
    <xf numFmtId="1" fontId="5" fillId="0" borderId="66" xfId="0" applyNumberFormat="1" applyFont="1" applyFill="1" applyBorder="1" applyAlignment="1">
      <alignment horizontal="center"/>
    </xf>
    <xf numFmtId="1" fontId="5" fillId="0" borderId="40" xfId="0" applyNumberFormat="1" applyFont="1" applyFill="1" applyBorder="1" applyAlignment="1">
      <alignment horizontal="center"/>
    </xf>
    <xf numFmtId="1" fontId="5" fillId="0" borderId="59" xfId="0" applyNumberFormat="1" applyFont="1" applyFill="1" applyBorder="1" applyAlignment="1">
      <alignment horizontal="center"/>
    </xf>
    <xf numFmtId="1" fontId="5" fillId="0" borderId="67" xfId="0" applyNumberFormat="1" applyFont="1" applyFill="1" applyBorder="1" applyAlignment="1">
      <alignment horizontal="center"/>
    </xf>
    <xf numFmtId="0" fontId="5" fillId="0" borderId="59" xfId="0" applyFont="1" applyBorder="1" applyAlignment="1">
      <alignment horizontal="center" vertical="center"/>
    </xf>
    <xf numFmtId="1" fontId="5" fillId="0" borderId="60" xfId="0" applyNumberFormat="1" applyFont="1" applyFill="1" applyBorder="1" applyAlignment="1">
      <alignment horizontal="center" vertical="center"/>
    </xf>
    <xf numFmtId="0" fontId="5" fillId="0" borderId="68" xfId="0" applyFont="1" applyFill="1" applyBorder="1" applyAlignment="1">
      <alignment horizontal="center" vertical="center"/>
    </xf>
    <xf numFmtId="0" fontId="5" fillId="0" borderId="59" xfId="0" applyFont="1" applyFill="1" applyBorder="1" applyAlignment="1">
      <alignment horizontal="center" vertical="center"/>
    </xf>
    <xf numFmtId="1" fontId="6" fillId="0" borderId="69" xfId="0" applyNumberFormat="1" applyFont="1" applyBorder="1" applyAlignment="1">
      <alignment horizontal="center" vertical="center"/>
    </xf>
    <xf numFmtId="37" fontId="5" fillId="0" borderId="66" xfId="0" applyNumberFormat="1" applyFont="1" applyFill="1" applyBorder="1" applyAlignment="1">
      <alignment horizontal="center"/>
    </xf>
    <xf numFmtId="37" fontId="5" fillId="0" borderId="59" xfId="0" applyNumberFormat="1" applyFont="1" applyFill="1" applyBorder="1" applyAlignment="1">
      <alignment horizontal="center"/>
    </xf>
    <xf numFmtId="37" fontId="5" fillId="0" borderId="70" xfId="0" applyNumberFormat="1" applyFont="1" applyFill="1" applyBorder="1" applyAlignment="1">
      <alignment horizontal="center"/>
    </xf>
    <xf numFmtId="1" fontId="6" fillId="0" borderId="56" xfId="0" applyNumberFormat="1" applyFont="1" applyBorder="1" applyAlignment="1">
      <alignment horizontal="center" vertical="center"/>
    </xf>
    <xf numFmtId="1" fontId="32" fillId="0" borderId="0" xfId="0" applyNumberFormat="1" applyFont="1" applyFill="1" applyBorder="1" applyAlignment="1">
      <alignment horizontal="left" vertical="center" wrapText="1"/>
    </xf>
    <xf numFmtId="0" fontId="32" fillId="0" borderId="40" xfId="0" applyFont="1" applyFill="1" applyBorder="1" applyAlignment="1">
      <alignment horizontal="center"/>
    </xf>
    <xf numFmtId="0" fontId="32" fillId="0" borderId="62" xfId="0" applyFont="1" applyFill="1" applyBorder="1" applyAlignment="1">
      <alignment horizontal="center"/>
    </xf>
    <xf numFmtId="0" fontId="5" fillId="0" borderId="71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0" borderId="43" xfId="0" applyFont="1" applyFill="1" applyBorder="1" applyAlignment="1">
      <alignment horizontal="center"/>
    </xf>
    <xf numFmtId="37" fontId="5" fillId="0" borderId="66" xfId="0" applyNumberFormat="1" applyFont="1" applyBorder="1" applyAlignment="1">
      <alignment horizontal="center"/>
    </xf>
    <xf numFmtId="37" fontId="5" fillId="0" borderId="59" xfId="0" applyNumberFormat="1" applyFont="1" applyBorder="1" applyAlignment="1">
      <alignment horizontal="center"/>
    </xf>
    <xf numFmtId="37" fontId="5" fillId="0" borderId="60" xfId="0" applyNumberFormat="1" applyFont="1" applyFill="1" applyBorder="1" applyAlignment="1">
      <alignment horizontal="center"/>
    </xf>
    <xf numFmtId="0" fontId="6" fillId="0" borderId="64" xfId="0" applyFont="1" applyBorder="1" applyAlignment="1">
      <alignment horizontal="center" vertical="center"/>
    </xf>
    <xf numFmtId="0" fontId="9" fillId="0" borderId="72" xfId="0" applyFont="1" applyFill="1" applyBorder="1" applyAlignment="1">
      <alignment horizontal="center" vertical="center"/>
    </xf>
    <xf numFmtId="37" fontId="9" fillId="0" borderId="58" xfId="0" applyNumberFormat="1" applyFont="1" applyFill="1" applyBorder="1" applyAlignment="1">
      <alignment horizontal="center"/>
    </xf>
    <xf numFmtId="37" fontId="6" fillId="0" borderId="69" xfId="0" applyNumberFormat="1" applyFont="1" applyFill="1" applyBorder="1" applyAlignment="1">
      <alignment horizontal="center"/>
    </xf>
    <xf numFmtId="0" fontId="9" fillId="0" borderId="45" xfId="0" applyFont="1" applyFill="1" applyBorder="1" applyAlignment="1">
      <alignment horizontal="center" vertical="center"/>
    </xf>
    <xf numFmtId="37" fontId="5" fillId="0" borderId="68" xfId="0" applyNumberFormat="1" applyFont="1" applyFill="1" applyBorder="1" applyAlignment="1">
      <alignment horizontal="center"/>
    </xf>
    <xf numFmtId="37" fontId="5" fillId="0" borderId="0" xfId="0" applyNumberFormat="1" applyFont="1"/>
    <xf numFmtId="0" fontId="5" fillId="0" borderId="73" xfId="0" applyFont="1" applyFill="1" applyBorder="1" applyAlignment="1">
      <alignment horizontal="center"/>
    </xf>
    <xf numFmtId="0" fontId="5" fillId="0" borderId="74" xfId="0" applyFont="1" applyFill="1" applyBorder="1" applyAlignment="1">
      <alignment horizontal="center"/>
    </xf>
    <xf numFmtId="0" fontId="5" fillId="3" borderId="49" xfId="0" applyFont="1" applyFill="1" applyBorder="1" applyAlignment="1">
      <alignment horizontal="center"/>
    </xf>
    <xf numFmtId="166" fontId="5" fillId="3" borderId="49" xfId="5" applyFont="1" applyFill="1" applyBorder="1" applyAlignment="1">
      <alignment horizontal="center"/>
    </xf>
    <xf numFmtId="0" fontId="8" fillId="0" borderId="0" xfId="0" applyFont="1" applyAlignment="1">
      <alignment horizontal="right" vertical="center"/>
    </xf>
    <xf numFmtId="0" fontId="5" fillId="0" borderId="0" xfId="0" applyFont="1" applyFill="1" applyBorder="1" applyAlignment="1">
      <alignment horizontal="left" wrapText="1"/>
    </xf>
    <xf numFmtId="0" fontId="0" fillId="3" borderId="0" xfId="0" applyFill="1" applyBorder="1" applyAlignment="1">
      <alignment horizontal="center"/>
    </xf>
    <xf numFmtId="0" fontId="50" fillId="0" borderId="45" xfId="0" applyFont="1" applyBorder="1" applyAlignment="1">
      <alignment horizontal="center" vertical="center" wrapText="1"/>
    </xf>
    <xf numFmtId="0" fontId="37" fillId="0" borderId="75" xfId="0" applyFont="1" applyBorder="1" applyAlignment="1">
      <alignment horizontal="justify" vertical="center" wrapText="1"/>
    </xf>
    <xf numFmtId="0" fontId="3" fillId="0" borderId="75" xfId="0" applyFont="1" applyBorder="1" applyAlignment="1">
      <alignment horizontal="center"/>
    </xf>
    <xf numFmtId="166" fontId="51" fillId="0" borderId="54" xfId="4" applyFont="1" applyBorder="1" applyAlignment="1">
      <alignment horizontal="justify" vertical="center" wrapText="1"/>
    </xf>
    <xf numFmtId="10" fontId="51" fillId="0" borderId="75" xfId="11" applyNumberFormat="1" applyFont="1" applyBorder="1" applyAlignment="1">
      <alignment horizontal="center" vertical="center" wrapText="1"/>
    </xf>
    <xf numFmtId="0" fontId="37" fillId="0" borderId="76" xfId="0" applyFont="1" applyBorder="1"/>
    <xf numFmtId="0" fontId="3" fillId="0" borderId="44" xfId="0" applyFont="1" applyBorder="1" applyAlignment="1">
      <alignment horizontal="center"/>
    </xf>
    <xf numFmtId="10" fontId="51" fillId="0" borderId="44" xfId="11" applyNumberFormat="1" applyFont="1" applyBorder="1" applyAlignment="1">
      <alignment horizontal="center" vertical="center" wrapText="1"/>
    </xf>
    <xf numFmtId="10" fontId="51" fillId="0" borderId="76" xfId="11" applyNumberFormat="1" applyFont="1" applyBorder="1" applyAlignment="1">
      <alignment horizontal="center" vertical="center" wrapText="1"/>
    </xf>
    <xf numFmtId="0" fontId="50" fillId="0" borderId="45" xfId="0" applyFont="1" applyFill="1" applyBorder="1" applyAlignment="1">
      <alignment horizontal="center" vertical="center" wrapText="1"/>
    </xf>
    <xf numFmtId="10" fontId="50" fillId="0" borderId="45" xfId="11" applyNumberFormat="1" applyFont="1" applyBorder="1" applyAlignment="1">
      <alignment horizontal="center" vertical="center" wrapText="1"/>
    </xf>
    <xf numFmtId="0" fontId="37" fillId="0" borderId="44" xfId="0" applyFont="1" applyBorder="1" applyAlignment="1">
      <alignment horizontal="justify" vertical="center" wrapText="1"/>
    </xf>
    <xf numFmtId="166" fontId="51" fillId="0" borderId="77" xfId="4" applyFont="1" applyBorder="1" applyAlignment="1">
      <alignment horizontal="left" vertical="center" wrapText="1"/>
    </xf>
    <xf numFmtId="0" fontId="51" fillId="0" borderId="44" xfId="0" applyFont="1" applyBorder="1" applyAlignment="1">
      <alignment horizontal="left" vertical="center" wrapText="1"/>
    </xf>
    <xf numFmtId="0" fontId="51" fillId="0" borderId="76" xfId="0" applyFont="1" applyBorder="1" applyAlignment="1">
      <alignment horizontal="left" vertical="center" wrapText="1"/>
    </xf>
    <xf numFmtId="0" fontId="51" fillId="0" borderId="75" xfId="0" applyFont="1" applyBorder="1" applyAlignment="1">
      <alignment horizontal="left" vertical="center" wrapText="1"/>
    </xf>
    <xf numFmtId="17" fontId="52" fillId="0" borderId="5" xfId="7" applyNumberFormat="1" applyFont="1" applyBorder="1" applyAlignment="1">
      <alignment horizontal="left"/>
    </xf>
    <xf numFmtId="0" fontId="52" fillId="0" borderId="5" xfId="7" applyFont="1" applyBorder="1" applyAlignment="1">
      <alignment horizontal="center"/>
    </xf>
    <xf numFmtId="44" fontId="52" fillId="0" borderId="5" xfId="6" applyFont="1" applyBorder="1" applyAlignment="1">
      <alignment horizontal="center"/>
    </xf>
    <xf numFmtId="167" fontId="52" fillId="0" borderId="5" xfId="7" applyNumberFormat="1" applyFont="1" applyBorder="1" applyAlignment="1">
      <alignment horizontal="center"/>
    </xf>
    <xf numFmtId="44" fontId="39" fillId="0" borderId="5" xfId="6" applyFont="1" applyBorder="1"/>
    <xf numFmtId="17" fontId="52" fillId="0" borderId="5" xfId="9" applyNumberFormat="1" applyFont="1" applyBorder="1" applyAlignment="1">
      <alignment horizontal="left"/>
    </xf>
    <xf numFmtId="0" fontId="53" fillId="0" borderId="5" xfId="7" applyFont="1" applyBorder="1"/>
    <xf numFmtId="0" fontId="53" fillId="0" borderId="6" xfId="0" applyFont="1" applyBorder="1" applyAlignment="1">
      <alignment horizontal="center"/>
    </xf>
    <xf numFmtId="44" fontId="53" fillId="0" borderId="6" xfId="0" applyNumberFormat="1" applyFont="1" applyBorder="1" applyAlignment="1">
      <alignment horizontal="center"/>
    </xf>
    <xf numFmtId="167" fontId="53" fillId="0" borderId="6" xfId="0" applyNumberFormat="1" applyFont="1" applyBorder="1" applyAlignment="1">
      <alignment horizontal="center"/>
    </xf>
    <xf numFmtId="167" fontId="53" fillId="0" borderId="1" xfId="0" applyNumberFormat="1" applyFont="1" applyBorder="1" applyAlignment="1">
      <alignment horizontal="center"/>
    </xf>
    <xf numFmtId="166" fontId="48" fillId="0" borderId="0" xfId="4" applyFont="1"/>
    <xf numFmtId="0" fontId="11" fillId="0" borderId="0" xfId="0" applyFont="1" applyAlignment="1">
      <alignment horizontal="center"/>
    </xf>
    <xf numFmtId="0" fontId="48" fillId="0" borderId="0" xfId="0" applyFont="1" applyAlignment="1">
      <alignment horizontal="center" vertical="center"/>
    </xf>
    <xf numFmtId="166" fontId="48" fillId="0" borderId="0" xfId="4" applyFont="1" applyBorder="1" applyAlignment="1">
      <alignment horizontal="left"/>
    </xf>
    <xf numFmtId="0" fontId="48" fillId="0" borderId="0" xfId="0" applyFont="1"/>
    <xf numFmtId="166" fontId="48" fillId="0" borderId="0" xfId="4" applyFont="1" applyAlignment="1">
      <alignment horizontal="right"/>
    </xf>
    <xf numFmtId="0" fontId="49" fillId="0" borderId="0" xfId="0" applyFont="1"/>
    <xf numFmtId="0" fontId="48" fillId="0" borderId="0" xfId="0" applyFont="1" applyAlignment="1">
      <alignment horizontal="center"/>
    </xf>
    <xf numFmtId="0" fontId="48" fillId="0" borderId="0" xfId="0" applyFont="1" applyAlignment="1">
      <alignment horizontal="left"/>
    </xf>
    <xf numFmtId="1" fontId="6" fillId="0" borderId="5" xfId="0" applyNumberFormat="1" applyFont="1" applyBorder="1" applyAlignment="1">
      <alignment horizontal="center" vertical="center" wrapText="1"/>
    </xf>
    <xf numFmtId="37" fontId="6" fillId="0" borderId="42" xfId="0" applyNumberFormat="1" applyFont="1" applyFill="1" applyBorder="1" applyAlignment="1">
      <alignment horizontal="center"/>
    </xf>
    <xf numFmtId="17" fontId="3" fillId="0" borderId="16" xfId="0" applyNumberFormat="1" applyFont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166" fontId="3" fillId="0" borderId="5" xfId="4" applyFont="1" applyBorder="1" applyAlignment="1">
      <alignment horizontal="center" vertical="center"/>
    </xf>
    <xf numFmtId="17" fontId="3" fillId="0" borderId="78" xfId="0" applyNumberFormat="1" applyFont="1" applyBorder="1" applyAlignment="1">
      <alignment horizontal="left"/>
    </xf>
    <xf numFmtId="0" fontId="3" fillId="0" borderId="5" xfId="7" applyFont="1" applyBorder="1" applyAlignment="1">
      <alignment horizontal="center"/>
    </xf>
    <xf numFmtId="167" fontId="3" fillId="0" borderId="5" xfId="7" applyNumberFormat="1" applyFont="1" applyBorder="1" applyAlignment="1">
      <alignment horizontal="center"/>
    </xf>
    <xf numFmtId="166" fontId="51" fillId="0" borderId="0" xfId="4" applyFont="1" applyBorder="1" applyAlignment="1">
      <alignment horizontal="left" vertical="center" wrapText="1"/>
    </xf>
    <xf numFmtId="10" fontId="51" fillId="0" borderId="0" xfId="11" applyNumberFormat="1" applyFont="1" applyBorder="1" applyAlignment="1">
      <alignment horizontal="center" vertical="center" wrapText="1"/>
    </xf>
    <xf numFmtId="10" fontId="51" fillId="0" borderId="79" xfId="11" applyNumberFormat="1" applyFont="1" applyBorder="1" applyAlignment="1">
      <alignment horizontal="center" vertical="center" wrapText="1"/>
    </xf>
    <xf numFmtId="166" fontId="1" fillId="0" borderId="80" xfId="0" applyNumberFormat="1" applyFont="1" applyBorder="1" applyAlignment="1">
      <alignment horizontal="center"/>
    </xf>
    <xf numFmtId="10" fontId="51" fillId="0" borderId="45" xfId="11" applyNumberFormat="1" applyFont="1" applyBorder="1" applyAlignment="1">
      <alignment horizontal="center" vertical="center" wrapText="1"/>
    </xf>
    <xf numFmtId="0" fontId="47" fillId="0" borderId="81" xfId="0" applyFont="1" applyBorder="1" applyAlignment="1">
      <alignment horizontal="left" vertical="center" wrapText="1"/>
    </xf>
    <xf numFmtId="0" fontId="51" fillId="0" borderId="81" xfId="0" applyFont="1" applyBorder="1" applyAlignment="1">
      <alignment horizontal="left" vertical="center" wrapText="1"/>
    </xf>
    <xf numFmtId="0" fontId="47" fillId="0" borderId="82" xfId="0" applyFont="1" applyBorder="1" applyAlignment="1">
      <alignment horizontal="left" vertical="center" wrapText="1"/>
    </xf>
    <xf numFmtId="0" fontId="36" fillId="0" borderId="81" xfId="0" applyFont="1" applyBorder="1" applyAlignment="1">
      <alignment horizontal="justify" vertical="center" wrapText="1"/>
    </xf>
    <xf numFmtId="0" fontId="36" fillId="0" borderId="82" xfId="0" applyFont="1" applyBorder="1"/>
    <xf numFmtId="10" fontId="47" fillId="0" borderId="76" xfId="11" applyNumberFormat="1" applyFont="1" applyBorder="1" applyAlignment="1">
      <alignment horizontal="center" vertical="center" wrapText="1"/>
    </xf>
    <xf numFmtId="0" fontId="47" fillId="0" borderId="83" xfId="0" applyFont="1" applyBorder="1" applyAlignment="1">
      <alignment horizontal="left" vertical="center" wrapText="1"/>
    </xf>
    <xf numFmtId="0" fontId="46" fillId="0" borderId="46" xfId="0" applyFont="1" applyFill="1" applyBorder="1" applyAlignment="1">
      <alignment horizontal="center" vertical="center" wrapText="1"/>
    </xf>
    <xf numFmtId="0" fontId="0" fillId="0" borderId="79" xfId="0" applyBorder="1" applyAlignment="1">
      <alignment horizontal="center"/>
    </xf>
    <xf numFmtId="0" fontId="0" fillId="3" borderId="44" xfId="0" applyFill="1" applyBorder="1" applyAlignment="1">
      <alignment horizontal="center"/>
    </xf>
    <xf numFmtId="166" fontId="47" fillId="0" borderId="79" xfId="4" applyFont="1" applyBorder="1" applyAlignment="1">
      <alignment horizontal="left" vertical="center" wrapText="1"/>
    </xf>
    <xf numFmtId="166" fontId="47" fillId="0" borderId="44" xfId="4" applyFont="1" applyBorder="1" applyAlignment="1">
      <alignment horizontal="left" vertical="center" wrapText="1"/>
    </xf>
    <xf numFmtId="166" fontId="47" fillId="0" borderId="44" xfId="4" applyFont="1" applyBorder="1" applyAlignment="1">
      <alignment horizontal="justify" vertical="center" wrapText="1"/>
    </xf>
    <xf numFmtId="10" fontId="47" fillId="0" borderId="79" xfId="11" applyNumberFormat="1" applyFont="1" applyBorder="1" applyAlignment="1">
      <alignment horizontal="center" vertical="center" wrapText="1"/>
    </xf>
    <xf numFmtId="0" fontId="0" fillId="0" borderId="76" xfId="0" applyBorder="1" applyAlignment="1">
      <alignment horizontal="center"/>
    </xf>
    <xf numFmtId="166" fontId="47" fillId="0" borderId="76" xfId="4" applyFont="1" applyBorder="1" applyAlignment="1">
      <alignment horizontal="justify" vertical="center" wrapText="1"/>
    </xf>
    <xf numFmtId="166" fontId="1" fillId="0" borderId="45" xfId="0" applyNumberFormat="1" applyFont="1" applyBorder="1" applyAlignment="1">
      <alignment horizontal="center"/>
    </xf>
    <xf numFmtId="0" fontId="55" fillId="0" borderId="0" xfId="0" applyFont="1"/>
    <xf numFmtId="10" fontId="46" fillId="0" borderId="45" xfId="11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10" fontId="47" fillId="0" borderId="0" xfId="11" applyNumberFormat="1" applyFont="1" applyBorder="1" applyAlignment="1">
      <alignment horizontal="center" vertical="center" wrapText="1"/>
    </xf>
    <xf numFmtId="0" fontId="47" fillId="0" borderId="0" xfId="0" applyFont="1" applyBorder="1" applyAlignment="1">
      <alignment horizontal="left" vertical="center" wrapText="1"/>
    </xf>
    <xf numFmtId="0" fontId="46" fillId="0" borderId="45" xfId="0" applyFont="1" applyBorder="1" applyAlignment="1">
      <alignment horizontal="center" vertical="center" wrapText="1"/>
    </xf>
    <xf numFmtId="0" fontId="46" fillId="0" borderId="58" xfId="0" applyFont="1" applyBorder="1" applyAlignment="1">
      <alignment horizontal="center" vertical="center" wrapText="1"/>
    </xf>
    <xf numFmtId="1" fontId="6" fillId="0" borderId="65" xfId="0" applyNumberFormat="1" applyFont="1" applyBorder="1" applyAlignment="1">
      <alignment horizontal="center" vertical="center"/>
    </xf>
    <xf numFmtId="0" fontId="0" fillId="0" borderId="0" xfId="0" applyFont="1"/>
    <xf numFmtId="0" fontId="3" fillId="0" borderId="0" xfId="0" applyFont="1" applyAlignment="1">
      <alignment vertical="center"/>
    </xf>
    <xf numFmtId="0" fontId="57" fillId="0" borderId="5" xfId="0" applyFont="1" applyBorder="1" applyAlignment="1">
      <alignment horizontal="center" wrapText="1"/>
    </xf>
    <xf numFmtId="0" fontId="58" fillId="0" borderId="5" xfId="0" applyFont="1" applyBorder="1" applyAlignment="1">
      <alignment horizontal="center" wrapText="1"/>
    </xf>
    <xf numFmtId="0" fontId="57" fillId="0" borderId="5" xfId="0" applyFont="1" applyBorder="1" applyAlignment="1">
      <alignment horizontal="center"/>
    </xf>
    <xf numFmtId="0" fontId="41" fillId="0" borderId="5" xfId="0" applyFont="1" applyBorder="1" applyAlignment="1">
      <alignment horizontal="center" wrapText="1"/>
    </xf>
    <xf numFmtId="0" fontId="41" fillId="0" borderId="5" xfId="0" applyFont="1" applyBorder="1" applyAlignment="1">
      <alignment horizontal="center"/>
    </xf>
    <xf numFmtId="0" fontId="59" fillId="0" borderId="5" xfId="0" applyFont="1" applyBorder="1" applyAlignment="1">
      <alignment horizontal="center" wrapText="1"/>
    </xf>
    <xf numFmtId="169" fontId="57" fillId="0" borderId="5" xfId="0" applyNumberFormat="1" applyFont="1" applyBorder="1" applyAlignment="1">
      <alignment horizontal="center" wrapText="1"/>
    </xf>
    <xf numFmtId="0" fontId="58" fillId="0" borderId="5" xfId="0" applyFont="1" applyBorder="1" applyAlignment="1">
      <alignment horizontal="left" wrapText="1"/>
    </xf>
    <xf numFmtId="169" fontId="58" fillId="0" borderId="5" xfId="0" applyNumberFormat="1" applyFont="1" applyBorder="1" applyAlignment="1">
      <alignment horizontal="center" wrapText="1"/>
    </xf>
    <xf numFmtId="0" fontId="60" fillId="0" borderId="37" xfId="0" applyFont="1" applyBorder="1" applyAlignment="1">
      <alignment horizontal="center"/>
    </xf>
    <xf numFmtId="49" fontId="58" fillId="0" borderId="37" xfId="0" applyNumberFormat="1" applyFont="1" applyBorder="1" applyAlignment="1">
      <alignment horizontal="center"/>
    </xf>
    <xf numFmtId="49" fontId="60" fillId="0" borderId="5" xfId="0" applyNumberFormat="1" applyFont="1" applyBorder="1" applyAlignment="1">
      <alignment horizontal="center"/>
    </xf>
    <xf numFmtId="0" fontId="60" fillId="0" borderId="5" xfId="0" applyFont="1" applyBorder="1" applyAlignment="1">
      <alignment wrapText="1"/>
    </xf>
    <xf numFmtId="0" fontId="60" fillId="0" borderId="5" xfId="0" applyFont="1" applyBorder="1" applyAlignment="1">
      <alignment horizontal="center"/>
    </xf>
    <xf numFmtId="1" fontId="60" fillId="0" borderId="5" xfId="0" applyNumberFormat="1" applyFont="1" applyBorder="1" applyAlignment="1">
      <alignment horizontal="center"/>
    </xf>
    <xf numFmtId="166" fontId="60" fillId="0" borderId="5" xfId="4" applyFont="1" applyBorder="1"/>
    <xf numFmtId="169" fontId="61" fillId="0" borderId="5" xfId="0" applyNumberFormat="1" applyFont="1" applyBorder="1" applyAlignment="1">
      <alignment horizontal="center" wrapText="1"/>
    </xf>
    <xf numFmtId="0" fontId="43" fillId="0" borderId="5" xfId="0" applyFont="1" applyBorder="1" applyAlignment="1">
      <alignment horizontal="left" wrapText="1"/>
    </xf>
    <xf numFmtId="0" fontId="61" fillId="0" borderId="5" xfId="0" applyFont="1" applyBorder="1" applyAlignment="1">
      <alignment wrapText="1"/>
    </xf>
    <xf numFmtId="169" fontId="60" fillId="0" borderId="5" xfId="0" applyNumberFormat="1" applyFont="1" applyBorder="1" applyAlignment="1">
      <alignment horizontal="center"/>
    </xf>
    <xf numFmtId="0" fontId="19" fillId="0" borderId="0" xfId="0" applyFont="1" applyFill="1" applyBorder="1" applyAlignment="1">
      <alignment horizontal="center" vertical="center" wrapText="1"/>
    </xf>
    <xf numFmtId="0" fontId="45" fillId="0" borderId="0" xfId="0" applyFont="1"/>
    <xf numFmtId="0" fontId="62" fillId="0" borderId="0" xfId="0" applyFont="1" applyAlignment="1">
      <alignment horizontal="center" wrapText="1"/>
    </xf>
    <xf numFmtId="166" fontId="44" fillId="0" borderId="84" xfId="5" applyFont="1" applyBorder="1" applyAlignment="1">
      <alignment horizontal="center"/>
    </xf>
    <xf numFmtId="164" fontId="45" fillId="0" borderId="0" xfId="0" applyNumberFormat="1" applyFont="1"/>
    <xf numFmtId="166" fontId="45" fillId="0" borderId="0" xfId="0" applyNumberFormat="1" applyFont="1"/>
    <xf numFmtId="44" fontId="45" fillId="0" borderId="0" xfId="0" applyNumberFormat="1" applyFont="1"/>
    <xf numFmtId="44" fontId="63" fillId="0" borderId="0" xfId="0" applyNumberFormat="1" applyFont="1"/>
    <xf numFmtId="166" fontId="44" fillId="0" borderId="0" xfId="5" applyFont="1" applyFill="1" applyBorder="1" applyAlignment="1">
      <alignment horizontal="center"/>
    </xf>
    <xf numFmtId="166" fontId="64" fillId="0" borderId="45" xfId="4" applyFont="1" applyBorder="1" applyAlignment="1">
      <alignment horizontal="center"/>
    </xf>
    <xf numFmtId="166" fontId="64" fillId="0" borderId="0" xfId="4" applyFont="1" applyBorder="1" applyAlignment="1">
      <alignment horizontal="center"/>
    </xf>
    <xf numFmtId="164" fontId="65" fillId="0" borderId="0" xfId="11" applyNumberFormat="1" applyFont="1"/>
    <xf numFmtId="0" fontId="44" fillId="0" borderId="77" xfId="0" applyFont="1" applyBorder="1"/>
    <xf numFmtId="9" fontId="45" fillId="0" borderId="0" xfId="11" applyFont="1"/>
    <xf numFmtId="0" fontId="65" fillId="0" borderId="0" xfId="0" applyFont="1"/>
    <xf numFmtId="0" fontId="3" fillId="0" borderId="77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46" fillId="0" borderId="85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/>
    </xf>
    <xf numFmtId="0" fontId="51" fillId="0" borderId="75" xfId="0" applyFont="1" applyBorder="1" applyAlignment="1">
      <alignment horizontal="center" vertical="center" wrapText="1"/>
    </xf>
    <xf numFmtId="0" fontId="50" fillId="0" borderId="25" xfId="0" applyFont="1" applyBorder="1" applyAlignment="1">
      <alignment horizontal="center" vertical="center" wrapText="1"/>
    </xf>
    <xf numFmtId="166" fontId="51" fillId="0" borderId="73" xfId="4" applyFont="1" applyBorder="1" applyAlignment="1">
      <alignment horizontal="left" vertical="center" wrapText="1"/>
    </xf>
    <xf numFmtId="0" fontId="50" fillId="0" borderId="58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/>
    </xf>
    <xf numFmtId="0" fontId="51" fillId="0" borderId="44" xfId="0" applyFont="1" applyBorder="1" applyAlignment="1">
      <alignment horizontal="center" vertical="center" wrapText="1"/>
    </xf>
    <xf numFmtId="10" fontId="51" fillId="0" borderId="86" xfId="11" applyNumberFormat="1" applyFont="1" applyBorder="1" applyAlignment="1">
      <alignment horizontal="center" vertical="center" wrapText="1"/>
    </xf>
    <xf numFmtId="10" fontId="51" fillId="0" borderId="67" xfId="11" applyNumberFormat="1" applyFont="1" applyBorder="1" applyAlignment="1">
      <alignment horizontal="center" vertical="center" wrapText="1"/>
    </xf>
    <xf numFmtId="10" fontId="51" fillId="0" borderId="42" xfId="11" applyNumberFormat="1" applyFont="1" applyBorder="1" applyAlignment="1">
      <alignment horizontal="center" vertical="center"/>
    </xf>
    <xf numFmtId="166" fontId="51" fillId="0" borderId="75" xfId="4" applyFont="1" applyBorder="1" applyAlignment="1">
      <alignment horizontal="left" vertical="center" wrapText="1"/>
    </xf>
    <xf numFmtId="166" fontId="51" fillId="0" borderId="44" xfId="4" applyFont="1" applyBorder="1" applyAlignment="1">
      <alignment horizontal="left" vertical="center" wrapText="1"/>
    </xf>
    <xf numFmtId="166" fontId="50" fillId="0" borderId="25" xfId="4" applyFont="1" applyBorder="1" applyAlignment="1">
      <alignment horizontal="left" vertical="center"/>
    </xf>
    <xf numFmtId="0" fontId="51" fillId="0" borderId="83" xfId="0" applyFont="1" applyBorder="1" applyAlignment="1">
      <alignment horizontal="left" vertical="center" wrapText="1"/>
    </xf>
    <xf numFmtId="0" fontId="50" fillId="0" borderId="80" xfId="0" applyFont="1" applyBorder="1" applyAlignment="1">
      <alignment horizontal="right" vertical="center" wrapText="1"/>
    </xf>
    <xf numFmtId="0" fontId="3" fillId="3" borderId="87" xfId="0" applyFont="1" applyFill="1" applyBorder="1" applyAlignment="1">
      <alignment horizontal="center"/>
    </xf>
    <xf numFmtId="166" fontId="50" fillId="0" borderId="58" xfId="4" applyFont="1" applyBorder="1" applyAlignment="1">
      <alignment horizontal="left" vertical="center" wrapText="1"/>
    </xf>
    <xf numFmtId="0" fontId="3" fillId="0" borderId="88" xfId="0" applyFont="1" applyBorder="1" applyAlignment="1">
      <alignment horizontal="center"/>
    </xf>
    <xf numFmtId="0" fontId="3" fillId="3" borderId="76" xfId="0" applyFont="1" applyFill="1" applyBorder="1" applyAlignment="1">
      <alignment horizontal="center"/>
    </xf>
    <xf numFmtId="0" fontId="50" fillId="0" borderId="46" xfId="0" applyFont="1" applyBorder="1" applyAlignment="1">
      <alignment horizontal="right" vertical="center" wrapText="1"/>
    </xf>
    <xf numFmtId="0" fontId="1" fillId="3" borderId="46" xfId="0" applyFont="1" applyFill="1" applyBorder="1" applyAlignment="1">
      <alignment horizontal="center"/>
    </xf>
    <xf numFmtId="0" fontId="1" fillId="3" borderId="45" xfId="0" applyFont="1" applyFill="1" applyBorder="1" applyAlignment="1">
      <alignment horizontal="center"/>
    </xf>
    <xf numFmtId="44" fontId="1" fillId="0" borderId="0" xfId="0" applyNumberFormat="1" applyFont="1" applyBorder="1" applyAlignment="1">
      <alignment wrapText="1"/>
    </xf>
    <xf numFmtId="44" fontId="1" fillId="0" borderId="25" xfId="0" applyNumberFormat="1" applyFont="1" applyBorder="1" applyAlignment="1">
      <alignment wrapText="1"/>
    </xf>
    <xf numFmtId="0" fontId="1" fillId="0" borderId="25" xfId="0" applyFont="1" applyBorder="1" applyAlignment="1">
      <alignment horizontal="center" wrapText="1"/>
    </xf>
    <xf numFmtId="0" fontId="36" fillId="0" borderId="44" xfId="0" applyFont="1" applyBorder="1" applyAlignment="1">
      <alignment horizontal="justify" vertical="center" wrapText="1"/>
    </xf>
    <xf numFmtId="44" fontId="3" fillId="0" borderId="0" xfId="0" applyNumberFormat="1" applyFont="1"/>
    <xf numFmtId="17" fontId="66" fillId="0" borderId="89" xfId="0" applyNumberFormat="1" applyFont="1" applyBorder="1" applyAlignment="1">
      <alignment horizontal="left"/>
    </xf>
    <xf numFmtId="0" fontId="67" fillId="2" borderId="90" xfId="0" applyFont="1" applyFill="1" applyBorder="1" applyAlignment="1">
      <alignment horizontal="center"/>
    </xf>
    <xf numFmtId="0" fontId="68" fillId="0" borderId="90" xfId="0" applyFont="1" applyBorder="1" applyAlignment="1">
      <alignment horizontal="center"/>
    </xf>
    <xf numFmtId="0" fontId="68" fillId="0" borderId="91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7" fillId="2" borderId="92" xfId="0" applyFont="1" applyFill="1" applyBorder="1" applyAlignment="1">
      <alignment horizontal="center"/>
    </xf>
    <xf numFmtId="0" fontId="69" fillId="2" borderId="71" xfId="0" applyFont="1" applyFill="1" applyBorder="1" applyAlignment="1">
      <alignment horizontal="center"/>
    </xf>
    <xf numFmtId="0" fontId="70" fillId="0" borderId="86" xfId="0" applyFont="1" applyBorder="1" applyAlignment="1">
      <alignment horizontal="center"/>
    </xf>
    <xf numFmtId="17" fontId="66" fillId="0" borderId="93" xfId="0" applyNumberFormat="1" applyFont="1" applyBorder="1" applyAlignment="1">
      <alignment horizontal="left"/>
    </xf>
    <xf numFmtId="0" fontId="67" fillId="2" borderId="94" xfId="0" applyFont="1" applyFill="1" applyBorder="1" applyAlignment="1">
      <alignment horizontal="center"/>
    </xf>
    <xf numFmtId="0" fontId="68" fillId="0" borderId="94" xfId="0" applyFont="1" applyBorder="1" applyAlignment="1">
      <alignment horizontal="center"/>
    </xf>
    <xf numFmtId="0" fontId="69" fillId="2" borderId="18" xfId="0" applyFont="1" applyFill="1" applyBorder="1" applyAlignment="1">
      <alignment horizontal="center"/>
    </xf>
    <xf numFmtId="0" fontId="70" fillId="0" borderId="67" xfId="0" applyFont="1" applyBorder="1" applyAlignment="1">
      <alignment horizontal="center"/>
    </xf>
    <xf numFmtId="17" fontId="66" fillId="0" borderId="95" xfId="0" applyNumberFormat="1" applyFont="1" applyBorder="1" applyAlignment="1">
      <alignment horizontal="left"/>
    </xf>
    <xf numFmtId="0" fontId="43" fillId="0" borderId="5" xfId="0" applyFont="1" applyBorder="1" applyAlignment="1">
      <alignment horizontal="left" vertical="center" wrapText="1"/>
    </xf>
    <xf numFmtId="0" fontId="48" fillId="0" borderId="0" xfId="0" applyFont="1" applyFill="1" applyAlignment="1">
      <alignment horizontal="right" vertical="center"/>
    </xf>
    <xf numFmtId="0" fontId="49" fillId="0" borderId="0" xfId="7" applyFont="1" applyFill="1" applyBorder="1" applyAlignment="1">
      <alignment vertical="center" wrapText="1"/>
    </xf>
    <xf numFmtId="0" fontId="11" fillId="0" borderId="0" xfId="0" applyFont="1" applyFill="1" applyAlignment="1">
      <alignment horizontal="left" vertical="center"/>
    </xf>
    <xf numFmtId="0" fontId="57" fillId="0" borderId="5" xfId="0" applyFont="1" applyFill="1" applyBorder="1" applyAlignment="1">
      <alignment horizontal="center" wrapText="1"/>
    </xf>
    <xf numFmtId="0" fontId="11" fillId="0" borderId="0" xfId="0" applyFont="1" applyFill="1" applyAlignment="1">
      <alignment horizontal="left"/>
    </xf>
    <xf numFmtId="44" fontId="48" fillId="0" borderId="0" xfId="6" applyFont="1" applyFill="1" applyAlignment="1">
      <alignment horizontal="left" vertical="center"/>
    </xf>
    <xf numFmtId="0" fontId="11" fillId="0" borderId="0" xfId="7" applyFont="1" applyFill="1" applyAlignment="1">
      <alignment horizontal="left" vertical="center"/>
    </xf>
    <xf numFmtId="0" fontId="48" fillId="0" borderId="0" xfId="7" applyFont="1" applyFill="1" applyAlignment="1">
      <alignment horizontal="left" vertical="center"/>
    </xf>
    <xf numFmtId="0" fontId="48" fillId="0" borderId="0" xfId="0" applyFont="1" applyFill="1" applyAlignment="1">
      <alignment horizontal="left" vertical="center"/>
    </xf>
    <xf numFmtId="17" fontId="71" fillId="0" borderId="96" xfId="0" applyNumberFormat="1" applyFont="1" applyBorder="1" applyAlignment="1">
      <alignment horizontal="left"/>
    </xf>
    <xf numFmtId="0" fontId="72" fillId="0" borderId="26" xfId="0" applyFont="1" applyBorder="1" applyAlignment="1">
      <alignment horizontal="center"/>
    </xf>
    <xf numFmtId="0" fontId="73" fillId="2" borderId="18" xfId="0" applyFont="1" applyFill="1" applyBorder="1" applyAlignment="1">
      <alignment horizontal="center"/>
    </xf>
    <xf numFmtId="0" fontId="73" fillId="0" borderId="27" xfId="0" applyFont="1" applyBorder="1" applyAlignment="1">
      <alignment horizontal="center"/>
    </xf>
    <xf numFmtId="17" fontId="71" fillId="0" borderId="97" xfId="0" applyNumberFormat="1" applyFont="1" applyBorder="1" applyAlignment="1">
      <alignment horizontal="left"/>
    </xf>
    <xf numFmtId="171" fontId="45" fillId="0" borderId="0" xfId="0" applyNumberFormat="1" applyFont="1"/>
    <xf numFmtId="0" fontId="11" fillId="0" borderId="0" xfId="0" applyFont="1" applyBorder="1" applyAlignment="1">
      <alignment horizontal="left"/>
    </xf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0" fontId="48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left"/>
    </xf>
    <xf numFmtId="0" fontId="48" fillId="0" borderId="0" xfId="0" applyFont="1" applyBorder="1"/>
    <xf numFmtId="0" fontId="11" fillId="0" borderId="0" xfId="0" applyFont="1" applyBorder="1" applyAlignment="1">
      <alignment horizontal="left" vertical="center"/>
    </xf>
    <xf numFmtId="49" fontId="74" fillId="0" borderId="37" xfId="0" applyNumberFormat="1" applyFont="1" applyBorder="1" applyAlignment="1">
      <alignment horizontal="center"/>
    </xf>
    <xf numFmtId="0" fontId="51" fillId="0" borderId="98" xfId="0" applyFont="1" applyBorder="1" applyAlignment="1">
      <alignment horizontal="left" vertical="center" wrapText="1"/>
    </xf>
    <xf numFmtId="0" fontId="50" fillId="0" borderId="88" xfId="0" applyFont="1" applyBorder="1" applyAlignment="1">
      <alignment horizontal="center" vertical="center" wrapText="1"/>
    </xf>
    <xf numFmtId="0" fontId="75" fillId="0" borderId="0" xfId="0" applyFont="1"/>
    <xf numFmtId="0" fontId="76" fillId="0" borderId="0" xfId="0" applyFont="1"/>
    <xf numFmtId="0" fontId="55" fillId="0" borderId="0" xfId="0" applyFont="1" applyAlignment="1">
      <alignment horizontal="right"/>
    </xf>
    <xf numFmtId="166" fontId="51" fillId="0" borderId="99" xfId="4" applyFont="1" applyBorder="1" applyAlignment="1">
      <alignment horizontal="left" vertical="center" wrapText="1"/>
    </xf>
    <xf numFmtId="166" fontId="50" fillId="0" borderId="45" xfId="4" applyFont="1" applyBorder="1" applyAlignment="1">
      <alignment horizontal="left" vertical="center" wrapText="1"/>
    </xf>
    <xf numFmtId="166" fontId="1" fillId="0" borderId="25" xfId="0" applyNumberFormat="1" applyFont="1" applyBorder="1" applyAlignment="1">
      <alignment horizontal="center"/>
    </xf>
    <xf numFmtId="44" fontId="77" fillId="0" borderId="0" xfId="0" applyNumberFormat="1" applyFont="1"/>
    <xf numFmtId="0" fontId="78" fillId="0" borderId="0" xfId="0" applyFont="1"/>
    <xf numFmtId="0" fontId="64" fillId="0" borderId="0" xfId="0" applyFont="1"/>
    <xf numFmtId="0" fontId="79" fillId="0" borderId="0" xfId="0" applyFont="1"/>
    <xf numFmtId="3" fontId="45" fillId="0" borderId="0" xfId="0" applyNumberFormat="1" applyFont="1"/>
    <xf numFmtId="16" fontId="45" fillId="0" borderId="0" xfId="0" applyNumberFormat="1" applyFont="1" applyAlignment="1">
      <alignment horizontal="right"/>
    </xf>
    <xf numFmtId="17" fontId="45" fillId="0" borderId="0" xfId="0" applyNumberFormat="1" applyFont="1" applyAlignment="1">
      <alignment horizontal="right"/>
    </xf>
    <xf numFmtId="0" fontId="20" fillId="0" borderId="100" xfId="9" applyFont="1" applyBorder="1" applyAlignment="1">
      <alignment horizontal="center" vertical="center" wrapText="1"/>
    </xf>
    <xf numFmtId="167" fontId="3" fillId="0" borderId="19" xfId="0" applyNumberFormat="1" applyFont="1" applyBorder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167" fontId="3" fillId="0" borderId="6" xfId="0" applyNumberFormat="1" applyFont="1" applyBorder="1" applyAlignment="1">
      <alignment horizontal="center"/>
    </xf>
    <xf numFmtId="167" fontId="3" fillId="0" borderId="0" xfId="0" applyNumberFormat="1" applyFont="1" applyBorder="1" applyAlignment="1">
      <alignment horizontal="center"/>
    </xf>
    <xf numFmtId="0" fontId="60" fillId="0" borderId="5" xfId="0" applyFont="1" applyBorder="1" applyAlignment="1">
      <alignment horizontal="center" wrapText="1"/>
    </xf>
    <xf numFmtId="49" fontId="60" fillId="0" borderId="5" xfId="0" applyNumberFormat="1" applyFont="1" applyFill="1" applyBorder="1" applyAlignment="1">
      <alignment horizontal="center"/>
    </xf>
    <xf numFmtId="49" fontId="80" fillId="0" borderId="5" xfId="0" applyNumberFormat="1" applyFont="1" applyBorder="1" applyAlignment="1">
      <alignment horizontal="center"/>
    </xf>
    <xf numFmtId="0" fontId="80" fillId="0" borderId="5" xfId="0" applyFont="1" applyBorder="1" applyAlignment="1">
      <alignment wrapText="1"/>
    </xf>
    <xf numFmtId="0" fontId="80" fillId="0" borderId="5" xfId="0" applyFont="1" applyBorder="1" applyAlignment="1">
      <alignment horizontal="center"/>
    </xf>
    <xf numFmtId="1" fontId="80" fillId="0" borderId="5" xfId="0" applyNumberFormat="1" applyFont="1" applyBorder="1" applyAlignment="1">
      <alignment horizontal="center"/>
    </xf>
    <xf numFmtId="166" fontId="80" fillId="0" borderId="5" xfId="4" applyFont="1" applyBorder="1"/>
    <xf numFmtId="169" fontId="81" fillId="0" borderId="5" xfId="0" applyNumberFormat="1" applyFont="1" applyBorder="1" applyAlignment="1">
      <alignment horizontal="center" wrapText="1"/>
    </xf>
    <xf numFmtId="0" fontId="48" fillId="0" borderId="5" xfId="0" applyFont="1" applyBorder="1" applyAlignment="1">
      <alignment horizontal="left" wrapText="1"/>
    </xf>
    <xf numFmtId="0" fontId="81" fillId="0" borderId="5" xfId="0" applyFont="1" applyBorder="1" applyAlignment="1">
      <alignment wrapText="1"/>
    </xf>
    <xf numFmtId="169" fontId="80" fillId="0" borderId="5" xfId="0" applyNumberFormat="1" applyFont="1" applyBorder="1" applyAlignment="1">
      <alignment horizontal="center"/>
    </xf>
    <xf numFmtId="169" fontId="61" fillId="0" borderId="5" xfId="0" applyNumberFormat="1" applyFont="1" applyFill="1" applyBorder="1" applyAlignment="1">
      <alignment horizontal="center" wrapText="1"/>
    </xf>
    <xf numFmtId="0" fontId="61" fillId="0" borderId="5" xfId="0" applyFont="1" applyFill="1" applyBorder="1" applyAlignment="1">
      <alignment wrapText="1"/>
    </xf>
    <xf numFmtId="0" fontId="60" fillId="0" borderId="5" xfId="0" applyFont="1" applyFill="1" applyBorder="1" applyAlignment="1">
      <alignment horizontal="center"/>
    </xf>
    <xf numFmtId="0" fontId="43" fillId="0" borderId="5" xfId="0" applyFont="1" applyBorder="1" applyAlignment="1">
      <alignment wrapText="1"/>
    </xf>
    <xf numFmtId="166" fontId="60" fillId="0" borderId="5" xfId="4" applyFont="1" applyBorder="1" applyAlignment="1"/>
    <xf numFmtId="0" fontId="61" fillId="0" borderId="5" xfId="0" applyFont="1" applyBorder="1" applyAlignment="1">
      <alignment vertical="center" wrapText="1"/>
    </xf>
    <xf numFmtId="0" fontId="60" fillId="0" borderId="51" xfId="0" applyFont="1" applyBorder="1" applyAlignment="1">
      <alignment horizontal="center" wrapText="1"/>
    </xf>
    <xf numFmtId="49" fontId="60" fillId="0" borderId="51" xfId="0" applyNumberFormat="1" applyFont="1" applyBorder="1" applyAlignment="1">
      <alignment horizontal="center"/>
    </xf>
    <xf numFmtId="0" fontId="60" fillId="0" borderId="51" xfId="0" applyFont="1" applyBorder="1" applyAlignment="1">
      <alignment wrapText="1"/>
    </xf>
    <xf numFmtId="0" fontId="60" fillId="0" borderId="51" xfId="0" applyFont="1" applyBorder="1" applyAlignment="1">
      <alignment horizontal="center"/>
    </xf>
    <xf numFmtId="1" fontId="60" fillId="0" borderId="51" xfId="0" applyNumberFormat="1" applyFont="1" applyBorder="1" applyAlignment="1">
      <alignment horizontal="center"/>
    </xf>
    <xf numFmtId="166" fontId="60" fillId="0" borderId="51" xfId="4" applyFont="1" applyBorder="1"/>
    <xf numFmtId="169" fontId="61" fillId="0" borderId="51" xfId="0" applyNumberFormat="1" applyFont="1" applyBorder="1" applyAlignment="1">
      <alignment horizontal="center" wrapText="1"/>
    </xf>
    <xf numFmtId="0" fontId="43" fillId="0" borderId="51" xfId="0" applyFont="1" applyBorder="1" applyAlignment="1">
      <alignment horizontal="left" vertical="center" wrapText="1"/>
    </xf>
    <xf numFmtId="0" fontId="61" fillId="0" borderId="51" xfId="0" applyFont="1" applyBorder="1" applyAlignment="1">
      <alignment wrapText="1"/>
    </xf>
    <xf numFmtId="169" fontId="60" fillId="0" borderId="51" xfId="0" applyNumberFormat="1" applyFont="1" applyBorder="1" applyAlignment="1">
      <alignment horizontal="center"/>
    </xf>
    <xf numFmtId="0" fontId="3" fillId="0" borderId="77" xfId="0" applyFont="1" applyBorder="1"/>
    <xf numFmtId="0" fontId="5" fillId="0" borderId="77" xfId="0" applyFont="1" applyBorder="1"/>
    <xf numFmtId="166" fontId="6" fillId="0" borderId="0" xfId="0" applyNumberFormat="1" applyFont="1"/>
    <xf numFmtId="0" fontId="8" fillId="0" borderId="0" xfId="0" applyFont="1" applyAlignment="1">
      <alignment horizontal="left"/>
    </xf>
    <xf numFmtId="166" fontId="39" fillId="0" borderId="5" xfId="6" applyNumberFormat="1" applyFont="1" applyBorder="1"/>
    <xf numFmtId="44" fontId="52" fillId="0" borderId="5" xfId="7" applyNumberFormat="1" applyFont="1" applyBorder="1" applyAlignment="1">
      <alignment horizontal="center"/>
    </xf>
    <xf numFmtId="167" fontId="9" fillId="0" borderId="5" xfId="6" applyNumberFormat="1" applyFont="1" applyBorder="1" applyAlignment="1">
      <alignment horizontal="center"/>
    </xf>
    <xf numFmtId="166" fontId="3" fillId="0" borderId="7" xfId="0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167" fontId="56" fillId="0" borderId="5" xfId="6" applyNumberFormat="1" applyFont="1" applyBorder="1"/>
    <xf numFmtId="166" fontId="56" fillId="0" borderId="5" xfId="6" applyNumberFormat="1" applyFont="1" applyBorder="1"/>
    <xf numFmtId="166" fontId="3" fillId="0" borderId="5" xfId="7" applyNumberFormat="1" applyFont="1" applyBorder="1" applyAlignment="1">
      <alignment horizontal="center"/>
    </xf>
    <xf numFmtId="166" fontId="54" fillId="0" borderId="5" xfId="6" applyNumberFormat="1" applyFont="1" applyBorder="1"/>
    <xf numFmtId="0" fontId="51" fillId="0" borderId="73" xfId="4" applyNumberFormat="1" applyFont="1" applyBorder="1" applyAlignment="1">
      <alignment horizontal="center" vertical="center" wrapText="1"/>
    </xf>
    <xf numFmtId="0" fontId="46" fillId="0" borderId="101" xfId="0" applyFont="1" applyFill="1" applyBorder="1" applyAlignment="1">
      <alignment horizontal="center" vertical="center" wrapText="1"/>
    </xf>
    <xf numFmtId="0" fontId="46" fillId="0" borderId="102" xfId="0" applyFont="1" applyFill="1" applyBorder="1" applyAlignment="1">
      <alignment horizontal="center" vertical="center" wrapText="1"/>
    </xf>
    <xf numFmtId="0" fontId="46" fillId="0" borderId="21" xfId="0" applyFont="1" applyFill="1" applyBorder="1" applyAlignment="1">
      <alignment horizontal="center" vertical="center" wrapText="1"/>
    </xf>
    <xf numFmtId="0" fontId="3" fillId="0" borderId="46" xfId="0" applyFont="1" applyBorder="1" applyAlignment="1">
      <alignment horizontal="left"/>
    </xf>
    <xf numFmtId="0" fontId="3" fillId="0" borderId="85" xfId="0" applyFont="1" applyBorder="1" applyAlignment="1">
      <alignment horizontal="left"/>
    </xf>
    <xf numFmtId="0" fontId="3" fillId="0" borderId="58" xfId="0" applyFont="1" applyBorder="1" applyAlignment="1">
      <alignment horizontal="left"/>
    </xf>
    <xf numFmtId="0" fontId="7" fillId="0" borderId="104" xfId="0" applyFont="1" applyBorder="1" applyAlignment="1">
      <alignment horizontal="center" vertical="center" wrapText="1" shrinkToFit="1"/>
    </xf>
    <xf numFmtId="0" fontId="7" fillId="0" borderId="107" xfId="0" applyFont="1" applyBorder="1" applyAlignment="1">
      <alignment horizontal="center" vertical="center" wrapText="1" shrinkToFit="1"/>
    </xf>
    <xf numFmtId="0" fontId="3" fillId="0" borderId="46" xfId="0" applyFont="1" applyBorder="1" applyAlignment="1">
      <alignment horizontal="center"/>
    </xf>
    <xf numFmtId="0" fontId="3" fillId="0" borderId="85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7" fillId="0" borderId="108" xfId="0" applyFont="1" applyBorder="1" applyAlignment="1">
      <alignment horizontal="center" vertical="center" wrapText="1" shrinkToFit="1"/>
    </xf>
    <xf numFmtId="0" fontId="7" fillId="0" borderId="48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/>
    </xf>
    <xf numFmtId="0" fontId="7" fillId="0" borderId="103" xfId="0" applyFont="1" applyBorder="1" applyAlignment="1">
      <alignment horizontal="center" vertical="center" wrapText="1" shrinkToFit="1"/>
    </xf>
    <xf numFmtId="0" fontId="7" fillId="0" borderId="51" xfId="0" applyFont="1" applyBorder="1" applyAlignment="1">
      <alignment horizontal="center" vertical="center" wrapText="1" shrinkToFit="1"/>
    </xf>
    <xf numFmtId="0" fontId="33" fillId="0" borderId="103" xfId="0" applyFont="1" applyBorder="1" applyAlignment="1">
      <alignment horizontal="center" vertical="center" wrapText="1" shrinkToFit="1"/>
    </xf>
    <xf numFmtId="0" fontId="33" fillId="0" borderId="51" xfId="0" applyFont="1" applyBorder="1" applyAlignment="1">
      <alignment horizontal="center" vertical="center" wrapText="1" shrinkToFit="1"/>
    </xf>
    <xf numFmtId="0" fontId="7" fillId="0" borderId="61" xfId="0" applyFont="1" applyBorder="1" applyAlignment="1">
      <alignment horizontal="center" vertical="center" wrapText="1" shrinkToFit="1"/>
    </xf>
    <xf numFmtId="0" fontId="7" fillId="0" borderId="62" xfId="0" applyFont="1" applyBorder="1" applyAlignment="1">
      <alignment horizontal="center" vertical="center" wrapText="1" shrinkToFit="1"/>
    </xf>
    <xf numFmtId="0" fontId="7" fillId="0" borderId="105" xfId="0" applyFont="1" applyBorder="1" applyAlignment="1">
      <alignment horizontal="center" vertical="center" wrapText="1" shrinkToFit="1"/>
    </xf>
    <xf numFmtId="0" fontId="62" fillId="0" borderId="88" xfId="0" applyFont="1" applyBorder="1" applyAlignment="1">
      <alignment horizontal="center" vertical="center" wrapText="1" shrinkToFit="1"/>
    </xf>
    <xf numFmtId="0" fontId="62" fillId="0" borderId="106" xfId="0" applyFont="1" applyBorder="1" applyAlignment="1">
      <alignment horizontal="center" vertical="center" wrapText="1" shrinkToFit="1"/>
    </xf>
    <xf numFmtId="0" fontId="20" fillId="0" borderId="0" xfId="7" applyFont="1" applyAlignment="1">
      <alignment horizontal="center"/>
    </xf>
    <xf numFmtId="0" fontId="20" fillId="0" borderId="109" xfId="9" applyFont="1" applyBorder="1" applyAlignment="1">
      <alignment horizontal="center" vertical="center" wrapText="1"/>
    </xf>
    <xf numFmtId="0" fontId="20" fillId="0" borderId="110" xfId="9" applyFont="1" applyBorder="1" applyAlignment="1">
      <alignment horizontal="center" vertical="center" wrapText="1"/>
    </xf>
    <xf numFmtId="0" fontId="20" fillId="0" borderId="111" xfId="9" applyFont="1" applyBorder="1" applyAlignment="1">
      <alignment horizontal="center" vertical="center" wrapText="1"/>
    </xf>
    <xf numFmtId="0" fontId="23" fillId="0" borderId="112" xfId="7" applyFont="1" applyBorder="1" applyAlignment="1">
      <alignment horizontal="center"/>
    </xf>
    <xf numFmtId="0" fontId="19" fillId="0" borderId="109" xfId="7" applyFont="1" applyBorder="1" applyAlignment="1">
      <alignment horizontal="center" wrapText="1"/>
    </xf>
    <xf numFmtId="0" fontId="19" fillId="0" borderId="110" xfId="7" applyFont="1" applyBorder="1" applyAlignment="1">
      <alignment horizontal="center" wrapText="1"/>
    </xf>
    <xf numFmtId="0" fontId="19" fillId="0" borderId="111" xfId="7" applyFont="1" applyBorder="1" applyAlignment="1">
      <alignment horizontal="center" wrapText="1"/>
    </xf>
    <xf numFmtId="0" fontId="18" fillId="0" borderId="0" xfId="0" applyFont="1" applyAlignment="1">
      <alignment horizontal="center"/>
    </xf>
    <xf numFmtId="0" fontId="19" fillId="0" borderId="109" xfId="0" applyFont="1" applyBorder="1" applyAlignment="1">
      <alignment horizontal="center" wrapText="1"/>
    </xf>
    <xf numFmtId="0" fontId="19" fillId="0" borderId="110" xfId="0" applyFont="1" applyBorder="1" applyAlignment="1">
      <alignment horizontal="center" wrapText="1"/>
    </xf>
    <xf numFmtId="0" fontId="19" fillId="0" borderId="111" xfId="0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wrapText="1"/>
    </xf>
    <xf numFmtId="0" fontId="6" fillId="0" borderId="56" xfId="0" applyFont="1" applyBorder="1" applyAlignment="1">
      <alignment horizontal="center" wrapText="1"/>
    </xf>
    <xf numFmtId="0" fontId="6" fillId="0" borderId="65" xfId="0" applyFont="1" applyBorder="1" applyAlignment="1">
      <alignment horizontal="center" wrapText="1"/>
    </xf>
    <xf numFmtId="0" fontId="7" fillId="0" borderId="47" xfId="0" applyFont="1" applyBorder="1" applyAlignment="1">
      <alignment horizontal="center" wrapText="1"/>
    </xf>
    <xf numFmtId="0" fontId="7" fillId="0" borderId="48" xfId="0" applyFont="1" applyBorder="1" applyAlignment="1">
      <alignment horizontal="center" wrapText="1"/>
    </xf>
    <xf numFmtId="0" fontId="9" fillId="0" borderId="47" xfId="0" applyFont="1" applyBorder="1" applyAlignment="1">
      <alignment horizontal="center" wrapText="1"/>
    </xf>
    <xf numFmtId="0" fontId="9" fillId="0" borderId="69" xfId="0" applyFont="1" applyBorder="1" applyAlignment="1">
      <alignment horizontal="center" wrapText="1"/>
    </xf>
    <xf numFmtId="0" fontId="9" fillId="0" borderId="64" xfId="0" applyFont="1" applyFill="1" applyBorder="1" applyAlignment="1">
      <alignment horizontal="center"/>
    </xf>
    <xf numFmtId="0" fontId="9" fillId="0" borderId="65" xfId="0" applyFont="1" applyFill="1" applyBorder="1" applyAlignment="1">
      <alignment horizontal="center"/>
    </xf>
    <xf numFmtId="0" fontId="10" fillId="0" borderId="46" xfId="0" applyFont="1" applyFill="1" applyBorder="1" applyAlignment="1">
      <alignment horizontal="center"/>
    </xf>
    <xf numFmtId="0" fontId="10" fillId="0" borderId="58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64" xfId="0" applyFont="1" applyBorder="1" applyAlignment="1">
      <alignment horizontal="center" wrapText="1"/>
    </xf>
    <xf numFmtId="0" fontId="9" fillId="0" borderId="55" xfId="0" applyFont="1" applyBorder="1" applyAlignment="1">
      <alignment horizontal="center" wrapText="1"/>
    </xf>
    <xf numFmtId="0" fontId="9" fillId="0" borderId="65" xfId="0" applyFont="1" applyBorder="1" applyAlignment="1">
      <alignment horizontal="center" wrapText="1"/>
    </xf>
    <xf numFmtId="0" fontId="65" fillId="0" borderId="85" xfId="0" applyFont="1" applyFill="1" applyBorder="1" applyAlignment="1">
      <alignment horizontal="center"/>
    </xf>
    <xf numFmtId="0" fontId="65" fillId="0" borderId="113" xfId="0" applyFont="1" applyFill="1" applyBorder="1" applyAlignment="1">
      <alignment horizontal="center"/>
    </xf>
    <xf numFmtId="0" fontId="32" fillId="0" borderId="46" xfId="0" applyFont="1" applyFill="1" applyBorder="1" applyAlignment="1">
      <alignment horizontal="center"/>
    </xf>
    <xf numFmtId="0" fontId="32" fillId="0" borderId="85" xfId="0" applyFont="1" applyFill="1" applyBorder="1" applyAlignment="1">
      <alignment horizontal="center"/>
    </xf>
    <xf numFmtId="0" fontId="32" fillId="0" borderId="58" xfId="0" applyFont="1" applyFill="1" applyBorder="1" applyAlignment="1">
      <alignment horizontal="center"/>
    </xf>
    <xf numFmtId="0" fontId="9" fillId="0" borderId="46" xfId="0" applyFont="1" applyFill="1" applyBorder="1" applyAlignment="1">
      <alignment horizontal="center"/>
    </xf>
    <xf numFmtId="0" fontId="9" fillId="0" borderId="58" xfId="0" applyFont="1" applyFill="1" applyBorder="1" applyAlignment="1">
      <alignment horizontal="center"/>
    </xf>
    <xf numFmtId="167" fontId="9" fillId="0" borderId="46" xfId="0" applyNumberFormat="1" applyFont="1" applyBorder="1" applyAlignment="1">
      <alignment horizontal="center"/>
    </xf>
    <xf numFmtId="167" fontId="9" fillId="0" borderId="58" xfId="0" applyNumberFormat="1" applyFont="1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0" fontId="9" fillId="0" borderId="46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14" xfId="0" applyFont="1" applyBorder="1" applyAlignment="1">
      <alignment horizontal="center" vertical="center" wrapText="1"/>
    </xf>
    <xf numFmtId="0" fontId="9" fillId="0" borderId="11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9" fillId="0" borderId="0" xfId="7" applyFont="1" applyBorder="1" applyAlignment="1">
      <alignment horizontal="center" vertical="center" wrapText="1"/>
    </xf>
  </cellXfs>
  <cellStyles count="14">
    <cellStyle name="Euro" xfId="1"/>
    <cellStyle name="Euro 2" xfId="2"/>
    <cellStyle name="Hipervínculo 2" xfId="3"/>
    <cellStyle name="Moneda" xfId="4" builtinId="4"/>
    <cellStyle name="Moneda 2" xfId="5"/>
    <cellStyle name="Moneda 3" xfId="6"/>
    <cellStyle name="Normal" xfId="0" builtinId="0"/>
    <cellStyle name="Normal 2" xfId="7"/>
    <cellStyle name="Normal 2 2" xfId="8"/>
    <cellStyle name="Normal 3" xfId="9"/>
    <cellStyle name="Normal 3 2" xfId="10"/>
    <cellStyle name="Porcentaje" xfId="11" builtinId="5"/>
    <cellStyle name="Porcentaje 2" xfId="12"/>
    <cellStyle name="Porcentual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3366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Trámites cancelados año 2020</a:t>
            </a:r>
          </a:p>
        </c:rich>
      </c:tx>
      <c:layout>
        <c:manualLayout>
          <c:xMode val="edge"/>
          <c:yMode val="edge"/>
          <c:x val="0.33629974429991827"/>
          <c:y val="2.229099790314144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436501623191392"/>
          <c:y val="6.0386908841732527E-2"/>
          <c:w val="0.72551286750012067"/>
          <c:h val="0.8738799760097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'RESUMEN ACUMULADO'!$E$30</c:f>
              <c:strCache>
                <c:ptCount val="1"/>
                <c:pt idx="0">
                  <c:v>Monto </c:v>
                </c:pt>
              </c:strCache>
            </c:strRef>
          </c:tx>
          <c:spPr>
            <a:gradFill flip="none" rotWithShape="1">
              <a:gsLst>
                <a:gs pos="0">
                  <a:srgbClr val="FFC000">
                    <a:shade val="30000"/>
                    <a:satMod val="115000"/>
                  </a:srgbClr>
                </a:gs>
                <a:gs pos="50000">
                  <a:srgbClr val="FFC000">
                    <a:shade val="67500"/>
                    <a:satMod val="115000"/>
                  </a:srgbClr>
                </a:gs>
                <a:gs pos="100000">
                  <a:srgbClr val="FFC000">
                    <a:shade val="100000"/>
                    <a:satMod val="115000"/>
                  </a:srgbClr>
                </a:gs>
              </a:gsLst>
              <a:lin ang="16200000" scaled="1"/>
              <a:tileRect/>
            </a:grad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dLbl>
              <c:idx val="1"/>
              <c:layout>
                <c:manualLayout>
                  <c:x val="-0.1251141184667218"/>
                  <c:y val="-3.12077048277687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9D1-499C-89F8-E9A72C53B441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7602427909738758E-2"/>
                  <c:y val="-4.90406790150651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9D1-499C-89F8-E9A72C53B44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chemeClr val="tx2">
                        <a:lumMod val="50000"/>
                      </a:schemeClr>
                    </a:solidFill>
                    <a:latin typeface="Book Antiqua" panose="02040602050305030304" pitchFamily="18" charset="0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ACUMULADO'!$B$31:$B$41</c:f>
              <c:strCache>
                <c:ptCount val="9"/>
                <c:pt idx="0">
                  <c:v>Seguro de Vida Básico</c:v>
                </c:pt>
                <c:pt idx="1">
                  <c:v>Seguro de Vida Opcional</c:v>
                </c:pt>
                <c:pt idx="2">
                  <c:v>Seguro de Vida Dotal</c:v>
                </c:pt>
                <c:pt idx="3">
                  <c:v>Seguro Decreciente de Deuda</c:v>
                </c:pt>
                <c:pt idx="4">
                  <c:v>Ayuda Gastos Funerarios                 </c:v>
                </c:pt>
                <c:pt idx="5">
                  <c:v>Seguro por Sepelio </c:v>
                </c:pt>
                <c:pt idx="6">
                  <c:v>Valores de Rescate</c:v>
                </c:pt>
                <c:pt idx="7">
                  <c:v>Vencimiento de póliza </c:v>
                </c:pt>
                <c:pt idx="8">
                  <c:v>Devolución del 30% </c:v>
                </c:pt>
              </c:strCache>
            </c:strRef>
          </c:cat>
          <c:val>
            <c:numRef>
              <c:f>'RESUMEN ACUMULADO'!$E$31:$E$41</c:f>
              <c:numCache>
                <c:formatCode>_("$"* #,##0.00_);_("$"* \(#,##0.00\);_("$"* "-"??_);_(@_)</c:formatCode>
                <c:ptCount val="9"/>
                <c:pt idx="0">
                  <c:v>420008.37</c:v>
                </c:pt>
                <c:pt idx="1">
                  <c:v>1007445.48</c:v>
                </c:pt>
                <c:pt idx="2">
                  <c:v>38619.07</c:v>
                </c:pt>
                <c:pt idx="3">
                  <c:v>0</c:v>
                </c:pt>
                <c:pt idx="4">
                  <c:v>36157.199999999997</c:v>
                </c:pt>
                <c:pt idx="5">
                  <c:v>70857.319999999992</c:v>
                </c:pt>
                <c:pt idx="6">
                  <c:v>419343.35999999999</c:v>
                </c:pt>
                <c:pt idx="7">
                  <c:v>700000.82</c:v>
                </c:pt>
                <c:pt idx="8">
                  <c:v>50612.67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9D1-499C-89F8-E9A72C53B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1107988368"/>
        <c:axId val="-1107986192"/>
      </c:barChart>
      <c:catAx>
        <c:axId val="-11079883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-1107986192"/>
        <c:crosses val="autoZero"/>
        <c:auto val="1"/>
        <c:lblAlgn val="ctr"/>
        <c:lblOffset val="100"/>
        <c:noMultiLvlLbl val="0"/>
      </c:catAx>
      <c:valAx>
        <c:axId val="-1107986192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-1107988368"/>
        <c:crosses val="autoZero"/>
        <c:crossBetween val="between"/>
      </c:valAx>
      <c:spPr>
        <a:solidFill>
          <a:schemeClr val="bg1"/>
        </a:solidFill>
        <a:ln w="25400">
          <a:solidFill>
            <a:schemeClr val="accent6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Trámites cancelados mes de .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MARZO 2022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98"/>
      <c:rotY val="20"/>
      <c:depthPercent val="100"/>
      <c:rAngAx val="0"/>
    </c:view3D>
    <c:floor>
      <c:thickness val="0"/>
    </c:floor>
    <c:sideWall>
      <c:thickness val="0"/>
      <c:spPr>
        <a:solidFill>
          <a:schemeClr val="bg1"/>
        </a:solidFill>
        <a:ln w="25400">
          <a:noFill/>
        </a:ln>
        <a:effectLst/>
      </c:spPr>
    </c:sideWall>
    <c:backWall>
      <c:thickness val="0"/>
      <c:spPr>
        <a:solidFill>
          <a:schemeClr val="bg1"/>
        </a:solidFill>
        <a:ln w="25400">
          <a:noFill/>
        </a:ln>
        <a:effectLst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'RESUMEN MENSUAL'!$E$26</c:f>
              <c:strCache>
                <c:ptCount val="1"/>
                <c:pt idx="0">
                  <c:v>Monto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MENSUAL'!$B$27:$B$37</c:f>
              <c:strCache>
                <c:ptCount val="11"/>
                <c:pt idx="0">
                  <c:v>Seguro de Vida Básico</c:v>
                </c:pt>
                <c:pt idx="1">
                  <c:v>Seguro de Vida Opcional</c:v>
                </c:pt>
                <c:pt idx="2">
                  <c:v>Caso Especial - Seguro de Vida Opcional </c:v>
                </c:pt>
                <c:pt idx="3">
                  <c:v>Pago Doble por muerte accidental </c:v>
                </c:pt>
                <c:pt idx="4">
                  <c:v>Seguro de Vida Dotal</c:v>
                </c:pt>
                <c:pt idx="5">
                  <c:v>Seguro Decreciente de Deuda</c:v>
                </c:pt>
                <c:pt idx="6">
                  <c:v>Ayuda Gastos Funerarios                 </c:v>
                </c:pt>
                <c:pt idx="7">
                  <c:v>Seguro por Sepelio </c:v>
                </c:pt>
                <c:pt idx="8">
                  <c:v>Valores de Rescate</c:v>
                </c:pt>
                <c:pt idx="9">
                  <c:v>Vencimiento de póliza </c:v>
                </c:pt>
                <c:pt idx="10">
                  <c:v>Devolución del 30% </c:v>
                </c:pt>
              </c:strCache>
            </c:strRef>
          </c:cat>
          <c:val>
            <c:numRef>
              <c:f>'RESUMEN MENSUAL'!$E$27:$E$37</c:f>
              <c:numCache>
                <c:formatCode>_("$"* #,##0.00_);_("$"* \(#,##0.00\);_("$"* "-"??_);_(@_)</c:formatCode>
                <c:ptCount val="11"/>
                <c:pt idx="0">
                  <c:v>47314.27</c:v>
                </c:pt>
                <c:pt idx="1">
                  <c:v>147278.13999999998</c:v>
                </c:pt>
                <c:pt idx="2">
                  <c:v>0</c:v>
                </c:pt>
                <c:pt idx="3">
                  <c:v>0</c:v>
                </c:pt>
                <c:pt idx="4">
                  <c:v>2571.4300000000003</c:v>
                </c:pt>
                <c:pt idx="5">
                  <c:v>0</c:v>
                </c:pt>
                <c:pt idx="6">
                  <c:v>5242.87</c:v>
                </c:pt>
                <c:pt idx="7">
                  <c:v>14857.179999999998</c:v>
                </c:pt>
                <c:pt idx="8">
                  <c:v>54935.72</c:v>
                </c:pt>
                <c:pt idx="9">
                  <c:v>136000.19</c:v>
                </c:pt>
                <c:pt idx="10">
                  <c:v>9890.4499999999989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2B-419A-897E-79A5C618E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shape val="box"/>
        <c:axId val="-1107985648"/>
        <c:axId val="-1107994352"/>
        <c:axId val="0"/>
      </c:bar3DChart>
      <c:catAx>
        <c:axId val="-11079856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-1107994352"/>
        <c:crosses val="autoZero"/>
        <c:auto val="1"/>
        <c:lblAlgn val="ctr"/>
        <c:lblOffset val="100"/>
        <c:noMultiLvlLbl val="0"/>
      </c:catAx>
      <c:valAx>
        <c:axId val="-1107994352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-11079856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43</xdr:row>
      <xdr:rowOff>123825</xdr:rowOff>
    </xdr:from>
    <xdr:to>
      <xdr:col>9</xdr:col>
      <xdr:colOff>676275</xdr:colOff>
      <xdr:row>76</xdr:row>
      <xdr:rowOff>19050</xdr:rowOff>
    </xdr:to>
    <xdr:graphicFrame macro="">
      <xdr:nvGraphicFramePr>
        <xdr:cNvPr id="299111" name="Gráfico 2">
          <a:extLst>
            <a:ext uri="{FF2B5EF4-FFF2-40B4-BE49-F238E27FC236}">
              <a16:creationId xmlns:a16="http://schemas.microsoft.com/office/drawing/2014/main" xmlns="" id="{00000000-0008-0000-0000-00006790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39</xdr:row>
      <xdr:rowOff>123825</xdr:rowOff>
    </xdr:from>
    <xdr:to>
      <xdr:col>7</xdr:col>
      <xdr:colOff>66675</xdr:colOff>
      <xdr:row>74</xdr:row>
      <xdr:rowOff>38100</xdr:rowOff>
    </xdr:to>
    <xdr:graphicFrame macro="">
      <xdr:nvGraphicFramePr>
        <xdr:cNvPr id="23915" name="Gráfico 2">
          <a:extLst>
            <a:ext uri="{FF2B5EF4-FFF2-40B4-BE49-F238E27FC236}">
              <a16:creationId xmlns:a16="http://schemas.microsoft.com/office/drawing/2014/main" xmlns="" id="{00000000-0008-0000-0100-00006B5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1</xdr:col>
      <xdr:colOff>95250</xdr:colOff>
      <xdr:row>7</xdr:row>
      <xdr:rowOff>28575</xdr:rowOff>
    </xdr:to>
    <xdr:pic>
      <xdr:nvPicPr>
        <xdr:cNvPr id="1845" name="Imagen 2">
          <a:extLst>
            <a:ext uri="{FF2B5EF4-FFF2-40B4-BE49-F238E27FC236}">
              <a16:creationId xmlns:a16="http://schemas.microsoft.com/office/drawing/2014/main" xmlns="" id="{00000000-0008-0000-02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628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0</xdr:col>
      <xdr:colOff>742950</xdr:colOff>
      <xdr:row>2</xdr:row>
      <xdr:rowOff>161925</xdr:rowOff>
    </xdr:to>
    <xdr:pic>
      <xdr:nvPicPr>
        <xdr:cNvPr id="4916" name="Imagen 2">
          <a:extLst>
            <a:ext uri="{FF2B5EF4-FFF2-40B4-BE49-F238E27FC236}">
              <a16:creationId xmlns:a16="http://schemas.microsoft.com/office/drawing/2014/main" xmlns="" id="{00000000-0008-0000-0300-0000341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7429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590550</xdr:colOff>
      <xdr:row>0</xdr:row>
      <xdr:rowOff>95250</xdr:rowOff>
    </xdr:from>
    <xdr:to>
      <xdr:col>6</xdr:col>
      <xdr:colOff>371475</xdr:colOff>
      <xdr:row>2</xdr:row>
      <xdr:rowOff>152400</xdr:rowOff>
    </xdr:to>
    <xdr:pic>
      <xdr:nvPicPr>
        <xdr:cNvPr id="5940" name="Imagen 2">
          <a:extLst>
            <a:ext uri="{FF2B5EF4-FFF2-40B4-BE49-F238E27FC236}">
              <a16:creationId xmlns:a16="http://schemas.microsoft.com/office/drawing/2014/main" xmlns="" id="{00000000-0008-0000-0400-000034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95250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85725</xdr:rowOff>
    </xdr:from>
    <xdr:to>
      <xdr:col>2</xdr:col>
      <xdr:colOff>9525</xdr:colOff>
      <xdr:row>6</xdr:row>
      <xdr:rowOff>142875</xdr:rowOff>
    </xdr:to>
    <xdr:pic>
      <xdr:nvPicPr>
        <xdr:cNvPr id="6964" name="Imagen 2">
          <a:extLst>
            <a:ext uri="{FF2B5EF4-FFF2-40B4-BE49-F238E27FC236}">
              <a16:creationId xmlns:a16="http://schemas.microsoft.com/office/drawing/2014/main" xmlns="" id="{00000000-0008-0000-0500-00003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334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1</xdr:col>
      <xdr:colOff>381000</xdr:colOff>
      <xdr:row>3</xdr:row>
      <xdr:rowOff>19050</xdr:rowOff>
    </xdr:to>
    <xdr:pic>
      <xdr:nvPicPr>
        <xdr:cNvPr id="442408" name="Imagen 2">
          <a:extLst>
            <a:ext uri="{FF2B5EF4-FFF2-40B4-BE49-F238E27FC236}">
              <a16:creationId xmlns:a16="http://schemas.microsoft.com/office/drawing/2014/main" xmlns="" id="{00000000-0008-0000-0600-000028C0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5048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263578" name="Picture 2">
          <a:extLst>
            <a:ext uri="{FF2B5EF4-FFF2-40B4-BE49-F238E27FC236}">
              <a16:creationId xmlns:a16="http://schemas.microsoft.com/office/drawing/2014/main" xmlns="" id="{00000000-0008-0000-0700-00009A05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263579" name="Picture 3">
          <a:extLst>
            <a:ext uri="{FF2B5EF4-FFF2-40B4-BE49-F238E27FC236}">
              <a16:creationId xmlns:a16="http://schemas.microsoft.com/office/drawing/2014/main" xmlns="" id="{00000000-0008-0000-0700-00009B05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</xdr:row>
      <xdr:rowOff>38100</xdr:rowOff>
    </xdr:from>
    <xdr:to>
      <xdr:col>2</xdr:col>
      <xdr:colOff>333375</xdr:colOff>
      <xdr:row>3</xdr:row>
      <xdr:rowOff>95250</xdr:rowOff>
    </xdr:to>
    <xdr:pic>
      <xdr:nvPicPr>
        <xdr:cNvPr id="263580" name="Imagen 4">
          <a:extLst>
            <a:ext uri="{FF2B5EF4-FFF2-40B4-BE49-F238E27FC236}">
              <a16:creationId xmlns:a16="http://schemas.microsoft.com/office/drawing/2014/main" xmlns="" id="{00000000-0008-0000-0700-00009C050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000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19050</xdr:colOff>
      <xdr:row>3</xdr:row>
      <xdr:rowOff>95250</xdr:rowOff>
    </xdr:to>
    <xdr:pic>
      <xdr:nvPicPr>
        <xdr:cNvPr id="18128" name="2 Imagen" descr="C:\Documents and Settings\Silvia.Henriquez\Mis documentos\AÑO 2014\logo de la Caja.JPG">
          <a:extLst>
            <a:ext uri="{FF2B5EF4-FFF2-40B4-BE49-F238E27FC236}">
              <a16:creationId xmlns:a16="http://schemas.microsoft.com/office/drawing/2014/main" xmlns="" id="{00000000-0008-0000-0800-0000D04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0"/>
          <a:ext cx="5048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riza.Rivera\Documents\Documentos%201\JEFATURAS\JEFATURA%20DE%20SEGUROS\2021\JEFATURA%20DE%20SEGUROS\CAPRES%20-%20HUGO\2021%20INFORME%20SEMANAL%20CAPRES%20-%20HU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TOTALES"/>
    </sheetNames>
    <sheetDataSet>
      <sheetData sheetId="0"/>
      <sheetData sheetId="1"/>
      <sheetData sheetId="2">
        <row r="4">
          <cell r="D4">
            <v>52</v>
          </cell>
        </row>
        <row r="6">
          <cell r="D6">
            <v>74</v>
          </cell>
        </row>
        <row r="10">
          <cell r="D10">
            <v>28</v>
          </cell>
        </row>
        <row r="12">
          <cell r="D12">
            <v>3</v>
          </cell>
        </row>
        <row r="14">
          <cell r="D14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L66"/>
  <sheetViews>
    <sheetView topLeftCell="A10" zoomScale="124" zoomScaleNormal="124" workbookViewId="0">
      <selection activeCell="E9" sqref="E9"/>
    </sheetView>
  </sheetViews>
  <sheetFormatPr baseColWidth="10" defaultRowHeight="12.75" x14ac:dyDescent="0.2"/>
  <cols>
    <col min="2" max="2" width="30.140625" customWidth="1"/>
    <col min="3" max="3" width="14.140625" customWidth="1"/>
    <col min="4" max="4" width="18" customWidth="1"/>
    <col min="5" max="5" width="16.5703125" customWidth="1"/>
    <col min="6" max="6" width="14.85546875" customWidth="1"/>
    <col min="7" max="7" width="12.28515625" bestFit="1" customWidth="1"/>
    <col min="9" max="9" width="22.140625" customWidth="1"/>
  </cols>
  <sheetData>
    <row r="6" spans="2:9" x14ac:dyDescent="0.2">
      <c r="B6" s="292" t="s">
        <v>235</v>
      </c>
      <c r="C6" s="393">
        <f>'1. RESUMEN DE PAGADOS '!B21+'1. RESUMEN DE PAGADOS '!C21</f>
        <v>0</v>
      </c>
      <c r="D6" s="285"/>
      <c r="E6" s="396"/>
      <c r="F6" s="286"/>
    </row>
    <row r="7" spans="2:9" ht="13.5" thickBot="1" x14ac:dyDescent="0.25"/>
    <row r="8" spans="2:9" ht="39" thickBot="1" x14ac:dyDescent="0.25">
      <c r="B8" s="279" t="s">
        <v>155</v>
      </c>
      <c r="C8" s="279" t="s">
        <v>157</v>
      </c>
      <c r="D8" s="279" t="s">
        <v>234</v>
      </c>
      <c r="E8" s="279" t="s">
        <v>156</v>
      </c>
      <c r="F8" s="397" t="s">
        <v>165</v>
      </c>
    </row>
    <row r="9" spans="2:9" ht="15.75" customHeight="1" x14ac:dyDescent="0.2">
      <c r="B9" s="406" t="s">
        <v>158</v>
      </c>
      <c r="C9" s="281">
        <v>152</v>
      </c>
      <c r="D9" s="281">
        <v>0</v>
      </c>
      <c r="E9" s="403">
        <f>'1. RESUMEN DE PAGADOS '!G23</f>
        <v>420008.37</v>
      </c>
      <c r="F9" s="400">
        <f>E9/E19</f>
        <v>0.26354973319980329</v>
      </c>
    </row>
    <row r="10" spans="2:9" x14ac:dyDescent="0.2">
      <c r="B10" s="329" t="s">
        <v>159</v>
      </c>
      <c r="C10" s="398">
        <v>248</v>
      </c>
      <c r="D10" s="285">
        <v>0</v>
      </c>
      <c r="E10" s="403">
        <f>'1. RESUMEN DE PAGADOS '!H23</f>
        <v>1007445.48</v>
      </c>
      <c r="F10" s="401">
        <f>E10/E19</f>
        <v>0.63215880070996622</v>
      </c>
    </row>
    <row r="11" spans="2:9" ht="25.5" x14ac:dyDescent="0.2">
      <c r="B11" s="329" t="s">
        <v>238</v>
      </c>
      <c r="C11" s="398">
        <v>8</v>
      </c>
      <c r="D11" s="285">
        <v>0</v>
      </c>
      <c r="E11" s="403">
        <f>'1. RESUMEN DE PAGADOS '!I23</f>
        <v>14857.14</v>
      </c>
      <c r="F11" s="401">
        <f>E11/E19</f>
        <v>9.322660124873523E-3</v>
      </c>
    </row>
    <row r="12" spans="2:9" ht="25.5" x14ac:dyDescent="0.2">
      <c r="B12" s="329" t="s">
        <v>202</v>
      </c>
      <c r="C12" s="399">
        <v>2</v>
      </c>
      <c r="D12" s="394">
        <v>0</v>
      </c>
      <c r="E12" s="403">
        <f>'1. RESUMEN DE PAGADOS '!K23</f>
        <v>5714.29</v>
      </c>
      <c r="F12" s="401">
        <f>E12/E19</f>
        <v>3.5856418883421391E-3</v>
      </c>
    </row>
    <row r="13" spans="2:9" x14ac:dyDescent="0.2">
      <c r="B13" s="329" t="s">
        <v>160</v>
      </c>
      <c r="C13" s="285">
        <v>8</v>
      </c>
      <c r="D13" s="281">
        <v>0</v>
      </c>
      <c r="E13" s="403">
        <f>'1. RESUMEN DE PAGADOS '!M23</f>
        <v>38619.07</v>
      </c>
      <c r="F13" s="401">
        <f>E13/E19</f>
        <v>2.4232958964423797E-2</v>
      </c>
    </row>
    <row r="14" spans="2:9" x14ac:dyDescent="0.2">
      <c r="B14" s="329" t="s">
        <v>197</v>
      </c>
      <c r="C14" s="285">
        <v>9</v>
      </c>
      <c r="D14" s="285">
        <v>0</v>
      </c>
      <c r="E14" s="404">
        <f>'1. RESUMEN DE PAGADOS '!O23</f>
        <v>0</v>
      </c>
      <c r="F14" s="401">
        <f>E14/E19</f>
        <v>0</v>
      </c>
      <c r="I14" s="189">
        <f>E9+E10+E13</f>
        <v>1466072.9200000002</v>
      </c>
    </row>
    <row r="15" spans="2:9" ht="13.5" thickBot="1" x14ac:dyDescent="0.25">
      <c r="B15" s="407" t="s">
        <v>200</v>
      </c>
      <c r="C15" s="395">
        <f>C9+C10+C11+C12+C13+C14</f>
        <v>427</v>
      </c>
      <c r="D15" s="395">
        <f>D9+D10+D11+D12+D13+D14</f>
        <v>0</v>
      </c>
      <c r="E15" s="405">
        <f>SUM(E9:E14)</f>
        <v>1486644.35</v>
      </c>
      <c r="F15" s="402"/>
    </row>
    <row r="16" spans="2:9" ht="13.5" thickBot="1" x14ac:dyDescent="0.25">
      <c r="B16" s="294" t="s">
        <v>233</v>
      </c>
      <c r="C16" s="390">
        <v>16</v>
      </c>
      <c r="D16" s="410">
        <v>31</v>
      </c>
      <c r="E16" s="403">
        <f>'1. RESUMEN DE PAGADOS '!J23</f>
        <v>36157.199999999997</v>
      </c>
      <c r="F16" s="325">
        <f>E16/E19</f>
        <v>2.2688167888777849E-2</v>
      </c>
      <c r="H16">
        <f>C9+C10+C11+C12+C13+C14</f>
        <v>427</v>
      </c>
    </row>
    <row r="17" spans="2:9" ht="13.5" thickBot="1" x14ac:dyDescent="0.25">
      <c r="B17" s="293" t="s">
        <v>199</v>
      </c>
      <c r="C17" s="408">
        <v>12</v>
      </c>
      <c r="D17" s="411">
        <v>12</v>
      </c>
      <c r="E17" s="463">
        <f>'1. RESUMEN DE PAGADOS '!N23</f>
        <v>70857.319999999992</v>
      </c>
      <c r="F17" s="327">
        <f>E17/E19</f>
        <v>4.4462037223813144E-2</v>
      </c>
      <c r="I17" s="189"/>
    </row>
    <row r="18" spans="2:9" ht="13.5" thickBot="1" x14ac:dyDescent="0.25">
      <c r="B18" s="412" t="s">
        <v>200</v>
      </c>
      <c r="C18" s="413">
        <f>C16+C17</f>
        <v>28</v>
      </c>
      <c r="D18" s="414">
        <f>D16+D17</f>
        <v>43</v>
      </c>
      <c r="E18" s="464">
        <f>E16+E17</f>
        <v>107014.51999999999</v>
      </c>
      <c r="F18" s="324"/>
    </row>
    <row r="19" spans="2:9" ht="13.5" thickBot="1" x14ac:dyDescent="0.25">
      <c r="B19" s="288" t="s">
        <v>0</v>
      </c>
      <c r="C19" s="188">
        <f>C15+C18</f>
        <v>455</v>
      </c>
      <c r="D19" s="391">
        <f>D15+D18</f>
        <v>43</v>
      </c>
      <c r="E19" s="465">
        <f>E15+E18</f>
        <v>1593658.87</v>
      </c>
      <c r="F19" s="289">
        <f>SUM(F9:F17)</f>
        <v>0.99999999999999978</v>
      </c>
    </row>
    <row r="20" spans="2:9" ht="15" customHeight="1" thickBot="1" x14ac:dyDescent="0.25">
      <c r="B20" s="519"/>
      <c r="C20" s="520"/>
      <c r="D20" s="520"/>
      <c r="E20" s="520"/>
      <c r="F20" s="521"/>
    </row>
    <row r="21" spans="2:9" ht="39" thickBot="1" x14ac:dyDescent="0.25">
      <c r="B21" s="279" t="s">
        <v>205</v>
      </c>
      <c r="C21" s="279" t="s">
        <v>157</v>
      </c>
      <c r="D21" s="279" t="s">
        <v>237</v>
      </c>
      <c r="E21" s="279" t="s">
        <v>156</v>
      </c>
      <c r="F21" s="279" t="s">
        <v>165</v>
      </c>
    </row>
    <row r="22" spans="2:9" x14ac:dyDescent="0.2">
      <c r="B22" s="280" t="s">
        <v>161</v>
      </c>
      <c r="C22" s="281">
        <f>'3. COMP VR'!B21</f>
        <v>443</v>
      </c>
      <c r="D22" s="390">
        <f>C22</f>
        <v>443</v>
      </c>
      <c r="E22" s="282">
        <f>'3. COMP VR'!C21+'3. COMP VR'!E21</f>
        <v>419343.35999999999</v>
      </c>
      <c r="F22" s="283">
        <f>E22/E25</f>
        <v>0.35842634709134791</v>
      </c>
    </row>
    <row r="23" spans="2:9" x14ac:dyDescent="0.2">
      <c r="B23" s="290" t="s">
        <v>162</v>
      </c>
      <c r="C23" s="285">
        <f>'4. COMP VP'!C24</f>
        <v>441</v>
      </c>
      <c r="D23" s="390">
        <f>C23</f>
        <v>441</v>
      </c>
      <c r="E23" s="282">
        <f>'4. COMP VP'!D24+'4. COMP VP'!F24</f>
        <v>700000.82</v>
      </c>
      <c r="F23" s="286">
        <f>E23/E25</f>
        <v>0.59831336514675737</v>
      </c>
    </row>
    <row r="24" spans="2:9" ht="13.5" thickBot="1" x14ac:dyDescent="0.25">
      <c r="B24" s="284" t="s">
        <v>163</v>
      </c>
      <c r="C24" s="285">
        <f>'2. COMPR DEV 30%'!B21</f>
        <v>154</v>
      </c>
      <c r="D24" s="390">
        <f>C24</f>
        <v>154</v>
      </c>
      <c r="E24" s="282">
        <f>'2. COMPR DEV 30%'!C21+'2. COMPR DEV 30%'!E21</f>
        <v>50612.67</v>
      </c>
      <c r="F24" s="287">
        <f>E24/E25</f>
        <v>4.3260287761894813E-2</v>
      </c>
      <c r="G24" s="189"/>
    </row>
    <row r="25" spans="2:9" ht="13.5" thickBot="1" x14ac:dyDescent="0.25">
      <c r="B25" s="288" t="s">
        <v>0</v>
      </c>
      <c r="C25" s="188">
        <f>C22+C23+C24</f>
        <v>1038</v>
      </c>
      <c r="D25" s="188">
        <f>D22+D23+D24</f>
        <v>1038</v>
      </c>
      <c r="E25" s="190">
        <f>E22+E23+E24</f>
        <v>1169956.8499999999</v>
      </c>
      <c r="F25" s="289">
        <f>SUM(F22:F24)</f>
        <v>1</v>
      </c>
    </row>
    <row r="26" spans="2:9" ht="13.5" customHeight="1" thickBot="1" x14ac:dyDescent="0.25">
      <c r="B26" s="522" t="s">
        <v>164</v>
      </c>
      <c r="C26" s="523"/>
      <c r="D26" s="523"/>
      <c r="E26" s="523"/>
      <c r="F26" s="524"/>
    </row>
    <row r="27" spans="2:9" ht="15.75" customHeight="1" thickBot="1" x14ac:dyDescent="0.25">
      <c r="B27" s="288" t="s">
        <v>109</v>
      </c>
      <c r="C27" s="417">
        <f>C19+C25</f>
        <v>1493</v>
      </c>
      <c r="D27" s="417">
        <f>D19+D25</f>
        <v>1081</v>
      </c>
      <c r="E27" s="416">
        <f>E25+E19</f>
        <v>2763615.7199999997</v>
      </c>
      <c r="F27" s="415"/>
    </row>
    <row r="28" spans="2:9" ht="15" x14ac:dyDescent="0.2">
      <c r="B28" s="347"/>
      <c r="C28" s="347"/>
      <c r="D28" s="347"/>
      <c r="E28" s="347"/>
      <c r="F28" s="348"/>
    </row>
    <row r="29" spans="2:9" ht="15.75" thickBot="1" x14ac:dyDescent="0.25">
      <c r="B29" s="349"/>
      <c r="C29" s="278"/>
      <c r="D29" s="278"/>
      <c r="E29" s="191"/>
      <c r="F29" s="348"/>
    </row>
    <row r="30" spans="2:9" ht="45.75" thickBot="1" x14ac:dyDescent="0.25">
      <c r="B30" s="350" t="s">
        <v>155</v>
      </c>
      <c r="C30" s="351" t="s">
        <v>157</v>
      </c>
      <c r="D30" s="392" t="s">
        <v>236</v>
      </c>
      <c r="E30" s="350" t="s">
        <v>156</v>
      </c>
      <c r="F30" s="350" t="s">
        <v>165</v>
      </c>
    </row>
    <row r="31" spans="2:9" ht="15" x14ac:dyDescent="0.2">
      <c r="B31" s="334" t="s">
        <v>158</v>
      </c>
      <c r="C31" s="336">
        <f>C9</f>
        <v>152</v>
      </c>
      <c r="D31" s="336">
        <f>D9</f>
        <v>0</v>
      </c>
      <c r="E31" s="338">
        <f>E9</f>
        <v>420008.37</v>
      </c>
      <c r="F31" s="341">
        <f>E31/E42</f>
        <v>0.15197784806347825</v>
      </c>
    </row>
    <row r="32" spans="2:9" ht="15" x14ac:dyDescent="0.2">
      <c r="B32" s="328" t="s">
        <v>159</v>
      </c>
      <c r="C32" s="169">
        <f t="shared" ref="C32:E36" si="0">C10</f>
        <v>248</v>
      </c>
      <c r="D32" s="169">
        <f>D10</f>
        <v>0</v>
      </c>
      <c r="E32" s="339">
        <f t="shared" si="0"/>
        <v>1007445.48</v>
      </c>
      <c r="F32" s="173">
        <f>E32/E42</f>
        <v>0.36453891643082709</v>
      </c>
    </row>
    <row r="33" spans="2:9" ht="25.5" hidden="1" x14ac:dyDescent="0.2">
      <c r="B33" s="329" t="s">
        <v>206</v>
      </c>
      <c r="C33" s="169">
        <f>C11</f>
        <v>8</v>
      </c>
      <c r="D33" s="169">
        <f>D11</f>
        <v>0</v>
      </c>
      <c r="E33" s="339">
        <f t="shared" si="0"/>
        <v>14857.14</v>
      </c>
      <c r="F33" s="173">
        <f>E33/E42</f>
        <v>5.3759789729376705E-3</v>
      </c>
    </row>
    <row r="34" spans="2:9" ht="19.5" hidden="1" customHeight="1" x14ac:dyDescent="0.2">
      <c r="B34" s="328" t="s">
        <v>202</v>
      </c>
      <c r="C34" s="169">
        <f t="shared" si="0"/>
        <v>2</v>
      </c>
      <c r="D34" s="169">
        <f>D12</f>
        <v>0</v>
      </c>
      <c r="E34" s="339">
        <f t="shared" si="0"/>
        <v>5714.29</v>
      </c>
      <c r="F34" s="173">
        <f>E34/E42</f>
        <v>2.0676861687557633E-3</v>
      </c>
    </row>
    <row r="35" spans="2:9" ht="15" x14ac:dyDescent="0.2">
      <c r="B35" s="328" t="s">
        <v>160</v>
      </c>
      <c r="C35" s="169">
        <f t="shared" si="0"/>
        <v>8</v>
      </c>
      <c r="D35" s="169">
        <f>D13</f>
        <v>0</v>
      </c>
      <c r="E35" s="339">
        <f>E13</f>
        <v>38619.07</v>
      </c>
      <c r="F35" s="173">
        <f>E35/E42</f>
        <v>1.397410997502938E-2</v>
      </c>
    </row>
    <row r="36" spans="2:9" ht="30" x14ac:dyDescent="0.2">
      <c r="B36" s="328" t="s">
        <v>197</v>
      </c>
      <c r="C36" s="169">
        <f t="shared" si="0"/>
        <v>9</v>
      </c>
      <c r="D36" s="169">
        <f>D14</f>
        <v>0</v>
      </c>
      <c r="E36" s="339">
        <f t="shared" si="0"/>
        <v>0</v>
      </c>
      <c r="F36" s="173">
        <f>E36/E42</f>
        <v>0</v>
      </c>
    </row>
    <row r="37" spans="2:9" ht="15" x14ac:dyDescent="0.2">
      <c r="B37" s="328" t="s">
        <v>198</v>
      </c>
      <c r="C37" s="169">
        <f t="shared" ref="C37:E38" si="1">C16</f>
        <v>16</v>
      </c>
      <c r="D37" s="169">
        <f t="shared" si="1"/>
        <v>31</v>
      </c>
      <c r="E37" s="339">
        <f t="shared" si="1"/>
        <v>36157.199999999997</v>
      </c>
      <c r="F37" s="173">
        <f>E37/E42</f>
        <v>1.3083295097192457E-2</v>
      </c>
    </row>
    <row r="38" spans="2:9" ht="15" x14ac:dyDescent="0.2">
      <c r="B38" s="330" t="s">
        <v>199</v>
      </c>
      <c r="C38" s="337">
        <f t="shared" si="1"/>
        <v>12</v>
      </c>
      <c r="D38" s="337">
        <f t="shared" si="1"/>
        <v>12</v>
      </c>
      <c r="E38" s="339">
        <f t="shared" si="1"/>
        <v>70857.319999999992</v>
      </c>
      <c r="F38" s="173">
        <f>E38/E42</f>
        <v>2.5639353361327673E-2</v>
      </c>
    </row>
    <row r="39" spans="2:9" ht="15" x14ac:dyDescent="0.2">
      <c r="B39" s="418" t="s">
        <v>161</v>
      </c>
      <c r="C39" s="169">
        <f t="shared" ref="C39:E41" si="2">C22</f>
        <v>443</v>
      </c>
      <c r="D39" s="169">
        <f t="shared" si="2"/>
        <v>443</v>
      </c>
      <c r="E39" s="340">
        <f t="shared" si="2"/>
        <v>419343.35999999999</v>
      </c>
      <c r="F39" s="173">
        <f>E39/E42</f>
        <v>0.15173721764761131</v>
      </c>
    </row>
    <row r="40" spans="2:9" ht="15" x14ac:dyDescent="0.2">
      <c r="B40" s="331" t="s">
        <v>162</v>
      </c>
      <c r="C40" s="169">
        <f t="shared" si="2"/>
        <v>441</v>
      </c>
      <c r="D40" s="169">
        <f t="shared" si="2"/>
        <v>441</v>
      </c>
      <c r="E40" s="340">
        <f t="shared" si="2"/>
        <v>700000.82</v>
      </c>
      <c r="F40" s="173">
        <f>E40/E42</f>
        <v>0.2532916624167994</v>
      </c>
    </row>
    <row r="41" spans="2:9" ht="15.75" thickBot="1" x14ac:dyDescent="0.3">
      <c r="B41" s="332" t="s">
        <v>163</v>
      </c>
      <c r="C41" s="342">
        <f t="shared" si="2"/>
        <v>154</v>
      </c>
      <c r="D41" s="342">
        <f t="shared" si="2"/>
        <v>154</v>
      </c>
      <c r="E41" s="343">
        <f t="shared" si="2"/>
        <v>50612.67</v>
      </c>
      <c r="F41" s="333">
        <f>E41/E42</f>
        <v>1.8313931866041057E-2</v>
      </c>
    </row>
    <row r="42" spans="2:9" ht="15.75" thickBot="1" x14ac:dyDescent="0.25">
      <c r="B42" s="335" t="s">
        <v>0</v>
      </c>
      <c r="C42" s="170">
        <f>SUM(C31:C41)</f>
        <v>1493</v>
      </c>
      <c r="D42" s="170">
        <f>SUM(D31:D41)</f>
        <v>1081</v>
      </c>
      <c r="E42" s="344">
        <f>SUM(E31:E41)</f>
        <v>2763615.7199999997</v>
      </c>
      <c r="F42" s="346">
        <f>SUM(F31:F41)</f>
        <v>1</v>
      </c>
      <c r="G42" s="15"/>
      <c r="H42" s="12"/>
      <c r="I42" s="189">
        <f>E42-'1. RESUMEN DE PAGADOS '!Q23</f>
        <v>0</v>
      </c>
    </row>
    <row r="43" spans="2:9" ht="15" x14ac:dyDescent="0.2">
      <c r="B43" s="172"/>
      <c r="C43" s="172"/>
      <c r="D43" s="172"/>
      <c r="E43" s="172"/>
    </row>
    <row r="44" spans="2:9" x14ac:dyDescent="0.2">
      <c r="B44" s="11"/>
      <c r="C44" s="11"/>
      <c r="D44" s="11"/>
      <c r="E44" s="11"/>
    </row>
    <row r="45" spans="2:9" x14ac:dyDescent="0.2">
      <c r="B45" s="11"/>
      <c r="C45" s="11"/>
      <c r="D45" s="11"/>
      <c r="E45" s="11"/>
    </row>
    <row r="46" spans="2:9" x14ac:dyDescent="0.2">
      <c r="B46" s="11"/>
      <c r="C46" s="11"/>
      <c r="D46" s="11"/>
      <c r="E46" s="11"/>
    </row>
    <row r="47" spans="2:9" x14ac:dyDescent="0.2">
      <c r="B47" s="11"/>
      <c r="C47" s="11"/>
      <c r="D47" s="11"/>
      <c r="E47" s="11"/>
    </row>
    <row r="48" spans="2:9" x14ac:dyDescent="0.2">
      <c r="B48" s="11"/>
      <c r="C48" s="11"/>
      <c r="D48" s="11"/>
      <c r="E48" s="11"/>
    </row>
    <row r="49" spans="2:5" x14ac:dyDescent="0.2">
      <c r="B49" s="11"/>
      <c r="C49" s="11"/>
      <c r="D49" s="11"/>
      <c r="E49" s="11"/>
    </row>
    <row r="50" spans="2:5" x14ac:dyDescent="0.2">
      <c r="B50" s="11"/>
      <c r="C50" s="11"/>
      <c r="D50" s="11"/>
      <c r="E50" s="11"/>
    </row>
    <row r="51" spans="2:5" x14ac:dyDescent="0.2">
      <c r="B51" s="11"/>
      <c r="C51" s="11"/>
      <c r="D51" s="11"/>
      <c r="E51" s="11"/>
    </row>
    <row r="52" spans="2:5" x14ac:dyDescent="0.2">
      <c r="B52" s="11"/>
      <c r="C52" s="11"/>
      <c r="D52" s="11"/>
      <c r="E52" s="11"/>
    </row>
    <row r="53" spans="2:5" x14ac:dyDescent="0.2">
      <c r="B53" s="11"/>
      <c r="C53" s="11"/>
      <c r="D53" s="11"/>
      <c r="E53" s="11"/>
    </row>
    <row r="66" spans="12:12" x14ac:dyDescent="0.2">
      <c r="L66" s="2"/>
    </row>
  </sheetData>
  <mergeCells count="2">
    <mergeCell ref="B20:F20"/>
    <mergeCell ref="B26:F2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9"/>
  <sheetViews>
    <sheetView tabSelected="1" topLeftCell="A13" zoomScale="98" zoomScaleNormal="98" workbookViewId="0">
      <selection activeCell="E21" sqref="E21"/>
    </sheetView>
  </sheetViews>
  <sheetFormatPr baseColWidth="10" defaultRowHeight="12.75" x14ac:dyDescent="0.2"/>
  <cols>
    <col min="2" max="2" width="30.140625" customWidth="1"/>
    <col min="3" max="4" width="18" hidden="1" customWidth="1"/>
    <col min="5" max="5" width="16.5703125" customWidth="1"/>
    <col min="6" max="6" width="14.85546875" customWidth="1"/>
    <col min="7" max="7" width="12.28515625" bestFit="1" customWidth="1"/>
    <col min="9" max="9" width="12.28515625" bestFit="1" customWidth="1"/>
  </cols>
  <sheetData>
    <row r="2" spans="2:9" x14ac:dyDescent="0.2">
      <c r="B2" s="292" t="s">
        <v>235</v>
      </c>
      <c r="C2" s="393">
        <f>'1. RESUMEN DE PAGADOS '!B22+'1. RESUMEN DE PAGADOS '!C22</f>
        <v>0</v>
      </c>
      <c r="D2" s="285"/>
      <c r="E2" s="518">
        <v>39</v>
      </c>
      <c r="F2" s="286"/>
    </row>
    <row r="3" spans="2:9" ht="13.5" thickBot="1" x14ac:dyDescent="0.25"/>
    <row r="4" spans="2:9" ht="39" thickBot="1" x14ac:dyDescent="0.25">
      <c r="B4" s="459" t="s">
        <v>155</v>
      </c>
      <c r="C4" s="279" t="s">
        <v>157</v>
      </c>
      <c r="D4" s="279" t="s">
        <v>234</v>
      </c>
      <c r="E4" s="279" t="s">
        <v>156</v>
      </c>
      <c r="F4" s="397" t="s">
        <v>165</v>
      </c>
    </row>
    <row r="5" spans="2:9" ht="15.75" customHeight="1" x14ac:dyDescent="0.2">
      <c r="B5" s="458" t="s">
        <v>158</v>
      </c>
      <c r="C5" s="281">
        <f>6+11+2+4</f>
        <v>23</v>
      </c>
      <c r="D5" s="281">
        <f>[1]TOTALES!$D$4</f>
        <v>52</v>
      </c>
      <c r="E5" s="403">
        <f>'1. RESUMEN DE PAGADOS '!G16</f>
        <v>47314.27</v>
      </c>
      <c r="F5" s="400">
        <f>E5/E15</f>
        <v>0.21777328022618028</v>
      </c>
    </row>
    <row r="6" spans="2:9" x14ac:dyDescent="0.2">
      <c r="B6" s="329" t="s">
        <v>159</v>
      </c>
      <c r="C6" s="398">
        <f>10+10+7+8</f>
        <v>35</v>
      </c>
      <c r="D6" s="285">
        <f>[1]TOTALES!$D$6</f>
        <v>74</v>
      </c>
      <c r="E6" s="403">
        <f>'1. RESUMEN DE PAGADOS '!H16</f>
        <v>147278.13999999998</v>
      </c>
      <c r="F6" s="401">
        <f>E6/E15</f>
        <v>0.67787675163139172</v>
      </c>
    </row>
    <row r="7" spans="2:9" ht="25.5" x14ac:dyDescent="0.2">
      <c r="B7" s="329" t="s">
        <v>238</v>
      </c>
      <c r="C7" s="398">
        <f>1+1+1+1+1</f>
        <v>5</v>
      </c>
      <c r="D7" s="285">
        <f>7</f>
        <v>7</v>
      </c>
      <c r="E7" s="403">
        <f>'1. RESUMEN DE PAGADOS '!I16</f>
        <v>0</v>
      </c>
      <c r="F7" s="401">
        <f>E7/E15</f>
        <v>0</v>
      </c>
    </row>
    <row r="8" spans="2:9" ht="25.5" x14ac:dyDescent="0.2">
      <c r="B8" s="329" t="s">
        <v>202</v>
      </c>
      <c r="C8" s="399">
        <v>0</v>
      </c>
      <c r="D8" s="394">
        <v>2</v>
      </c>
      <c r="E8" s="403">
        <f>'1. RESUMEN DE PAGADOS '!K16</f>
        <v>0</v>
      </c>
      <c r="F8" s="401">
        <f>E8/E15</f>
        <v>0</v>
      </c>
    </row>
    <row r="9" spans="2:9" x14ac:dyDescent="0.2">
      <c r="B9" s="329" t="s">
        <v>160</v>
      </c>
      <c r="C9" s="285">
        <f>1+1</f>
        <v>2</v>
      </c>
      <c r="D9" s="281">
        <f>[1]TOTALES!$D$12</f>
        <v>3</v>
      </c>
      <c r="E9" s="403">
        <f>'1. RESUMEN DE PAGADOS '!M16</f>
        <v>2571.4300000000003</v>
      </c>
      <c r="F9" s="401">
        <f>E9/E15</f>
        <v>1.1835514866276218E-2</v>
      </c>
    </row>
    <row r="10" spans="2:9" x14ac:dyDescent="0.2">
      <c r="B10" s="329" t="s">
        <v>197</v>
      </c>
      <c r="C10" s="285">
        <v>0</v>
      </c>
      <c r="D10" s="285">
        <f>[1]TOTALES!$D$14</f>
        <v>2</v>
      </c>
      <c r="E10" s="404">
        <f>'1. RESUMEN DE PAGADOS '!O16</f>
        <v>0</v>
      </c>
      <c r="F10" s="401">
        <f>E10/E15</f>
        <v>0</v>
      </c>
      <c r="I10" s="189"/>
    </row>
    <row r="11" spans="2:9" ht="13.5" thickBot="1" x14ac:dyDescent="0.25">
      <c r="B11" s="407" t="s">
        <v>200</v>
      </c>
      <c r="C11" s="395">
        <f>C5+C6+C7+C8+C9+C10</f>
        <v>65</v>
      </c>
      <c r="D11" s="395">
        <f>D5+D6+D7+D8+D9+D10</f>
        <v>140</v>
      </c>
      <c r="E11" s="405">
        <f>SUM(E5:E10)</f>
        <v>197163.83999999997</v>
      </c>
      <c r="F11" s="402"/>
    </row>
    <row r="12" spans="2:9" ht="13.5" thickBot="1" x14ac:dyDescent="0.25">
      <c r="B12" s="294" t="s">
        <v>233</v>
      </c>
      <c r="C12" s="390">
        <v>11</v>
      </c>
      <c r="D12" s="410">
        <f>[1]TOTALES!$D$10</f>
        <v>28</v>
      </c>
      <c r="E12" s="291">
        <f>'1. RESUMEN DE PAGADOS '!J16</f>
        <v>5242.87</v>
      </c>
      <c r="F12" s="325">
        <f>E12/E15</f>
        <v>2.4131345526401102E-2</v>
      </c>
    </row>
    <row r="13" spans="2:9" ht="13.5" thickBot="1" x14ac:dyDescent="0.25">
      <c r="B13" s="293" t="s">
        <v>199</v>
      </c>
      <c r="C13" s="408">
        <v>12</v>
      </c>
      <c r="D13" s="411">
        <v>12</v>
      </c>
      <c r="E13" s="323">
        <f>'1. RESUMEN DE PAGADOS '!N16</f>
        <v>14857.179999999998</v>
      </c>
      <c r="F13" s="327">
        <f>E13/E15</f>
        <v>6.8383107749750788E-2</v>
      </c>
      <c r="I13" s="189"/>
    </row>
    <row r="14" spans="2:9" ht="13.5" thickBot="1" x14ac:dyDescent="0.25">
      <c r="B14" s="412" t="s">
        <v>200</v>
      </c>
      <c r="C14" s="413">
        <f>C12+C13</f>
        <v>23</v>
      </c>
      <c r="D14" s="414">
        <f>D12+D13</f>
        <v>40</v>
      </c>
      <c r="E14" s="409">
        <f>E12+E13</f>
        <v>20100.05</v>
      </c>
      <c r="F14" s="324"/>
    </row>
    <row r="15" spans="2:9" ht="13.5" thickBot="1" x14ac:dyDescent="0.25">
      <c r="B15" s="288" t="s">
        <v>0</v>
      </c>
      <c r="C15" s="188">
        <f>C11+C14</f>
        <v>88</v>
      </c>
      <c r="D15" s="391">
        <f>D11+D14</f>
        <v>180</v>
      </c>
      <c r="E15" s="326">
        <f>E11+E14</f>
        <v>217263.88999999996</v>
      </c>
      <c r="F15" s="289">
        <f>SUM(F5:F13)</f>
        <v>1</v>
      </c>
    </row>
    <row r="16" spans="2:9" ht="15" customHeight="1" thickBot="1" x14ac:dyDescent="0.25">
      <c r="B16" s="519"/>
      <c r="C16" s="520"/>
      <c r="D16" s="520"/>
      <c r="E16" s="520"/>
      <c r="F16" s="521"/>
    </row>
    <row r="17" spans="2:7" ht="39" thickBot="1" x14ac:dyDescent="0.25">
      <c r="B17" s="279" t="s">
        <v>205</v>
      </c>
      <c r="C17" s="279" t="s">
        <v>157</v>
      </c>
      <c r="D17" s="279" t="s">
        <v>237</v>
      </c>
      <c r="E17" s="279" t="s">
        <v>156</v>
      </c>
      <c r="F17" s="279" t="s">
        <v>165</v>
      </c>
    </row>
    <row r="18" spans="2:7" x14ac:dyDescent="0.2">
      <c r="B18" s="280" t="s">
        <v>161</v>
      </c>
      <c r="C18" s="281">
        <f>'3. COMP VR'!B20</f>
        <v>0</v>
      </c>
      <c r="D18" s="390">
        <f>'3. COMP VR'!B9</f>
        <v>56</v>
      </c>
      <c r="E18" s="282">
        <f>'3. COMP VR'!E14+'3. COMP VR'!C14</f>
        <v>54935.72</v>
      </c>
      <c r="F18" s="283">
        <f>E18/E21</f>
        <v>0.27354835291542401</v>
      </c>
    </row>
    <row r="19" spans="2:7" x14ac:dyDescent="0.2">
      <c r="B19" s="290" t="s">
        <v>162</v>
      </c>
      <c r="C19" s="285">
        <f>'4. COMP VP'!C23</f>
        <v>0</v>
      </c>
      <c r="D19" s="390">
        <f>'4. COMP VP'!C12</f>
        <v>46</v>
      </c>
      <c r="E19" s="282">
        <f>'4. COMP VP'!D17+'4. COMP VP'!F17</f>
        <v>136000.19</v>
      </c>
      <c r="F19" s="286">
        <f>E19/E21</f>
        <v>0.67720288312749377</v>
      </c>
    </row>
    <row r="20" spans="2:7" ht="13.5" thickBot="1" x14ac:dyDescent="0.25">
      <c r="B20" s="284" t="s">
        <v>163</v>
      </c>
      <c r="C20" s="285">
        <f>'2. COMPR DEV 30%'!B20</f>
        <v>0</v>
      </c>
      <c r="D20" s="390">
        <f>'2. COMPR DEV 30%'!B9</f>
        <v>16</v>
      </c>
      <c r="E20" s="282">
        <f>'2. COMPR DEV 30%'!C14+'2. COMPR DEV 30%'!E14</f>
        <v>9890.4499999999989</v>
      </c>
      <c r="F20" s="287">
        <f>E20/E21</f>
        <v>4.9248763957082116E-2</v>
      </c>
      <c r="G20" s="189"/>
    </row>
    <row r="21" spans="2:7" ht="13.5" thickBot="1" x14ac:dyDescent="0.25">
      <c r="B21" s="288" t="s">
        <v>0</v>
      </c>
      <c r="C21" s="188">
        <f>C18+C19+C20</f>
        <v>0</v>
      </c>
      <c r="D21" s="188">
        <f>D18+D19+D20</f>
        <v>118</v>
      </c>
      <c r="E21" s="190">
        <f>E18+E19+E20</f>
        <v>200826.36000000002</v>
      </c>
      <c r="F21" s="289">
        <f>SUM(F18:F20)</f>
        <v>0.99999999999999989</v>
      </c>
    </row>
    <row r="22" spans="2:7" ht="13.5" customHeight="1" thickBot="1" x14ac:dyDescent="0.25">
      <c r="B22" s="522" t="s">
        <v>164</v>
      </c>
      <c r="C22" s="523"/>
      <c r="D22" s="523"/>
      <c r="E22" s="523"/>
      <c r="F22" s="524"/>
    </row>
    <row r="23" spans="2:7" ht="15.75" customHeight="1" thickBot="1" x14ac:dyDescent="0.25">
      <c r="B23" s="288" t="s">
        <v>109</v>
      </c>
      <c r="C23" s="417">
        <f>C15+C21</f>
        <v>88</v>
      </c>
      <c r="D23" s="417">
        <f>D15+D21</f>
        <v>298</v>
      </c>
      <c r="E23" s="416">
        <f>E21+E15</f>
        <v>418090.25</v>
      </c>
      <c r="F23" s="415"/>
    </row>
    <row r="24" spans="2:7" ht="15" x14ac:dyDescent="0.2">
      <c r="B24" s="347"/>
      <c r="C24" s="347"/>
      <c r="D24" s="347"/>
      <c r="E24" s="347"/>
      <c r="F24" s="348"/>
    </row>
    <row r="25" spans="2:7" ht="15.75" thickBot="1" x14ac:dyDescent="0.25">
      <c r="B25" s="349"/>
      <c r="C25" s="278"/>
      <c r="D25" s="278"/>
      <c r="E25" s="191"/>
      <c r="F25" s="348"/>
    </row>
    <row r="26" spans="2:7" ht="45.75" thickBot="1" x14ac:dyDescent="0.25">
      <c r="B26" s="350" t="s">
        <v>155</v>
      </c>
      <c r="C26" s="351" t="s">
        <v>157</v>
      </c>
      <c r="D26" s="392" t="s">
        <v>236</v>
      </c>
      <c r="E26" s="171" t="s">
        <v>156</v>
      </c>
      <c r="F26" s="350" t="s">
        <v>165</v>
      </c>
    </row>
    <row r="27" spans="2:7" ht="15" x14ac:dyDescent="0.2">
      <c r="B27" s="334" t="s">
        <v>158</v>
      </c>
      <c r="C27" s="336">
        <f>C5</f>
        <v>23</v>
      </c>
      <c r="D27" s="336">
        <f>D5</f>
        <v>52</v>
      </c>
      <c r="E27" s="338">
        <f>E5</f>
        <v>47314.27</v>
      </c>
      <c r="F27" s="341">
        <f>E27/E38</f>
        <v>0.11316759957927744</v>
      </c>
    </row>
    <row r="28" spans="2:7" ht="15" x14ac:dyDescent="0.2">
      <c r="B28" s="328" t="s">
        <v>159</v>
      </c>
      <c r="C28" s="169">
        <f t="shared" ref="C28:E32" si="0">C6</f>
        <v>35</v>
      </c>
      <c r="D28" s="169">
        <f>D6</f>
        <v>74</v>
      </c>
      <c r="E28" s="339">
        <f t="shared" si="0"/>
        <v>147278.13999999998</v>
      </c>
      <c r="F28" s="173">
        <f>E28/E38</f>
        <v>0.35226399084886573</v>
      </c>
    </row>
    <row r="29" spans="2:7" ht="25.5" x14ac:dyDescent="0.2">
      <c r="B29" s="329" t="s">
        <v>206</v>
      </c>
      <c r="C29" s="169">
        <f>C7</f>
        <v>5</v>
      </c>
      <c r="D29" s="169">
        <f>D7</f>
        <v>7</v>
      </c>
      <c r="E29" s="339">
        <f t="shared" si="0"/>
        <v>0</v>
      </c>
      <c r="F29" s="173">
        <f>E29/E38</f>
        <v>0</v>
      </c>
    </row>
    <row r="30" spans="2:7" ht="33.75" customHeight="1" x14ac:dyDescent="0.2">
      <c r="B30" s="328" t="s">
        <v>202</v>
      </c>
      <c r="C30" s="169">
        <f t="shared" si="0"/>
        <v>0</v>
      </c>
      <c r="D30" s="169">
        <f>D8</f>
        <v>2</v>
      </c>
      <c r="E30" s="339">
        <f t="shared" si="0"/>
        <v>0</v>
      </c>
      <c r="F30" s="173">
        <f>E30/E38</f>
        <v>0</v>
      </c>
    </row>
    <row r="31" spans="2:7" ht="15" x14ac:dyDescent="0.2">
      <c r="B31" s="328" t="s">
        <v>160</v>
      </c>
      <c r="C31" s="169">
        <f t="shared" si="0"/>
        <v>2</v>
      </c>
      <c r="D31" s="169">
        <f>D9</f>
        <v>3</v>
      </c>
      <c r="E31" s="339">
        <f>E9</f>
        <v>2571.4300000000003</v>
      </c>
      <c r="F31" s="173">
        <f>E31/E38</f>
        <v>6.1504184802204792E-3</v>
      </c>
    </row>
    <row r="32" spans="2:7" ht="30" x14ac:dyDescent="0.2">
      <c r="B32" s="328" t="s">
        <v>197</v>
      </c>
      <c r="C32" s="169">
        <f t="shared" si="0"/>
        <v>0</v>
      </c>
      <c r="D32" s="169">
        <f>D10</f>
        <v>2</v>
      </c>
      <c r="E32" s="339">
        <f t="shared" si="0"/>
        <v>0</v>
      </c>
      <c r="F32" s="173">
        <f>E32/E38</f>
        <v>0</v>
      </c>
    </row>
    <row r="33" spans="2:8" ht="15" x14ac:dyDescent="0.2">
      <c r="B33" s="328" t="s">
        <v>198</v>
      </c>
      <c r="C33" s="169">
        <f t="shared" ref="C33:E34" si="1">C12</f>
        <v>11</v>
      </c>
      <c r="D33" s="169">
        <f t="shared" si="1"/>
        <v>28</v>
      </c>
      <c r="E33" s="339">
        <f t="shared" si="1"/>
        <v>5242.87</v>
      </c>
      <c r="F33" s="173">
        <f>E33/E38</f>
        <v>1.2540043686739884E-2</v>
      </c>
    </row>
    <row r="34" spans="2:8" ht="15" x14ac:dyDescent="0.2">
      <c r="B34" s="330" t="s">
        <v>199</v>
      </c>
      <c r="C34" s="337">
        <f t="shared" si="1"/>
        <v>12</v>
      </c>
      <c r="D34" s="337">
        <f t="shared" si="1"/>
        <v>12</v>
      </c>
      <c r="E34" s="339">
        <f t="shared" si="1"/>
        <v>14857.179999999998</v>
      </c>
      <c r="F34" s="173">
        <f>E34/E38</f>
        <v>3.5535820316307302E-2</v>
      </c>
    </row>
    <row r="35" spans="2:8" ht="15" x14ac:dyDescent="0.2">
      <c r="B35" s="418" t="s">
        <v>161</v>
      </c>
      <c r="C35" s="169">
        <f t="shared" ref="C35:E37" si="2">C18</f>
        <v>0</v>
      </c>
      <c r="D35" s="169">
        <f t="shared" si="2"/>
        <v>56</v>
      </c>
      <c r="E35" s="340">
        <f t="shared" si="2"/>
        <v>54935.72</v>
      </c>
      <c r="F35" s="173">
        <f>E35/E38</f>
        <v>0.13139679770097484</v>
      </c>
    </row>
    <row r="36" spans="2:8" ht="15" x14ac:dyDescent="0.2">
      <c r="B36" s="331" t="s">
        <v>162</v>
      </c>
      <c r="C36" s="169">
        <f t="shared" si="2"/>
        <v>0</v>
      </c>
      <c r="D36" s="169">
        <f t="shared" si="2"/>
        <v>46</v>
      </c>
      <c r="E36" s="340">
        <f t="shared" si="2"/>
        <v>136000.19</v>
      </c>
      <c r="F36" s="173">
        <f>E36/E38</f>
        <v>0.32528907335198559</v>
      </c>
    </row>
    <row r="37" spans="2:8" ht="15.75" thickBot="1" x14ac:dyDescent="0.3">
      <c r="B37" s="332" t="s">
        <v>163</v>
      </c>
      <c r="C37" s="342">
        <f t="shared" si="2"/>
        <v>0</v>
      </c>
      <c r="D37" s="342">
        <f t="shared" si="2"/>
        <v>16</v>
      </c>
      <c r="E37" s="343">
        <f t="shared" si="2"/>
        <v>9890.4499999999989</v>
      </c>
      <c r="F37" s="333">
        <f>E37/E38</f>
        <v>2.3656256035628667E-2</v>
      </c>
    </row>
    <row r="38" spans="2:8" ht="15.75" thickBot="1" x14ac:dyDescent="0.25">
      <c r="B38" s="335" t="s">
        <v>0</v>
      </c>
      <c r="C38" s="170">
        <f>SUM(C27:C37)</f>
        <v>88</v>
      </c>
      <c r="D38" s="170">
        <f>SUM(D27:D37)</f>
        <v>298</v>
      </c>
      <c r="E38" s="344">
        <f>SUM(E27:E37)</f>
        <v>418090.25</v>
      </c>
      <c r="F38" s="346">
        <f>SUM(F27:F37)</f>
        <v>0.99999999999999989</v>
      </c>
      <c r="G38" s="15"/>
      <c r="H38" s="12"/>
    </row>
    <row r="39" spans="2:8" ht="15" x14ac:dyDescent="0.2">
      <c r="B39" s="172"/>
      <c r="C39" s="172"/>
      <c r="D39" s="172"/>
      <c r="E39" s="172"/>
    </row>
    <row r="40" spans="2:8" x14ac:dyDescent="0.2">
      <c r="B40" s="11"/>
      <c r="C40" s="11"/>
      <c r="D40" s="11"/>
      <c r="E40" s="11"/>
    </row>
    <row r="41" spans="2:8" x14ac:dyDescent="0.2">
      <c r="B41" s="11"/>
      <c r="C41" s="11"/>
      <c r="D41" s="11"/>
      <c r="E41" s="11"/>
    </row>
    <row r="42" spans="2:8" x14ac:dyDescent="0.2">
      <c r="B42" s="11"/>
      <c r="C42" s="11"/>
      <c r="D42" s="11"/>
      <c r="E42" s="11"/>
    </row>
    <row r="43" spans="2:8" x14ac:dyDescent="0.2">
      <c r="B43" s="11"/>
      <c r="C43" s="11"/>
      <c r="D43" s="11"/>
      <c r="E43" s="11"/>
    </row>
    <row r="44" spans="2:8" x14ac:dyDescent="0.2">
      <c r="B44" s="11"/>
      <c r="C44" s="11"/>
      <c r="D44" s="11"/>
      <c r="E44" s="11"/>
    </row>
    <row r="45" spans="2:8" x14ac:dyDescent="0.2">
      <c r="B45" s="11"/>
      <c r="C45" s="11"/>
      <c r="D45" s="11"/>
      <c r="E45" s="11"/>
    </row>
    <row r="46" spans="2:8" x14ac:dyDescent="0.2">
      <c r="B46" s="11"/>
      <c r="C46" s="11"/>
      <c r="D46" s="11"/>
      <c r="E46" s="11"/>
    </row>
    <row r="47" spans="2:8" x14ac:dyDescent="0.2">
      <c r="B47" s="11"/>
      <c r="C47" s="11"/>
      <c r="D47" s="11"/>
      <c r="E47" s="11"/>
    </row>
    <row r="48" spans="2:8" x14ac:dyDescent="0.2">
      <c r="B48" s="11"/>
      <c r="C48" s="11"/>
      <c r="D48" s="11"/>
      <c r="E48" s="11"/>
    </row>
    <row r="49" spans="2:5" x14ac:dyDescent="0.2">
      <c r="B49" s="11"/>
      <c r="C49" s="11"/>
      <c r="D49" s="11"/>
      <c r="E49" s="11"/>
    </row>
  </sheetData>
  <mergeCells count="2">
    <mergeCell ref="B16:F16"/>
    <mergeCell ref="B22:F2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topLeftCell="C10" zoomScale="106" zoomScaleNormal="106" workbookViewId="0">
      <selection activeCell="J16" sqref="J16"/>
    </sheetView>
  </sheetViews>
  <sheetFormatPr baseColWidth="10" defaultColWidth="11.42578125" defaultRowHeight="12.75" x14ac:dyDescent="0.2"/>
  <cols>
    <col min="1" max="2" width="8" style="2" customWidth="1"/>
    <col min="3" max="3" width="7.85546875" style="2" customWidth="1"/>
    <col min="4" max="4" width="8" style="2" customWidth="1"/>
    <col min="5" max="5" width="7.7109375" style="2" customWidth="1"/>
    <col min="6" max="6" width="8.28515625" style="2" customWidth="1"/>
    <col min="7" max="7" width="13.5703125" style="2" customWidth="1"/>
    <col min="8" max="8" width="15.5703125" style="2" customWidth="1"/>
    <col min="9" max="9" width="12.5703125" style="2" customWidth="1"/>
    <col min="10" max="10" width="13" style="2" customWidth="1"/>
    <col min="11" max="11" width="11.5703125" style="2" customWidth="1"/>
    <col min="12" max="12" width="11.28515625" style="2" customWidth="1"/>
    <col min="13" max="13" width="11.85546875" style="2" customWidth="1"/>
    <col min="14" max="14" width="12.7109375" style="2" customWidth="1"/>
    <col min="15" max="15" width="12" style="2" customWidth="1"/>
    <col min="16" max="16" width="15.140625" style="376" customWidth="1"/>
    <col min="17" max="17" width="16" style="376" customWidth="1"/>
    <col min="18" max="18" width="15.42578125" style="376" customWidth="1"/>
    <col min="19" max="19" width="11.42578125" style="376"/>
    <col min="20" max="20" width="11.42578125" style="2"/>
    <col min="21" max="21" width="14" style="2" bestFit="1" customWidth="1"/>
    <col min="22" max="22" width="17.7109375" style="2" customWidth="1"/>
    <col min="23" max="16384" width="11.42578125" style="2"/>
  </cols>
  <sheetData>
    <row r="1" spans="1:22" x14ac:dyDescent="0.2">
      <c r="P1" s="462" t="s">
        <v>203</v>
      </c>
    </row>
    <row r="6" spans="1:22" x14ac:dyDescent="0.2">
      <c r="A6" s="532" t="s">
        <v>172</v>
      </c>
      <c r="B6" s="532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</row>
    <row r="7" spans="1:22" x14ac:dyDescent="0.2">
      <c r="A7" s="532" t="s">
        <v>497</v>
      </c>
      <c r="B7" s="532"/>
      <c r="C7" s="532"/>
      <c r="D7" s="532"/>
      <c r="E7" s="532"/>
      <c r="F7" s="532"/>
      <c r="G7" s="532"/>
      <c r="H7" s="532"/>
      <c r="I7" s="532"/>
      <c r="J7" s="532"/>
      <c r="K7" s="532"/>
      <c r="L7" s="532"/>
      <c r="M7" s="532"/>
      <c r="N7" s="532"/>
      <c r="O7" s="532"/>
      <c r="P7" s="532"/>
    </row>
    <row r="8" spans="1:22" ht="12.75" customHeight="1" thickBot="1" x14ac:dyDescent="0.25"/>
    <row r="9" spans="1:22" ht="12.75" customHeight="1" thickBot="1" x14ac:dyDescent="0.25">
      <c r="A9" s="537" t="s">
        <v>7</v>
      </c>
      <c r="B9" s="533" t="s">
        <v>503</v>
      </c>
      <c r="C9" s="535" t="s">
        <v>502</v>
      </c>
      <c r="D9" s="535" t="s">
        <v>504</v>
      </c>
      <c r="E9" s="525" t="s">
        <v>192</v>
      </c>
      <c r="F9" s="526"/>
      <c r="G9" s="530" t="s">
        <v>141</v>
      </c>
      <c r="H9" s="527" t="s">
        <v>166</v>
      </c>
      <c r="I9" s="528"/>
      <c r="J9" s="528"/>
      <c r="K9" s="528"/>
      <c r="L9" s="529"/>
      <c r="M9" s="526" t="s">
        <v>142</v>
      </c>
      <c r="N9" s="533" t="s">
        <v>143</v>
      </c>
      <c r="O9" s="525" t="s">
        <v>150</v>
      </c>
      <c r="P9" s="540" t="s">
        <v>1</v>
      </c>
      <c r="T9" s="345"/>
      <c r="U9" s="345"/>
    </row>
    <row r="10" spans="1:22" ht="75.75" customHeight="1" thickBot="1" x14ac:dyDescent="0.25">
      <c r="A10" s="538"/>
      <c r="B10" s="534"/>
      <c r="C10" s="536"/>
      <c r="D10" s="536"/>
      <c r="E10" s="179" t="s">
        <v>170</v>
      </c>
      <c r="F10" s="179" t="s">
        <v>171</v>
      </c>
      <c r="G10" s="531"/>
      <c r="H10" s="180" t="s">
        <v>169</v>
      </c>
      <c r="I10" s="180" t="s">
        <v>201</v>
      </c>
      <c r="J10" s="181" t="s">
        <v>18</v>
      </c>
      <c r="K10" s="174" t="s">
        <v>17</v>
      </c>
      <c r="L10" s="175" t="s">
        <v>167</v>
      </c>
      <c r="M10" s="534"/>
      <c r="N10" s="534"/>
      <c r="O10" s="539"/>
      <c r="P10" s="541"/>
      <c r="Q10" s="377"/>
      <c r="R10" s="376" t="s">
        <v>149</v>
      </c>
      <c r="S10" s="376" t="s">
        <v>262</v>
      </c>
      <c r="T10" s="345"/>
      <c r="U10" s="345"/>
    </row>
    <row r="11" spans="1:22" ht="23.1" customHeight="1" x14ac:dyDescent="0.2">
      <c r="A11" s="177" t="s">
        <v>2</v>
      </c>
      <c r="B11" s="178">
        <v>0</v>
      </c>
      <c r="C11" s="274">
        <f>16+17+13+15+1</f>
        <v>62</v>
      </c>
      <c r="D11" s="274">
        <f>3+37+36+24+38</f>
        <v>138</v>
      </c>
      <c r="E11" s="178">
        <f>7+9+4+8</f>
        <v>28</v>
      </c>
      <c r="F11" s="178">
        <f>9+8+9+7+1</f>
        <v>34</v>
      </c>
      <c r="G11" s="176">
        <f>(21257.09+0.04)+(40114.3-0.04+0.01+385.71)+(15428.57-0.02)+(19405.7-0.01+0.01+1165.72)</f>
        <v>97757.08</v>
      </c>
      <c r="H11" s="275">
        <f>(47131.44-0.04+0.04+542.85)+(52571.41-0.04+0.04+1000.01)+(26571.43-0.03+0.01)+(58422.8-0.03+0.07+2457.15)</f>
        <v>188697.11000000002</v>
      </c>
      <c r="I11" s="275">
        <v>0</v>
      </c>
      <c r="J11" s="176">
        <f>(300+300+300+300)+(1200)+(285.7+285.72+285.72+285.72)+(200+200+200+200)+(285.72+285.7+285.72+285.72)</f>
        <v>5485.7200000000012</v>
      </c>
      <c r="K11" s="157">
        <v>0</v>
      </c>
      <c r="L11" s="157">
        <v>0</v>
      </c>
      <c r="M11" s="176">
        <f>(342.86+400+400)+(1142.86)+(285.72-0.01)</f>
        <v>2571.4300000000003</v>
      </c>
      <c r="N11" s="275">
        <f>10*1142.86</f>
        <v>11428.599999999999</v>
      </c>
      <c r="O11" s="182">
        <v>0</v>
      </c>
      <c r="P11" s="378">
        <f t="shared" ref="P11:P22" si="0">G11+H11+I11+J11+K11+L11+M11+N11+O11</f>
        <v>305939.94</v>
      </c>
      <c r="Q11" s="379">
        <f>P11+'2. COMPR DEV 30%'!E9+'2. COMPR DEV 30%'!C9+'3. COMP VR'!C9+'3. COMP VR'!E9+'4. COMP VP'!D12+'4. COMP VP'!F12</f>
        <v>435116.20000000007</v>
      </c>
      <c r="R11" s="471" t="s">
        <v>263</v>
      </c>
      <c r="S11" s="472" t="s">
        <v>264</v>
      </c>
      <c r="T11" s="345"/>
      <c r="U11" s="466"/>
      <c r="V11" s="419"/>
    </row>
    <row r="12" spans="1:22" ht="23.1" customHeight="1" x14ac:dyDescent="0.2">
      <c r="A12" s="158" t="s">
        <v>3</v>
      </c>
      <c r="B12" s="178">
        <v>0</v>
      </c>
      <c r="C12" s="274">
        <f>17+14+17+18</f>
        <v>66</v>
      </c>
      <c r="D12" s="274">
        <f>29+37+42+47</f>
        <v>155</v>
      </c>
      <c r="E12" s="178">
        <f>8+4+10+11</f>
        <v>33</v>
      </c>
      <c r="F12" s="178">
        <f>9+10+7+7</f>
        <v>33</v>
      </c>
      <c r="G12" s="176">
        <f>(34285.71-0.03+0.01)+(16457.13-0.01+0.02)+(36342.83-0.02+0.04)+(30857.14-0.03+0.02)</f>
        <v>117942.81000000001</v>
      </c>
      <c r="H12" s="275">
        <f>(36000.01-0.03)+(51257.16-0.05+0.02)+(50274.28-0.04+0.02)+(101828.5+0.08+571.42)</f>
        <v>239931.37</v>
      </c>
      <c r="I12" s="275">
        <v>0</v>
      </c>
      <c r="J12" s="176">
        <f>(190.47+190.48+190.48)+(190.47)+(1142.86)+(600+600)+(600+600)</f>
        <v>4304.76</v>
      </c>
      <c r="K12" s="157">
        <v>0</v>
      </c>
      <c r="L12" s="157">
        <v>0</v>
      </c>
      <c r="M12" s="176">
        <f>(2285.71)+(9142.86)</f>
        <v>11428.57</v>
      </c>
      <c r="N12" s="275">
        <f>12*1142.86</f>
        <v>13714.32</v>
      </c>
      <c r="O12" s="182">
        <v>0</v>
      </c>
      <c r="P12" s="378">
        <f t="shared" si="0"/>
        <v>387321.83</v>
      </c>
      <c r="Q12" s="380">
        <f>P12+'2. COMPR DEV 30%'!C10+'2. COMPR DEV 30%'!E10+'3. COMP VR'!C10+'3. COMP VR'!E10+'4. COMP VP'!D13+'4. COMP VP'!F13</f>
        <v>609328.7699999999</v>
      </c>
      <c r="R12" s="381"/>
      <c r="T12" s="345"/>
      <c r="U12" s="466"/>
      <c r="V12" s="419"/>
    </row>
    <row r="13" spans="1:22" ht="23.1" customHeight="1" x14ac:dyDescent="0.2">
      <c r="A13" s="158" t="s">
        <v>4</v>
      </c>
      <c r="B13" s="178">
        <f>2+1+5+8</f>
        <v>16</v>
      </c>
      <c r="C13" s="274">
        <f>1+13+1+1+1+15+10+5+1</f>
        <v>48</v>
      </c>
      <c r="D13" s="274">
        <f>4+35+1+1+5+33+22+28+1</f>
        <v>130</v>
      </c>
      <c r="E13" s="178">
        <f>7+1+1+3+7+8</f>
        <v>27</v>
      </c>
      <c r="F13" s="178">
        <f>1+8+1+13+8+5+1</f>
        <v>37</v>
      </c>
      <c r="G13" s="176">
        <f>(23999.97-0.02+0.04)+(10285.71)+(18000-0.01)+(14880.01-0.02)</f>
        <v>67165.680000000008</v>
      </c>
      <c r="H13" s="275">
        <f>(31542.89-0.06+0.01+1428.57)+(24308.59-0.04+0.03)+(54428.56-0.03+0.01+571.44)+(48600-0.02+0.02)</f>
        <v>160879.97</v>
      </c>
      <c r="I13" s="275">
        <f>(342.86+685.71+1200+1200)+(11428.57)</f>
        <v>14857.14</v>
      </c>
      <c r="J13" s="176">
        <f>(571.43)+(1142.86)+(95.24+95.24+95.24+95.24+95.24+95.24-0.01)+(228.57+228.57+0.01+228.57+228.57+228.57)+(571.43+571.43)+(1142.86)+(285.72-0.01+285.72)+(285.72-0.02+285.72+285.72+285.72)+(914.29+228.57)+(228.57+228.57+228.57)</f>
        <v>9257.16</v>
      </c>
      <c r="K13" s="157">
        <v>0</v>
      </c>
      <c r="L13" s="157">
        <v>0</v>
      </c>
      <c r="M13" s="176">
        <f>(2285.72)+(3428.57)+(228.57+0.01+228.57+228.57+228.57+228.57)+(1142.86)</f>
        <v>8000.0099999999993</v>
      </c>
      <c r="N13" s="275">
        <f>14*1142.86</f>
        <v>16000.039999999999</v>
      </c>
      <c r="O13" s="182">
        <v>0</v>
      </c>
      <c r="P13" s="378">
        <f t="shared" si="0"/>
        <v>276160.00000000006</v>
      </c>
      <c r="Q13" s="380">
        <f>P13+'2. COMPR DEV 30%'!C11+'2. COMPR DEV 30%'!E11+'3. COMP VR'!C11+'3. COMP VR'!E11+'4. COMP VP'!D14+'4. COMP VP'!F14</f>
        <v>522218.82</v>
      </c>
      <c r="R13" s="382"/>
      <c r="T13" s="345"/>
      <c r="U13" s="466"/>
      <c r="V13" s="419"/>
    </row>
    <row r="14" spans="1:22" ht="23.1" customHeight="1" x14ac:dyDescent="0.2">
      <c r="A14" s="158" t="s">
        <v>5</v>
      </c>
      <c r="B14" s="178">
        <f>4+10+8+7</f>
        <v>29</v>
      </c>
      <c r="C14" s="274">
        <f>9+5+6+5+1</f>
        <v>26</v>
      </c>
      <c r="D14" s="274">
        <f>32+35+39+29+1</f>
        <v>136</v>
      </c>
      <c r="E14" s="178">
        <f>5+8+6+6</f>
        <v>25</v>
      </c>
      <c r="F14" s="178">
        <f>8+7+8+6+1</f>
        <v>30</v>
      </c>
      <c r="G14" s="176">
        <f>(9428.58-0.01)+(13714.29-0.02+0.01)+(13714.3-0.02)+(13714.27+0.01)</f>
        <v>50571.409999999996</v>
      </c>
      <c r="H14" s="275">
        <f>(31440.02-0.04+0.02+228.57)+(45051.41-0.05+0.04)+(50034.28-0.05+0.04)+(44571.4-0.01+0.02)</f>
        <v>171325.65</v>
      </c>
      <c r="I14" s="275">
        <v>0</v>
      </c>
      <c r="J14" s="176">
        <f>(380.95)+(304.76+304.76+304.76+0.01)+(1142.86)+(800)+(571.43+571.43)</f>
        <v>4380.96</v>
      </c>
      <c r="K14" s="157">
        <f>(5714.3-0.01)</f>
        <v>5714.29</v>
      </c>
      <c r="L14" s="157">
        <v>0</v>
      </c>
      <c r="M14" s="176">
        <f>(1142.86)+(2285.72-0.01)+(1142.86)+(333.34)</f>
        <v>4904.7699999999995</v>
      </c>
      <c r="N14" s="275">
        <f>6*1142.86</f>
        <v>6857.16</v>
      </c>
      <c r="O14" s="182">
        <v>0</v>
      </c>
      <c r="P14" s="378">
        <f t="shared" si="0"/>
        <v>243754.23999999999</v>
      </c>
      <c r="Q14" s="380">
        <f>P14+'2. COMPR DEV 30%'!C12+'2. COMPR DEV 30%'!E12+'3. COMP VR'!C12+'3. COMP VR'!E12+'4. COMP VP'!D15+'4. COMP VP'!F15</f>
        <v>391219.13</v>
      </c>
      <c r="T14" s="345"/>
      <c r="U14" s="466"/>
      <c r="V14" s="419"/>
    </row>
    <row r="15" spans="1:22" ht="23.1" customHeight="1" x14ac:dyDescent="0.2">
      <c r="A15" s="158" t="s">
        <v>6</v>
      </c>
      <c r="B15" s="178">
        <f>5+5+6+4</f>
        <v>20</v>
      </c>
      <c r="C15" s="274">
        <f>5+3+3+5</f>
        <v>16</v>
      </c>
      <c r="D15" s="274">
        <f>19+15+22+14</f>
        <v>70</v>
      </c>
      <c r="E15" s="178">
        <f>3+3+5+4</f>
        <v>15</v>
      </c>
      <c r="F15" s="178">
        <f>7+5+4+5</f>
        <v>21</v>
      </c>
      <c r="G15" s="176">
        <f>(17142.87-0.02)+(3428.57)+(4285.72-0.01)+(14400-0.01)</f>
        <v>39257.119999999995</v>
      </c>
      <c r="H15" s="275">
        <f>(14487.54-0.02+0.01+1131.44)+(17428.58-0.03+0.01+1714.29)+(32114.31-0.03+171.43)+(32285.73-0.02)</f>
        <v>99333.24000000002</v>
      </c>
      <c r="I15" s="275">
        <v>0</v>
      </c>
      <c r="J15" s="176">
        <f>(380.95+0.01+380.95+380.95)+(571.43+571.43)+(571.43)+(1142.86)+(1200)+(1142.86)+(1142.86)</f>
        <v>7485.7299999999987</v>
      </c>
      <c r="K15" s="157">
        <v>0</v>
      </c>
      <c r="L15" s="157">
        <v>0</v>
      </c>
      <c r="M15" s="176">
        <f>(8000.01-0.01)+(1142.86)</f>
        <v>9142.86</v>
      </c>
      <c r="N15" s="275">
        <f>7*1142.86</f>
        <v>8000.0199999999995</v>
      </c>
      <c r="O15" s="182">
        <v>0</v>
      </c>
      <c r="P15" s="378">
        <f t="shared" si="0"/>
        <v>163218.97</v>
      </c>
      <c r="Q15" s="380">
        <f>P15+'2. COMPR DEV 30%'!C13+'2. COMPR DEV 30%'!E13+'3. COMP VR'!C13+'3. COMP VR'!E13+'4. COMP VP'!D16+'4. COMP VP'!F16</f>
        <v>387642.55</v>
      </c>
      <c r="R15" s="381"/>
      <c r="T15" s="345"/>
      <c r="U15" s="466"/>
      <c r="V15" s="419"/>
    </row>
    <row r="16" spans="1:22" ht="23.1" customHeight="1" x14ac:dyDescent="0.2">
      <c r="A16" s="158" t="s">
        <v>8</v>
      </c>
      <c r="B16" s="178">
        <f>6+7+8+5</f>
        <v>26</v>
      </c>
      <c r="C16" s="274">
        <f>4+2+1+1+5</f>
        <v>13</v>
      </c>
      <c r="D16" s="274">
        <f>21+18+19+12+3</f>
        <v>73</v>
      </c>
      <c r="E16" s="178">
        <f>3+3+1+3+6</f>
        <v>16</v>
      </c>
      <c r="F16" s="178">
        <f>7+6+6+4</f>
        <v>23</v>
      </c>
      <c r="G16" s="176">
        <f>(9600)+(10285.71)+(17142.85)+(10285.71)</f>
        <v>47314.27</v>
      </c>
      <c r="H16" s="275">
        <f>(29729.58-0.02+0.03)+(22925.74-0.04+11428.58)+(46714.29-0.01)+(30765.72-0.02+5714.29)</f>
        <v>147278.13999999998</v>
      </c>
      <c r="I16" s="275">
        <v>0</v>
      </c>
      <c r="J16" s="176">
        <f>(1142.86)+(571.43+571.43)+(1142.86)+(300+300+300)+(228.57+228.57+228.57+228.57+0.01)</f>
        <v>5242.87</v>
      </c>
      <c r="K16" s="157">
        <v>0</v>
      </c>
      <c r="L16" s="157">
        <v>0</v>
      </c>
      <c r="M16" s="176">
        <f>(285.72-0.02+285.72+285.72)+(1714.29)</f>
        <v>2571.4300000000003</v>
      </c>
      <c r="N16" s="275">
        <f>13*1142.86</f>
        <v>14857.179999999998</v>
      </c>
      <c r="O16" s="182">
        <v>0</v>
      </c>
      <c r="P16" s="378">
        <f t="shared" si="0"/>
        <v>217263.88999999996</v>
      </c>
      <c r="Q16" s="380">
        <f>P16+'2. COMPR DEV 30%'!C14+'2. COMPR DEV 30%'!E14+'3. COMP VR'!C14+'3. COMP VR'!E14+'4. COMP VP'!D17+'4. COMP VP'!F17</f>
        <v>418090.24999999988</v>
      </c>
      <c r="T16" s="345"/>
      <c r="U16" s="466"/>
      <c r="V16" s="419"/>
    </row>
    <row r="17" spans="1:24" ht="23.1" customHeight="1" x14ac:dyDescent="0.2">
      <c r="A17" s="158" t="s">
        <v>9</v>
      </c>
      <c r="B17" s="178">
        <v>0</v>
      </c>
      <c r="C17" s="274">
        <v>0</v>
      </c>
      <c r="D17" s="274">
        <v>0</v>
      </c>
      <c r="E17" s="178">
        <v>0</v>
      </c>
      <c r="F17" s="178">
        <v>0</v>
      </c>
      <c r="G17" s="176">
        <v>0</v>
      </c>
      <c r="H17" s="275">
        <v>0</v>
      </c>
      <c r="I17" s="275">
        <v>0</v>
      </c>
      <c r="J17" s="176">
        <v>0</v>
      </c>
      <c r="K17" s="157">
        <v>0</v>
      </c>
      <c r="L17" s="157">
        <v>0</v>
      </c>
      <c r="M17" s="176">
        <v>0</v>
      </c>
      <c r="N17" s="275">
        <v>0</v>
      </c>
      <c r="O17" s="182">
        <v>0</v>
      </c>
      <c r="P17" s="378">
        <f t="shared" si="0"/>
        <v>0</v>
      </c>
      <c r="Q17" s="380">
        <f>P17+'2. COMPR DEV 30%'!C15+'2. COMPR DEV 30%'!E15+'3. COMP VR'!C15+'3. COMP VR'!E15+'4. COMP VP'!D18+'4. COMP VP'!F18</f>
        <v>0</v>
      </c>
      <c r="R17" s="380"/>
      <c r="T17" s="345"/>
      <c r="U17" s="466"/>
      <c r="V17" s="419"/>
    </row>
    <row r="18" spans="1:24" ht="23.1" customHeight="1" x14ac:dyDescent="0.2">
      <c r="A18" s="158" t="s">
        <v>10</v>
      </c>
      <c r="B18" s="178">
        <v>0</v>
      </c>
      <c r="C18" s="274">
        <v>0</v>
      </c>
      <c r="D18" s="274">
        <v>0</v>
      </c>
      <c r="E18" s="178">
        <v>0</v>
      </c>
      <c r="F18" s="178">
        <v>0</v>
      </c>
      <c r="G18" s="176">
        <v>0</v>
      </c>
      <c r="H18" s="275">
        <v>0</v>
      </c>
      <c r="I18" s="275">
        <v>0</v>
      </c>
      <c r="J18" s="176">
        <v>0</v>
      </c>
      <c r="K18" s="157">
        <v>0</v>
      </c>
      <c r="L18" s="157">
        <v>0</v>
      </c>
      <c r="M18" s="176">
        <v>0</v>
      </c>
      <c r="N18" s="275">
        <v>0</v>
      </c>
      <c r="O18" s="182">
        <v>0</v>
      </c>
      <c r="P18" s="378">
        <f t="shared" si="0"/>
        <v>0</v>
      </c>
      <c r="Q18" s="380">
        <f>P18+'2. COMPR DEV 30%'!C16+'2. COMPR DEV 30%'!E16+'3. COMP VR'!C16+'3. COMP VR'!E16+'4. COMP VP'!D19+'4. COMP VP'!F19</f>
        <v>0</v>
      </c>
      <c r="T18" s="345"/>
      <c r="U18" s="466"/>
      <c r="V18" s="419"/>
    </row>
    <row r="19" spans="1:24" ht="23.1" customHeight="1" x14ac:dyDescent="0.2">
      <c r="A19" s="159" t="s">
        <v>12</v>
      </c>
      <c r="B19" s="178">
        <v>0</v>
      </c>
      <c r="C19" s="274">
        <v>0</v>
      </c>
      <c r="D19" s="274">
        <v>0</v>
      </c>
      <c r="E19" s="178">
        <v>0</v>
      </c>
      <c r="F19" s="178">
        <v>0</v>
      </c>
      <c r="G19" s="176">
        <v>0</v>
      </c>
      <c r="H19" s="275">
        <v>0</v>
      </c>
      <c r="I19" s="275">
        <v>0</v>
      </c>
      <c r="J19" s="176">
        <v>0</v>
      </c>
      <c r="K19" s="157">
        <v>0</v>
      </c>
      <c r="L19" s="157">
        <v>0</v>
      </c>
      <c r="M19" s="176">
        <v>0</v>
      </c>
      <c r="N19" s="275">
        <v>0</v>
      </c>
      <c r="O19" s="182">
        <v>0</v>
      </c>
      <c r="P19" s="378">
        <f t="shared" si="0"/>
        <v>0</v>
      </c>
      <c r="Q19" s="380">
        <f>P19+'2. COMPR DEV 30%'!C17+'2. COMPR DEV 30%'!E17+'3. COMP VR'!C17+'3. COMP VR'!E17+'4. COMP VP'!D20+'4. COMP VP'!F20</f>
        <v>0</v>
      </c>
      <c r="R19" s="381"/>
      <c r="T19" s="345"/>
      <c r="U19" s="466"/>
      <c r="V19" s="419"/>
      <c r="X19" s="419"/>
    </row>
    <row r="20" spans="1:24" ht="23.1" customHeight="1" x14ac:dyDescent="0.2">
      <c r="A20" s="160" t="s">
        <v>13</v>
      </c>
      <c r="B20" s="178">
        <v>0</v>
      </c>
      <c r="C20" s="274">
        <v>0</v>
      </c>
      <c r="D20" s="274">
        <v>0</v>
      </c>
      <c r="E20" s="178">
        <v>0</v>
      </c>
      <c r="F20" s="178">
        <v>0</v>
      </c>
      <c r="G20" s="176">
        <v>0</v>
      </c>
      <c r="H20" s="275">
        <v>0</v>
      </c>
      <c r="I20" s="275">
        <v>0</v>
      </c>
      <c r="J20" s="176">
        <v>0</v>
      </c>
      <c r="K20" s="157">
        <v>0</v>
      </c>
      <c r="L20" s="157">
        <v>0</v>
      </c>
      <c r="M20" s="176">
        <v>0</v>
      </c>
      <c r="N20" s="275">
        <v>0</v>
      </c>
      <c r="O20" s="182">
        <v>0</v>
      </c>
      <c r="P20" s="378">
        <f t="shared" si="0"/>
        <v>0</v>
      </c>
      <c r="Q20" s="380">
        <f>P20+'2. COMPR DEV 30%'!C18+'2. COMPR DEV 30%'!E18+'3. COMP VR'!C18+'3. COMP VR'!E18+'4. COMP VP'!D21+'4. COMP VP'!F21</f>
        <v>0</v>
      </c>
      <c r="R20" s="383"/>
      <c r="T20" s="376"/>
      <c r="U20" s="466"/>
      <c r="V20" s="419"/>
    </row>
    <row r="21" spans="1:24" ht="23.1" customHeight="1" x14ac:dyDescent="0.2">
      <c r="A21" s="161" t="s">
        <v>14</v>
      </c>
      <c r="B21" s="178">
        <v>0</v>
      </c>
      <c r="C21" s="274">
        <v>0</v>
      </c>
      <c r="D21" s="274">
        <v>0</v>
      </c>
      <c r="E21" s="178">
        <v>0</v>
      </c>
      <c r="F21" s="178">
        <v>0</v>
      </c>
      <c r="G21" s="176">
        <v>0</v>
      </c>
      <c r="H21" s="275">
        <v>0</v>
      </c>
      <c r="I21" s="275">
        <v>0</v>
      </c>
      <c r="J21" s="176">
        <v>0</v>
      </c>
      <c r="K21" s="157">
        <v>0</v>
      </c>
      <c r="L21" s="157">
        <v>0</v>
      </c>
      <c r="M21" s="176">
        <v>0</v>
      </c>
      <c r="N21" s="275">
        <v>0</v>
      </c>
      <c r="O21" s="182">
        <v>0</v>
      </c>
      <c r="P21" s="378">
        <f t="shared" si="0"/>
        <v>0</v>
      </c>
      <c r="Q21" s="380">
        <f>P21+'2. COMPR DEV 30%'!C19+'2. COMPR DEV 30%'!E19+'3. COMP VR'!C19+'3. COMP VR'!E19+'4. COMP VP'!D22+'4. COMP VP'!F22</f>
        <v>0</v>
      </c>
      <c r="R21" s="381"/>
      <c r="T21" s="376"/>
      <c r="U21" s="466"/>
      <c r="V21" s="419"/>
    </row>
    <row r="22" spans="1:24" ht="23.1" customHeight="1" thickBot="1" x14ac:dyDescent="0.25">
      <c r="A22" s="161" t="s">
        <v>15</v>
      </c>
      <c r="B22" s="178">
        <v>0</v>
      </c>
      <c r="C22" s="274">
        <v>0</v>
      </c>
      <c r="D22" s="274">
        <v>0</v>
      </c>
      <c r="E22" s="178">
        <v>0</v>
      </c>
      <c r="F22" s="178">
        <v>0</v>
      </c>
      <c r="G22" s="176">
        <v>0</v>
      </c>
      <c r="H22" s="275">
        <v>0</v>
      </c>
      <c r="I22" s="275">
        <v>0</v>
      </c>
      <c r="J22" s="176">
        <v>0</v>
      </c>
      <c r="K22" s="157">
        <v>0</v>
      </c>
      <c r="L22" s="157">
        <v>0</v>
      </c>
      <c r="M22" s="176">
        <v>0</v>
      </c>
      <c r="N22" s="275">
        <v>0</v>
      </c>
      <c r="O22" s="182">
        <v>0</v>
      </c>
      <c r="P22" s="378">
        <f t="shared" si="0"/>
        <v>0</v>
      </c>
      <c r="Q22" s="380">
        <f>P22+'2. COMPR DEV 30%'!C20+'2. COMPR DEV 30%'!E20+'3. COMP VR'!C20+'3. COMP VR'!E20+'4. COMP VP'!D23+'4. COMP VP'!F23</f>
        <v>0</v>
      </c>
      <c r="R22" s="380"/>
      <c r="T22" s="376"/>
      <c r="U22" s="466"/>
      <c r="V22" s="419"/>
    </row>
    <row r="23" spans="1:24" ht="27.75" customHeight="1" thickBot="1" x14ac:dyDescent="0.25">
      <c r="A23" s="183" t="s">
        <v>0</v>
      </c>
      <c r="B23" s="184">
        <f t="shared" ref="B23:I23" si="1">SUM(B11:B22)</f>
        <v>91</v>
      </c>
      <c r="C23" s="184">
        <f t="shared" si="1"/>
        <v>231</v>
      </c>
      <c r="D23" s="184">
        <f t="shared" si="1"/>
        <v>702</v>
      </c>
      <c r="E23" s="184">
        <f t="shared" si="1"/>
        <v>144</v>
      </c>
      <c r="F23" s="184">
        <f t="shared" si="1"/>
        <v>178</v>
      </c>
      <c r="G23" s="185">
        <f t="shared" si="1"/>
        <v>420008.37</v>
      </c>
      <c r="H23" s="185">
        <f t="shared" si="1"/>
        <v>1007445.48</v>
      </c>
      <c r="I23" s="185">
        <f t="shared" si="1"/>
        <v>14857.14</v>
      </c>
      <c r="J23" s="185">
        <f t="shared" ref="J23:O23" si="2">SUM(J11:J22)</f>
        <v>36157.199999999997</v>
      </c>
      <c r="K23" s="185">
        <f t="shared" si="2"/>
        <v>5714.29</v>
      </c>
      <c r="L23" s="185">
        <f t="shared" si="2"/>
        <v>0</v>
      </c>
      <c r="M23" s="185">
        <f t="shared" si="2"/>
        <v>38619.07</v>
      </c>
      <c r="N23" s="185">
        <f t="shared" si="2"/>
        <v>70857.319999999992</v>
      </c>
      <c r="O23" s="186">
        <f t="shared" si="2"/>
        <v>0</v>
      </c>
      <c r="P23" s="384">
        <f>G23+H23+I23+J23+K23+L23+M23+N23+O23</f>
        <v>1593658.87</v>
      </c>
      <c r="Q23" s="385">
        <f>SUM(Q11:Q22)</f>
        <v>2763615.7199999997</v>
      </c>
      <c r="T23" s="345"/>
      <c r="U23" s="466"/>
      <c r="V23" s="419"/>
    </row>
    <row r="24" spans="1:24" s="376" customFormat="1" x14ac:dyDescent="0.2">
      <c r="A24" s="133" t="s">
        <v>486</v>
      </c>
      <c r="B24" s="467"/>
      <c r="C24" s="467"/>
      <c r="D24" s="467"/>
      <c r="E24" s="467"/>
      <c r="F24" s="467"/>
      <c r="G24" s="389"/>
      <c r="H24" s="467"/>
      <c r="I24" s="467"/>
      <c r="J24" s="467"/>
      <c r="K24" s="467"/>
      <c r="L24" s="467"/>
      <c r="M24" s="389"/>
      <c r="N24" s="2" t="s">
        <v>505</v>
      </c>
      <c r="O24" s="389"/>
      <c r="Q24" s="379">
        <f>SUM(Q11:Q23)-Q23</f>
        <v>2763615.7199999997</v>
      </c>
      <c r="R24" s="381"/>
    </row>
    <row r="25" spans="1:24" s="376" customFormat="1" x14ac:dyDescent="0.2">
      <c r="A25" s="6" t="s">
        <v>168</v>
      </c>
      <c r="B25" s="130"/>
      <c r="C25" s="467"/>
      <c r="D25" s="467"/>
      <c r="E25" s="467"/>
      <c r="F25" s="467"/>
      <c r="G25" s="389"/>
      <c r="H25" s="467"/>
      <c r="I25" s="467"/>
      <c r="J25" s="467"/>
      <c r="K25" s="467"/>
      <c r="L25" s="467"/>
      <c r="M25" s="389"/>
      <c r="N25" s="389"/>
      <c r="O25" s="389"/>
      <c r="P25" s="386"/>
      <c r="Q25" s="381"/>
      <c r="V25" s="381"/>
    </row>
    <row r="26" spans="1:24" s="376" customFormat="1" x14ac:dyDescent="0.2">
      <c r="B26" s="469"/>
      <c r="C26" s="467"/>
      <c r="D26" s="467"/>
      <c r="E26" s="467"/>
      <c r="F26" s="467"/>
      <c r="G26" s="389"/>
      <c r="H26" s="467"/>
      <c r="I26" s="467"/>
      <c r="J26" s="467"/>
      <c r="K26" s="467"/>
      <c r="L26" s="467"/>
      <c r="M26" s="389"/>
      <c r="N26" s="389"/>
      <c r="O26" s="389"/>
      <c r="P26" s="381"/>
      <c r="Q26" s="449"/>
      <c r="V26" s="381"/>
    </row>
    <row r="27" spans="1:24" s="376" customFormat="1" x14ac:dyDescent="0.2">
      <c r="A27" s="467"/>
      <c r="B27" s="469"/>
      <c r="C27" s="467"/>
      <c r="D27" s="467"/>
      <c r="E27" s="467"/>
      <c r="F27" s="467"/>
      <c r="G27" s="389"/>
      <c r="H27" s="467"/>
      <c r="I27" s="467"/>
      <c r="J27" s="467"/>
      <c r="K27" s="467"/>
      <c r="L27" s="467"/>
      <c r="M27" s="389"/>
      <c r="N27" s="389"/>
      <c r="O27" s="389"/>
      <c r="P27" s="381"/>
      <c r="Q27" s="381"/>
    </row>
    <row r="28" spans="1:24" s="376" customFormat="1" x14ac:dyDescent="0.2">
      <c r="A28" s="130" t="s">
        <v>147</v>
      </c>
      <c r="B28" s="469"/>
      <c r="C28" s="468"/>
      <c r="D28" s="468"/>
      <c r="E28" s="468"/>
      <c r="F28" s="468"/>
      <c r="G28" s="130"/>
      <c r="H28" s="468"/>
      <c r="I28" s="468"/>
      <c r="J28" s="468"/>
      <c r="K28" s="468"/>
      <c r="L28" s="468"/>
      <c r="M28" s="130"/>
      <c r="N28" s="130"/>
      <c r="O28" s="130"/>
      <c r="P28" s="130"/>
      <c r="Q28" s="381"/>
    </row>
    <row r="29" spans="1:24" s="376" customFormat="1" x14ac:dyDescent="0.2">
      <c r="A29" s="468"/>
      <c r="B29" s="469"/>
      <c r="C29" s="467"/>
      <c r="D29" s="467"/>
      <c r="E29" s="467"/>
      <c r="F29" s="467"/>
      <c r="G29" s="389"/>
      <c r="H29" s="467"/>
      <c r="I29" s="467"/>
      <c r="J29" s="467"/>
      <c r="K29" s="467"/>
      <c r="L29" s="467"/>
      <c r="M29" s="389"/>
      <c r="N29" s="389"/>
      <c r="O29" s="389"/>
      <c r="Q29" s="449"/>
      <c r="U29" s="381"/>
    </row>
    <row r="30" spans="1:24" s="376" customFormat="1" x14ac:dyDescent="0.2">
      <c r="A30" s="468"/>
      <c r="B30" s="130"/>
      <c r="C30" s="468"/>
      <c r="D30" s="468"/>
      <c r="E30" s="468"/>
      <c r="F30" s="468"/>
      <c r="G30" s="130"/>
      <c r="H30" s="468"/>
      <c r="I30" s="468"/>
      <c r="J30" s="468"/>
      <c r="K30" s="468"/>
      <c r="L30" s="468"/>
      <c r="M30" s="130"/>
      <c r="N30" s="130"/>
      <c r="O30" s="130"/>
      <c r="P30" s="130"/>
      <c r="Q30" s="449"/>
    </row>
    <row r="31" spans="1:24" s="376" customFormat="1" x14ac:dyDescent="0.2">
      <c r="A31" s="468"/>
      <c r="B31" s="130"/>
      <c r="C31" s="468"/>
      <c r="D31" s="468"/>
      <c r="E31" s="468"/>
      <c r="F31" s="468"/>
      <c r="G31" s="130"/>
      <c r="H31" s="468"/>
      <c r="I31" s="468"/>
      <c r="J31" s="468"/>
      <c r="K31" s="468"/>
      <c r="L31" s="468"/>
      <c r="M31" s="130"/>
      <c r="N31" s="130"/>
      <c r="O31" s="130"/>
      <c r="P31" s="130"/>
    </row>
    <row r="32" spans="1:24" s="376" customFormat="1" x14ac:dyDescent="0.2">
      <c r="A32" s="468"/>
      <c r="B32" s="130"/>
      <c r="C32" s="468"/>
      <c r="D32" s="468"/>
      <c r="E32" s="468"/>
      <c r="F32" s="468"/>
      <c r="G32" s="8" t="s">
        <v>487</v>
      </c>
      <c r="H32" s="505"/>
      <c r="I32" s="506"/>
      <c r="J32" s="507"/>
      <c r="K32" s="507"/>
      <c r="L32" s="5"/>
      <c r="M32" s="8" t="s">
        <v>130</v>
      </c>
      <c r="N32" s="505"/>
      <c r="O32" s="506"/>
      <c r="P32" s="387"/>
    </row>
    <row r="33" spans="1:18" s="376" customFormat="1" x14ac:dyDescent="0.2">
      <c r="A33" s="468"/>
      <c r="B33" s="130"/>
      <c r="D33" s="468"/>
      <c r="E33" s="468"/>
      <c r="F33" s="468"/>
      <c r="G33" s="16"/>
      <c r="H33" s="9" t="s">
        <v>488</v>
      </c>
      <c r="I33" s="2"/>
      <c r="J33" s="6"/>
      <c r="K33" s="6"/>
      <c r="L33" s="5"/>
      <c r="M33" s="16"/>
      <c r="N33" s="9" t="s">
        <v>490</v>
      </c>
      <c r="O33" s="2"/>
    </row>
    <row r="34" spans="1:18" s="376" customFormat="1" x14ac:dyDescent="0.2">
      <c r="A34" s="468"/>
      <c r="B34" s="130"/>
      <c r="C34" s="468"/>
      <c r="D34" s="468"/>
      <c r="E34" s="468"/>
      <c r="F34" s="468"/>
      <c r="G34" s="4"/>
      <c r="H34" s="508" t="s">
        <v>491</v>
      </c>
      <c r="I34" s="2"/>
      <c r="J34" s="3"/>
      <c r="K34" s="3"/>
      <c r="L34" s="2"/>
      <c r="M34" s="4"/>
      <c r="N34" s="508" t="s">
        <v>489</v>
      </c>
      <c r="O34" s="2"/>
      <c r="Q34" s="470"/>
    </row>
    <row r="35" spans="1:18" x14ac:dyDescent="0.2">
      <c r="A35" s="6"/>
      <c r="B35" s="460"/>
      <c r="C35" s="461"/>
      <c r="D35" s="461"/>
      <c r="E35" s="461"/>
      <c r="F35" s="461"/>
      <c r="G35" s="345"/>
      <c r="H35" s="461"/>
      <c r="I35" s="461"/>
      <c r="J35" s="3"/>
      <c r="K35" s="3"/>
      <c r="L35" s="3"/>
      <c r="Q35" s="470"/>
      <c r="R35" s="381"/>
    </row>
    <row r="36" spans="1:18" x14ac:dyDescent="0.2">
      <c r="A36" s="6"/>
      <c r="B36" s="5"/>
      <c r="C36" s="3"/>
      <c r="D36" s="3"/>
      <c r="E36" s="3"/>
      <c r="F36" s="3"/>
      <c r="H36" s="3"/>
      <c r="I36" s="3"/>
      <c r="J36" s="3"/>
      <c r="K36" s="3"/>
      <c r="L36" s="3"/>
      <c r="P36" s="388"/>
      <c r="Q36" s="470"/>
    </row>
    <row r="37" spans="1:18" x14ac:dyDescent="0.2">
      <c r="A37" s="6"/>
      <c r="B37" s="4"/>
      <c r="C37" s="13"/>
      <c r="D37" s="13"/>
      <c r="E37" s="13"/>
      <c r="F37" s="13"/>
      <c r="G37" s="162"/>
      <c r="H37" s="13"/>
      <c r="I37" s="13"/>
      <c r="J37" s="13"/>
      <c r="K37" s="13"/>
      <c r="L37" s="13"/>
      <c r="M37" s="4"/>
      <c r="N37" s="4"/>
      <c r="O37" s="4"/>
      <c r="P37" s="388"/>
    </row>
    <row r="38" spans="1:18" ht="10.5" customHeight="1" x14ac:dyDescent="0.2">
      <c r="A38" s="6"/>
      <c r="B38" s="4"/>
      <c r="C38" s="3"/>
      <c r="D38" s="3"/>
      <c r="E38" s="3"/>
      <c r="F38" s="3"/>
      <c r="H38" s="3"/>
      <c r="I38" s="3"/>
      <c r="J38" s="3"/>
      <c r="K38" s="3"/>
      <c r="L38" s="3"/>
    </row>
    <row r="39" spans="1:18" x14ac:dyDescent="0.2">
      <c r="A39" s="6"/>
      <c r="B39" s="4"/>
      <c r="C39" s="3"/>
      <c r="D39" s="3"/>
      <c r="E39" s="3"/>
      <c r="F39" s="3"/>
      <c r="G39" s="162"/>
      <c r="H39" s="3"/>
      <c r="I39" s="3"/>
      <c r="J39" s="3"/>
      <c r="K39" s="3"/>
      <c r="L39" s="3"/>
    </row>
    <row r="40" spans="1:18" x14ac:dyDescent="0.2">
      <c r="A40" s="14"/>
      <c r="B40" s="14"/>
      <c r="C40" s="14"/>
      <c r="D40" s="14"/>
      <c r="E40" s="19"/>
      <c r="H40" s="419"/>
    </row>
    <row r="41" spans="1:18" x14ac:dyDescent="0.2">
      <c r="A41" s="14"/>
      <c r="B41" s="14"/>
      <c r="C41" s="14"/>
      <c r="D41" s="14"/>
      <c r="E41" s="19"/>
    </row>
    <row r="42" spans="1:18" x14ac:dyDescent="0.2">
      <c r="A42" s="14"/>
      <c r="B42" s="14"/>
      <c r="C42" s="14"/>
      <c r="D42" s="14"/>
      <c r="E42" s="17"/>
      <c r="F42" s="4"/>
      <c r="N42" s="4"/>
      <c r="O42" s="4"/>
      <c r="P42" s="389"/>
    </row>
    <row r="43" spans="1:18" x14ac:dyDescent="0.2">
      <c r="A43" s="14"/>
      <c r="B43" s="14"/>
      <c r="C43" s="14"/>
      <c r="D43" s="14"/>
      <c r="E43" s="19"/>
    </row>
    <row r="44" spans="1:18" x14ac:dyDescent="0.2">
      <c r="A44" s="14"/>
      <c r="B44" s="14"/>
      <c r="C44" s="14"/>
      <c r="D44" s="14"/>
      <c r="E44" s="19"/>
    </row>
  </sheetData>
  <mergeCells count="13">
    <mergeCell ref="E9:F9"/>
    <mergeCell ref="H9:L9"/>
    <mergeCell ref="G9:G10"/>
    <mergeCell ref="A6:P6"/>
    <mergeCell ref="A7:P7"/>
    <mergeCell ref="B9:B10"/>
    <mergeCell ref="C9:C10"/>
    <mergeCell ref="A9:A10"/>
    <mergeCell ref="D9:D10"/>
    <mergeCell ref="M9:M10"/>
    <mergeCell ref="N9:N10"/>
    <mergeCell ref="O9:O10"/>
    <mergeCell ref="P9:P10"/>
  </mergeCells>
  <phoneticPr fontId="0" type="noConversion"/>
  <printOptions horizontalCentered="1"/>
  <pageMargins left="0.47244094488188981" right="0.19685039370078741" top="0.39370078740157483" bottom="0.39370078740157483" header="0.31496062992125984" footer="0.31496062992125984"/>
  <pageSetup paperSize="41"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opLeftCell="A10" workbookViewId="0">
      <selection activeCell="C14" sqref="C14"/>
    </sheetView>
  </sheetViews>
  <sheetFormatPr baseColWidth="10" defaultRowHeight="12.75" x14ac:dyDescent="0.2"/>
  <cols>
    <col min="2" max="2" width="12" customWidth="1"/>
    <col min="4" max="4" width="12.5703125" customWidth="1"/>
    <col min="5" max="5" width="11.85546875" customWidth="1"/>
    <col min="6" max="6" width="4.42578125" customWidth="1"/>
    <col min="8" max="8" width="11.5703125" customWidth="1"/>
    <col min="9" max="9" width="11.5703125" bestFit="1" customWidth="1"/>
    <col min="10" max="10" width="13.42578125" customWidth="1"/>
    <col min="11" max="11" width="12" bestFit="1" customWidth="1"/>
  </cols>
  <sheetData>
    <row r="1" spans="1:11" x14ac:dyDescent="0.2">
      <c r="K1" s="18" t="s">
        <v>261</v>
      </c>
    </row>
    <row r="3" spans="1:11" ht="15" x14ac:dyDescent="0.25">
      <c r="A3" s="78"/>
      <c r="B3" s="78"/>
      <c r="C3" s="78"/>
      <c r="H3" s="78"/>
      <c r="I3" s="78"/>
      <c r="J3" s="78"/>
      <c r="K3" s="77"/>
    </row>
    <row r="4" spans="1:11" s="10" customFormat="1" ht="9" x14ac:dyDescent="0.15">
      <c r="A4" s="542" t="s">
        <v>68</v>
      </c>
      <c r="B4" s="542"/>
      <c r="C4" s="542"/>
      <c r="D4" s="542"/>
      <c r="E4" s="542"/>
      <c r="F4" s="123"/>
      <c r="G4" s="542" t="s">
        <v>68</v>
      </c>
      <c r="H4" s="542"/>
      <c r="I4" s="542"/>
      <c r="J4" s="542"/>
      <c r="K4" s="542"/>
    </row>
    <row r="5" spans="1:11" s="10" customFormat="1" ht="9" x14ac:dyDescent="0.15">
      <c r="A5" s="542" t="s">
        <v>69</v>
      </c>
      <c r="B5" s="542"/>
      <c r="C5" s="542"/>
      <c r="D5" s="542"/>
      <c r="E5" s="542"/>
      <c r="F5" s="123"/>
      <c r="G5" s="542" t="s">
        <v>69</v>
      </c>
      <c r="H5" s="542"/>
      <c r="I5" s="542"/>
      <c r="J5" s="542"/>
      <c r="K5" s="542"/>
    </row>
    <row r="6" spans="1:11" s="10" customFormat="1" ht="9" x14ac:dyDescent="0.15">
      <c r="A6" s="546" t="s">
        <v>492</v>
      </c>
      <c r="B6" s="546"/>
      <c r="C6" s="546"/>
      <c r="D6" s="546"/>
      <c r="E6" s="546"/>
      <c r="F6" s="123"/>
      <c r="G6" s="546" t="s">
        <v>499</v>
      </c>
      <c r="H6" s="546"/>
      <c r="I6" s="546"/>
      <c r="J6" s="546"/>
      <c r="K6" s="546"/>
    </row>
    <row r="7" spans="1:11" ht="15" customHeight="1" x14ac:dyDescent="0.25">
      <c r="A7" s="138"/>
      <c r="B7" s="543" t="s">
        <v>493</v>
      </c>
      <c r="C7" s="544"/>
      <c r="D7" s="544"/>
      <c r="E7" s="545"/>
      <c r="F7" s="77"/>
      <c r="G7" s="80"/>
      <c r="H7" s="547" t="s">
        <v>498</v>
      </c>
      <c r="I7" s="548"/>
      <c r="J7" s="548"/>
      <c r="K7" s="549"/>
    </row>
    <row r="8" spans="1:11" ht="77.25" customHeight="1" x14ac:dyDescent="0.25">
      <c r="A8" s="139" t="s">
        <v>70</v>
      </c>
      <c r="B8" s="140" t="s">
        <v>119</v>
      </c>
      <c r="C8" s="141" t="s">
        <v>72</v>
      </c>
      <c r="D8" s="142" t="s">
        <v>73</v>
      </c>
      <c r="E8" s="143" t="s">
        <v>74</v>
      </c>
      <c r="F8" s="77"/>
      <c r="G8" s="81" t="s">
        <v>70</v>
      </c>
      <c r="H8" s="23" t="s">
        <v>119</v>
      </c>
      <c r="I8" s="82" t="s">
        <v>72</v>
      </c>
      <c r="J8" s="83" t="s">
        <v>73</v>
      </c>
      <c r="K8" s="84" t="s">
        <v>74</v>
      </c>
    </row>
    <row r="9" spans="1:11" ht="15" x14ac:dyDescent="0.25">
      <c r="A9" s="295" t="s">
        <v>56</v>
      </c>
      <c r="B9" s="296">
        <f>6+6+3+1</f>
        <v>16</v>
      </c>
      <c r="C9" s="297">
        <f>232.33+240.99+71+58.76</f>
        <v>603.08000000000004</v>
      </c>
      <c r="D9" s="297">
        <f>7744.51+8033.19+2366.96+1958.58</f>
        <v>20103.239999999998</v>
      </c>
      <c r="E9" s="298">
        <f>2091.02+2168.98+639.09+528.81</f>
        <v>5427.9</v>
      </c>
      <c r="F9" s="77"/>
      <c r="G9" s="85" t="s">
        <v>56</v>
      </c>
      <c r="H9" s="296">
        <v>25</v>
      </c>
      <c r="I9" s="297">
        <v>857.02</v>
      </c>
      <c r="J9" s="297">
        <v>28566.57</v>
      </c>
      <c r="K9" s="298">
        <v>7712.96</v>
      </c>
    </row>
    <row r="10" spans="1:11" ht="15" x14ac:dyDescent="0.25">
      <c r="A10" s="295" t="s">
        <v>57</v>
      </c>
      <c r="B10" s="296">
        <f>4+8+7+2</f>
        <v>21</v>
      </c>
      <c r="C10" s="297">
        <f>140+341.73+319.59+14.65</f>
        <v>815.96999999999991</v>
      </c>
      <c r="D10" s="297">
        <f>4666.74+11390.98+10653.14+488.3</f>
        <v>27199.16</v>
      </c>
      <c r="E10" s="298">
        <f>1260.02+3075.58+2876.35+131.84</f>
        <v>7343.7900000000009</v>
      </c>
      <c r="F10" s="77"/>
      <c r="G10" s="85" t="s">
        <v>57</v>
      </c>
      <c r="H10" s="296">
        <v>25</v>
      </c>
      <c r="I10" s="299">
        <v>911.44</v>
      </c>
      <c r="J10" s="299">
        <v>12434.68</v>
      </c>
      <c r="K10" s="298">
        <v>8202.7500000000018</v>
      </c>
    </row>
    <row r="11" spans="1:11" ht="15" x14ac:dyDescent="0.25">
      <c r="A11" s="295" t="s">
        <v>58</v>
      </c>
      <c r="B11" s="296">
        <f>4+7+9+10+2</f>
        <v>32</v>
      </c>
      <c r="C11" s="297">
        <f>168.99+268.91+265.68+275.56+73.27</f>
        <v>1052.4100000000001</v>
      </c>
      <c r="D11" s="297">
        <f>5632.92+8963.5+8855.56+9185.65+2442.18</f>
        <v>35079.81</v>
      </c>
      <c r="E11" s="298">
        <f>1520.89+2420.15+2390.99+2480.13+659.39</f>
        <v>9471.5499999999993</v>
      </c>
      <c r="F11" s="77"/>
      <c r="G11" s="85" t="s">
        <v>58</v>
      </c>
      <c r="H11" s="296">
        <v>23</v>
      </c>
      <c r="I11" s="299">
        <v>895.42000000000007</v>
      </c>
      <c r="J11" s="509">
        <v>29846.589999999997</v>
      </c>
      <c r="K11" s="510">
        <v>8058.5500000000011</v>
      </c>
    </row>
    <row r="12" spans="1:11" ht="15" x14ac:dyDescent="0.25">
      <c r="A12" s="295" t="s">
        <v>59</v>
      </c>
      <c r="B12" s="296">
        <f>7+4+3</f>
        <v>14</v>
      </c>
      <c r="C12" s="299">
        <f>242.51+51.43+82.49</f>
        <v>376.43</v>
      </c>
      <c r="D12" s="299">
        <f>8083.1+1714.29+2749.87</f>
        <v>12547.259999999998</v>
      </c>
      <c r="E12" s="298">
        <f>2182.42+462.86+742.47</f>
        <v>3387.75</v>
      </c>
      <c r="F12" s="77"/>
      <c r="G12" s="85" t="s">
        <v>59</v>
      </c>
      <c r="H12" s="296">
        <v>10</v>
      </c>
      <c r="I12" s="299">
        <v>269.23</v>
      </c>
      <c r="J12" s="299">
        <v>8973.65</v>
      </c>
      <c r="K12" s="298">
        <v>2422.86</v>
      </c>
    </row>
    <row r="13" spans="1:11" ht="15" x14ac:dyDescent="0.25">
      <c r="A13" s="295" t="s">
        <v>60</v>
      </c>
      <c r="B13" s="296">
        <f>12+4+13+7+6</f>
        <v>42</v>
      </c>
      <c r="C13" s="297">
        <f>399.83+116.99+348.68+201.89+156.99</f>
        <v>1224.3799999999999</v>
      </c>
      <c r="D13" s="297">
        <f>13327.42+3899.56+11622.19+6729.2+5232.8</f>
        <v>40811.17</v>
      </c>
      <c r="E13" s="298">
        <f>3598.39+1052.87+3137.97+1816.87+1412.86</f>
        <v>11018.96</v>
      </c>
      <c r="F13" s="77"/>
      <c r="G13" s="85" t="s">
        <v>60</v>
      </c>
      <c r="H13" s="296">
        <v>14</v>
      </c>
      <c r="I13" s="299">
        <v>548.13</v>
      </c>
      <c r="J13" s="299">
        <v>18270.580000000002</v>
      </c>
      <c r="K13" s="298">
        <v>4933.05</v>
      </c>
    </row>
    <row r="14" spans="1:11" ht="15" x14ac:dyDescent="0.25">
      <c r="A14" s="295" t="s">
        <v>61</v>
      </c>
      <c r="B14" s="296">
        <f>6+12+7+4</f>
        <v>29</v>
      </c>
      <c r="C14" s="297">
        <f>269.48+295.24+291.03+133.31</f>
        <v>989.06</v>
      </c>
      <c r="D14" s="297">
        <f>8982.87+9840.84+9700.9+4443.67</f>
        <v>32968.28</v>
      </c>
      <c r="E14" s="298">
        <f>2425.36+2657+2619.24+1199.79</f>
        <v>8901.39</v>
      </c>
      <c r="F14" s="77"/>
      <c r="G14" s="85" t="s">
        <v>61</v>
      </c>
      <c r="H14" s="296">
        <v>16</v>
      </c>
      <c r="I14" s="299">
        <v>743.39</v>
      </c>
      <c r="J14" s="299">
        <v>24779.439999999999</v>
      </c>
      <c r="K14" s="298">
        <v>6690.45</v>
      </c>
    </row>
    <row r="15" spans="1:11" ht="15" x14ac:dyDescent="0.25">
      <c r="A15" s="300" t="s">
        <v>62</v>
      </c>
      <c r="B15" s="296">
        <v>0</v>
      </c>
      <c r="C15" s="299">
        <v>0</v>
      </c>
      <c r="D15" s="299">
        <v>0</v>
      </c>
      <c r="E15" s="298">
        <v>0</v>
      </c>
      <c r="F15" s="77"/>
      <c r="G15" s="85" t="s">
        <v>62</v>
      </c>
      <c r="H15" s="296">
        <v>17</v>
      </c>
      <c r="I15" s="299">
        <v>489.1</v>
      </c>
      <c r="J15" s="299">
        <v>16302.849999999999</v>
      </c>
      <c r="K15" s="298">
        <v>4401.7700000000004</v>
      </c>
    </row>
    <row r="16" spans="1:11" ht="15" x14ac:dyDescent="0.25">
      <c r="A16" s="295" t="s">
        <v>63</v>
      </c>
      <c r="B16" s="296">
        <v>0</v>
      </c>
      <c r="C16" s="297">
        <v>0</v>
      </c>
      <c r="D16" s="297">
        <v>0</v>
      </c>
      <c r="E16" s="298">
        <v>0</v>
      </c>
      <c r="F16" s="77"/>
      <c r="G16" s="85" t="s">
        <v>63</v>
      </c>
      <c r="H16" s="296">
        <v>23</v>
      </c>
      <c r="I16" s="299">
        <v>808.94</v>
      </c>
      <c r="J16" s="299">
        <v>26964.11</v>
      </c>
      <c r="K16" s="298">
        <v>7280.2999999999993</v>
      </c>
    </row>
    <row r="17" spans="1:13" ht="15" x14ac:dyDescent="0.25">
      <c r="A17" s="295" t="s">
        <v>75</v>
      </c>
      <c r="B17" s="296">
        <v>0</v>
      </c>
      <c r="C17" s="297">
        <v>0</v>
      </c>
      <c r="D17" s="297">
        <v>0</v>
      </c>
      <c r="E17" s="298">
        <v>0</v>
      </c>
      <c r="F17" s="77"/>
      <c r="G17" s="85" t="s">
        <v>75</v>
      </c>
      <c r="H17" s="296">
        <v>33</v>
      </c>
      <c r="I17" s="299">
        <v>1020.5999999999999</v>
      </c>
      <c r="J17" s="299">
        <v>34019.47</v>
      </c>
      <c r="K17" s="298">
        <v>9185.25</v>
      </c>
    </row>
    <row r="18" spans="1:13" ht="15" x14ac:dyDescent="0.25">
      <c r="A18" s="295" t="s">
        <v>64</v>
      </c>
      <c r="B18" s="296">
        <v>0</v>
      </c>
      <c r="C18" s="297">
        <v>0</v>
      </c>
      <c r="D18" s="297">
        <v>0</v>
      </c>
      <c r="E18" s="298">
        <v>0</v>
      </c>
      <c r="F18" s="77"/>
      <c r="G18" s="85" t="s">
        <v>64</v>
      </c>
      <c r="H18" s="296">
        <v>23</v>
      </c>
      <c r="I18" s="299">
        <v>937.36</v>
      </c>
      <c r="J18" s="299">
        <v>31244.399999999998</v>
      </c>
      <c r="K18" s="298">
        <v>8435.9599999999991</v>
      </c>
    </row>
    <row r="19" spans="1:13" ht="15" x14ac:dyDescent="0.25">
      <c r="A19" s="295" t="s">
        <v>65</v>
      </c>
      <c r="B19" s="296">
        <v>0</v>
      </c>
      <c r="C19" s="297">
        <v>0</v>
      </c>
      <c r="D19" s="297">
        <v>0</v>
      </c>
      <c r="E19" s="298">
        <v>0</v>
      </c>
      <c r="F19" s="77"/>
      <c r="G19" s="85" t="s">
        <v>65</v>
      </c>
      <c r="H19" s="296">
        <v>19</v>
      </c>
      <c r="I19" s="299">
        <v>705.8900000000001</v>
      </c>
      <c r="J19" s="299">
        <v>23529.39</v>
      </c>
      <c r="K19" s="298">
        <v>6352.91</v>
      </c>
    </row>
    <row r="20" spans="1:13" ht="15" x14ac:dyDescent="0.25">
      <c r="A20" s="295" t="s">
        <v>67</v>
      </c>
      <c r="B20" s="296">
        <v>0</v>
      </c>
      <c r="C20" s="297">
        <v>0</v>
      </c>
      <c r="D20" s="297">
        <v>0</v>
      </c>
      <c r="E20" s="298">
        <v>0</v>
      </c>
      <c r="F20" s="77"/>
      <c r="G20" s="85" t="s">
        <v>67</v>
      </c>
      <c r="H20" s="296">
        <v>20</v>
      </c>
      <c r="I20" s="299">
        <v>761.49</v>
      </c>
      <c r="J20" s="299">
        <v>25382.79</v>
      </c>
      <c r="K20" s="298">
        <v>6853.34</v>
      </c>
    </row>
    <row r="21" spans="1:13" ht="15" x14ac:dyDescent="0.25">
      <c r="A21" s="301" t="s">
        <v>0</v>
      </c>
      <c r="B21" s="302">
        <f>SUM(B9:B20)</f>
        <v>154</v>
      </c>
      <c r="C21" s="303">
        <f>SUM(C9:C20)</f>
        <v>5061.33</v>
      </c>
      <c r="D21" s="304">
        <f>SUM(D9:D20)</f>
        <v>168708.91999999998</v>
      </c>
      <c r="E21" s="305">
        <f>SUM(E9:E20)</f>
        <v>45551.34</v>
      </c>
      <c r="F21" s="77"/>
      <c r="G21" s="86" t="s">
        <v>0</v>
      </c>
      <c r="H21" s="94">
        <v>248</v>
      </c>
      <c r="I21" s="121">
        <v>8948.01</v>
      </c>
      <c r="J21" s="511">
        <v>280314.51999999996</v>
      </c>
      <c r="K21" s="122">
        <v>80530.149999999994</v>
      </c>
    </row>
    <row r="22" spans="1:13" ht="15" x14ac:dyDescent="0.25">
      <c r="A22" s="134" t="s">
        <v>486</v>
      </c>
      <c r="B22" s="79"/>
      <c r="C22" s="79"/>
      <c r="D22" s="79"/>
      <c r="F22" s="77"/>
      <c r="G22" s="87"/>
      <c r="H22" s="79"/>
      <c r="I22" s="2" t="s">
        <v>505</v>
      </c>
    </row>
    <row r="23" spans="1:13" ht="15" x14ac:dyDescent="0.25">
      <c r="A23" s="79"/>
      <c r="B23" s="79"/>
      <c r="C23" s="79"/>
      <c r="D23" s="79"/>
      <c r="E23" s="79"/>
      <c r="F23" s="77"/>
      <c r="G23" s="79"/>
      <c r="H23" s="79"/>
      <c r="I23" s="79"/>
      <c r="J23" s="79"/>
      <c r="K23" s="79"/>
    </row>
    <row r="24" spans="1:13" ht="15" x14ac:dyDescent="0.25">
      <c r="A24" s="88"/>
      <c r="B24" s="79"/>
      <c r="C24" s="89"/>
      <c r="D24" s="167"/>
      <c r="E24" s="79"/>
      <c r="F24" s="77"/>
      <c r="G24" s="88"/>
      <c r="H24" s="79"/>
      <c r="I24" s="79"/>
      <c r="J24" s="79"/>
      <c r="K24" s="79"/>
      <c r="M24" s="45"/>
    </row>
    <row r="25" spans="1:13" x14ac:dyDescent="0.2">
      <c r="A25" s="79"/>
      <c r="B25" s="8" t="s">
        <v>487</v>
      </c>
      <c r="C25" s="505"/>
      <c r="D25" s="506"/>
      <c r="E25" s="507"/>
      <c r="F25" s="507"/>
      <c r="G25" s="5"/>
      <c r="H25" s="8" t="s">
        <v>130</v>
      </c>
      <c r="I25" s="505"/>
      <c r="J25" s="506"/>
      <c r="K25" s="387"/>
    </row>
    <row r="26" spans="1:13" x14ac:dyDescent="0.2">
      <c r="A26" s="88"/>
      <c r="B26" s="16"/>
      <c r="C26" s="9" t="s">
        <v>488</v>
      </c>
      <c r="D26" s="2"/>
      <c r="E26" s="6"/>
      <c r="F26" s="6"/>
      <c r="G26" s="5"/>
      <c r="H26" s="16"/>
      <c r="I26" s="9" t="s">
        <v>490</v>
      </c>
      <c r="J26" s="2"/>
      <c r="K26" s="376"/>
    </row>
    <row r="27" spans="1:13" x14ac:dyDescent="0.2">
      <c r="A27" s="79"/>
      <c r="B27" s="4"/>
      <c r="C27" s="508" t="s">
        <v>491</v>
      </c>
      <c r="D27" s="2"/>
      <c r="E27" s="3"/>
      <c r="F27" s="3"/>
      <c r="G27" s="2"/>
      <c r="H27" s="4"/>
      <c r="I27" s="508" t="s">
        <v>489</v>
      </c>
      <c r="J27" s="2"/>
      <c r="K27" s="376"/>
    </row>
    <row r="28" spans="1:13" ht="15" x14ac:dyDescent="0.25">
      <c r="A28" s="77"/>
      <c r="B28" s="77"/>
      <c r="C28" s="90"/>
      <c r="E28" s="77"/>
      <c r="F28" s="79"/>
      <c r="G28" s="77"/>
      <c r="H28" s="77"/>
      <c r="I28" s="79"/>
      <c r="J28" s="79"/>
      <c r="K28" s="77"/>
    </row>
    <row r="29" spans="1:13" ht="15" x14ac:dyDescent="0.25">
      <c r="A29" s="77"/>
      <c r="B29" s="77"/>
      <c r="C29" s="79"/>
      <c r="E29" s="77"/>
      <c r="F29" s="91"/>
      <c r="G29" s="77"/>
      <c r="H29" s="77"/>
      <c r="I29" s="79"/>
      <c r="J29" s="79"/>
      <c r="K29" s="77"/>
    </row>
    <row r="30" spans="1:13" ht="15" x14ac:dyDescent="0.25">
      <c r="A30" s="92"/>
      <c r="B30" s="77"/>
      <c r="C30" s="79"/>
      <c r="D30" s="45"/>
      <c r="E30" s="77"/>
      <c r="F30" s="88"/>
      <c r="G30" s="92"/>
      <c r="H30" s="77"/>
      <c r="I30" s="79"/>
      <c r="J30" s="79"/>
      <c r="K30" s="77"/>
    </row>
    <row r="31" spans="1:13" ht="15" x14ac:dyDescent="0.25">
      <c r="A31" s="90"/>
      <c r="B31" s="77"/>
      <c r="C31" s="90"/>
      <c r="D31" s="90"/>
      <c r="E31" s="90"/>
      <c r="F31" s="77"/>
      <c r="G31" s="77"/>
      <c r="H31" s="77"/>
      <c r="I31" s="77"/>
      <c r="J31" s="77"/>
      <c r="K31" s="77"/>
    </row>
    <row r="32" spans="1:13" ht="15" x14ac:dyDescent="0.25">
      <c r="A32" s="77"/>
      <c r="B32" s="77"/>
      <c r="C32" s="77"/>
      <c r="D32" s="77"/>
      <c r="E32" s="77"/>
    </row>
    <row r="33" spans="1:5" ht="15" x14ac:dyDescent="0.25">
      <c r="A33" s="77"/>
      <c r="B33" s="77"/>
      <c r="C33" s="77"/>
      <c r="D33" s="77"/>
      <c r="E33" s="77"/>
    </row>
    <row r="34" spans="1:5" ht="15" x14ac:dyDescent="0.25">
      <c r="A34" s="77"/>
      <c r="B34" s="77"/>
      <c r="C34" s="77"/>
      <c r="D34" s="77"/>
      <c r="E34" s="77"/>
    </row>
    <row r="35" spans="1:5" ht="15" x14ac:dyDescent="0.25">
      <c r="A35" s="79"/>
      <c r="B35" s="77"/>
      <c r="C35" s="77"/>
      <c r="D35" s="77"/>
      <c r="E35" s="77"/>
    </row>
    <row r="36" spans="1:5" x14ac:dyDescent="0.2">
      <c r="A36" s="93"/>
      <c r="B36" s="79"/>
      <c r="C36" s="79"/>
      <c r="D36" s="79"/>
      <c r="E36" s="79"/>
    </row>
    <row r="37" spans="1:5" ht="15" x14ac:dyDescent="0.25">
      <c r="A37" s="77"/>
      <c r="B37" s="90"/>
      <c r="C37" s="90"/>
      <c r="D37" s="90"/>
      <c r="E37" s="79"/>
    </row>
    <row r="38" spans="1:5" ht="15" x14ac:dyDescent="0.25">
      <c r="A38" s="77"/>
      <c r="B38" s="90"/>
      <c r="C38" s="90"/>
      <c r="D38" s="90"/>
      <c r="E38" s="79"/>
    </row>
    <row r="39" spans="1:5" x14ac:dyDescent="0.2">
      <c r="A39" s="79"/>
      <c r="B39" s="79"/>
      <c r="C39" s="79"/>
      <c r="D39" s="79"/>
      <c r="E39" s="79"/>
    </row>
    <row r="40" spans="1:5" x14ac:dyDescent="0.2">
      <c r="A40" s="79"/>
      <c r="B40" s="79"/>
      <c r="C40" s="79"/>
      <c r="D40" s="79"/>
      <c r="E40" s="79"/>
    </row>
    <row r="41" spans="1:5" x14ac:dyDescent="0.2">
      <c r="A41" s="79"/>
      <c r="B41" s="79"/>
      <c r="C41" s="79"/>
      <c r="D41" s="79"/>
      <c r="E41" s="79"/>
    </row>
    <row r="42" spans="1:5" x14ac:dyDescent="0.2">
      <c r="A42" s="79"/>
      <c r="B42" s="79"/>
      <c r="C42" s="79"/>
      <c r="D42" s="79"/>
      <c r="E42" s="79"/>
    </row>
    <row r="43" spans="1:5" x14ac:dyDescent="0.2">
      <c r="A43" s="79"/>
      <c r="B43" s="79"/>
      <c r="C43" s="79"/>
      <c r="D43" s="79"/>
      <c r="E43" s="79"/>
    </row>
    <row r="44" spans="1:5" x14ac:dyDescent="0.2">
      <c r="A44" s="79"/>
      <c r="B44" s="79"/>
      <c r="C44" s="79"/>
      <c r="D44" s="79"/>
      <c r="E44" s="79"/>
    </row>
    <row r="45" spans="1:5" x14ac:dyDescent="0.2">
      <c r="A45" s="79"/>
      <c r="B45" s="79"/>
      <c r="C45" s="79"/>
      <c r="D45" s="79"/>
      <c r="E45" s="79"/>
    </row>
    <row r="46" spans="1:5" x14ac:dyDescent="0.2">
      <c r="A46" s="79"/>
      <c r="B46" s="79"/>
      <c r="C46" s="79"/>
      <c r="D46" s="79"/>
      <c r="E46" s="79"/>
    </row>
    <row r="47" spans="1:5" x14ac:dyDescent="0.2">
      <c r="A47" s="79"/>
      <c r="B47" s="79"/>
      <c r="C47" s="79"/>
      <c r="D47" s="79"/>
      <c r="E47" s="79"/>
    </row>
  </sheetData>
  <mergeCells count="8">
    <mergeCell ref="A4:E4"/>
    <mergeCell ref="A5:E5"/>
    <mergeCell ref="B7:E7"/>
    <mergeCell ref="A6:E6"/>
    <mergeCell ref="G4:K4"/>
    <mergeCell ref="G5:K5"/>
    <mergeCell ref="G6:K6"/>
    <mergeCell ref="H7:K7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44"/>
  <sheetViews>
    <sheetView topLeftCell="A7" zoomScaleNormal="100" workbookViewId="0">
      <selection activeCell="C14" sqref="C14"/>
    </sheetView>
  </sheetViews>
  <sheetFormatPr baseColWidth="10" defaultRowHeight="12.75" x14ac:dyDescent="0.2"/>
  <cols>
    <col min="1" max="1" width="11.5703125" customWidth="1"/>
    <col min="2" max="2" width="12.140625" customWidth="1"/>
    <col min="3" max="3" width="10.5703125" customWidth="1"/>
    <col min="4" max="4" width="12" customWidth="1"/>
    <col min="5" max="5" width="12.28515625" customWidth="1"/>
    <col min="6" max="6" width="2.28515625" customWidth="1"/>
    <col min="7" max="7" width="11.28515625" customWidth="1"/>
    <col min="8" max="8" width="12.28515625" customWidth="1"/>
    <col min="9" max="9" width="10.42578125" customWidth="1"/>
    <col min="10" max="10" width="15.42578125" customWidth="1"/>
    <col min="11" max="11" width="15.85546875" customWidth="1"/>
  </cols>
  <sheetData>
    <row r="1" spans="1:14" x14ac:dyDescent="0.2">
      <c r="K1" s="18" t="s">
        <v>482</v>
      </c>
    </row>
    <row r="4" spans="1:14" x14ac:dyDescent="0.2">
      <c r="A4" s="550" t="s">
        <v>76</v>
      </c>
      <c r="B4" s="550"/>
      <c r="C4" s="550"/>
      <c r="D4" s="550"/>
      <c r="E4" s="550"/>
      <c r="F4" s="2"/>
      <c r="G4" s="550" t="s">
        <v>76</v>
      </c>
      <c r="H4" s="550"/>
      <c r="I4" s="550"/>
      <c r="J4" s="550"/>
      <c r="K4" s="550"/>
    </row>
    <row r="5" spans="1:14" x14ac:dyDescent="0.2">
      <c r="A5" s="550" t="s">
        <v>494</v>
      </c>
      <c r="B5" s="550"/>
      <c r="C5" s="550"/>
      <c r="D5" s="550"/>
      <c r="E5" s="550"/>
      <c r="F5" s="2"/>
      <c r="G5" s="550" t="s">
        <v>501</v>
      </c>
      <c r="H5" s="550"/>
      <c r="I5" s="550"/>
      <c r="J5" s="550"/>
      <c r="K5" s="550"/>
    </row>
    <row r="6" spans="1:14" x14ac:dyDescent="0.2">
      <c r="A6" s="46"/>
      <c r="B6" s="46"/>
      <c r="C6" s="46"/>
      <c r="D6" s="46"/>
      <c r="E6" s="46"/>
      <c r="F6" s="2"/>
      <c r="G6" s="46"/>
      <c r="H6" s="46"/>
      <c r="I6" s="46"/>
      <c r="J6" s="46"/>
      <c r="K6" s="46"/>
    </row>
    <row r="7" spans="1:14" ht="12.75" customHeight="1" x14ac:dyDescent="0.2">
      <c r="A7" s="22"/>
      <c r="B7" s="543" t="str">
        <f>'2. COMPR DEV 30%'!B7:E7</f>
        <v>DEL 01 DE ENERO AL 31 DE DICIEMBRE DEL AÑO 2022</v>
      </c>
      <c r="C7" s="544"/>
      <c r="D7" s="544"/>
      <c r="E7" s="545"/>
      <c r="G7" s="22"/>
      <c r="H7" s="551" t="s">
        <v>498</v>
      </c>
      <c r="I7" s="552"/>
      <c r="J7" s="552"/>
      <c r="K7" s="553"/>
    </row>
    <row r="8" spans="1:14" ht="45" x14ac:dyDescent="0.2">
      <c r="A8" s="36" t="s">
        <v>70</v>
      </c>
      <c r="B8" s="23" t="s">
        <v>71</v>
      </c>
      <c r="C8" s="24" t="s">
        <v>72</v>
      </c>
      <c r="D8" s="144" t="s">
        <v>73</v>
      </c>
      <c r="E8" s="25" t="s">
        <v>74</v>
      </c>
      <c r="G8" s="36" t="s">
        <v>70</v>
      </c>
      <c r="H8" s="95" t="s">
        <v>71</v>
      </c>
      <c r="I8" s="38" t="s">
        <v>72</v>
      </c>
      <c r="J8" s="38" t="s">
        <v>73</v>
      </c>
      <c r="K8" s="96" t="s">
        <v>74</v>
      </c>
    </row>
    <row r="9" spans="1:14" x14ac:dyDescent="0.2">
      <c r="A9" s="317" t="s">
        <v>56</v>
      </c>
      <c r="B9" s="318">
        <f>6+14+12+24</f>
        <v>56</v>
      </c>
      <c r="C9" s="319">
        <f>8.12+14.53+8.48+22.13</f>
        <v>53.26</v>
      </c>
      <c r="D9" s="319">
        <f>4728.27+10811.43+13975.72+19573.03</f>
        <v>49088.45</v>
      </c>
      <c r="E9" s="319">
        <f>4350.58+9856.94+13277.77+19035.22</f>
        <v>46520.51</v>
      </c>
      <c r="G9" s="32" t="s">
        <v>56</v>
      </c>
      <c r="H9" s="318">
        <v>83</v>
      </c>
      <c r="I9" s="319">
        <v>115.64000000000001</v>
      </c>
      <c r="J9" s="319">
        <v>83311.760000000009</v>
      </c>
      <c r="K9" s="319">
        <v>78765.06</v>
      </c>
      <c r="L9" s="45"/>
      <c r="M9" s="45"/>
    </row>
    <row r="10" spans="1:14" x14ac:dyDescent="0.2">
      <c r="A10" s="317" t="s">
        <v>57</v>
      </c>
      <c r="B10" s="318">
        <f>19+14+27+31</f>
        <v>91</v>
      </c>
      <c r="C10" s="319">
        <f>41.5+12.89+44.41+57.64</f>
        <v>156.44</v>
      </c>
      <c r="D10" s="319">
        <f>38034.94+12572.96+26573.64+38432.83</f>
        <v>115614.37000000001</v>
      </c>
      <c r="E10" s="319">
        <f>37428.41+11199.48+24892.53+36170.2</f>
        <v>109690.62</v>
      </c>
      <c r="F10" s="187"/>
      <c r="G10" s="27" t="s">
        <v>57</v>
      </c>
      <c r="H10" s="321">
        <v>85</v>
      </c>
      <c r="I10" s="517">
        <v>166.46000000000004</v>
      </c>
      <c r="J10" s="517">
        <v>82953.849999999991</v>
      </c>
      <c r="K10" s="516">
        <v>79310.16</v>
      </c>
      <c r="L10" s="12"/>
      <c r="M10" s="12"/>
    </row>
    <row r="11" spans="1:14" x14ac:dyDescent="0.2">
      <c r="A11" s="317" t="s">
        <v>58</v>
      </c>
      <c r="B11" s="318">
        <f>16+16+19+33+13</f>
        <v>97</v>
      </c>
      <c r="C11" s="319">
        <f>26.4+17.8+13.36+30.92+8.19</f>
        <v>96.67</v>
      </c>
      <c r="D11" s="319">
        <f>16989.91+11625.92+19453.72+23149.07+10675.57</f>
        <v>81894.19</v>
      </c>
      <c r="E11" s="319">
        <f>15876.21+10711.41+17530.25+20522.62+9654.69</f>
        <v>74295.179999999993</v>
      </c>
      <c r="G11" s="98" t="s">
        <v>58</v>
      </c>
      <c r="H11" s="321">
        <v>99</v>
      </c>
      <c r="I11" s="517">
        <v>130.04000000000002</v>
      </c>
      <c r="J11" s="517">
        <v>99120.49</v>
      </c>
      <c r="K11" s="516">
        <v>94341.91</v>
      </c>
      <c r="L11" s="99"/>
      <c r="M11" s="100"/>
    </row>
    <row r="12" spans="1:14" x14ac:dyDescent="0.2">
      <c r="A12" s="317" t="s">
        <v>59</v>
      </c>
      <c r="B12" s="318">
        <f>12+19+20</f>
        <v>51</v>
      </c>
      <c r="C12" s="319">
        <f>30.2+35.31+42.06</f>
        <v>107.57000000000001</v>
      </c>
      <c r="D12" s="319">
        <f>12705.15+19827.01+22146.87</f>
        <v>54679.03</v>
      </c>
      <c r="E12" s="319">
        <f>12435.25+18550.08+21179.12</f>
        <v>52164.45</v>
      </c>
      <c r="G12" s="32" t="s">
        <v>59</v>
      </c>
      <c r="H12" s="321">
        <v>62</v>
      </c>
      <c r="I12" s="517">
        <v>71.45</v>
      </c>
      <c r="J12" s="517">
        <v>54884.89</v>
      </c>
      <c r="K12" s="516">
        <v>50897.62</v>
      </c>
      <c r="L12" s="100"/>
      <c r="M12" s="101"/>
    </row>
    <row r="13" spans="1:14" x14ac:dyDescent="0.2">
      <c r="A13" s="317" t="s">
        <v>60</v>
      </c>
      <c r="B13" s="318">
        <f>16+15+18+24+15</f>
        <v>88</v>
      </c>
      <c r="C13" s="319">
        <f>35.73+15.82+22.98+36.68+35.24</f>
        <v>146.45000000000002</v>
      </c>
      <c r="D13" s="319">
        <f>14318.02+11688.94+16149.98+21805.3+21142.34</f>
        <v>85104.58</v>
      </c>
      <c r="E13" s="319">
        <f>14123.41+11641.58+14662.03+20577.66+20171.81</f>
        <v>81176.489999999991</v>
      </c>
      <c r="G13" s="32" t="s">
        <v>60</v>
      </c>
      <c r="H13" s="321">
        <v>96</v>
      </c>
      <c r="I13" s="517">
        <v>85.09</v>
      </c>
      <c r="J13" s="517">
        <v>85567.81</v>
      </c>
      <c r="K13" s="516">
        <v>75952.350000000006</v>
      </c>
      <c r="L13" s="45"/>
      <c r="M13" s="100"/>
    </row>
    <row r="14" spans="1:14" x14ac:dyDescent="0.2">
      <c r="A14" s="317" t="s">
        <v>61</v>
      </c>
      <c r="B14" s="318">
        <f>11+13+13+23</f>
        <v>60</v>
      </c>
      <c r="C14" s="319">
        <f>7.88+18.04+28.04+33.37</f>
        <v>87.329999999999984</v>
      </c>
      <c r="D14" s="319">
        <f>7397.12+13551.25+14063.32+22236.39</f>
        <v>57248.08</v>
      </c>
      <c r="E14" s="319">
        <f>6833.11+13042.9+13630.28+21342.1</f>
        <v>54848.39</v>
      </c>
      <c r="G14" s="32" t="s">
        <v>61</v>
      </c>
      <c r="H14" s="321">
        <v>82</v>
      </c>
      <c r="I14" s="517">
        <v>85.36</v>
      </c>
      <c r="J14" s="517">
        <v>73274.09</v>
      </c>
      <c r="K14" s="516">
        <v>69752.92</v>
      </c>
      <c r="L14" s="100"/>
      <c r="M14" s="102"/>
      <c r="N14" s="45"/>
    </row>
    <row r="15" spans="1:14" x14ac:dyDescent="0.2">
      <c r="A15" s="320" t="s">
        <v>62</v>
      </c>
      <c r="B15" s="318">
        <v>0</v>
      </c>
      <c r="C15" s="319">
        <v>0</v>
      </c>
      <c r="D15" s="319">
        <v>0</v>
      </c>
      <c r="E15" s="319">
        <v>0</v>
      </c>
      <c r="G15" s="32" t="s">
        <v>62</v>
      </c>
      <c r="H15" s="321">
        <v>75</v>
      </c>
      <c r="I15" s="517">
        <v>118.37</v>
      </c>
      <c r="J15" s="517">
        <v>73737.26999999999</v>
      </c>
      <c r="K15" s="516">
        <v>67993.59</v>
      </c>
      <c r="L15" s="45"/>
      <c r="M15" s="102"/>
      <c r="N15" s="45"/>
    </row>
    <row r="16" spans="1:14" x14ac:dyDescent="0.2">
      <c r="A16" s="317" t="s">
        <v>63</v>
      </c>
      <c r="B16" s="318">
        <v>0</v>
      </c>
      <c r="C16" s="319">
        <v>0</v>
      </c>
      <c r="D16" s="319">
        <v>0</v>
      </c>
      <c r="E16" s="319">
        <v>0</v>
      </c>
      <c r="G16" s="32" t="s">
        <v>63</v>
      </c>
      <c r="H16" s="321">
        <v>82</v>
      </c>
      <c r="I16" s="517">
        <v>142.56</v>
      </c>
      <c r="J16" s="517">
        <v>88260.59</v>
      </c>
      <c r="K16" s="516">
        <v>83459.06</v>
      </c>
      <c r="L16" s="103"/>
      <c r="M16" s="12"/>
      <c r="N16" s="45"/>
    </row>
    <row r="17" spans="1:14" x14ac:dyDescent="0.2">
      <c r="A17" s="317" t="s">
        <v>75</v>
      </c>
      <c r="B17" s="318">
        <v>0</v>
      </c>
      <c r="C17" s="319">
        <v>0</v>
      </c>
      <c r="D17" s="319">
        <v>0</v>
      </c>
      <c r="E17" s="319">
        <v>0</v>
      </c>
      <c r="G17" s="32" t="s">
        <v>75</v>
      </c>
      <c r="H17" s="321">
        <v>76</v>
      </c>
      <c r="I17" s="517">
        <v>77.539999999999992</v>
      </c>
      <c r="J17" s="517">
        <v>65717.95</v>
      </c>
      <c r="K17" s="516">
        <v>59994.15</v>
      </c>
      <c r="L17" s="100"/>
      <c r="M17" s="12"/>
      <c r="N17" s="45"/>
    </row>
    <row r="18" spans="1:14" x14ac:dyDescent="0.2">
      <c r="A18" s="317" t="s">
        <v>64</v>
      </c>
      <c r="B18" s="318">
        <v>0</v>
      </c>
      <c r="C18" s="319">
        <v>0</v>
      </c>
      <c r="D18" s="319">
        <v>0</v>
      </c>
      <c r="E18" s="319">
        <v>0</v>
      </c>
      <c r="G18" s="32" t="s">
        <v>64</v>
      </c>
      <c r="H18" s="321">
        <v>91</v>
      </c>
      <c r="I18" s="517">
        <v>108.77000000000001</v>
      </c>
      <c r="J18" s="517">
        <v>91407.44</v>
      </c>
      <c r="K18" s="516">
        <v>85501.53</v>
      </c>
      <c r="L18" s="100"/>
      <c r="M18" s="104"/>
      <c r="N18" s="45"/>
    </row>
    <row r="19" spans="1:14" x14ac:dyDescent="0.2">
      <c r="A19" s="317" t="s">
        <v>65</v>
      </c>
      <c r="B19" s="318">
        <v>0</v>
      </c>
      <c r="C19" s="319">
        <v>0</v>
      </c>
      <c r="D19" s="319">
        <v>0</v>
      </c>
      <c r="E19" s="319">
        <v>0</v>
      </c>
      <c r="G19" s="32" t="s">
        <v>65</v>
      </c>
      <c r="H19" s="321">
        <v>113</v>
      </c>
      <c r="I19" s="517">
        <v>140.94</v>
      </c>
      <c r="J19" s="517">
        <v>102316.38</v>
      </c>
      <c r="K19" s="516">
        <v>93843.42</v>
      </c>
      <c r="L19" s="104"/>
      <c r="M19" s="12"/>
      <c r="N19" s="45"/>
    </row>
    <row r="20" spans="1:14" x14ac:dyDescent="0.2">
      <c r="A20" s="317" t="s">
        <v>67</v>
      </c>
      <c r="B20" s="318">
        <v>0</v>
      </c>
      <c r="C20" s="319">
        <v>0</v>
      </c>
      <c r="D20" s="319">
        <v>0</v>
      </c>
      <c r="E20" s="319">
        <v>0</v>
      </c>
      <c r="G20" s="32" t="s">
        <v>67</v>
      </c>
      <c r="H20" s="321">
        <v>103</v>
      </c>
      <c r="I20" s="517">
        <v>168.64</v>
      </c>
      <c r="J20" s="517">
        <v>104655.48</v>
      </c>
      <c r="K20" s="516">
        <v>99934.23000000001</v>
      </c>
      <c r="L20" s="45"/>
      <c r="M20" s="100"/>
      <c r="N20" s="45"/>
    </row>
    <row r="21" spans="1:14" x14ac:dyDescent="0.2">
      <c r="A21" s="34" t="s">
        <v>0</v>
      </c>
      <c r="B21" s="105">
        <f>SUM(B9:B20)</f>
        <v>443</v>
      </c>
      <c r="C21" s="168">
        <f>SUM(C9:C20)</f>
        <v>647.72</v>
      </c>
      <c r="D21" s="168">
        <f>SUM(D9:D20)</f>
        <v>443628.70000000007</v>
      </c>
      <c r="E21" s="168">
        <f>SUM(E9:E20)</f>
        <v>418695.64</v>
      </c>
      <c r="G21" s="34" t="s">
        <v>0</v>
      </c>
      <c r="H21" s="106">
        <v>1047</v>
      </c>
      <c r="I21" s="107">
        <v>1410.8600000000001</v>
      </c>
      <c r="J21" s="107">
        <v>1005207.9999999999</v>
      </c>
      <c r="K21" s="107">
        <v>939746</v>
      </c>
      <c r="L21" s="12"/>
      <c r="M21" s="12"/>
      <c r="N21" s="45"/>
    </row>
    <row r="22" spans="1:14" x14ac:dyDescent="0.2">
      <c r="A22" s="133" t="s">
        <v>486</v>
      </c>
      <c r="B22" s="2"/>
      <c r="C22" s="2"/>
      <c r="D22" s="2"/>
      <c r="E22" s="7"/>
      <c r="G22" s="30"/>
      <c r="H22" s="2"/>
      <c r="I22" s="2" t="s">
        <v>505</v>
      </c>
      <c r="J22" s="2"/>
    </row>
    <row r="23" spans="1:14" x14ac:dyDescent="0.2">
      <c r="A23" s="130"/>
      <c r="B23" s="15"/>
    </row>
    <row r="24" spans="1:14" x14ac:dyDescent="0.2">
      <c r="A24" s="130"/>
      <c r="B24" s="2"/>
      <c r="C24" s="2"/>
      <c r="D24" s="2"/>
      <c r="E24" s="2"/>
      <c r="F24" s="2"/>
    </row>
    <row r="25" spans="1:14" x14ac:dyDescent="0.2">
      <c r="A25" s="130"/>
      <c r="B25" s="16"/>
      <c r="C25" s="2"/>
      <c r="D25" s="2"/>
      <c r="E25" s="2"/>
      <c r="F25" s="2"/>
    </row>
    <row r="26" spans="1:14" x14ac:dyDescent="0.2">
      <c r="A26" s="5"/>
      <c r="B26" s="18"/>
      <c r="C26" s="2"/>
      <c r="D26" s="2"/>
      <c r="F26" s="2"/>
      <c r="J26" s="2"/>
    </row>
    <row r="27" spans="1:14" x14ac:dyDescent="0.2">
      <c r="A27" s="5"/>
      <c r="B27" s="70"/>
      <c r="C27" s="477"/>
      <c r="D27" s="477"/>
      <c r="E27" s="477"/>
      <c r="F27" s="2"/>
    </row>
    <row r="28" spans="1:14" x14ac:dyDescent="0.2">
      <c r="A28" s="5"/>
      <c r="B28" s="8" t="s">
        <v>487</v>
      </c>
      <c r="C28" s="505"/>
      <c r="D28" s="506"/>
      <c r="E28" s="507"/>
      <c r="F28" s="507"/>
      <c r="G28" s="5"/>
      <c r="H28" s="8" t="s">
        <v>130</v>
      </c>
      <c r="I28" s="505"/>
      <c r="J28" s="506"/>
      <c r="K28" s="387"/>
    </row>
    <row r="29" spans="1:14" x14ac:dyDescent="0.2">
      <c r="A29" s="5"/>
      <c r="B29" s="16"/>
      <c r="C29" s="9" t="s">
        <v>488</v>
      </c>
      <c r="D29" s="2"/>
      <c r="E29" s="6"/>
      <c r="F29" s="6"/>
      <c r="G29" s="5"/>
      <c r="H29" s="16"/>
      <c r="I29" s="9" t="s">
        <v>490</v>
      </c>
      <c r="J29" s="2"/>
      <c r="K29" s="376"/>
    </row>
    <row r="30" spans="1:14" x14ac:dyDescent="0.2">
      <c r="A30" s="5"/>
      <c r="B30" s="4"/>
      <c r="C30" s="508" t="s">
        <v>491</v>
      </c>
      <c r="D30" s="2"/>
      <c r="E30" s="3"/>
      <c r="F30" s="3"/>
      <c r="G30" s="2"/>
      <c r="H30" s="4"/>
      <c r="I30" s="508" t="s">
        <v>489</v>
      </c>
      <c r="J30" s="2"/>
      <c r="K30" s="376"/>
    </row>
    <row r="31" spans="1:14" x14ac:dyDescent="0.2">
      <c r="A31" s="108"/>
      <c r="B31" s="10"/>
      <c r="C31" s="10"/>
      <c r="F31" s="2"/>
    </row>
    <row r="32" spans="1:14" x14ac:dyDescent="0.2">
      <c r="A32" s="10"/>
      <c r="B32" s="5"/>
      <c r="F32" s="2"/>
      <c r="H32" s="2"/>
      <c r="I32" s="2"/>
    </row>
    <row r="33" spans="1:9" x14ac:dyDescent="0.2">
      <c r="A33" s="29"/>
      <c r="B33" s="2"/>
      <c r="C33" s="2"/>
      <c r="D33" s="2"/>
      <c r="E33" s="2"/>
      <c r="F33" s="2"/>
      <c r="H33" s="2"/>
      <c r="I33" s="2"/>
    </row>
    <row r="34" spans="1:9" x14ac:dyDescent="0.2">
      <c r="B34" s="4"/>
      <c r="C34" s="4"/>
      <c r="D34" s="4"/>
      <c r="E34" s="2"/>
      <c r="F34" s="2"/>
      <c r="H34" s="2"/>
      <c r="I34" s="2"/>
    </row>
    <row r="35" spans="1:9" x14ac:dyDescent="0.2">
      <c r="B35" s="4"/>
      <c r="C35" s="4"/>
      <c r="D35" s="4"/>
      <c r="E35" s="2"/>
      <c r="F35" s="2"/>
    </row>
    <row r="36" spans="1:9" x14ac:dyDescent="0.2">
      <c r="A36" s="2"/>
      <c r="B36" s="2"/>
      <c r="C36" s="2"/>
      <c r="D36" s="2"/>
      <c r="E36" s="2"/>
      <c r="F36" s="2"/>
    </row>
    <row r="37" spans="1:9" x14ac:dyDescent="0.2">
      <c r="A37" s="2"/>
      <c r="B37" s="2"/>
      <c r="C37" s="2"/>
      <c r="D37" s="2"/>
      <c r="E37" s="2"/>
      <c r="F37" s="2"/>
    </row>
    <row r="38" spans="1:9" x14ac:dyDescent="0.2">
      <c r="A38" s="2"/>
      <c r="B38" s="2"/>
      <c r="C38" s="2"/>
      <c r="D38" s="2"/>
      <c r="E38" s="2"/>
      <c r="F38" s="2"/>
    </row>
    <row r="39" spans="1:9" x14ac:dyDescent="0.2">
      <c r="A39" s="2"/>
      <c r="B39" s="2"/>
      <c r="C39" s="2"/>
      <c r="D39" s="2"/>
      <c r="E39" s="2"/>
      <c r="F39" s="2"/>
    </row>
    <row r="40" spans="1:9" x14ac:dyDescent="0.2">
      <c r="A40" s="2"/>
      <c r="B40" s="2"/>
      <c r="C40" s="2"/>
      <c r="D40" s="2"/>
      <c r="E40" s="2"/>
      <c r="F40" s="2"/>
    </row>
    <row r="41" spans="1:9" x14ac:dyDescent="0.2">
      <c r="A41" s="2"/>
      <c r="B41" s="2"/>
      <c r="C41" s="2"/>
      <c r="D41" s="2"/>
      <c r="E41" s="2"/>
      <c r="F41" s="2"/>
    </row>
    <row r="42" spans="1:9" x14ac:dyDescent="0.2">
      <c r="A42" s="2"/>
      <c r="B42" s="2"/>
      <c r="C42" s="2"/>
      <c r="D42" s="2"/>
      <c r="E42" s="2"/>
      <c r="F42" s="2"/>
    </row>
    <row r="43" spans="1:9" x14ac:dyDescent="0.2">
      <c r="A43" s="2"/>
      <c r="B43" s="2"/>
      <c r="C43" s="2"/>
      <c r="D43" s="2"/>
      <c r="E43" s="2"/>
      <c r="F43" s="2"/>
    </row>
    <row r="44" spans="1:9" x14ac:dyDescent="0.2">
      <c r="A44" s="2"/>
      <c r="B44" s="2"/>
      <c r="C44" s="2"/>
      <c r="D44" s="2"/>
      <c r="E44" s="2"/>
      <c r="F44" s="2"/>
    </row>
  </sheetData>
  <mergeCells count="6">
    <mergeCell ref="A4:E4"/>
    <mergeCell ref="G4:K4"/>
    <mergeCell ref="A5:E5"/>
    <mergeCell ref="G5:K5"/>
    <mergeCell ref="B7:E7"/>
    <mergeCell ref="H7:K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42"/>
  <sheetViews>
    <sheetView topLeftCell="A7" workbookViewId="0">
      <selection activeCell="F17" sqref="F17"/>
    </sheetView>
  </sheetViews>
  <sheetFormatPr baseColWidth="10" defaultRowHeight="12.75" x14ac:dyDescent="0.2"/>
  <cols>
    <col min="1" max="1" width="1.5703125" customWidth="1"/>
    <col min="2" max="2" width="11.140625" customWidth="1"/>
    <col min="3" max="3" width="9.42578125" customWidth="1"/>
    <col min="4" max="4" width="10.5703125" customWidth="1"/>
    <col min="5" max="5" width="15.140625" customWidth="1"/>
    <col min="6" max="6" width="14.85546875" customWidth="1"/>
    <col min="7" max="7" width="3.85546875" customWidth="1"/>
    <col min="8" max="8" width="11.42578125" customWidth="1"/>
    <col min="9" max="9" width="8.85546875" customWidth="1"/>
    <col min="10" max="10" width="10.42578125" customWidth="1"/>
    <col min="11" max="12" width="14.140625" customWidth="1"/>
    <col min="13" max="14" width="12.28515625" bestFit="1" customWidth="1"/>
  </cols>
  <sheetData>
    <row r="3" spans="1:15" x14ac:dyDescent="0.2">
      <c r="L3" s="18" t="s">
        <v>481</v>
      </c>
    </row>
    <row r="5" spans="1:15" x14ac:dyDescent="0.2">
      <c r="B5" s="20"/>
    </row>
    <row r="6" spans="1:15" x14ac:dyDescent="0.2">
      <c r="B6" s="21"/>
      <c r="C6" s="21"/>
      <c r="D6" s="21"/>
      <c r="E6" s="21"/>
    </row>
    <row r="7" spans="1:15" x14ac:dyDescent="0.2">
      <c r="B7" s="21"/>
      <c r="C7" s="21"/>
      <c r="D7" s="21"/>
      <c r="E7" s="21"/>
    </row>
    <row r="8" spans="1:15" x14ac:dyDescent="0.2">
      <c r="B8" s="550" t="s">
        <v>77</v>
      </c>
      <c r="C8" s="550"/>
      <c r="D8" s="550"/>
      <c r="E8" s="550"/>
      <c r="F8" s="550"/>
      <c r="G8" s="2"/>
      <c r="H8" s="550" t="s">
        <v>77</v>
      </c>
      <c r="I8" s="550"/>
      <c r="J8" s="550"/>
      <c r="K8" s="550"/>
      <c r="L8" s="550"/>
    </row>
    <row r="9" spans="1:15" x14ac:dyDescent="0.2">
      <c r="B9" s="554" t="s">
        <v>495</v>
      </c>
      <c r="C9" s="554"/>
      <c r="D9" s="554"/>
      <c r="E9" s="554"/>
      <c r="F9" s="554"/>
      <c r="G9" s="2"/>
      <c r="H9" s="554" t="s">
        <v>500</v>
      </c>
      <c r="I9" s="554"/>
      <c r="J9" s="554"/>
      <c r="K9" s="554"/>
      <c r="L9" s="554"/>
    </row>
    <row r="10" spans="1:15" ht="12.75" customHeight="1" x14ac:dyDescent="0.2">
      <c r="B10" s="22"/>
      <c r="C10" s="543" t="s">
        <v>496</v>
      </c>
      <c r="D10" s="544"/>
      <c r="E10" s="544"/>
      <c r="F10" s="545"/>
      <c r="H10" s="22"/>
      <c r="I10" s="551" t="s">
        <v>498</v>
      </c>
      <c r="J10" s="552"/>
      <c r="K10" s="552"/>
      <c r="L10" s="555"/>
    </row>
    <row r="11" spans="1:15" ht="45" x14ac:dyDescent="0.2">
      <c r="B11" s="36" t="s">
        <v>70</v>
      </c>
      <c r="C11" s="43" t="s">
        <v>116</v>
      </c>
      <c r="D11" s="38" t="s">
        <v>72</v>
      </c>
      <c r="E11" s="473" t="s">
        <v>73</v>
      </c>
      <c r="F11" s="475" t="s">
        <v>78</v>
      </c>
      <c r="H11" s="36" t="s">
        <v>70</v>
      </c>
      <c r="I11" s="43" t="s">
        <v>116</v>
      </c>
      <c r="J11" s="38" t="s">
        <v>72</v>
      </c>
      <c r="K11" s="38" t="s">
        <v>73</v>
      </c>
      <c r="L11" s="31" t="s">
        <v>78</v>
      </c>
      <c r="N11" s="375"/>
    </row>
    <row r="12" spans="1:15" x14ac:dyDescent="0.2">
      <c r="A12" s="353"/>
      <c r="B12" s="32" t="s">
        <v>56</v>
      </c>
      <c r="C12" s="41">
        <f>9+19+5+13</f>
        <v>46</v>
      </c>
      <c r="D12" s="319">
        <f>57.24+183.18+41.57+116.58</f>
        <v>398.57</v>
      </c>
      <c r="E12" s="319">
        <f>10856.4+33025.8+8155.8+20548.8</f>
        <v>72586.8</v>
      </c>
      <c r="F12" s="319">
        <f>11371.35+34673.99+8529.87+21597.73</f>
        <v>76172.94</v>
      </c>
      <c r="H12" s="32" t="s">
        <v>56</v>
      </c>
      <c r="I12" s="41">
        <v>47</v>
      </c>
      <c r="J12" s="512">
        <v>394.84000000000003</v>
      </c>
      <c r="K12" s="512">
        <v>90036.48000000001</v>
      </c>
      <c r="L12" s="513">
        <v>96748.079999999987</v>
      </c>
      <c r="M12" s="136"/>
      <c r="N12" s="102"/>
      <c r="O12" s="45"/>
    </row>
    <row r="13" spans="1:15" x14ac:dyDescent="0.2">
      <c r="A13" s="353"/>
      <c r="B13" s="32" t="s">
        <v>57</v>
      </c>
      <c r="C13" s="41">
        <f>11+21+19+9</f>
        <v>60</v>
      </c>
      <c r="D13" s="39">
        <f>87.89+177.85+207.82+79.6</f>
        <v>553.16</v>
      </c>
      <c r="E13" s="474">
        <f>16264.2+31936.2+36779.4+13489.8</f>
        <v>98469.6</v>
      </c>
      <c r="F13" s="476">
        <f>17054.99+33536.48+38649.36+14206.13</f>
        <v>103446.96</v>
      </c>
      <c r="H13" s="32" t="s">
        <v>57</v>
      </c>
      <c r="I13" s="321">
        <v>42</v>
      </c>
      <c r="J13" s="514">
        <v>356.93000000000006</v>
      </c>
      <c r="K13" s="514">
        <v>65469.229999999996</v>
      </c>
      <c r="L13" s="322">
        <v>68785.97</v>
      </c>
      <c r="M13" s="136"/>
      <c r="N13" s="100"/>
      <c r="O13" s="45"/>
    </row>
    <row r="14" spans="1:15" x14ac:dyDescent="0.2">
      <c r="A14" s="353"/>
      <c r="B14" s="32" t="s">
        <v>58</v>
      </c>
      <c r="C14" s="41">
        <f>19+23+15+27+9</f>
        <v>93</v>
      </c>
      <c r="D14" s="39">
        <f>141.71+173.19+146.51+216.45+65.22</f>
        <v>743.07999999999993</v>
      </c>
      <c r="E14" s="39">
        <f>25440.4+32554.2+27678+53815.69+12490.8</f>
        <v>151979.09</v>
      </c>
      <c r="F14" s="33">
        <f>26715.48+34112.56+28996.36+57497.88+13077.65</f>
        <v>160399.93</v>
      </c>
      <c r="H14" s="32" t="s">
        <v>58</v>
      </c>
      <c r="I14" s="321">
        <v>85</v>
      </c>
      <c r="J14" s="514">
        <v>609.20000000000005</v>
      </c>
      <c r="K14" s="514">
        <v>122088.59999999999</v>
      </c>
      <c r="L14" s="322">
        <v>128533.81</v>
      </c>
      <c r="M14" s="136"/>
      <c r="N14" s="99"/>
      <c r="O14" s="12"/>
    </row>
    <row r="15" spans="1:15" x14ac:dyDescent="0.2">
      <c r="A15" s="353"/>
      <c r="B15" s="32" t="s">
        <v>59</v>
      </c>
      <c r="C15" s="41">
        <f>30+20+11</f>
        <v>61</v>
      </c>
      <c r="D15" s="39">
        <f>234.78+154.93+69.4</f>
        <v>459.11</v>
      </c>
      <c r="E15" s="39">
        <f>45652.8+27594+13591.8</f>
        <v>86838.6</v>
      </c>
      <c r="F15" s="33">
        <f>47765.27+28987.97+14216.34</f>
        <v>90969.579999999987</v>
      </c>
      <c r="H15" s="32" t="s">
        <v>59</v>
      </c>
      <c r="I15" s="321">
        <v>116</v>
      </c>
      <c r="J15" s="515">
        <v>970.55</v>
      </c>
      <c r="K15" s="515">
        <v>184753.2</v>
      </c>
      <c r="L15" s="516">
        <v>193886.79</v>
      </c>
      <c r="M15" s="109"/>
      <c r="N15" s="102"/>
      <c r="O15" s="12"/>
    </row>
    <row r="16" spans="1:15" x14ac:dyDescent="0.2">
      <c r="A16" s="353"/>
      <c r="B16" s="32" t="s">
        <v>60</v>
      </c>
      <c r="C16" s="41">
        <f>19+13+18+19+21</f>
        <v>90</v>
      </c>
      <c r="D16" s="39">
        <f>133.94+66.89+137.82+158.3+144.35</f>
        <v>641.29999999999995</v>
      </c>
      <c r="E16" s="39">
        <f>24375+17189.28+24907.8+29274.4+27699.78</f>
        <v>123446.26000000001</v>
      </c>
      <c r="F16" s="33">
        <f>25580.38+18790.28+26147.92+30698.88+28998.54</f>
        <v>130216</v>
      </c>
      <c r="H16" s="32" t="s">
        <v>60</v>
      </c>
      <c r="I16" s="321">
        <v>124</v>
      </c>
      <c r="J16" s="514">
        <v>1019.6600000000001</v>
      </c>
      <c r="K16" s="514">
        <v>190551.96</v>
      </c>
      <c r="L16" s="322">
        <v>200123.46000000002</v>
      </c>
      <c r="M16" s="100"/>
      <c r="N16" s="99"/>
      <c r="O16" s="12"/>
    </row>
    <row r="17" spans="1:16" x14ac:dyDescent="0.2">
      <c r="A17" s="353"/>
      <c r="B17" s="32" t="s">
        <v>61</v>
      </c>
      <c r="C17" s="41">
        <f>21+37+25+8</f>
        <v>91</v>
      </c>
      <c r="D17" s="39">
        <f>186.93+238.7+209.05+53.55</f>
        <v>688.23</v>
      </c>
      <c r="E17" s="39">
        <f>34131+43899.6+41404.2+9178.8</f>
        <v>128613.6</v>
      </c>
      <c r="F17" s="33">
        <f>35813.1+46047.1+43791.01+9660.75</f>
        <v>135311.96</v>
      </c>
      <c r="H17" s="32" t="s">
        <v>61</v>
      </c>
      <c r="I17" s="321">
        <v>78</v>
      </c>
      <c r="J17" s="514">
        <v>515.70000000000005</v>
      </c>
      <c r="K17" s="514">
        <v>93701.400000000009</v>
      </c>
      <c r="L17" s="322">
        <v>98341.62</v>
      </c>
      <c r="M17" s="100"/>
      <c r="N17" s="99"/>
      <c r="O17" s="12"/>
    </row>
    <row r="18" spans="1:16" x14ac:dyDescent="0.2">
      <c r="A18" s="353"/>
      <c r="B18" s="27" t="s">
        <v>79</v>
      </c>
      <c r="C18" s="41">
        <v>0</v>
      </c>
      <c r="D18" s="39">
        <v>0</v>
      </c>
      <c r="E18" s="39">
        <v>0</v>
      </c>
      <c r="F18" s="33">
        <v>0</v>
      </c>
      <c r="G18" s="110"/>
      <c r="H18" s="111" t="s">
        <v>79</v>
      </c>
      <c r="I18" s="321">
        <v>104</v>
      </c>
      <c r="J18" s="514">
        <v>776.40000000000009</v>
      </c>
      <c r="K18" s="514">
        <v>143984.12</v>
      </c>
      <c r="L18" s="322">
        <v>151223.74</v>
      </c>
      <c r="M18" s="45"/>
      <c r="N18" s="99"/>
      <c r="O18" s="45"/>
    </row>
    <row r="19" spans="1:16" x14ac:dyDescent="0.2">
      <c r="A19" s="353"/>
      <c r="B19" s="97" t="s">
        <v>63</v>
      </c>
      <c r="C19" s="41">
        <v>0</v>
      </c>
      <c r="D19" s="39">
        <v>0</v>
      </c>
      <c r="E19" s="39">
        <v>0</v>
      </c>
      <c r="F19" s="33">
        <v>0</v>
      </c>
      <c r="H19" s="98" t="s">
        <v>63</v>
      </c>
      <c r="I19" s="321">
        <v>82</v>
      </c>
      <c r="J19" s="514">
        <v>717.84</v>
      </c>
      <c r="K19" s="514">
        <v>137550.51</v>
      </c>
      <c r="L19" s="322">
        <v>144996.56999999998</v>
      </c>
      <c r="M19" s="45"/>
      <c r="N19" s="12"/>
      <c r="O19" s="12"/>
    </row>
    <row r="20" spans="1:16" x14ac:dyDescent="0.2">
      <c r="A20" s="353"/>
      <c r="B20" s="97" t="s">
        <v>75</v>
      </c>
      <c r="C20" s="41">
        <v>0</v>
      </c>
      <c r="D20" s="39">
        <v>0</v>
      </c>
      <c r="E20" s="39">
        <v>0</v>
      </c>
      <c r="F20" s="33">
        <v>0</v>
      </c>
      <c r="H20" s="32" t="s">
        <v>75</v>
      </c>
      <c r="I20" s="321">
        <v>87</v>
      </c>
      <c r="J20" s="514">
        <v>649.84</v>
      </c>
      <c r="K20" s="514">
        <v>116931.48000000001</v>
      </c>
      <c r="L20" s="322">
        <v>122778.89</v>
      </c>
      <c r="M20" s="112"/>
      <c r="N20" s="103"/>
      <c r="O20" s="100"/>
      <c r="P20" s="12"/>
    </row>
    <row r="21" spans="1:16" x14ac:dyDescent="0.2">
      <c r="A21" s="353"/>
      <c r="B21" s="32" t="s">
        <v>64</v>
      </c>
      <c r="C21" s="41">
        <v>0</v>
      </c>
      <c r="D21" s="39">
        <v>0</v>
      </c>
      <c r="E21" s="39">
        <v>0</v>
      </c>
      <c r="F21" s="33">
        <v>0</v>
      </c>
      <c r="H21" s="32" t="s">
        <v>64</v>
      </c>
      <c r="I21" s="321">
        <v>78</v>
      </c>
      <c r="J21" s="514">
        <v>584.67999999999995</v>
      </c>
      <c r="K21" s="514">
        <v>109804.79999999999</v>
      </c>
      <c r="L21" s="322">
        <v>115415.43</v>
      </c>
      <c r="M21" s="100"/>
      <c r="N21" s="45"/>
      <c r="O21" s="12"/>
    </row>
    <row r="22" spans="1:16" x14ac:dyDescent="0.2">
      <c r="A22" s="353"/>
      <c r="B22" s="32" t="s">
        <v>65</v>
      </c>
      <c r="C22" s="41">
        <v>0</v>
      </c>
      <c r="D22" s="39">
        <v>0</v>
      </c>
      <c r="E22" s="39">
        <v>0</v>
      </c>
      <c r="F22" s="33">
        <v>0</v>
      </c>
      <c r="H22" s="32" t="s">
        <v>65</v>
      </c>
      <c r="I22" s="321">
        <v>85</v>
      </c>
      <c r="J22" s="514">
        <v>637.45000000000005</v>
      </c>
      <c r="K22" s="514">
        <v>137100.24</v>
      </c>
      <c r="L22" s="322">
        <v>146791.25</v>
      </c>
      <c r="M22" s="113"/>
      <c r="N22" s="114"/>
      <c r="O22" s="12"/>
      <c r="P22" s="2"/>
    </row>
    <row r="23" spans="1:16" x14ac:dyDescent="0.2">
      <c r="A23" s="353"/>
      <c r="B23" s="32" t="s">
        <v>67</v>
      </c>
      <c r="C23" s="41">
        <v>0</v>
      </c>
      <c r="D23" s="39">
        <v>0</v>
      </c>
      <c r="E23" s="39">
        <v>0</v>
      </c>
      <c r="F23" s="33">
        <v>0</v>
      </c>
      <c r="H23" s="32" t="s">
        <v>67</v>
      </c>
      <c r="I23" s="321">
        <v>65</v>
      </c>
      <c r="J23" s="514">
        <v>500.15999999999997</v>
      </c>
      <c r="K23" s="514">
        <v>100520.67</v>
      </c>
      <c r="L23" s="322">
        <v>106928.54000000001</v>
      </c>
      <c r="M23" s="100"/>
      <c r="N23" s="12"/>
      <c r="O23" s="12"/>
    </row>
    <row r="24" spans="1:16" x14ac:dyDescent="0.2">
      <c r="A24" s="353"/>
      <c r="B24" s="34" t="s">
        <v>0</v>
      </c>
      <c r="C24" s="42">
        <f>SUM(C12:C23)</f>
        <v>441</v>
      </c>
      <c r="D24" s="40">
        <f>SUM(D12:D23)</f>
        <v>3483.4500000000003</v>
      </c>
      <c r="E24" s="115">
        <f>SUM(E12:E23)</f>
        <v>661933.94999999995</v>
      </c>
      <c r="F24" s="35">
        <f>SUM(F12:F23)</f>
        <v>696517.37</v>
      </c>
      <c r="H24" s="34" t="s">
        <v>0</v>
      </c>
      <c r="I24" s="42">
        <v>993</v>
      </c>
      <c r="J24" s="40">
        <v>7733.2500000000009</v>
      </c>
      <c r="K24" s="115">
        <v>1492492.69</v>
      </c>
      <c r="L24" s="35">
        <v>1574554.15</v>
      </c>
      <c r="M24" s="45"/>
      <c r="N24" s="116"/>
      <c r="O24" s="12"/>
    </row>
    <row r="25" spans="1:16" x14ac:dyDescent="0.2">
      <c r="A25" s="353"/>
      <c r="B25" s="354" t="s">
        <v>486</v>
      </c>
      <c r="C25" s="353"/>
      <c r="D25" s="353"/>
      <c r="E25" s="353"/>
      <c r="F25" s="353"/>
      <c r="I25" s="5"/>
      <c r="J25" s="2" t="s">
        <v>505</v>
      </c>
      <c r="L25" s="8"/>
      <c r="M25" s="45"/>
    </row>
    <row r="26" spans="1:16" x14ac:dyDescent="0.2">
      <c r="A26" s="353"/>
      <c r="B26" s="353"/>
      <c r="C26" s="353"/>
      <c r="D26" s="353"/>
      <c r="E26" s="353"/>
      <c r="F26" s="353"/>
      <c r="I26" s="5"/>
      <c r="N26" s="12"/>
    </row>
    <row r="27" spans="1:16" x14ac:dyDescent="0.2">
      <c r="A27" s="5"/>
      <c r="B27" s="130"/>
      <c r="C27" s="2"/>
      <c r="D27" s="2"/>
      <c r="E27" s="2"/>
      <c r="F27" s="2"/>
      <c r="G27" s="2"/>
    </row>
    <row r="28" spans="1:16" x14ac:dyDescent="0.2">
      <c r="B28" s="130"/>
    </row>
    <row r="29" spans="1:16" x14ac:dyDescent="0.2">
      <c r="B29" s="130"/>
      <c r="E29" s="15"/>
      <c r="N29" s="12"/>
    </row>
    <row r="30" spans="1:16" x14ac:dyDescent="0.2">
      <c r="B30" s="2"/>
      <c r="D30" s="4"/>
      <c r="E30" s="4"/>
    </row>
    <row r="31" spans="1:16" x14ac:dyDescent="0.2">
      <c r="B31" s="2"/>
      <c r="C31" s="8" t="s">
        <v>487</v>
      </c>
      <c r="D31" s="505"/>
      <c r="E31" s="506"/>
      <c r="F31" s="507"/>
      <c r="G31" s="507"/>
      <c r="H31" s="5"/>
      <c r="I31" s="8" t="s">
        <v>130</v>
      </c>
      <c r="J31" s="505"/>
      <c r="K31" s="506"/>
      <c r="L31" s="387"/>
    </row>
    <row r="32" spans="1:16" x14ac:dyDescent="0.2">
      <c r="A32" s="2"/>
      <c r="B32" s="37"/>
      <c r="C32" s="16"/>
      <c r="D32" s="9" t="s">
        <v>488</v>
      </c>
      <c r="E32" s="2"/>
      <c r="F32" s="6"/>
      <c r="G32" s="6"/>
      <c r="H32" s="5"/>
      <c r="I32" s="16"/>
      <c r="J32" s="9" t="s">
        <v>490</v>
      </c>
      <c r="K32" s="2"/>
      <c r="L32" s="376"/>
      <c r="M32" s="5"/>
    </row>
    <row r="33" spans="1:13" x14ac:dyDescent="0.2">
      <c r="A33" s="44"/>
      <c r="B33" s="44"/>
      <c r="C33" s="4"/>
      <c r="D33" s="508" t="s">
        <v>491</v>
      </c>
      <c r="E33" s="2"/>
      <c r="F33" s="3"/>
      <c r="G33" s="3"/>
      <c r="H33" s="2"/>
      <c r="I33" s="4"/>
      <c r="J33" s="508" t="s">
        <v>489</v>
      </c>
      <c r="K33" s="2"/>
      <c r="L33" s="376"/>
      <c r="M33" s="5"/>
    </row>
    <row r="34" spans="1:13" x14ac:dyDescent="0.2">
      <c r="B34" s="5"/>
      <c r="C34" s="2"/>
      <c r="D34" s="2"/>
      <c r="E34" s="2"/>
      <c r="F34" s="5"/>
      <c r="G34" s="5"/>
      <c r="H34" s="5"/>
      <c r="I34" s="5"/>
      <c r="J34" s="5"/>
      <c r="K34" s="5"/>
      <c r="L34" s="5"/>
      <c r="M34" s="5"/>
    </row>
    <row r="35" spans="1:13" x14ac:dyDescent="0.2">
      <c r="B35" s="2"/>
      <c r="C35" s="2"/>
      <c r="D35" s="2"/>
      <c r="E35" s="2"/>
      <c r="F35" s="2"/>
      <c r="G35" s="2"/>
    </row>
    <row r="36" spans="1:13" x14ac:dyDescent="0.2">
      <c r="F36" s="2"/>
      <c r="G36" s="2"/>
    </row>
    <row r="37" spans="1:13" x14ac:dyDescent="0.2">
      <c r="F37" s="2"/>
      <c r="G37" s="2"/>
    </row>
    <row r="38" spans="1:13" x14ac:dyDescent="0.2">
      <c r="F38" s="2"/>
      <c r="G38" s="2"/>
    </row>
    <row r="39" spans="1:13" x14ac:dyDescent="0.2">
      <c r="B39" s="2"/>
      <c r="C39" s="2"/>
      <c r="D39" s="2"/>
      <c r="E39" s="2"/>
      <c r="F39" s="2"/>
      <c r="G39" s="2"/>
    </row>
    <row r="40" spans="1:13" x14ac:dyDescent="0.2">
      <c r="B40" s="2"/>
      <c r="C40" s="2"/>
      <c r="D40" s="2"/>
      <c r="E40" s="2"/>
      <c r="F40" s="2"/>
      <c r="G40" s="2"/>
    </row>
    <row r="41" spans="1:13" x14ac:dyDescent="0.2">
      <c r="B41" s="2"/>
      <c r="C41" s="2"/>
      <c r="D41" s="2"/>
      <c r="E41" s="2"/>
      <c r="F41" s="2"/>
      <c r="G41" s="2"/>
    </row>
    <row r="42" spans="1:13" x14ac:dyDescent="0.2">
      <c r="B42" s="2"/>
      <c r="C42" s="2"/>
      <c r="D42" s="2"/>
      <c r="E42" s="2"/>
      <c r="F42" s="2"/>
      <c r="G42" s="2"/>
    </row>
  </sheetData>
  <mergeCells count="6">
    <mergeCell ref="B8:F8"/>
    <mergeCell ref="H8:L8"/>
    <mergeCell ref="B9:F9"/>
    <mergeCell ref="H9:L9"/>
    <mergeCell ref="C10:F10"/>
    <mergeCell ref="I10:L10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zoomScale="115" zoomScaleNormal="115" workbookViewId="0">
      <selection activeCell="N10" sqref="N10"/>
    </sheetView>
  </sheetViews>
  <sheetFormatPr baseColWidth="10" defaultColWidth="11.42578125" defaultRowHeight="11.25" x14ac:dyDescent="0.2"/>
  <cols>
    <col min="1" max="1" width="2.5703125" style="5" customWidth="1"/>
    <col min="2" max="2" width="12.85546875" style="5" customWidth="1"/>
    <col min="3" max="3" width="5.85546875" style="5" customWidth="1"/>
    <col min="4" max="4" width="6.42578125" style="5" bestFit="1" customWidth="1"/>
    <col min="5" max="5" width="5.85546875" style="5" customWidth="1"/>
    <col min="6" max="6" width="1.7109375" style="5" customWidth="1"/>
    <col min="7" max="7" width="11.140625" style="5" customWidth="1"/>
    <col min="8" max="8" width="4.85546875" style="5" customWidth="1"/>
    <col min="9" max="9" width="1.5703125" style="5" customWidth="1"/>
    <col min="10" max="10" width="27.140625" style="5" customWidth="1"/>
    <col min="11" max="11" width="3.42578125" style="5" customWidth="1"/>
    <col min="12" max="12" width="2.85546875" style="5" customWidth="1"/>
    <col min="13" max="13" width="10.85546875" style="5" customWidth="1"/>
    <col min="14" max="14" width="4.7109375" style="5" customWidth="1"/>
    <col min="15" max="15" width="11.42578125" style="5" customWidth="1"/>
    <col min="16" max="16" width="3.7109375" style="5" customWidth="1"/>
    <col min="17" max="16384" width="11.42578125" style="5"/>
  </cols>
  <sheetData>
    <row r="1" spans="1:18" ht="12.75" x14ac:dyDescent="0.2">
      <c r="O1" s="8" t="s">
        <v>117</v>
      </c>
    </row>
    <row r="3" spans="1:18" x14ac:dyDescent="0.2">
      <c r="B3" s="556" t="s">
        <v>196</v>
      </c>
      <c r="C3" s="556"/>
      <c r="D3" s="556"/>
      <c r="E3" s="556"/>
      <c r="F3" s="556"/>
      <c r="G3" s="556"/>
      <c r="H3" s="556"/>
      <c r="I3" s="556"/>
      <c r="J3" s="556"/>
      <c r="K3" s="556"/>
      <c r="L3" s="556"/>
      <c r="M3" s="556"/>
      <c r="N3" s="556"/>
      <c r="O3" s="556"/>
      <c r="P3" s="556"/>
    </row>
    <row r="4" spans="1:18" x14ac:dyDescent="0.2">
      <c r="A4" s="199"/>
      <c r="B4" s="557" t="s">
        <v>478</v>
      </c>
      <c r="C4" s="557"/>
      <c r="D4" s="557"/>
      <c r="E4" s="557"/>
      <c r="F4" s="557"/>
      <c r="G4" s="557"/>
      <c r="H4" s="557"/>
      <c r="I4" s="557"/>
      <c r="J4" s="557"/>
      <c r="K4" s="557"/>
      <c r="L4" s="557"/>
      <c r="M4" s="557"/>
      <c r="N4" s="557"/>
      <c r="O4" s="557"/>
      <c r="P4" s="557"/>
    </row>
    <row r="5" spans="1:18" x14ac:dyDescent="0.2"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</row>
    <row r="6" spans="1:18" ht="11.25" customHeight="1" x14ac:dyDescent="0.2">
      <c r="B6" s="558" t="s">
        <v>204</v>
      </c>
      <c r="C6" s="558"/>
      <c r="D6" s="558"/>
      <c r="E6" s="558"/>
      <c r="F6" s="558"/>
      <c r="G6" s="558"/>
      <c r="H6" s="558"/>
      <c r="I6" s="558"/>
      <c r="J6" s="558"/>
      <c r="K6" s="558"/>
      <c r="L6" s="558"/>
      <c r="M6" s="315">
        <f>C25</f>
        <v>48</v>
      </c>
      <c r="N6" s="198"/>
      <c r="O6" s="198"/>
      <c r="P6" s="198"/>
    </row>
    <row r="7" spans="1:18" ht="12" thickBot="1" x14ac:dyDescent="0.25">
      <c r="B7" s="559"/>
      <c r="C7" s="559"/>
      <c r="D7" s="559"/>
      <c r="E7" s="559"/>
      <c r="F7" s="559"/>
      <c r="G7" s="559"/>
      <c r="H7" s="559"/>
      <c r="I7" s="559"/>
      <c r="J7" s="559"/>
      <c r="K7" s="559"/>
      <c r="L7" s="559"/>
      <c r="M7" s="559"/>
      <c r="N7" s="559"/>
      <c r="O7" s="559"/>
      <c r="P7" s="559"/>
    </row>
    <row r="8" spans="1:18" ht="12.75" thickBot="1" x14ac:dyDescent="0.25">
      <c r="B8" s="560" t="s">
        <v>19</v>
      </c>
      <c r="C8" s="561"/>
      <c r="D8" s="560" t="s">
        <v>174</v>
      </c>
      <c r="E8" s="562"/>
      <c r="F8" s="557"/>
      <c r="G8" s="572" t="s">
        <v>21</v>
      </c>
      <c r="H8" s="574"/>
      <c r="I8" s="584">
        <f>SUM(I10:I32)</f>
        <v>0</v>
      </c>
      <c r="J8" s="572" t="s">
        <v>20</v>
      </c>
      <c r="K8" s="574"/>
      <c r="L8" s="571"/>
      <c r="M8" s="572" t="s">
        <v>22</v>
      </c>
      <c r="N8" s="573"/>
      <c r="O8" s="573"/>
      <c r="P8" s="574"/>
    </row>
    <row r="9" spans="1:18" ht="12.75" thickBot="1" x14ac:dyDescent="0.25">
      <c r="B9" s="563" t="s">
        <v>23</v>
      </c>
      <c r="C9" s="564"/>
      <c r="D9" s="240" t="s">
        <v>175</v>
      </c>
      <c r="E9" s="239" t="s">
        <v>176</v>
      </c>
      <c r="F9" s="557"/>
      <c r="G9" s="565" t="s">
        <v>26</v>
      </c>
      <c r="H9" s="566"/>
      <c r="I9" s="584"/>
      <c r="J9" s="565" t="s">
        <v>25</v>
      </c>
      <c r="K9" s="566"/>
      <c r="L9" s="571"/>
      <c r="M9" s="567" t="s">
        <v>27</v>
      </c>
      <c r="N9" s="568"/>
      <c r="O9" s="569" t="s">
        <v>29</v>
      </c>
      <c r="P9" s="570"/>
    </row>
    <row r="10" spans="1:18" ht="24.75" x14ac:dyDescent="0.2">
      <c r="B10" s="227" t="s">
        <v>31</v>
      </c>
      <c r="C10" s="241">
        <f>D10+E10</f>
        <v>2</v>
      </c>
      <c r="D10" s="242">
        <v>2</v>
      </c>
      <c r="E10" s="243">
        <v>0</v>
      </c>
      <c r="F10" s="557"/>
      <c r="G10" s="236" t="s">
        <v>186</v>
      </c>
      <c r="H10" s="249">
        <v>0</v>
      </c>
      <c r="I10" s="584"/>
      <c r="J10" s="202" t="s">
        <v>154</v>
      </c>
      <c r="K10" s="243">
        <v>0</v>
      </c>
      <c r="L10" s="571"/>
      <c r="M10" s="218">
        <v>1142.8599999999999</v>
      </c>
      <c r="N10" s="259">
        <v>6</v>
      </c>
      <c r="O10" s="219">
        <v>571.42999999999995</v>
      </c>
      <c r="P10" s="262">
        <v>1</v>
      </c>
      <c r="Q10" s="117"/>
    </row>
    <row r="11" spans="1:18" ht="16.5" x14ac:dyDescent="0.2">
      <c r="B11" s="225" t="s">
        <v>33</v>
      </c>
      <c r="C11" s="241">
        <f t="shared" ref="C11:C24" si="0">D11+E11</f>
        <v>3</v>
      </c>
      <c r="D11" s="242">
        <v>2</v>
      </c>
      <c r="E11" s="243">
        <v>1</v>
      </c>
      <c r="F11" s="557"/>
      <c r="G11" s="220" t="s">
        <v>187</v>
      </c>
      <c r="H11" s="250">
        <v>5</v>
      </c>
      <c r="I11" s="584"/>
      <c r="J11" s="202" t="s">
        <v>179</v>
      </c>
      <c r="K11" s="243">
        <v>1</v>
      </c>
      <c r="L11" s="571"/>
      <c r="M11" s="209">
        <v>2285.71</v>
      </c>
      <c r="N11" s="260">
        <v>2</v>
      </c>
      <c r="O11" s="124">
        <v>1142.8599999999999</v>
      </c>
      <c r="P11" s="263">
        <v>0</v>
      </c>
      <c r="Q11" s="117"/>
    </row>
    <row r="12" spans="1:18" x14ac:dyDescent="0.2">
      <c r="B12" s="225" t="s">
        <v>36</v>
      </c>
      <c r="C12" s="241">
        <f t="shared" si="0"/>
        <v>4</v>
      </c>
      <c r="D12" s="244">
        <v>3</v>
      </c>
      <c r="E12" s="245">
        <v>1</v>
      </c>
      <c r="F12" s="557"/>
      <c r="G12" s="220" t="s">
        <v>35</v>
      </c>
      <c r="H12" s="250">
        <v>7</v>
      </c>
      <c r="I12" s="584"/>
      <c r="J12" s="202" t="s">
        <v>112</v>
      </c>
      <c r="K12" s="243">
        <v>1</v>
      </c>
      <c r="L12" s="571"/>
      <c r="M12" s="209">
        <v>3428.57</v>
      </c>
      <c r="N12" s="260">
        <v>22</v>
      </c>
      <c r="O12" s="124">
        <v>1714.29</v>
      </c>
      <c r="P12" s="263">
        <v>0</v>
      </c>
      <c r="Q12" s="117"/>
      <c r="R12" s="256"/>
    </row>
    <row r="13" spans="1:18" x14ac:dyDescent="0.2">
      <c r="B13" s="225" t="s">
        <v>39</v>
      </c>
      <c r="C13" s="241">
        <f t="shared" si="0"/>
        <v>0</v>
      </c>
      <c r="D13" s="244">
        <v>0</v>
      </c>
      <c r="E13" s="245">
        <v>0</v>
      </c>
      <c r="F13" s="557"/>
      <c r="G13" s="220" t="s">
        <v>38</v>
      </c>
      <c r="H13" s="250">
        <v>11</v>
      </c>
      <c r="I13" s="584"/>
      <c r="J13" s="202" t="s">
        <v>113</v>
      </c>
      <c r="K13" s="243">
        <v>0</v>
      </c>
      <c r="L13" s="571"/>
      <c r="M13" s="209">
        <v>4571.43</v>
      </c>
      <c r="N13" s="260">
        <v>1</v>
      </c>
      <c r="O13" s="210">
        <v>2285.71</v>
      </c>
      <c r="P13" s="263">
        <v>0</v>
      </c>
    </row>
    <row r="14" spans="1:18" x14ac:dyDescent="0.2">
      <c r="B14" s="225" t="s">
        <v>41</v>
      </c>
      <c r="C14" s="241">
        <f t="shared" si="0"/>
        <v>2</v>
      </c>
      <c r="D14" s="242">
        <v>1</v>
      </c>
      <c r="E14" s="246">
        <v>1</v>
      </c>
      <c r="F14" s="557"/>
      <c r="G14" s="220" t="s">
        <v>183</v>
      </c>
      <c r="H14" s="250">
        <v>10</v>
      </c>
      <c r="I14" s="584"/>
      <c r="J14" s="202" t="s">
        <v>188</v>
      </c>
      <c r="K14" s="243">
        <v>0</v>
      </c>
      <c r="L14" s="571"/>
      <c r="M14" s="209">
        <v>5714.29</v>
      </c>
      <c r="N14" s="260">
        <v>7</v>
      </c>
      <c r="O14" s="124">
        <v>2857.14</v>
      </c>
      <c r="P14" s="263">
        <v>0</v>
      </c>
    </row>
    <row r="15" spans="1:18" x14ac:dyDescent="0.2">
      <c r="B15" s="226" t="s">
        <v>43</v>
      </c>
      <c r="C15" s="241">
        <f t="shared" si="0"/>
        <v>24</v>
      </c>
      <c r="D15" s="242">
        <v>7</v>
      </c>
      <c r="E15" s="243">
        <v>17</v>
      </c>
      <c r="F15" s="557"/>
      <c r="G15" s="237" t="s">
        <v>184</v>
      </c>
      <c r="H15" s="250">
        <v>11</v>
      </c>
      <c r="I15" s="584"/>
      <c r="J15" s="202" t="s">
        <v>114</v>
      </c>
      <c r="K15" s="243">
        <v>0</v>
      </c>
      <c r="L15" s="571"/>
      <c r="M15" s="209">
        <v>6857.14</v>
      </c>
      <c r="N15" s="260">
        <v>0</v>
      </c>
      <c r="O15" s="124">
        <v>3428.57</v>
      </c>
      <c r="P15" s="263">
        <v>0</v>
      </c>
    </row>
    <row r="16" spans="1:18" x14ac:dyDescent="0.2">
      <c r="B16" s="226" t="s">
        <v>45</v>
      </c>
      <c r="C16" s="241">
        <f t="shared" si="0"/>
        <v>0</v>
      </c>
      <c r="D16" s="244">
        <v>0</v>
      </c>
      <c r="E16" s="243">
        <v>0</v>
      </c>
      <c r="F16" s="557"/>
      <c r="G16" s="237" t="s">
        <v>185</v>
      </c>
      <c r="H16" s="247">
        <v>4</v>
      </c>
      <c r="I16" s="584"/>
      <c r="J16" s="202" t="s">
        <v>47</v>
      </c>
      <c r="K16" s="243">
        <v>1</v>
      </c>
      <c r="L16" s="571"/>
      <c r="M16" s="209">
        <v>8000</v>
      </c>
      <c r="N16" s="260">
        <v>0</v>
      </c>
      <c r="O16" s="124">
        <v>4571.43</v>
      </c>
      <c r="P16" s="263">
        <v>0</v>
      </c>
    </row>
    <row r="17" spans="2:18" ht="12" thickBot="1" x14ac:dyDescent="0.25">
      <c r="B17" s="225" t="s">
        <v>46</v>
      </c>
      <c r="C17" s="241">
        <f t="shared" si="0"/>
        <v>1</v>
      </c>
      <c r="D17" s="244">
        <v>1</v>
      </c>
      <c r="E17" s="245">
        <v>0</v>
      </c>
      <c r="F17" s="557"/>
      <c r="G17" s="238" t="s">
        <v>140</v>
      </c>
      <c r="H17" s="248">
        <v>0</v>
      </c>
      <c r="I17" s="584"/>
      <c r="J17" s="202" t="s">
        <v>138</v>
      </c>
      <c r="K17" s="243">
        <v>1</v>
      </c>
      <c r="L17" s="571"/>
      <c r="M17" s="211">
        <v>9142.86</v>
      </c>
      <c r="N17" s="260">
        <v>0</v>
      </c>
      <c r="O17" s="124">
        <v>5714.29</v>
      </c>
      <c r="P17" s="263">
        <v>0</v>
      </c>
    </row>
    <row r="18" spans="2:18" ht="17.25" thickBot="1" x14ac:dyDescent="0.25">
      <c r="B18" s="225" t="s">
        <v>48</v>
      </c>
      <c r="C18" s="241">
        <f t="shared" si="0"/>
        <v>0</v>
      </c>
      <c r="D18" s="242">
        <v>0</v>
      </c>
      <c r="E18" s="245">
        <v>0</v>
      </c>
      <c r="F18" s="557"/>
      <c r="G18" s="235" t="s">
        <v>0</v>
      </c>
      <c r="H18" s="251">
        <f>SUM(H10:H17)</f>
        <v>48</v>
      </c>
      <c r="I18" s="584"/>
      <c r="J18" s="202" t="s">
        <v>144</v>
      </c>
      <c r="K18" s="243">
        <v>1</v>
      </c>
      <c r="L18" s="571"/>
      <c r="M18" s="212">
        <v>10285.709999999999</v>
      </c>
      <c r="N18" s="260">
        <v>0</v>
      </c>
      <c r="O18" s="124">
        <v>6857.14</v>
      </c>
      <c r="P18" s="263">
        <v>0</v>
      </c>
    </row>
    <row r="19" spans="2:18" ht="12" thickBot="1" x14ac:dyDescent="0.25">
      <c r="B19" s="225" t="s">
        <v>49</v>
      </c>
      <c r="C19" s="241">
        <f t="shared" si="0"/>
        <v>0</v>
      </c>
      <c r="D19" s="242">
        <v>0</v>
      </c>
      <c r="E19" s="243">
        <v>0</v>
      </c>
      <c r="F19" s="557"/>
      <c r="I19" s="584"/>
      <c r="J19" s="202" t="s">
        <v>137</v>
      </c>
      <c r="K19" s="243">
        <v>2</v>
      </c>
      <c r="L19" s="571"/>
      <c r="M19" s="213">
        <v>11428.57</v>
      </c>
      <c r="N19" s="260">
        <v>4</v>
      </c>
      <c r="O19" s="124">
        <v>8000</v>
      </c>
      <c r="P19" s="263">
        <v>0</v>
      </c>
    </row>
    <row r="20" spans="2:18" ht="17.25" thickBot="1" x14ac:dyDescent="0.25">
      <c r="B20" s="225" t="s">
        <v>50</v>
      </c>
      <c r="C20" s="241">
        <f t="shared" si="0"/>
        <v>5</v>
      </c>
      <c r="D20" s="244">
        <v>4</v>
      </c>
      <c r="E20" s="243">
        <v>1</v>
      </c>
      <c r="F20" s="557"/>
      <c r="G20" s="585" t="s">
        <v>24</v>
      </c>
      <c r="H20" s="586"/>
      <c r="I20" s="584"/>
      <c r="J20" s="203" t="s">
        <v>190</v>
      </c>
      <c r="K20" s="243">
        <v>6</v>
      </c>
      <c r="L20" s="571"/>
      <c r="M20" s="214">
        <v>15000</v>
      </c>
      <c r="N20" s="260">
        <v>1</v>
      </c>
      <c r="O20" s="124">
        <v>9142.86</v>
      </c>
      <c r="P20" s="263">
        <v>0</v>
      </c>
    </row>
    <row r="21" spans="2:18" x14ac:dyDescent="0.2">
      <c r="B21" s="225" t="s">
        <v>51</v>
      </c>
      <c r="C21" s="241">
        <f t="shared" si="0"/>
        <v>7</v>
      </c>
      <c r="D21" s="244">
        <v>4</v>
      </c>
      <c r="E21" s="245">
        <v>3</v>
      </c>
      <c r="F21" s="557"/>
      <c r="G21" s="224" t="s">
        <v>32</v>
      </c>
      <c r="H21" s="252">
        <v>16</v>
      </c>
      <c r="I21" s="584"/>
      <c r="J21" s="203" t="s">
        <v>173</v>
      </c>
      <c r="K21" s="243">
        <v>1</v>
      </c>
      <c r="L21" s="571"/>
      <c r="M21" s="214">
        <v>20000</v>
      </c>
      <c r="N21" s="260">
        <v>0</v>
      </c>
      <c r="O21" s="124">
        <v>10285.709999999999</v>
      </c>
      <c r="P21" s="263">
        <v>0</v>
      </c>
    </row>
    <row r="22" spans="2:18" x14ac:dyDescent="0.2">
      <c r="B22" s="225" t="s">
        <v>52</v>
      </c>
      <c r="C22" s="241">
        <f t="shared" si="0"/>
        <v>0</v>
      </c>
      <c r="D22" s="244">
        <v>0</v>
      </c>
      <c r="E22" s="245">
        <v>0</v>
      </c>
      <c r="F22" s="557"/>
      <c r="G22" s="221" t="s">
        <v>34</v>
      </c>
      <c r="H22" s="253">
        <v>3</v>
      </c>
      <c r="I22" s="584"/>
      <c r="J22" s="203" t="s">
        <v>191</v>
      </c>
      <c r="K22" s="243">
        <v>0</v>
      </c>
      <c r="L22" s="571"/>
      <c r="M22" s="214">
        <v>25000</v>
      </c>
      <c r="N22" s="260">
        <v>0</v>
      </c>
      <c r="O22" s="124">
        <v>11428.57</v>
      </c>
      <c r="P22" s="263">
        <v>0</v>
      </c>
    </row>
    <row r="23" spans="2:18" ht="12" thickBot="1" x14ac:dyDescent="0.25">
      <c r="B23" s="225" t="s">
        <v>53</v>
      </c>
      <c r="C23" s="241">
        <f t="shared" si="0"/>
        <v>0</v>
      </c>
      <c r="D23" s="244">
        <v>0</v>
      </c>
      <c r="E23" s="246">
        <v>0</v>
      </c>
      <c r="F23" s="557"/>
      <c r="G23" s="221" t="s">
        <v>37</v>
      </c>
      <c r="H23" s="253">
        <v>24</v>
      </c>
      <c r="I23" s="584"/>
      <c r="J23" s="202" t="s">
        <v>54</v>
      </c>
      <c r="K23" s="243">
        <v>0</v>
      </c>
      <c r="L23" s="571"/>
      <c r="M23" s="215">
        <v>30000</v>
      </c>
      <c r="N23" s="261">
        <v>0</v>
      </c>
      <c r="O23" s="216"/>
      <c r="P23" s="264"/>
    </row>
    <row r="24" spans="2:18" ht="17.25" thickBot="1" x14ac:dyDescent="0.25">
      <c r="B24" s="222" t="s">
        <v>133</v>
      </c>
      <c r="C24" s="241">
        <f t="shared" si="0"/>
        <v>0</v>
      </c>
      <c r="D24" s="244">
        <v>0</v>
      </c>
      <c r="E24" s="246">
        <v>0</v>
      </c>
      <c r="F24" s="557"/>
      <c r="G24" s="221" t="s">
        <v>40</v>
      </c>
      <c r="H24" s="253">
        <v>4</v>
      </c>
      <c r="I24" s="584"/>
      <c r="J24" s="202" t="s">
        <v>135</v>
      </c>
      <c r="K24" s="243">
        <v>0</v>
      </c>
      <c r="L24" s="571"/>
      <c r="M24" s="265" t="s">
        <v>0</v>
      </c>
      <c r="N24" s="266">
        <f>SUM(N10:N23)</f>
        <v>43</v>
      </c>
      <c r="O24" s="265" t="s">
        <v>0</v>
      </c>
      <c r="P24" s="267">
        <f>SUM(P10:P23)</f>
        <v>1</v>
      </c>
    </row>
    <row r="25" spans="2:18" ht="12.75" thickBot="1" x14ac:dyDescent="0.25">
      <c r="B25" s="231" t="s">
        <v>0</v>
      </c>
      <c r="C25" s="255">
        <f>SUM(C10:C24)</f>
        <v>48</v>
      </c>
      <c r="D25" s="255">
        <f>SUM(D10:D24)</f>
        <v>24</v>
      </c>
      <c r="E25" s="352">
        <f>SUM(E10:E24)</f>
        <v>24</v>
      </c>
      <c r="F25" s="557"/>
      <c r="G25" s="222" t="s">
        <v>42</v>
      </c>
      <c r="H25" s="253">
        <v>1</v>
      </c>
      <c r="I25" s="584"/>
      <c r="J25" s="202" t="s">
        <v>134</v>
      </c>
      <c r="K25" s="243">
        <v>1</v>
      </c>
      <c r="L25" s="571"/>
      <c r="M25" s="580" t="s">
        <v>30</v>
      </c>
      <c r="N25" s="581"/>
      <c r="O25" s="582" t="s">
        <v>28</v>
      </c>
      <c r="P25" s="583"/>
    </row>
    <row r="26" spans="2:18" ht="12" thickBot="1" x14ac:dyDescent="0.25">
      <c r="B26" s="132" t="s">
        <v>151</v>
      </c>
      <c r="C26" s="200"/>
      <c r="D26" s="200"/>
      <c r="E26" s="200"/>
      <c r="F26" s="557"/>
      <c r="G26" s="222" t="s">
        <v>44</v>
      </c>
      <c r="H26" s="253">
        <v>0</v>
      </c>
      <c r="I26" s="584"/>
      <c r="J26" s="202" t="s">
        <v>55</v>
      </c>
      <c r="K26" s="243">
        <v>9</v>
      </c>
      <c r="L26" s="571"/>
      <c r="M26" s="217">
        <v>3428.57</v>
      </c>
      <c r="N26" s="316">
        <f>N32+P32</f>
        <v>19</v>
      </c>
      <c r="O26" s="217">
        <v>1142.8599999999999</v>
      </c>
      <c r="P26" s="268">
        <f>N31+P31</f>
        <v>15</v>
      </c>
      <c r="R26" s="271"/>
    </row>
    <row r="27" spans="2:18" ht="12.75" thickBot="1" x14ac:dyDescent="0.25">
      <c r="B27" s="277"/>
      <c r="C27" s="200"/>
      <c r="D27" s="200"/>
      <c r="E27" s="200"/>
      <c r="F27" s="557"/>
      <c r="G27" s="223" t="s">
        <v>120</v>
      </c>
      <c r="H27" s="254">
        <v>0</v>
      </c>
      <c r="I27" s="584"/>
      <c r="J27" s="202" t="s">
        <v>125</v>
      </c>
      <c r="K27" s="243">
        <v>0</v>
      </c>
      <c r="L27" s="571"/>
      <c r="M27" s="575"/>
      <c r="N27" s="575"/>
      <c r="O27" s="575"/>
      <c r="P27" s="576"/>
    </row>
    <row r="28" spans="2:18" ht="12" thickBot="1" x14ac:dyDescent="0.25">
      <c r="B28" s="277"/>
      <c r="C28" s="200"/>
      <c r="D28" s="200"/>
      <c r="E28" s="200"/>
      <c r="F28" s="557"/>
      <c r="G28" s="233" t="s">
        <v>0</v>
      </c>
      <c r="H28" s="234">
        <f>H21+H22+H23+H24+H25+H26+H27</f>
        <v>48</v>
      </c>
      <c r="I28" s="584"/>
      <c r="J28" s="202" t="s">
        <v>145</v>
      </c>
      <c r="K28" s="243">
        <v>3</v>
      </c>
      <c r="L28" s="571"/>
      <c r="M28" s="577" t="s">
        <v>115</v>
      </c>
      <c r="N28" s="578"/>
      <c r="O28" s="578"/>
      <c r="P28" s="579"/>
    </row>
    <row r="29" spans="2:18" ht="16.5" x14ac:dyDescent="0.2">
      <c r="B29" s="277"/>
      <c r="C29" s="200"/>
      <c r="D29" s="200"/>
      <c r="E29" s="200"/>
      <c r="F29" s="557"/>
      <c r="I29" s="584"/>
      <c r="J29" s="202" t="s">
        <v>129</v>
      </c>
      <c r="K29" s="243">
        <v>0</v>
      </c>
      <c r="L29" s="571"/>
      <c r="M29" s="257" t="s">
        <v>122</v>
      </c>
      <c r="N29" s="272">
        <v>24</v>
      </c>
      <c r="O29" s="206" t="s">
        <v>178</v>
      </c>
      <c r="P29" s="270">
        <v>19</v>
      </c>
      <c r="Q29" s="271"/>
      <c r="R29" s="271"/>
    </row>
    <row r="30" spans="2:18" ht="16.5" x14ac:dyDescent="0.2">
      <c r="B30" s="277"/>
      <c r="C30" s="200"/>
      <c r="D30" s="200"/>
      <c r="E30" s="200"/>
      <c r="F30" s="557"/>
      <c r="I30" s="584"/>
      <c r="J30" s="228" t="s">
        <v>136</v>
      </c>
      <c r="K30" s="243">
        <v>0</v>
      </c>
      <c r="L30" s="571"/>
      <c r="M30" s="257" t="s">
        <v>123</v>
      </c>
      <c r="N30" s="272">
        <v>0</v>
      </c>
      <c r="O30" s="207" t="s">
        <v>180</v>
      </c>
      <c r="P30" s="204">
        <v>1</v>
      </c>
    </row>
    <row r="31" spans="2:18" ht="16.5" x14ac:dyDescent="0.2">
      <c r="B31" s="277"/>
      <c r="C31" s="200"/>
      <c r="D31" s="200"/>
      <c r="E31" s="200"/>
      <c r="F31" s="557"/>
      <c r="G31" s="200"/>
      <c r="H31" s="200"/>
      <c r="I31" s="584"/>
      <c r="J31" s="228" t="s">
        <v>207</v>
      </c>
      <c r="K31" s="243">
        <v>13</v>
      </c>
      <c r="L31" s="571"/>
      <c r="M31" s="257" t="s">
        <v>177</v>
      </c>
      <c r="N31" s="272">
        <v>0</v>
      </c>
      <c r="O31" s="207" t="s">
        <v>181</v>
      </c>
      <c r="P31" s="204">
        <v>15</v>
      </c>
    </row>
    <row r="32" spans="2:18" ht="17.25" thickBot="1" x14ac:dyDescent="0.25">
      <c r="B32" s="277"/>
      <c r="C32" s="200"/>
      <c r="D32" s="200"/>
      <c r="E32" s="200"/>
      <c r="F32" s="557"/>
      <c r="G32" s="200"/>
      <c r="H32" s="200"/>
      <c r="I32" s="584"/>
      <c r="J32" s="228" t="s">
        <v>189</v>
      </c>
      <c r="K32" s="243">
        <v>8</v>
      </c>
      <c r="L32" s="571"/>
      <c r="M32" s="258" t="s">
        <v>121</v>
      </c>
      <c r="N32" s="273">
        <v>4</v>
      </c>
      <c r="O32" s="208" t="s">
        <v>182</v>
      </c>
      <c r="P32" s="205">
        <v>15</v>
      </c>
    </row>
    <row r="33" spans="2:18" ht="12.75" thickBot="1" x14ac:dyDescent="0.25">
      <c r="F33" s="557"/>
      <c r="G33" s="201"/>
      <c r="H33" s="201"/>
      <c r="I33" s="584"/>
      <c r="J33" s="229" t="s">
        <v>0</v>
      </c>
      <c r="K33" s="232">
        <f>SUM(K10:K32)</f>
        <v>48</v>
      </c>
      <c r="L33" s="571"/>
      <c r="M33" s="230" t="s">
        <v>0</v>
      </c>
      <c r="N33" s="230">
        <f>N29+N30+N31+N32</f>
        <v>28</v>
      </c>
      <c r="O33" s="231" t="s">
        <v>0</v>
      </c>
      <c r="P33" s="269">
        <f>P29+P30+P31+P32</f>
        <v>50</v>
      </c>
      <c r="R33" s="271"/>
    </row>
    <row r="34" spans="2:18" ht="12.75" x14ac:dyDescent="0.2">
      <c r="C34" s="131"/>
      <c r="D34" s="131"/>
      <c r="E34" s="131"/>
      <c r="F34" s="131"/>
      <c r="G34" s="131"/>
      <c r="H34" s="131"/>
      <c r="I34" s="19"/>
      <c r="J34" s="69"/>
      <c r="K34" s="19"/>
      <c r="L34" s="19"/>
      <c r="M34" s="69"/>
      <c r="N34" s="69"/>
      <c r="O34" s="276" t="s">
        <v>483</v>
      </c>
      <c r="P34" s="69"/>
    </row>
    <row r="35" spans="2:18" ht="12.75" x14ac:dyDescent="0.2">
      <c r="B35" s="120" t="s">
        <v>124</v>
      </c>
      <c r="C35" s="131"/>
      <c r="D35" s="131"/>
      <c r="E35" s="131"/>
      <c r="F35" s="131"/>
      <c r="G35" s="131"/>
      <c r="H35" s="131"/>
      <c r="I35" s="19"/>
      <c r="J35" s="69"/>
      <c r="K35" s="19"/>
      <c r="L35" s="19"/>
      <c r="M35" s="69"/>
      <c r="N35" s="69"/>
      <c r="P35" s="69"/>
    </row>
    <row r="36" spans="2:18" ht="12" x14ac:dyDescent="0.2">
      <c r="B36" s="10" t="s">
        <v>193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4"/>
    </row>
    <row r="37" spans="2:18" ht="12" x14ac:dyDescent="0.2">
      <c r="B37" s="10" t="s">
        <v>194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4"/>
    </row>
    <row r="38" spans="2:18" ht="12.75" x14ac:dyDescent="0.2">
      <c r="B38" s="10" t="s">
        <v>195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2"/>
    </row>
    <row r="41" spans="2:18" ht="12.75" x14ac:dyDescent="0.2">
      <c r="N41" s="76" t="s">
        <v>146</v>
      </c>
    </row>
    <row r="42" spans="2:18" ht="12.75" x14ac:dyDescent="0.2">
      <c r="N42" s="69" t="s">
        <v>66</v>
      </c>
    </row>
  </sheetData>
  <mergeCells count="22">
    <mergeCell ref="B9:C9"/>
    <mergeCell ref="G9:H9"/>
    <mergeCell ref="J9:K9"/>
    <mergeCell ref="M9:N9"/>
    <mergeCell ref="O9:P9"/>
    <mergeCell ref="L8:L33"/>
    <mergeCell ref="M8:P8"/>
    <mergeCell ref="M27:P27"/>
    <mergeCell ref="M28:P28"/>
    <mergeCell ref="M25:N25"/>
    <mergeCell ref="O25:P25"/>
    <mergeCell ref="I8:I33"/>
    <mergeCell ref="J8:K8"/>
    <mergeCell ref="F8:F33"/>
    <mergeCell ref="G8:H8"/>
    <mergeCell ref="G20:H20"/>
    <mergeCell ref="B3:P3"/>
    <mergeCell ref="B4:P4"/>
    <mergeCell ref="B6:L6"/>
    <mergeCell ref="B7:P7"/>
    <mergeCell ref="B8:C8"/>
    <mergeCell ref="D8:E8"/>
  </mergeCells>
  <pageMargins left="0.59055118110236227" right="0.59055118110236227" top="0.39370078740157483" bottom="0.39370078740157483" header="0.31496062992125984" footer="0.31496062992125984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5"/>
  <sheetViews>
    <sheetView workbookViewId="0">
      <selection activeCell="H10" sqref="H10"/>
    </sheetView>
  </sheetViews>
  <sheetFormatPr baseColWidth="10" defaultRowHeight="12.75" x14ac:dyDescent="0.2"/>
  <cols>
    <col min="1" max="1" width="3.5703125" customWidth="1"/>
    <col min="2" max="2" width="9.140625" customWidth="1"/>
    <col min="3" max="3" width="9" customWidth="1"/>
    <col min="4" max="4" width="5.85546875" customWidth="1"/>
    <col min="5" max="5" width="7.28515625" customWidth="1"/>
    <col min="6" max="6" width="6.140625" customWidth="1"/>
    <col min="7" max="7" width="6" customWidth="1"/>
    <col min="8" max="8" width="9.7109375" customWidth="1"/>
    <col min="9" max="9" width="8.42578125" customWidth="1"/>
    <col min="10" max="10" width="5.7109375" customWidth="1"/>
    <col min="11" max="11" width="7.42578125" customWidth="1"/>
    <col min="12" max="12" width="5.42578125" customWidth="1"/>
    <col min="13" max="13" width="6.140625" customWidth="1"/>
    <col min="14" max="14" width="9.42578125" customWidth="1"/>
    <col min="15" max="15" width="8.85546875" customWidth="1"/>
    <col min="16" max="17" width="10.5703125" customWidth="1"/>
    <col min="18" max="18" width="11.5703125" customWidth="1"/>
    <col min="19" max="19" width="10.42578125" customWidth="1"/>
    <col min="20" max="20" width="11.5703125" customWidth="1"/>
  </cols>
  <sheetData>
    <row r="1" spans="1:20" x14ac:dyDescent="0.2">
      <c r="A1" s="2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"/>
      <c r="P1" s="18" t="s">
        <v>118</v>
      </c>
    </row>
    <row r="2" spans="1:20" x14ac:dyDescent="0.2">
      <c r="A2" s="2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"/>
      <c r="P2" s="2"/>
    </row>
    <row r="3" spans="1:20" x14ac:dyDescent="0.2">
      <c r="A3" s="2"/>
      <c r="B3" s="532" t="s">
        <v>98</v>
      </c>
      <c r="C3" s="532"/>
      <c r="D3" s="532"/>
      <c r="E3" s="532"/>
      <c r="F3" s="532"/>
      <c r="G3" s="532"/>
      <c r="H3" s="532"/>
      <c r="I3" s="532"/>
      <c r="J3" s="532"/>
      <c r="K3" s="532"/>
      <c r="L3" s="532"/>
      <c r="M3" s="532"/>
      <c r="N3" s="532"/>
      <c r="O3" s="532"/>
      <c r="P3" s="532"/>
    </row>
    <row r="4" spans="1:20" x14ac:dyDescent="0.2">
      <c r="A4" s="2"/>
      <c r="B4" s="532" t="s">
        <v>99</v>
      </c>
      <c r="C4" s="532"/>
      <c r="D4" s="532"/>
      <c r="E4" s="532"/>
      <c r="F4" s="532"/>
      <c r="G4" s="532"/>
      <c r="H4" s="532"/>
      <c r="I4" s="532"/>
      <c r="J4" s="532"/>
      <c r="K4" s="532"/>
      <c r="L4" s="532"/>
      <c r="M4" s="532"/>
      <c r="N4" s="532"/>
      <c r="O4" s="532"/>
      <c r="P4" s="532"/>
    </row>
    <row r="5" spans="1:20" x14ac:dyDescent="0.2">
      <c r="A5" s="2"/>
      <c r="B5" s="532" t="s">
        <v>139</v>
      </c>
      <c r="C5" s="532"/>
      <c r="D5" s="532"/>
      <c r="E5" s="532"/>
      <c r="F5" s="532"/>
      <c r="G5" s="532"/>
      <c r="H5" s="532"/>
      <c r="I5" s="532"/>
      <c r="J5" s="532"/>
      <c r="K5" s="532"/>
      <c r="L5" s="532"/>
      <c r="M5" s="532"/>
      <c r="N5" s="532"/>
      <c r="O5" s="532"/>
      <c r="P5" s="532"/>
    </row>
    <row r="6" spans="1:20" ht="13.5" thickBot="1" x14ac:dyDescent="0.25">
      <c r="A6" s="2"/>
      <c r="B6" s="19"/>
      <c r="C6" s="19"/>
      <c r="D6" s="19"/>
      <c r="E6" s="19"/>
      <c r="F6" s="19"/>
      <c r="G6" s="19"/>
      <c r="H6" s="19"/>
      <c r="I6" s="2"/>
      <c r="J6" s="2"/>
      <c r="K6" s="2"/>
      <c r="L6" s="2"/>
      <c r="M6" s="2"/>
      <c r="N6" s="2"/>
      <c r="O6" s="2"/>
      <c r="P6" s="2"/>
      <c r="Q6" s="2" t="s">
        <v>11</v>
      </c>
    </row>
    <row r="7" spans="1:20" ht="16.5" customHeight="1" thickBot="1" x14ac:dyDescent="0.25">
      <c r="A7" s="2"/>
      <c r="B7" s="47"/>
      <c r="C7" s="587" t="s">
        <v>479</v>
      </c>
      <c r="D7" s="587"/>
      <c r="E7" s="587"/>
      <c r="F7" s="587"/>
      <c r="G7" s="587"/>
      <c r="H7" s="587"/>
      <c r="I7" s="587"/>
      <c r="J7" s="587"/>
      <c r="K7" s="587"/>
      <c r="L7" s="587"/>
      <c r="M7" s="587"/>
      <c r="N7" s="587"/>
      <c r="O7" s="587"/>
      <c r="P7" s="125"/>
      <c r="Q7" s="26"/>
      <c r="R7" s="26"/>
      <c r="S7" s="26"/>
      <c r="T7" s="26"/>
    </row>
    <row r="8" spans="1:20" ht="15" customHeight="1" thickBot="1" x14ac:dyDescent="0.25">
      <c r="A8" s="2"/>
      <c r="B8" s="48"/>
      <c r="C8" s="588" t="s">
        <v>100</v>
      </c>
      <c r="D8" s="589"/>
      <c r="E8" s="589"/>
      <c r="F8" s="589"/>
      <c r="G8" s="590"/>
      <c r="H8" s="49" t="s">
        <v>101</v>
      </c>
      <c r="I8" s="588" t="s">
        <v>102</v>
      </c>
      <c r="J8" s="589"/>
      <c r="K8" s="589"/>
      <c r="L8" s="589"/>
      <c r="M8" s="590"/>
      <c r="N8" s="128"/>
      <c r="O8" s="127"/>
      <c r="P8" s="126" t="s">
        <v>0</v>
      </c>
      <c r="Q8" s="26"/>
      <c r="R8" s="26"/>
      <c r="S8" s="26"/>
      <c r="T8" s="26"/>
    </row>
    <row r="9" spans="1:20" ht="35.25" customHeight="1" thickBot="1" x14ac:dyDescent="0.25">
      <c r="A9" s="2"/>
      <c r="B9" s="50" t="s">
        <v>70</v>
      </c>
      <c r="C9" s="163" t="s">
        <v>103</v>
      </c>
      <c r="D9" s="51" t="s">
        <v>30</v>
      </c>
      <c r="E9" s="51" t="s">
        <v>104</v>
      </c>
      <c r="F9" s="51" t="s">
        <v>29</v>
      </c>
      <c r="G9" s="51" t="s">
        <v>28</v>
      </c>
      <c r="H9" s="118" t="s">
        <v>105</v>
      </c>
      <c r="I9" s="163" t="s">
        <v>106</v>
      </c>
      <c r="J9" s="51" t="s">
        <v>30</v>
      </c>
      <c r="K9" s="51" t="s">
        <v>104</v>
      </c>
      <c r="L9" s="51" t="s">
        <v>29</v>
      </c>
      <c r="M9" s="119" t="s">
        <v>28</v>
      </c>
      <c r="N9" s="118" t="s">
        <v>128</v>
      </c>
      <c r="O9" s="164" t="s">
        <v>127</v>
      </c>
      <c r="P9" s="129" t="s">
        <v>107</v>
      </c>
      <c r="Q9" s="26"/>
      <c r="R9" s="26"/>
      <c r="S9" s="26"/>
      <c r="T9" s="26"/>
    </row>
    <row r="10" spans="1:20" ht="21.95" customHeight="1" thickBot="1" x14ac:dyDescent="0.25">
      <c r="A10" s="2"/>
      <c r="B10" s="420" t="s">
        <v>56</v>
      </c>
      <c r="C10" s="421">
        <v>24</v>
      </c>
      <c r="D10" s="422">
        <v>12</v>
      </c>
      <c r="E10" s="422">
        <v>22</v>
      </c>
      <c r="F10" s="422">
        <v>1</v>
      </c>
      <c r="G10" s="423">
        <v>9</v>
      </c>
      <c r="H10" s="424">
        <f>SUM(D10:G10)</f>
        <v>44</v>
      </c>
      <c r="I10" s="425">
        <v>24</v>
      </c>
      <c r="J10" s="422">
        <v>7</v>
      </c>
      <c r="K10" s="422">
        <v>21</v>
      </c>
      <c r="L10" s="422">
        <v>0</v>
      </c>
      <c r="M10" s="422">
        <v>6</v>
      </c>
      <c r="N10" s="424">
        <f>SUM(J10:M10)</f>
        <v>34</v>
      </c>
      <c r="O10" s="426">
        <f>+C10+I10</f>
        <v>48</v>
      </c>
      <c r="P10" s="427">
        <f t="shared" ref="P10:P21" si="0">+N10+H10</f>
        <v>78</v>
      </c>
      <c r="Q10" s="52"/>
      <c r="R10" s="52"/>
      <c r="S10" s="28"/>
      <c r="T10" s="28"/>
    </row>
    <row r="11" spans="1:20" ht="21.95" customHeight="1" thickBot="1" x14ac:dyDescent="0.25">
      <c r="A11" s="2"/>
      <c r="B11" s="428" t="s">
        <v>57</v>
      </c>
      <c r="C11" s="429">
        <v>0</v>
      </c>
      <c r="D11" s="430">
        <v>0</v>
      </c>
      <c r="E11" s="430">
        <v>0</v>
      </c>
      <c r="F11" s="430">
        <v>0</v>
      </c>
      <c r="G11" s="430">
        <v>0</v>
      </c>
      <c r="H11" s="424">
        <f t="shared" ref="H11:H21" si="1">SUM(D11:G11)</f>
        <v>0</v>
      </c>
      <c r="I11" s="429">
        <v>0</v>
      </c>
      <c r="J11" s="430">
        <v>0</v>
      </c>
      <c r="K11" s="430">
        <v>0</v>
      </c>
      <c r="L11" s="430">
        <v>0</v>
      </c>
      <c r="M11" s="430">
        <v>0</v>
      </c>
      <c r="N11" s="424">
        <f t="shared" ref="N11:N21" si="2">SUM(J11:M11)</f>
        <v>0</v>
      </c>
      <c r="O11" s="431">
        <f t="shared" ref="O11:O21" si="3">+C11+I11</f>
        <v>0</v>
      </c>
      <c r="P11" s="427">
        <f t="shared" si="0"/>
        <v>0</v>
      </c>
      <c r="Q11" s="53"/>
      <c r="R11" s="28"/>
      <c r="S11" s="28"/>
      <c r="T11" s="28"/>
    </row>
    <row r="12" spans="1:20" ht="21.95" customHeight="1" thickBot="1" x14ac:dyDescent="0.25">
      <c r="A12" s="2"/>
      <c r="B12" s="428" t="s">
        <v>58</v>
      </c>
      <c r="C12" s="429">
        <v>0</v>
      </c>
      <c r="D12" s="430">
        <v>0</v>
      </c>
      <c r="E12" s="430">
        <v>0</v>
      </c>
      <c r="F12" s="430">
        <v>0</v>
      </c>
      <c r="G12" s="430">
        <v>0</v>
      </c>
      <c r="H12" s="424">
        <f>SUM(D12:G12)</f>
        <v>0</v>
      </c>
      <c r="I12" s="429">
        <v>0</v>
      </c>
      <c r="J12" s="430">
        <v>0</v>
      </c>
      <c r="K12" s="430">
        <v>0</v>
      </c>
      <c r="L12" s="430">
        <v>0</v>
      </c>
      <c r="M12" s="430">
        <v>0</v>
      </c>
      <c r="N12" s="424">
        <f t="shared" si="2"/>
        <v>0</v>
      </c>
      <c r="O12" s="431">
        <f t="shared" si="3"/>
        <v>0</v>
      </c>
      <c r="P12" s="427">
        <f t="shared" si="0"/>
        <v>0</v>
      </c>
      <c r="Q12" s="53"/>
      <c r="R12" s="28"/>
      <c r="S12" s="28" t="s">
        <v>108</v>
      </c>
      <c r="T12" s="28"/>
    </row>
    <row r="13" spans="1:20" ht="21.95" customHeight="1" thickBot="1" x14ac:dyDescent="0.25">
      <c r="A13" s="2"/>
      <c r="B13" s="428" t="s">
        <v>59</v>
      </c>
      <c r="C13" s="429">
        <v>0</v>
      </c>
      <c r="D13" s="430">
        <v>0</v>
      </c>
      <c r="E13" s="430">
        <v>0</v>
      </c>
      <c r="F13" s="430">
        <v>0</v>
      </c>
      <c r="G13" s="430">
        <v>0</v>
      </c>
      <c r="H13" s="424">
        <f>SUM(D13:G13)</f>
        <v>0</v>
      </c>
      <c r="I13" s="429">
        <v>0</v>
      </c>
      <c r="J13" s="430">
        <v>0</v>
      </c>
      <c r="K13" s="430">
        <v>0</v>
      </c>
      <c r="L13" s="430">
        <v>0</v>
      </c>
      <c r="M13" s="430">
        <v>0</v>
      </c>
      <c r="N13" s="424">
        <f t="shared" si="2"/>
        <v>0</v>
      </c>
      <c r="O13" s="431">
        <f t="shared" si="3"/>
        <v>0</v>
      </c>
      <c r="P13" s="427">
        <f t="shared" si="0"/>
        <v>0</v>
      </c>
      <c r="Q13" s="53"/>
      <c r="R13" s="28"/>
      <c r="S13" s="28"/>
      <c r="T13" s="28"/>
    </row>
    <row r="14" spans="1:20" ht="21.95" customHeight="1" thickBot="1" x14ac:dyDescent="0.25">
      <c r="A14" s="2"/>
      <c r="B14" s="428" t="s">
        <v>60</v>
      </c>
      <c r="C14" s="429">
        <v>0</v>
      </c>
      <c r="D14" s="430">
        <v>0</v>
      </c>
      <c r="E14" s="430">
        <v>0</v>
      </c>
      <c r="F14" s="430">
        <v>0</v>
      </c>
      <c r="G14" s="430">
        <v>0</v>
      </c>
      <c r="H14" s="424">
        <f>SUM(D14:G14)</f>
        <v>0</v>
      </c>
      <c r="I14" s="429">
        <v>0</v>
      </c>
      <c r="J14" s="430">
        <v>0</v>
      </c>
      <c r="K14" s="430">
        <v>0</v>
      </c>
      <c r="L14" s="430">
        <v>0</v>
      </c>
      <c r="M14" s="430">
        <v>0</v>
      </c>
      <c r="N14" s="424">
        <f t="shared" si="2"/>
        <v>0</v>
      </c>
      <c r="O14" s="431">
        <f>+C14+I14</f>
        <v>0</v>
      </c>
      <c r="P14" s="432">
        <f t="shared" si="0"/>
        <v>0</v>
      </c>
      <c r="Q14" s="53"/>
      <c r="R14" s="28"/>
      <c r="S14" s="28"/>
      <c r="T14" s="28"/>
    </row>
    <row r="15" spans="1:20" ht="21.95" customHeight="1" thickBot="1" x14ac:dyDescent="0.25">
      <c r="A15" s="2"/>
      <c r="B15" s="428" t="s">
        <v>61</v>
      </c>
      <c r="C15" s="429">
        <v>0</v>
      </c>
      <c r="D15" s="430">
        <v>0</v>
      </c>
      <c r="E15" s="430">
        <v>0</v>
      </c>
      <c r="F15" s="430">
        <v>0</v>
      </c>
      <c r="G15" s="430">
        <v>0</v>
      </c>
      <c r="H15" s="424">
        <f t="shared" si="1"/>
        <v>0</v>
      </c>
      <c r="I15" s="429">
        <v>0</v>
      </c>
      <c r="J15" s="430">
        <v>0</v>
      </c>
      <c r="K15" s="430">
        <v>0</v>
      </c>
      <c r="L15" s="430">
        <v>0</v>
      </c>
      <c r="M15" s="430">
        <v>0</v>
      </c>
      <c r="N15" s="424">
        <f t="shared" si="2"/>
        <v>0</v>
      </c>
      <c r="O15" s="431">
        <f t="shared" si="3"/>
        <v>0</v>
      </c>
      <c r="P15" s="432">
        <f t="shared" si="0"/>
        <v>0</v>
      </c>
      <c r="Q15" s="53"/>
      <c r="R15" s="28"/>
      <c r="S15" s="28"/>
      <c r="T15" s="28"/>
    </row>
    <row r="16" spans="1:20" ht="21.95" customHeight="1" thickBot="1" x14ac:dyDescent="0.25">
      <c r="A16" s="2"/>
      <c r="B16" s="428" t="s">
        <v>62</v>
      </c>
      <c r="C16" s="429">
        <v>0</v>
      </c>
      <c r="D16" s="430">
        <v>0</v>
      </c>
      <c r="E16" s="430">
        <v>0</v>
      </c>
      <c r="F16" s="430">
        <v>0</v>
      </c>
      <c r="G16" s="430">
        <v>0</v>
      </c>
      <c r="H16" s="424">
        <f t="shared" si="1"/>
        <v>0</v>
      </c>
      <c r="I16" s="429">
        <v>0</v>
      </c>
      <c r="J16" s="430">
        <v>0</v>
      </c>
      <c r="K16" s="430">
        <v>0</v>
      </c>
      <c r="L16" s="430">
        <v>0</v>
      </c>
      <c r="M16" s="430">
        <v>0</v>
      </c>
      <c r="N16" s="424">
        <f t="shared" si="2"/>
        <v>0</v>
      </c>
      <c r="O16" s="431">
        <f t="shared" si="3"/>
        <v>0</v>
      </c>
      <c r="P16" s="432">
        <f t="shared" si="0"/>
        <v>0</v>
      </c>
      <c r="Q16" s="54"/>
      <c r="R16" s="54"/>
      <c r="S16" s="28"/>
      <c r="T16" s="28"/>
    </row>
    <row r="17" spans="1:20" ht="21.95" customHeight="1" thickBot="1" x14ac:dyDescent="0.25">
      <c r="A17" s="2"/>
      <c r="B17" s="433" t="s">
        <v>63</v>
      </c>
      <c r="C17" s="429">
        <v>0</v>
      </c>
      <c r="D17" s="430">
        <v>0</v>
      </c>
      <c r="E17" s="430">
        <v>0</v>
      </c>
      <c r="F17" s="430">
        <v>0</v>
      </c>
      <c r="G17" s="430">
        <v>0</v>
      </c>
      <c r="H17" s="424">
        <f t="shared" si="1"/>
        <v>0</v>
      </c>
      <c r="I17" s="429">
        <v>0</v>
      </c>
      <c r="J17" s="430">
        <v>0</v>
      </c>
      <c r="K17" s="430">
        <v>0</v>
      </c>
      <c r="L17" s="430">
        <v>0</v>
      </c>
      <c r="M17" s="430">
        <v>0</v>
      </c>
      <c r="N17" s="424">
        <f t="shared" si="2"/>
        <v>0</v>
      </c>
      <c r="O17" s="431">
        <f t="shared" si="3"/>
        <v>0</v>
      </c>
      <c r="P17" s="432">
        <f t="shared" si="0"/>
        <v>0</v>
      </c>
      <c r="Q17" s="54"/>
      <c r="R17" s="54"/>
      <c r="S17" s="28"/>
      <c r="T17" s="28"/>
    </row>
    <row r="18" spans="1:20" ht="21.95" customHeight="1" thickBot="1" x14ac:dyDescent="0.25">
      <c r="A18" s="2"/>
      <c r="B18" s="444" t="s">
        <v>126</v>
      </c>
      <c r="C18" s="429">
        <v>0</v>
      </c>
      <c r="D18" s="430">
        <v>0</v>
      </c>
      <c r="E18" s="430">
        <v>0</v>
      </c>
      <c r="F18" s="430">
        <v>0</v>
      </c>
      <c r="G18" s="430">
        <v>0</v>
      </c>
      <c r="H18" s="445">
        <f t="shared" si="1"/>
        <v>0</v>
      </c>
      <c r="I18" s="429">
        <v>0</v>
      </c>
      <c r="J18" s="430">
        <v>0</v>
      </c>
      <c r="K18" s="430">
        <v>0</v>
      </c>
      <c r="L18" s="430">
        <v>0</v>
      </c>
      <c r="M18" s="430">
        <v>0</v>
      </c>
      <c r="N18" s="445">
        <f t="shared" si="2"/>
        <v>0</v>
      </c>
      <c r="O18" s="446">
        <f t="shared" si="3"/>
        <v>0</v>
      </c>
      <c r="P18" s="447">
        <f t="shared" si="0"/>
        <v>0</v>
      </c>
      <c r="Q18" s="54"/>
      <c r="R18" s="54"/>
      <c r="S18" s="28"/>
      <c r="T18" s="28"/>
    </row>
    <row r="19" spans="1:20" ht="21.95" customHeight="1" thickBot="1" x14ac:dyDescent="0.25">
      <c r="A19" s="2"/>
      <c r="B19" s="448" t="s">
        <v>64</v>
      </c>
      <c r="C19" s="429">
        <v>0</v>
      </c>
      <c r="D19" s="430">
        <v>0</v>
      </c>
      <c r="E19" s="430">
        <v>0</v>
      </c>
      <c r="F19" s="430">
        <v>0</v>
      </c>
      <c r="G19" s="430">
        <v>0</v>
      </c>
      <c r="H19" s="445">
        <f t="shared" si="1"/>
        <v>0</v>
      </c>
      <c r="I19" s="429">
        <v>0</v>
      </c>
      <c r="J19" s="430">
        <v>0</v>
      </c>
      <c r="K19" s="430">
        <v>0</v>
      </c>
      <c r="L19" s="430">
        <v>0</v>
      </c>
      <c r="M19" s="430">
        <v>0</v>
      </c>
      <c r="N19" s="445">
        <f t="shared" si="2"/>
        <v>0</v>
      </c>
      <c r="O19" s="446">
        <f t="shared" si="3"/>
        <v>0</v>
      </c>
      <c r="P19" s="447">
        <f t="shared" si="0"/>
        <v>0</v>
      </c>
      <c r="Q19" s="54"/>
      <c r="R19" s="54"/>
      <c r="S19" s="28"/>
      <c r="T19" s="28"/>
    </row>
    <row r="20" spans="1:20" ht="21.95" customHeight="1" thickBot="1" x14ac:dyDescent="0.25">
      <c r="A20" s="2"/>
      <c r="B20" s="146" t="s">
        <v>65</v>
      </c>
      <c r="C20" s="429">
        <v>0</v>
      </c>
      <c r="D20" s="430">
        <v>0</v>
      </c>
      <c r="E20" s="430">
        <v>0</v>
      </c>
      <c r="F20" s="430">
        <v>0</v>
      </c>
      <c r="G20" s="430">
        <v>0</v>
      </c>
      <c r="H20" s="137">
        <f t="shared" si="1"/>
        <v>0</v>
      </c>
      <c r="I20" s="429">
        <v>0</v>
      </c>
      <c r="J20" s="430">
        <v>0</v>
      </c>
      <c r="K20" s="430">
        <v>0</v>
      </c>
      <c r="L20" s="430">
        <v>0</v>
      </c>
      <c r="M20" s="430">
        <v>0</v>
      </c>
      <c r="N20" s="137">
        <f t="shared" si="2"/>
        <v>0</v>
      </c>
      <c r="O20" s="165">
        <f t="shared" si="3"/>
        <v>0</v>
      </c>
      <c r="P20" s="145">
        <f t="shared" si="0"/>
        <v>0</v>
      </c>
      <c r="Q20" s="54"/>
      <c r="R20" s="54"/>
      <c r="S20" s="28"/>
      <c r="T20" s="28"/>
    </row>
    <row r="21" spans="1:20" ht="21.95" customHeight="1" thickBot="1" x14ac:dyDescent="0.25">
      <c r="A21" s="2"/>
      <c r="B21" s="147" t="s">
        <v>67</v>
      </c>
      <c r="C21" s="429">
        <v>0</v>
      </c>
      <c r="D21" s="430">
        <v>0</v>
      </c>
      <c r="E21" s="430">
        <v>0</v>
      </c>
      <c r="F21" s="430">
        <v>0</v>
      </c>
      <c r="G21" s="430">
        <v>0</v>
      </c>
      <c r="H21" s="137">
        <f t="shared" si="1"/>
        <v>0</v>
      </c>
      <c r="I21" s="429">
        <v>0</v>
      </c>
      <c r="J21" s="430">
        <v>0</v>
      </c>
      <c r="K21" s="430">
        <v>0</v>
      </c>
      <c r="L21" s="430">
        <v>0</v>
      </c>
      <c r="M21" s="430">
        <v>0</v>
      </c>
      <c r="N21" s="148">
        <f t="shared" si="2"/>
        <v>0</v>
      </c>
      <c r="O21" s="166">
        <f t="shared" si="3"/>
        <v>0</v>
      </c>
      <c r="P21" s="149">
        <f t="shared" si="0"/>
        <v>0</v>
      </c>
      <c r="Q21" s="54"/>
      <c r="R21" s="54"/>
      <c r="S21" s="28"/>
      <c r="T21" s="28"/>
    </row>
    <row r="22" spans="1:20" ht="17.25" customHeight="1" thickBot="1" x14ac:dyDescent="0.25">
      <c r="A22" s="2"/>
      <c r="B22" s="150" t="s">
        <v>109</v>
      </c>
      <c r="C22" s="151">
        <f>SUM(C10:C21)</f>
        <v>24</v>
      </c>
      <c r="D22" s="151">
        <f t="shared" ref="D22:P22" si="4">SUM(D10:D21)</f>
        <v>12</v>
      </c>
      <c r="E22" s="151">
        <f t="shared" si="4"/>
        <v>22</v>
      </c>
      <c r="F22" s="151">
        <f t="shared" si="4"/>
        <v>1</v>
      </c>
      <c r="G22" s="152">
        <f t="shared" si="4"/>
        <v>9</v>
      </c>
      <c r="H22" s="153">
        <f t="shared" si="4"/>
        <v>44</v>
      </c>
      <c r="I22" s="154">
        <f t="shared" si="4"/>
        <v>24</v>
      </c>
      <c r="J22" s="155">
        <f t="shared" si="4"/>
        <v>7</v>
      </c>
      <c r="K22" s="155">
        <f t="shared" si="4"/>
        <v>21</v>
      </c>
      <c r="L22" s="155">
        <f t="shared" si="4"/>
        <v>0</v>
      </c>
      <c r="M22" s="155">
        <f t="shared" si="4"/>
        <v>6</v>
      </c>
      <c r="N22" s="153">
        <f t="shared" si="4"/>
        <v>34</v>
      </c>
      <c r="O22" s="156">
        <f t="shared" si="4"/>
        <v>48</v>
      </c>
      <c r="P22" s="153">
        <f t="shared" si="4"/>
        <v>78</v>
      </c>
      <c r="Q22" s="54"/>
      <c r="R22" s="54"/>
      <c r="S22" s="28"/>
      <c r="T22" s="28"/>
    </row>
    <row r="23" spans="1:20" ht="14.25" customHeight="1" x14ac:dyDescent="0.2">
      <c r="A23" s="2"/>
      <c r="B23" s="133" t="s">
        <v>151</v>
      </c>
      <c r="C23" s="2"/>
      <c r="D23" s="2"/>
      <c r="E23" s="2"/>
      <c r="F23" s="2"/>
      <c r="G23" s="2"/>
      <c r="H23" s="2"/>
      <c r="I23" s="37"/>
      <c r="J23" s="37"/>
      <c r="K23" s="37"/>
      <c r="L23" s="37"/>
      <c r="M23" s="37"/>
      <c r="N23" s="37"/>
      <c r="O23" s="2"/>
      <c r="P23" s="135" t="s">
        <v>484</v>
      </c>
    </row>
    <row r="24" spans="1:20" x14ac:dyDescent="0.2">
      <c r="A24" s="2"/>
      <c r="B24" s="55" t="s">
        <v>110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20" x14ac:dyDescent="0.2">
      <c r="A25" s="2"/>
      <c r="B25" s="5"/>
      <c r="C25" s="3"/>
      <c r="D25" s="3"/>
      <c r="E25" s="3"/>
      <c r="F25" s="3"/>
      <c r="G25" s="3"/>
      <c r="H25" s="3"/>
      <c r="I25" s="2"/>
      <c r="J25" s="2"/>
      <c r="K25" s="2"/>
      <c r="L25" s="2"/>
      <c r="M25" s="2"/>
      <c r="N25" s="2"/>
      <c r="O25" s="2"/>
      <c r="P25" s="2"/>
      <c r="Q25" s="1"/>
    </row>
    <row r="26" spans="1:20" x14ac:dyDescent="0.2">
      <c r="A26" s="2"/>
      <c r="B26" s="5"/>
      <c r="C26" s="3"/>
      <c r="D26" s="3"/>
      <c r="E26" s="3"/>
      <c r="F26" s="3"/>
      <c r="G26" s="3"/>
      <c r="H26" s="3"/>
      <c r="I26" s="2"/>
      <c r="J26" s="2"/>
      <c r="K26" s="2"/>
      <c r="L26" s="2"/>
      <c r="M26" s="2"/>
      <c r="N26" s="2"/>
      <c r="O26" s="2"/>
      <c r="P26" s="2"/>
      <c r="Q26" s="1"/>
    </row>
    <row r="27" spans="1:20" x14ac:dyDescent="0.2">
      <c r="A27" s="2"/>
      <c r="B27" s="2"/>
      <c r="C27" s="44"/>
      <c r="D27" s="2"/>
      <c r="E27" s="2"/>
      <c r="F27" s="2"/>
      <c r="G27" s="2"/>
      <c r="H27" s="2"/>
      <c r="I27" s="2"/>
      <c r="J27" s="2"/>
      <c r="K27" s="2"/>
      <c r="L27" s="2"/>
      <c r="M27" s="2"/>
      <c r="N27" s="2" t="s">
        <v>16</v>
      </c>
      <c r="O27" s="2"/>
      <c r="P27" s="2"/>
      <c r="Q27" s="1"/>
    </row>
    <row r="28" spans="1:20" x14ac:dyDescent="0.2">
      <c r="A28" s="2"/>
      <c r="B28" s="2"/>
      <c r="C28" s="44"/>
      <c r="D28" s="2"/>
      <c r="E28" s="2"/>
      <c r="F28" s="2"/>
      <c r="G28" s="2"/>
      <c r="H28" s="2"/>
      <c r="I28" s="2"/>
      <c r="J28" s="2"/>
      <c r="K28" s="2"/>
      <c r="L28" s="2"/>
      <c r="M28" s="2"/>
      <c r="N28" s="9" t="s">
        <v>80</v>
      </c>
      <c r="O28" s="2"/>
      <c r="P28" s="2"/>
      <c r="Q28" s="2"/>
    </row>
    <row r="29" spans="1:20" x14ac:dyDescent="0.2">
      <c r="A29" s="2"/>
      <c r="B29" s="56"/>
      <c r="C29" s="57"/>
      <c r="D29" s="57"/>
      <c r="E29" s="2"/>
      <c r="F29" s="2"/>
      <c r="G29" s="2"/>
      <c r="H29" s="5"/>
      <c r="I29" s="5"/>
      <c r="J29" s="5"/>
      <c r="K29" s="5"/>
      <c r="L29" s="5"/>
      <c r="M29" s="2"/>
      <c r="N29" s="2" t="s">
        <v>66</v>
      </c>
      <c r="O29" s="5"/>
      <c r="P29" s="5"/>
      <c r="Q29" s="5"/>
    </row>
    <row r="30" spans="1:20" x14ac:dyDescent="0.2">
      <c r="C30" s="44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P30" s="44"/>
      <c r="Q30" s="1"/>
    </row>
    <row r="31" spans="1:20" x14ac:dyDescent="0.2">
      <c r="C31" s="44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P31" s="44"/>
      <c r="Q31" s="1"/>
    </row>
    <row r="32" spans="1:20" ht="15.95" customHeight="1" x14ac:dyDescent="0.2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Q32" s="1"/>
    </row>
    <row r="33" spans="1:17" ht="15.95" customHeight="1" x14ac:dyDescent="0.2">
      <c r="B33" s="532"/>
      <c r="C33" s="532"/>
      <c r="D33" s="532"/>
      <c r="E33" s="532"/>
      <c r="F33" s="532"/>
      <c r="G33" s="532"/>
      <c r="H33" s="532"/>
      <c r="I33" s="532"/>
      <c r="J33" s="532"/>
      <c r="K33" s="532"/>
      <c r="L33" s="532"/>
      <c r="M33" s="532"/>
      <c r="N33" s="532"/>
      <c r="O33" s="532"/>
      <c r="P33" s="532"/>
      <c r="Q33" s="1"/>
    </row>
    <row r="34" spans="1:17" ht="15.95" customHeight="1" x14ac:dyDescent="0.2">
      <c r="B34" s="532"/>
      <c r="C34" s="532"/>
      <c r="D34" s="532"/>
      <c r="E34" s="532"/>
      <c r="F34" s="532"/>
      <c r="G34" s="532"/>
      <c r="H34" s="532"/>
      <c r="I34" s="532"/>
      <c r="J34" s="532"/>
      <c r="K34" s="532"/>
      <c r="L34" s="532"/>
      <c r="M34" s="532"/>
      <c r="N34" s="532"/>
      <c r="O34" s="532"/>
      <c r="P34" s="532"/>
      <c r="Q34" s="1"/>
    </row>
    <row r="35" spans="1:17" ht="15.95" customHeight="1" x14ac:dyDescent="0.2">
      <c r="B35" s="532"/>
      <c r="C35" s="532"/>
      <c r="D35" s="532"/>
      <c r="E35" s="532"/>
      <c r="F35" s="532"/>
      <c r="G35" s="532"/>
      <c r="H35" s="532"/>
      <c r="I35" s="532"/>
      <c r="J35" s="532"/>
      <c r="K35" s="532"/>
      <c r="L35" s="532"/>
      <c r="M35" s="532"/>
      <c r="N35" s="532"/>
      <c r="O35" s="532"/>
      <c r="P35" s="532"/>
    </row>
    <row r="36" spans="1:17" ht="15.95" customHeight="1" x14ac:dyDescent="0.2">
      <c r="B36" s="19"/>
      <c r="C36" s="19"/>
      <c r="D36" s="19"/>
      <c r="E36" s="19"/>
      <c r="F36" s="19"/>
      <c r="G36" s="19"/>
      <c r="H36" s="19"/>
      <c r="I36" s="2"/>
      <c r="J36" s="2"/>
      <c r="K36" s="2"/>
      <c r="L36" s="2"/>
      <c r="M36" s="2"/>
      <c r="N36" s="2"/>
      <c r="O36" s="2"/>
      <c r="P36" s="2"/>
    </row>
    <row r="37" spans="1:17" ht="21.95" customHeight="1" x14ac:dyDescent="0.2">
      <c r="B37" s="58"/>
      <c r="C37" s="591"/>
      <c r="D37" s="591"/>
      <c r="E37" s="591"/>
      <c r="F37" s="591"/>
      <c r="G37" s="591"/>
      <c r="H37" s="591"/>
      <c r="I37" s="591"/>
      <c r="J37" s="591"/>
      <c r="K37" s="591"/>
      <c r="L37" s="591"/>
      <c r="M37" s="591"/>
      <c r="N37" s="591"/>
      <c r="O37" s="591"/>
      <c r="P37" s="59"/>
    </row>
    <row r="38" spans="1:17" ht="21.95" customHeight="1" x14ac:dyDescent="0.2">
      <c r="B38" s="58"/>
      <c r="C38" s="592"/>
      <c r="D38" s="592"/>
      <c r="E38" s="592"/>
      <c r="F38" s="592"/>
      <c r="G38" s="592"/>
      <c r="H38" s="60"/>
      <c r="I38" s="592"/>
      <c r="J38" s="592"/>
      <c r="K38" s="592"/>
      <c r="L38" s="592"/>
      <c r="M38" s="592"/>
      <c r="N38" s="60"/>
      <c r="O38" s="61"/>
      <c r="P38" s="61"/>
    </row>
    <row r="39" spans="1:17" ht="34.5" customHeight="1" x14ac:dyDescent="0.2">
      <c r="B39" s="58"/>
      <c r="C39" s="26"/>
      <c r="D39" s="62"/>
      <c r="E39" s="62"/>
      <c r="F39" s="62"/>
      <c r="G39" s="62"/>
      <c r="H39" s="26"/>
      <c r="I39" s="63"/>
      <c r="J39" s="62"/>
      <c r="K39" s="62"/>
      <c r="L39" s="62"/>
      <c r="M39" s="62"/>
      <c r="N39" s="26"/>
      <c r="O39" s="64"/>
      <c r="P39" s="61"/>
    </row>
    <row r="40" spans="1:17" ht="21.95" customHeight="1" x14ac:dyDescent="0.2">
      <c r="B40" s="65"/>
      <c r="C40" s="66"/>
      <c r="D40" s="67"/>
      <c r="E40" s="67"/>
      <c r="F40" s="67"/>
      <c r="G40" s="67"/>
      <c r="H40" s="67"/>
      <c r="I40" s="66"/>
      <c r="J40" s="67"/>
      <c r="K40" s="67"/>
      <c r="L40" s="67"/>
      <c r="M40" s="67"/>
      <c r="N40" s="67"/>
      <c r="O40" s="66"/>
      <c r="P40" s="68"/>
    </row>
    <row r="41" spans="1:17" ht="21.95" customHeight="1" x14ac:dyDescent="0.2">
      <c r="B41" s="65"/>
      <c r="C41" s="66"/>
      <c r="D41" s="67"/>
      <c r="E41" s="67"/>
      <c r="F41" s="67"/>
      <c r="G41" s="67"/>
      <c r="H41" s="67"/>
      <c r="I41" s="66"/>
      <c r="J41" s="67"/>
      <c r="K41" s="67"/>
      <c r="L41" s="67"/>
      <c r="M41" s="67"/>
      <c r="N41" s="67"/>
      <c r="O41" s="66"/>
      <c r="P41" s="68"/>
    </row>
    <row r="42" spans="1:17" ht="21.95" customHeight="1" x14ac:dyDescent="0.2">
      <c r="B42" s="65"/>
      <c r="C42" s="66"/>
      <c r="D42" s="67"/>
      <c r="E42" s="67"/>
      <c r="F42" s="67"/>
      <c r="G42" s="67"/>
      <c r="H42" s="67"/>
      <c r="I42" s="66"/>
      <c r="J42" s="67"/>
      <c r="K42" s="67"/>
      <c r="L42" s="67"/>
      <c r="M42" s="67"/>
      <c r="N42" s="67"/>
      <c r="O42" s="66"/>
      <c r="P42" s="68"/>
    </row>
    <row r="43" spans="1:17" ht="21.95" customHeight="1" x14ac:dyDescent="0.2">
      <c r="B43" s="65"/>
      <c r="C43" s="69"/>
      <c r="D43" s="70"/>
      <c r="E43" s="70"/>
      <c r="F43" s="70"/>
      <c r="G43" s="70"/>
      <c r="H43" s="67"/>
      <c r="I43" s="69"/>
      <c r="J43" s="70"/>
      <c r="K43" s="70"/>
      <c r="L43" s="70"/>
      <c r="M43" s="70"/>
      <c r="N43" s="67"/>
      <c r="O43" s="69"/>
      <c r="P43" s="68"/>
    </row>
    <row r="44" spans="1:17" ht="21.95" customHeight="1" x14ac:dyDescent="0.2">
      <c r="B44" s="65"/>
      <c r="C44" s="69"/>
      <c r="D44" s="70"/>
      <c r="E44" s="70"/>
      <c r="F44" s="70"/>
      <c r="G44" s="70"/>
      <c r="H44" s="67"/>
      <c r="I44" s="69"/>
      <c r="J44" s="70"/>
      <c r="K44" s="70"/>
      <c r="L44" s="70"/>
      <c r="M44" s="70"/>
      <c r="N44" s="67"/>
      <c r="O44" s="69"/>
      <c r="P44" s="68"/>
    </row>
    <row r="45" spans="1:17" ht="21.95" customHeight="1" x14ac:dyDescent="0.2">
      <c r="B45" s="65"/>
      <c r="C45" s="66"/>
      <c r="D45" s="67"/>
      <c r="E45" s="67"/>
      <c r="F45" s="67"/>
      <c r="G45" s="67"/>
      <c r="H45" s="67"/>
      <c r="I45" s="66"/>
      <c r="J45" s="67"/>
      <c r="K45" s="67"/>
      <c r="L45" s="67"/>
      <c r="M45" s="67"/>
      <c r="N45" s="67"/>
      <c r="O45" s="69"/>
      <c r="P45" s="68"/>
    </row>
    <row r="46" spans="1:17" ht="21.95" customHeight="1" x14ac:dyDescent="0.2">
      <c r="A46" t="s">
        <v>108</v>
      </c>
      <c r="B46" s="65"/>
      <c r="C46" s="66"/>
      <c r="D46" s="67"/>
      <c r="E46" s="67"/>
      <c r="F46" s="67"/>
      <c r="G46" s="67"/>
      <c r="H46" s="67"/>
      <c r="I46" s="66"/>
      <c r="J46" s="67"/>
      <c r="K46" s="67"/>
      <c r="L46" s="67"/>
      <c r="M46" s="67"/>
      <c r="N46" s="67"/>
      <c r="O46" s="66"/>
      <c r="P46" s="68"/>
    </row>
    <row r="47" spans="1:17" ht="21.95" customHeight="1" x14ac:dyDescent="0.2">
      <c r="B47" s="65"/>
      <c r="C47" s="66"/>
      <c r="D47" s="67"/>
      <c r="E47" s="67"/>
      <c r="F47" s="67"/>
      <c r="G47" s="67"/>
      <c r="H47" s="67"/>
      <c r="I47" s="66"/>
      <c r="J47" s="67"/>
      <c r="K47" s="67"/>
      <c r="L47" s="67"/>
      <c r="M47" s="67"/>
      <c r="N47" s="67"/>
      <c r="O47" s="66"/>
      <c r="P47" s="68"/>
    </row>
    <row r="48" spans="1:17" ht="21.95" customHeight="1" x14ac:dyDescent="0.2">
      <c r="B48" s="65"/>
      <c r="C48" s="66"/>
      <c r="D48" s="67"/>
      <c r="E48" s="67"/>
      <c r="F48" s="67"/>
      <c r="G48" s="67"/>
      <c r="H48" s="67"/>
      <c r="I48" s="66"/>
      <c r="J48" s="67"/>
      <c r="K48" s="67"/>
      <c r="L48" s="67"/>
      <c r="M48" s="67"/>
      <c r="N48" s="67"/>
      <c r="O48" s="66"/>
      <c r="P48" s="67"/>
    </row>
    <row r="49" spans="2:16" ht="21.95" customHeight="1" x14ac:dyDescent="0.2">
      <c r="B49" s="65"/>
      <c r="C49" s="66"/>
      <c r="D49" s="67"/>
      <c r="E49" s="67"/>
      <c r="F49" s="67"/>
      <c r="G49" s="67"/>
      <c r="H49" s="67"/>
      <c r="I49" s="66"/>
      <c r="J49" s="67"/>
      <c r="K49" s="67"/>
      <c r="L49" s="67"/>
      <c r="M49" s="67"/>
      <c r="N49" s="67"/>
      <c r="O49" s="66"/>
      <c r="P49" s="67"/>
    </row>
    <row r="50" spans="2:16" ht="21.95" customHeight="1" x14ac:dyDescent="0.2">
      <c r="B50" s="65"/>
      <c r="C50" s="66"/>
      <c r="D50" s="67"/>
      <c r="E50" s="67"/>
      <c r="F50" s="67"/>
      <c r="G50" s="67"/>
      <c r="H50" s="67"/>
      <c r="I50" s="66"/>
      <c r="J50" s="67"/>
      <c r="K50" s="67"/>
      <c r="L50" s="67"/>
      <c r="M50" s="67"/>
      <c r="N50" s="67"/>
      <c r="O50" s="66"/>
      <c r="P50" s="67"/>
    </row>
    <row r="51" spans="2:16" ht="21.95" customHeight="1" x14ac:dyDescent="0.2">
      <c r="B51" s="65"/>
      <c r="C51" s="66"/>
      <c r="D51" s="67"/>
      <c r="E51" s="67"/>
      <c r="F51" s="67"/>
      <c r="G51" s="67"/>
      <c r="H51" s="70"/>
      <c r="I51" s="66"/>
      <c r="J51" s="67"/>
      <c r="K51" s="67"/>
      <c r="L51" s="67"/>
      <c r="M51" s="67"/>
      <c r="N51" s="70"/>
      <c r="O51" s="66"/>
      <c r="P51" s="67"/>
    </row>
    <row r="52" spans="2:16" ht="21.95" customHeight="1" x14ac:dyDescent="0.25">
      <c r="B52" s="71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72"/>
      <c r="P52" s="72"/>
    </row>
    <row r="53" spans="2:16" x14ac:dyDescent="0.2">
      <c r="B53" s="73"/>
      <c r="C53" s="19"/>
      <c r="D53" s="19"/>
      <c r="E53" s="19"/>
      <c r="F53" s="19"/>
      <c r="G53" s="19"/>
      <c r="H53" s="19"/>
      <c r="I53" s="74"/>
      <c r="J53" s="74"/>
      <c r="K53" s="74"/>
      <c r="L53" s="74"/>
      <c r="M53" s="74"/>
      <c r="N53" s="74"/>
      <c r="O53" s="11"/>
      <c r="P53" s="75"/>
    </row>
    <row r="54" spans="2:16" x14ac:dyDescent="0.2"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2:16" x14ac:dyDescent="0.2">
      <c r="B55" s="5"/>
      <c r="C55" s="3"/>
      <c r="D55" s="3"/>
      <c r="E55" s="3"/>
      <c r="F55" s="3"/>
      <c r="G55" s="3"/>
      <c r="H55" s="3"/>
      <c r="I55" s="2"/>
      <c r="J55" s="2"/>
      <c r="K55" s="2"/>
      <c r="L55" s="2"/>
      <c r="M55" s="2"/>
      <c r="N55" s="2"/>
      <c r="O55" s="2"/>
      <c r="P55" s="2"/>
    </row>
    <row r="56" spans="2:16" x14ac:dyDescent="0.2">
      <c r="B56" s="2"/>
      <c r="C56" s="44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2:16" x14ac:dyDescent="0.2">
      <c r="B57" s="2"/>
      <c r="C57" s="44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2:16" x14ac:dyDescent="0.2">
      <c r="B58" s="57"/>
      <c r="C58" s="57"/>
      <c r="D58" s="57"/>
      <c r="F58" s="2"/>
      <c r="G58" s="2"/>
      <c r="H58" s="2"/>
      <c r="I58" s="2"/>
      <c r="J58" s="2"/>
      <c r="K58" s="2"/>
      <c r="L58" s="2"/>
      <c r="M58" s="2"/>
      <c r="N58" s="2"/>
      <c r="O58" s="44"/>
      <c r="P58" s="2"/>
    </row>
    <row r="59" spans="2:16" x14ac:dyDescent="0.2">
      <c r="C59" s="44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P59" s="44"/>
    </row>
    <row r="60" spans="2:16" x14ac:dyDescent="0.2">
      <c r="C60" s="44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P60" s="44"/>
    </row>
    <row r="61" spans="2:16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2:16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2:16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2:16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2:16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2:16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2:16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2:16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2:16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2:16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2:16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2:16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2:16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2:16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2:16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2:16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2:16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2:16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2:16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2:16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2:16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2:16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2:16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2:16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2:16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</sheetData>
  <mergeCells count="12">
    <mergeCell ref="B33:P33"/>
    <mergeCell ref="B34:P34"/>
    <mergeCell ref="B35:P35"/>
    <mergeCell ref="C37:O37"/>
    <mergeCell ref="C38:G38"/>
    <mergeCell ref="I38:M38"/>
    <mergeCell ref="B3:P3"/>
    <mergeCell ref="B4:P4"/>
    <mergeCell ref="B5:P5"/>
    <mergeCell ref="C7:O7"/>
    <mergeCell ref="C8:G8"/>
    <mergeCell ref="I8:M8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9"/>
  <sheetViews>
    <sheetView topLeftCell="E1" zoomScale="98" zoomScaleNormal="98" workbookViewId="0">
      <selection activeCell="C6" sqref="C6:C53"/>
    </sheetView>
  </sheetViews>
  <sheetFormatPr baseColWidth="10" defaultColWidth="10.42578125" defaultRowHeight="9" x14ac:dyDescent="0.2"/>
  <cols>
    <col min="1" max="1" width="10.42578125" style="193"/>
    <col min="2" max="2" width="7.28515625" style="195" customWidth="1"/>
    <col min="3" max="3" width="13.28515625" style="193" customWidth="1"/>
    <col min="4" max="4" width="9.85546875" style="193" customWidth="1"/>
    <col min="5" max="5" width="28.7109375" style="193" customWidth="1"/>
    <col min="6" max="6" width="6.85546875" style="193" customWidth="1"/>
    <col min="7" max="7" width="11.28515625" style="193" customWidth="1"/>
    <col min="8" max="8" width="8.28515625" style="193" customWidth="1"/>
    <col min="9" max="9" width="7.85546875" style="193" customWidth="1"/>
    <col min="10" max="10" width="12.28515625" style="193" customWidth="1"/>
    <col min="11" max="11" width="15.5703125" style="193" customWidth="1"/>
    <col min="12" max="12" width="9.7109375" style="193" customWidth="1"/>
    <col min="13" max="13" width="12.85546875" style="193" customWidth="1"/>
    <col min="14" max="14" width="11.85546875" style="193" customWidth="1"/>
    <col min="15" max="15" width="10.140625" style="193" customWidth="1"/>
    <col min="16" max="16" width="23.5703125" style="193" customWidth="1"/>
    <col min="17" max="17" width="16" style="443" customWidth="1"/>
    <col min="18" max="18" width="18.140625" style="193" customWidth="1"/>
    <col min="19" max="16384" width="10.42578125" style="193"/>
  </cols>
  <sheetData>
    <row r="1" spans="1:19" x14ac:dyDescent="0.2">
      <c r="Q1" s="435" t="s">
        <v>148</v>
      </c>
    </row>
    <row r="2" spans="1:19" x14ac:dyDescent="0.2">
      <c r="B2" s="593" t="s">
        <v>480</v>
      </c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593"/>
      <c r="O2" s="593"/>
      <c r="P2" s="593"/>
      <c r="Q2" s="436"/>
    </row>
    <row r="4" spans="1:19" x14ac:dyDescent="0.2">
      <c r="B4" s="193"/>
      <c r="Q4" s="437"/>
      <c r="R4" s="192"/>
    </row>
    <row r="5" spans="1:19" ht="38.25" x14ac:dyDescent="0.25">
      <c r="B5" s="355" t="s">
        <v>239</v>
      </c>
      <c r="C5" s="356" t="s">
        <v>81</v>
      </c>
      <c r="D5" s="357" t="s">
        <v>131</v>
      </c>
      <c r="E5" s="358" t="s">
        <v>82</v>
      </c>
      <c r="F5" s="359" t="s">
        <v>83</v>
      </c>
      <c r="G5" s="359" t="s">
        <v>208</v>
      </c>
      <c r="H5" s="358" t="s">
        <v>24</v>
      </c>
      <c r="I5" s="355" t="s">
        <v>259</v>
      </c>
      <c r="J5" s="359" t="s">
        <v>84</v>
      </c>
      <c r="K5" s="359" t="s">
        <v>85</v>
      </c>
      <c r="L5" s="359" t="s">
        <v>86</v>
      </c>
      <c r="M5" s="359" t="s">
        <v>87</v>
      </c>
      <c r="N5" s="360" t="s">
        <v>209</v>
      </c>
      <c r="O5" s="361" t="s">
        <v>260</v>
      </c>
      <c r="P5" s="362" t="s">
        <v>88</v>
      </c>
      <c r="Q5" s="438" t="s">
        <v>23</v>
      </c>
      <c r="R5" s="355" t="s">
        <v>132</v>
      </c>
      <c r="S5" s="363" t="s">
        <v>89</v>
      </c>
    </row>
    <row r="6" spans="1:19" ht="39.75" customHeight="1" x14ac:dyDescent="0.2">
      <c r="A6" s="193">
        <v>1</v>
      </c>
      <c r="B6" s="457" t="s">
        <v>210</v>
      </c>
      <c r="C6" s="478" t="s">
        <v>397</v>
      </c>
      <c r="D6" s="366" t="s">
        <v>398</v>
      </c>
      <c r="E6" s="367" t="s">
        <v>399</v>
      </c>
      <c r="F6" s="368">
        <v>84</v>
      </c>
      <c r="G6" s="364" t="s">
        <v>256</v>
      </c>
      <c r="H6" s="368" t="s">
        <v>37</v>
      </c>
      <c r="I6" s="369">
        <v>3</v>
      </c>
      <c r="J6" s="370">
        <v>0</v>
      </c>
      <c r="K6" s="370">
        <v>1142.8599999999999</v>
      </c>
      <c r="L6" s="370">
        <v>0</v>
      </c>
      <c r="M6" s="370">
        <v>0</v>
      </c>
      <c r="N6" s="370">
        <v>0</v>
      </c>
      <c r="O6" s="371">
        <v>44164</v>
      </c>
      <c r="P6" s="434" t="s">
        <v>400</v>
      </c>
      <c r="Q6" s="373" t="s">
        <v>90</v>
      </c>
      <c r="R6" s="373" t="s">
        <v>91</v>
      </c>
      <c r="S6" s="374">
        <v>44218</v>
      </c>
    </row>
    <row r="7" spans="1:19" ht="24" x14ac:dyDescent="0.2">
      <c r="A7" s="193">
        <v>2</v>
      </c>
      <c r="B7" s="365" t="s">
        <v>212</v>
      </c>
      <c r="C7" s="478" t="s">
        <v>401</v>
      </c>
      <c r="D7" s="366" t="s">
        <v>402</v>
      </c>
      <c r="E7" s="367" t="s">
        <v>403</v>
      </c>
      <c r="F7" s="368">
        <v>60</v>
      </c>
      <c r="G7" s="364" t="s">
        <v>211</v>
      </c>
      <c r="H7" s="368" t="s">
        <v>32</v>
      </c>
      <c r="I7" s="369">
        <v>1</v>
      </c>
      <c r="J7" s="370">
        <v>3428.57</v>
      </c>
      <c r="K7" s="370">
        <v>5714.29</v>
      </c>
      <c r="L7" s="370">
        <v>0</v>
      </c>
      <c r="M7" s="370">
        <v>0</v>
      </c>
      <c r="N7" s="370">
        <v>0</v>
      </c>
      <c r="O7" s="371">
        <v>44194</v>
      </c>
      <c r="P7" s="372" t="s">
        <v>404</v>
      </c>
      <c r="Q7" s="373" t="s">
        <v>405</v>
      </c>
      <c r="R7" s="373" t="s">
        <v>46</v>
      </c>
      <c r="S7" s="374">
        <v>44221</v>
      </c>
    </row>
    <row r="8" spans="1:19" ht="45" x14ac:dyDescent="0.2">
      <c r="A8" s="193">
        <v>3</v>
      </c>
      <c r="B8" s="365" t="s">
        <v>213</v>
      </c>
      <c r="C8" s="478" t="s">
        <v>406</v>
      </c>
      <c r="D8" s="366" t="s">
        <v>407</v>
      </c>
      <c r="E8" s="367" t="s">
        <v>408</v>
      </c>
      <c r="F8" s="368">
        <v>83</v>
      </c>
      <c r="G8" s="364" t="s">
        <v>256</v>
      </c>
      <c r="H8" s="368" t="s">
        <v>37</v>
      </c>
      <c r="I8" s="369">
        <v>5</v>
      </c>
      <c r="J8" s="370">
        <v>0</v>
      </c>
      <c r="K8" s="370">
        <v>2285.71</v>
      </c>
      <c r="L8" s="370">
        <v>0</v>
      </c>
      <c r="M8" s="370">
        <v>0</v>
      </c>
      <c r="N8" s="370">
        <v>0</v>
      </c>
      <c r="O8" s="489">
        <v>44202</v>
      </c>
      <c r="P8" s="434" t="s">
        <v>409</v>
      </c>
      <c r="Q8" s="490" t="s">
        <v>90</v>
      </c>
      <c r="R8" s="373" t="s">
        <v>91</v>
      </c>
      <c r="S8" s="374">
        <v>44221</v>
      </c>
    </row>
    <row r="9" spans="1:19" ht="30" customHeight="1" x14ac:dyDescent="0.2">
      <c r="A9" s="193">
        <v>4</v>
      </c>
      <c r="B9" s="457" t="s">
        <v>214</v>
      </c>
      <c r="C9" s="478" t="s">
        <v>389</v>
      </c>
      <c r="D9" s="366" t="s">
        <v>390</v>
      </c>
      <c r="E9" s="367" t="s">
        <v>391</v>
      </c>
      <c r="F9" s="368">
        <v>74</v>
      </c>
      <c r="G9" s="364" t="s">
        <v>256</v>
      </c>
      <c r="H9" s="368" t="s">
        <v>37</v>
      </c>
      <c r="I9" s="369">
        <v>2</v>
      </c>
      <c r="J9" s="370">
        <v>0</v>
      </c>
      <c r="K9" s="370">
        <v>3428.57</v>
      </c>
      <c r="L9" s="370">
        <v>0</v>
      </c>
      <c r="M9" s="370">
        <v>0</v>
      </c>
      <c r="N9" s="370">
        <v>0</v>
      </c>
      <c r="O9" s="371">
        <v>44207</v>
      </c>
      <c r="P9" s="372" t="s">
        <v>392</v>
      </c>
      <c r="Q9" s="373" t="s">
        <v>36</v>
      </c>
      <c r="R9" s="373" t="s">
        <v>91</v>
      </c>
      <c r="S9" s="374">
        <v>44218</v>
      </c>
    </row>
    <row r="10" spans="1:19" ht="24" x14ac:dyDescent="0.2">
      <c r="A10" s="193">
        <v>5</v>
      </c>
      <c r="B10" s="365" t="s">
        <v>215</v>
      </c>
      <c r="C10" s="478" t="s">
        <v>364</v>
      </c>
      <c r="D10" s="366" t="s">
        <v>365</v>
      </c>
      <c r="E10" s="367" t="s">
        <v>366</v>
      </c>
      <c r="F10" s="368">
        <v>77</v>
      </c>
      <c r="G10" s="364" t="s">
        <v>256</v>
      </c>
      <c r="H10" s="368" t="s">
        <v>37</v>
      </c>
      <c r="I10" s="369">
        <v>1</v>
      </c>
      <c r="J10" s="370">
        <v>0</v>
      </c>
      <c r="K10" s="370">
        <v>3428.57</v>
      </c>
      <c r="L10" s="370">
        <v>0</v>
      </c>
      <c r="M10" s="370">
        <v>0</v>
      </c>
      <c r="N10" s="370">
        <v>0</v>
      </c>
      <c r="O10" s="371">
        <v>43919</v>
      </c>
      <c r="P10" s="372" t="s">
        <v>367</v>
      </c>
      <c r="Q10" s="373" t="s">
        <v>240</v>
      </c>
      <c r="R10" s="373" t="s">
        <v>91</v>
      </c>
      <c r="S10" s="374">
        <v>44217</v>
      </c>
    </row>
    <row r="11" spans="1:19" ht="45" x14ac:dyDescent="0.2">
      <c r="A11" s="193">
        <v>6</v>
      </c>
      <c r="B11" s="365" t="s">
        <v>216</v>
      </c>
      <c r="C11" s="478" t="s">
        <v>422</v>
      </c>
      <c r="D11" s="366" t="s">
        <v>423</v>
      </c>
      <c r="E11" s="367" t="s">
        <v>424</v>
      </c>
      <c r="F11" s="491">
        <v>78</v>
      </c>
      <c r="G11" s="368" t="s">
        <v>211</v>
      </c>
      <c r="H11" s="368" t="s">
        <v>37</v>
      </c>
      <c r="I11" s="369">
        <v>3</v>
      </c>
      <c r="J11" s="370">
        <v>0</v>
      </c>
      <c r="K11" s="370">
        <v>3428.57</v>
      </c>
      <c r="L11" s="370">
        <v>0</v>
      </c>
      <c r="M11" s="370">
        <v>1142.8599999999999</v>
      </c>
      <c r="N11" s="370">
        <v>0</v>
      </c>
      <c r="O11" s="489">
        <v>44193</v>
      </c>
      <c r="P11" s="434" t="s">
        <v>425</v>
      </c>
      <c r="Q11" s="490" t="s">
        <v>36</v>
      </c>
      <c r="R11" s="492" t="s">
        <v>36</v>
      </c>
      <c r="S11" s="374">
        <v>44224</v>
      </c>
    </row>
    <row r="12" spans="1:19" ht="24" x14ac:dyDescent="0.2">
      <c r="A12" s="193">
        <v>7</v>
      </c>
      <c r="B12" s="457" t="s">
        <v>217</v>
      </c>
      <c r="C12" s="478" t="s">
        <v>453</v>
      </c>
      <c r="D12" s="366" t="s">
        <v>454</v>
      </c>
      <c r="E12" s="367" t="s">
        <v>455</v>
      </c>
      <c r="F12" s="368">
        <v>65</v>
      </c>
      <c r="G12" s="364" t="s">
        <v>211</v>
      </c>
      <c r="H12" s="368" t="s">
        <v>32</v>
      </c>
      <c r="I12" s="369">
        <v>6</v>
      </c>
      <c r="J12" s="370">
        <v>3428.57</v>
      </c>
      <c r="K12" s="370">
        <v>5714.29</v>
      </c>
      <c r="L12" s="370">
        <v>0</v>
      </c>
      <c r="M12" s="370">
        <v>1142.8599999999999</v>
      </c>
      <c r="N12" s="370">
        <v>0</v>
      </c>
      <c r="O12" s="371">
        <v>44151</v>
      </c>
      <c r="P12" s="434" t="s">
        <v>456</v>
      </c>
      <c r="Q12" s="373" t="s">
        <v>457</v>
      </c>
      <c r="R12" s="373" t="s">
        <v>51</v>
      </c>
      <c r="S12" s="374">
        <v>44225</v>
      </c>
    </row>
    <row r="13" spans="1:19" ht="24" x14ac:dyDescent="0.2">
      <c r="A13" s="193">
        <v>8</v>
      </c>
      <c r="B13" s="365" t="s">
        <v>218</v>
      </c>
      <c r="C13" s="478" t="s">
        <v>449</v>
      </c>
      <c r="D13" s="366" t="s">
        <v>450</v>
      </c>
      <c r="E13" s="367" t="s">
        <v>451</v>
      </c>
      <c r="F13" s="368">
        <v>64</v>
      </c>
      <c r="G13" s="368" t="s">
        <v>211</v>
      </c>
      <c r="H13" s="368" t="s">
        <v>37</v>
      </c>
      <c r="I13" s="369">
        <v>4</v>
      </c>
      <c r="J13" s="370">
        <v>0</v>
      </c>
      <c r="K13" s="370">
        <v>5714.29</v>
      </c>
      <c r="L13" s="370">
        <v>0</v>
      </c>
      <c r="M13" s="370">
        <v>1142.8599999999999</v>
      </c>
      <c r="N13" s="370">
        <v>0</v>
      </c>
      <c r="O13" s="371">
        <v>44204</v>
      </c>
      <c r="P13" s="434" t="s">
        <v>452</v>
      </c>
      <c r="Q13" s="373" t="s">
        <v>51</v>
      </c>
      <c r="R13" s="373" t="s">
        <v>51</v>
      </c>
      <c r="S13" s="374">
        <v>44225</v>
      </c>
    </row>
    <row r="14" spans="1:19" ht="36" x14ac:dyDescent="0.2">
      <c r="A14" s="193">
        <v>9</v>
      </c>
      <c r="B14" s="365" t="s">
        <v>219</v>
      </c>
      <c r="C14" s="478" t="s">
        <v>294</v>
      </c>
      <c r="D14" s="366" t="s">
        <v>295</v>
      </c>
      <c r="E14" s="367" t="s">
        <v>296</v>
      </c>
      <c r="F14" s="368">
        <v>48</v>
      </c>
      <c r="G14" s="368" t="s">
        <v>211</v>
      </c>
      <c r="H14" s="368" t="s">
        <v>32</v>
      </c>
      <c r="I14" s="369">
        <v>2</v>
      </c>
      <c r="J14" s="370">
        <v>3428.57</v>
      </c>
      <c r="K14" s="370">
        <v>3428.57</v>
      </c>
      <c r="L14" s="370">
        <v>0</v>
      </c>
      <c r="M14" s="370">
        <v>1142.8599999999999</v>
      </c>
      <c r="N14" s="370">
        <v>0</v>
      </c>
      <c r="O14" s="371">
        <v>44160</v>
      </c>
      <c r="P14" s="434" t="s">
        <v>297</v>
      </c>
      <c r="Q14" s="373" t="s">
        <v>298</v>
      </c>
      <c r="R14" s="373" t="s">
        <v>50</v>
      </c>
      <c r="S14" s="374">
        <v>44207</v>
      </c>
    </row>
    <row r="15" spans="1:19" ht="24" x14ac:dyDescent="0.2">
      <c r="A15" s="193">
        <v>10</v>
      </c>
      <c r="B15" s="457" t="s">
        <v>220</v>
      </c>
      <c r="C15" s="478" t="s">
        <v>381</v>
      </c>
      <c r="D15" s="366" t="s">
        <v>382</v>
      </c>
      <c r="E15" s="367" t="s">
        <v>383</v>
      </c>
      <c r="F15" s="368">
        <v>86</v>
      </c>
      <c r="G15" s="364" t="s">
        <v>256</v>
      </c>
      <c r="H15" s="368" t="s">
        <v>37</v>
      </c>
      <c r="I15" s="369">
        <v>1</v>
      </c>
      <c r="J15" s="370">
        <v>0</v>
      </c>
      <c r="K15" s="370">
        <v>3428.57</v>
      </c>
      <c r="L15" s="370">
        <v>0</v>
      </c>
      <c r="M15" s="370">
        <v>0</v>
      </c>
      <c r="N15" s="370">
        <v>0</v>
      </c>
      <c r="O15" s="371">
        <v>43603</v>
      </c>
      <c r="P15" s="434" t="s">
        <v>384</v>
      </c>
      <c r="Q15" s="373" t="s">
        <v>51</v>
      </c>
      <c r="R15" s="373" t="s">
        <v>50</v>
      </c>
      <c r="S15" s="374">
        <v>44218</v>
      </c>
    </row>
    <row r="16" spans="1:19" ht="44.25" customHeight="1" x14ac:dyDescent="0.2">
      <c r="A16" s="193">
        <v>11</v>
      </c>
      <c r="B16" s="365" t="s">
        <v>221</v>
      </c>
      <c r="C16" s="478" t="s">
        <v>315</v>
      </c>
      <c r="D16" s="366" t="s">
        <v>316</v>
      </c>
      <c r="E16" s="367" t="s">
        <v>317</v>
      </c>
      <c r="F16" s="368">
        <v>64</v>
      </c>
      <c r="G16" s="364" t="s">
        <v>211</v>
      </c>
      <c r="H16" s="368" t="s">
        <v>32</v>
      </c>
      <c r="I16" s="369">
        <v>1</v>
      </c>
      <c r="J16" s="370">
        <v>3428.57</v>
      </c>
      <c r="K16" s="370">
        <v>5714.29</v>
      </c>
      <c r="L16" s="370">
        <v>0</v>
      </c>
      <c r="M16" s="370">
        <v>1142.8599999999999</v>
      </c>
      <c r="N16" s="370">
        <v>0</v>
      </c>
      <c r="O16" s="371">
        <v>44178</v>
      </c>
      <c r="P16" s="434" t="s">
        <v>318</v>
      </c>
      <c r="Q16" s="373" t="s">
        <v>90</v>
      </c>
      <c r="R16" s="373" t="s">
        <v>111</v>
      </c>
      <c r="S16" s="374">
        <v>44208</v>
      </c>
    </row>
    <row r="17" spans="1:19" ht="27" x14ac:dyDescent="0.2">
      <c r="A17" s="193">
        <v>12</v>
      </c>
      <c r="B17" s="365" t="s">
        <v>222</v>
      </c>
      <c r="C17" s="478" t="s">
        <v>462</v>
      </c>
      <c r="D17" s="366" t="s">
        <v>463</v>
      </c>
      <c r="E17" s="367" t="s">
        <v>464</v>
      </c>
      <c r="F17" s="368">
        <v>76</v>
      </c>
      <c r="G17" s="364" t="s">
        <v>211</v>
      </c>
      <c r="H17" s="368" t="s">
        <v>37</v>
      </c>
      <c r="I17" s="369">
        <v>4</v>
      </c>
      <c r="J17" s="370">
        <v>0</v>
      </c>
      <c r="K17" s="370">
        <v>2285.71</v>
      </c>
      <c r="L17" s="370">
        <v>0</v>
      </c>
      <c r="M17" s="370">
        <v>0</v>
      </c>
      <c r="N17" s="370">
        <v>0</v>
      </c>
      <c r="O17" s="371">
        <v>44200</v>
      </c>
      <c r="P17" s="434" t="s">
        <v>465</v>
      </c>
      <c r="Q17" s="373" t="s">
        <v>90</v>
      </c>
      <c r="R17" s="373" t="s">
        <v>91</v>
      </c>
      <c r="S17" s="374">
        <v>44225</v>
      </c>
    </row>
    <row r="18" spans="1:19" ht="27" x14ac:dyDescent="0.2">
      <c r="A18" s="193">
        <v>13</v>
      </c>
      <c r="B18" s="457" t="s">
        <v>223</v>
      </c>
      <c r="C18" s="478" t="s">
        <v>323</v>
      </c>
      <c r="D18" s="366" t="s">
        <v>324</v>
      </c>
      <c r="E18" s="367" t="s">
        <v>325</v>
      </c>
      <c r="F18" s="368">
        <v>52</v>
      </c>
      <c r="G18" s="368" t="s">
        <v>211</v>
      </c>
      <c r="H18" s="368" t="s">
        <v>32</v>
      </c>
      <c r="I18" s="369">
        <v>2</v>
      </c>
      <c r="J18" s="370">
        <v>3428.57</v>
      </c>
      <c r="K18" s="370">
        <v>11428.57</v>
      </c>
      <c r="L18" s="370">
        <v>0</v>
      </c>
      <c r="M18" s="370">
        <v>0</v>
      </c>
      <c r="N18" s="370">
        <v>0</v>
      </c>
      <c r="O18" s="371">
        <v>44188</v>
      </c>
      <c r="P18" s="434" t="s">
        <v>326</v>
      </c>
      <c r="Q18" s="373" t="s">
        <v>90</v>
      </c>
      <c r="R18" s="373" t="s">
        <v>91</v>
      </c>
      <c r="S18" s="374">
        <v>44209</v>
      </c>
    </row>
    <row r="19" spans="1:19" ht="36" x14ac:dyDescent="0.2">
      <c r="A19" s="193">
        <v>14</v>
      </c>
      <c r="B19" s="365" t="s">
        <v>224</v>
      </c>
      <c r="C19" s="478" t="s">
        <v>327</v>
      </c>
      <c r="D19" s="366" t="s">
        <v>328</v>
      </c>
      <c r="E19" s="367" t="s">
        <v>329</v>
      </c>
      <c r="F19" s="368">
        <v>55</v>
      </c>
      <c r="G19" s="368" t="s">
        <v>256</v>
      </c>
      <c r="H19" s="368" t="s">
        <v>32</v>
      </c>
      <c r="I19" s="369">
        <v>2</v>
      </c>
      <c r="J19" s="370">
        <v>3428.57</v>
      </c>
      <c r="K19" s="370">
        <v>0</v>
      </c>
      <c r="L19" s="370">
        <v>0</v>
      </c>
      <c r="M19" s="370">
        <v>0</v>
      </c>
      <c r="N19" s="370">
        <v>0</v>
      </c>
      <c r="O19" s="371">
        <v>44175</v>
      </c>
      <c r="P19" s="434" t="s">
        <v>330</v>
      </c>
      <c r="Q19" s="373" t="s">
        <v>90</v>
      </c>
      <c r="R19" s="373" t="s">
        <v>92</v>
      </c>
      <c r="S19" s="374">
        <v>44210</v>
      </c>
    </row>
    <row r="20" spans="1:19" ht="36" x14ac:dyDescent="0.2">
      <c r="A20" s="193">
        <v>15</v>
      </c>
      <c r="B20" s="365" t="s">
        <v>225</v>
      </c>
      <c r="C20" s="478" t="s">
        <v>286</v>
      </c>
      <c r="D20" s="366" t="s">
        <v>287</v>
      </c>
      <c r="E20" s="367" t="s">
        <v>288</v>
      </c>
      <c r="F20" s="368">
        <v>49</v>
      </c>
      <c r="G20" s="368" t="s">
        <v>211</v>
      </c>
      <c r="H20" s="368" t="s">
        <v>32</v>
      </c>
      <c r="I20" s="369">
        <v>3</v>
      </c>
      <c r="J20" s="370">
        <v>3428.57</v>
      </c>
      <c r="K20" s="370">
        <v>0</v>
      </c>
      <c r="L20" s="370">
        <v>0</v>
      </c>
      <c r="M20" s="370">
        <v>0</v>
      </c>
      <c r="N20" s="370">
        <v>0</v>
      </c>
      <c r="O20" s="371">
        <v>44121</v>
      </c>
      <c r="P20" s="434" t="s">
        <v>289</v>
      </c>
      <c r="Q20" s="373" t="s">
        <v>92</v>
      </c>
      <c r="R20" s="373" t="s">
        <v>92</v>
      </c>
      <c r="S20" s="374">
        <v>44204</v>
      </c>
    </row>
    <row r="21" spans="1:19" ht="24" x14ac:dyDescent="0.2">
      <c r="A21" s="193">
        <v>16</v>
      </c>
      <c r="B21" s="457" t="s">
        <v>226</v>
      </c>
      <c r="C21" s="478" t="s">
        <v>360</v>
      </c>
      <c r="D21" s="366" t="s">
        <v>361</v>
      </c>
      <c r="E21" s="367" t="s">
        <v>362</v>
      </c>
      <c r="F21" s="368">
        <v>97</v>
      </c>
      <c r="G21" s="368" t="s">
        <v>256</v>
      </c>
      <c r="H21" s="368" t="s">
        <v>40</v>
      </c>
      <c r="I21" s="369">
        <v>1</v>
      </c>
      <c r="J21" s="370">
        <v>0</v>
      </c>
      <c r="K21" s="370">
        <v>1142.8599999999999</v>
      </c>
      <c r="L21" s="370">
        <v>0</v>
      </c>
      <c r="M21" s="370">
        <v>0</v>
      </c>
      <c r="N21" s="370">
        <v>0</v>
      </c>
      <c r="O21" s="371">
        <v>44123</v>
      </c>
      <c r="P21" s="372" t="s">
        <v>363</v>
      </c>
      <c r="Q21" s="373" t="s">
        <v>90</v>
      </c>
      <c r="R21" s="373" t="s">
        <v>111</v>
      </c>
      <c r="S21" s="374">
        <v>44216</v>
      </c>
    </row>
    <row r="22" spans="1:19" ht="27" x14ac:dyDescent="0.2">
      <c r="A22" s="193">
        <v>17</v>
      </c>
      <c r="B22" s="365" t="s">
        <v>227</v>
      </c>
      <c r="C22" s="478" t="s">
        <v>414</v>
      </c>
      <c r="D22" s="366" t="s">
        <v>415</v>
      </c>
      <c r="E22" s="367" t="s">
        <v>416</v>
      </c>
      <c r="F22" s="491">
        <v>77</v>
      </c>
      <c r="G22" s="368" t="s">
        <v>256</v>
      </c>
      <c r="H22" s="368" t="s">
        <v>37</v>
      </c>
      <c r="I22" s="369">
        <v>4</v>
      </c>
      <c r="J22" s="370">
        <v>0</v>
      </c>
      <c r="K22" s="370">
        <v>3428.57</v>
      </c>
      <c r="L22" s="370">
        <v>0</v>
      </c>
      <c r="M22" s="370">
        <v>0</v>
      </c>
      <c r="N22" s="370">
        <v>0</v>
      </c>
      <c r="O22" s="489">
        <v>44190</v>
      </c>
      <c r="P22" s="434" t="s">
        <v>417</v>
      </c>
      <c r="Q22" s="490" t="s">
        <v>90</v>
      </c>
      <c r="R22" s="373" t="s">
        <v>49</v>
      </c>
      <c r="S22" s="374">
        <v>44222</v>
      </c>
    </row>
    <row r="23" spans="1:19" ht="36" x14ac:dyDescent="0.2">
      <c r="A23" s="193">
        <v>18</v>
      </c>
      <c r="B23" s="365" t="s">
        <v>228</v>
      </c>
      <c r="C23" s="478" t="s">
        <v>331</v>
      </c>
      <c r="D23" s="479" t="s">
        <v>332</v>
      </c>
      <c r="E23" s="367" t="s">
        <v>333</v>
      </c>
      <c r="F23" s="368">
        <v>69</v>
      </c>
      <c r="G23" s="364" t="s">
        <v>256</v>
      </c>
      <c r="H23" s="368" t="s">
        <v>40</v>
      </c>
      <c r="I23" s="369">
        <v>1</v>
      </c>
      <c r="J23" s="370">
        <v>0</v>
      </c>
      <c r="K23" s="370">
        <v>3428.57</v>
      </c>
      <c r="L23" s="370">
        <v>0</v>
      </c>
      <c r="M23" s="370">
        <v>1142.8599999999999</v>
      </c>
      <c r="N23" s="370">
        <v>0</v>
      </c>
      <c r="O23" s="371">
        <v>44075</v>
      </c>
      <c r="P23" s="434" t="s">
        <v>334</v>
      </c>
      <c r="Q23" s="373" t="s">
        <v>90</v>
      </c>
      <c r="R23" s="373" t="s">
        <v>91</v>
      </c>
      <c r="S23" s="374">
        <v>44210</v>
      </c>
    </row>
    <row r="24" spans="1:19" ht="24" x14ac:dyDescent="0.2">
      <c r="A24" s="193">
        <v>19</v>
      </c>
      <c r="B24" s="457" t="s">
        <v>229</v>
      </c>
      <c r="C24" s="478" t="s">
        <v>418</v>
      </c>
      <c r="D24" s="366" t="s">
        <v>419</v>
      </c>
      <c r="E24" s="367" t="s">
        <v>420</v>
      </c>
      <c r="F24" s="368">
        <v>49</v>
      </c>
      <c r="G24" s="364" t="s">
        <v>256</v>
      </c>
      <c r="H24" s="368" t="s">
        <v>32</v>
      </c>
      <c r="I24" s="369">
        <v>2</v>
      </c>
      <c r="J24" s="370">
        <v>3428.57</v>
      </c>
      <c r="K24" s="370">
        <v>0</v>
      </c>
      <c r="L24" s="370">
        <v>0</v>
      </c>
      <c r="M24" s="370">
        <v>0</v>
      </c>
      <c r="N24" s="370">
        <v>0</v>
      </c>
      <c r="O24" s="371">
        <v>44089</v>
      </c>
      <c r="P24" s="372" t="s">
        <v>421</v>
      </c>
      <c r="Q24" s="373" t="s">
        <v>90</v>
      </c>
      <c r="R24" s="373" t="s">
        <v>91</v>
      </c>
      <c r="S24" s="374">
        <v>44223</v>
      </c>
    </row>
    <row r="25" spans="1:19" ht="36" x14ac:dyDescent="0.2">
      <c r="A25" s="193">
        <v>20</v>
      </c>
      <c r="B25" s="365" t="s">
        <v>230</v>
      </c>
      <c r="C25" s="478" t="s">
        <v>319</v>
      </c>
      <c r="D25" s="366" t="s">
        <v>320</v>
      </c>
      <c r="E25" s="367" t="s">
        <v>321</v>
      </c>
      <c r="F25" s="368">
        <v>88</v>
      </c>
      <c r="G25" s="364" t="s">
        <v>211</v>
      </c>
      <c r="H25" s="368" t="s">
        <v>37</v>
      </c>
      <c r="I25" s="369">
        <v>4</v>
      </c>
      <c r="J25" s="370">
        <v>0</v>
      </c>
      <c r="K25" s="370">
        <v>3428.57</v>
      </c>
      <c r="L25" s="370">
        <v>0</v>
      </c>
      <c r="M25" s="370">
        <v>0</v>
      </c>
      <c r="N25" s="370">
        <v>0</v>
      </c>
      <c r="O25" s="371">
        <v>43994</v>
      </c>
      <c r="P25" s="434" t="s">
        <v>322</v>
      </c>
      <c r="Q25" s="373" t="s">
        <v>240</v>
      </c>
      <c r="R25" s="373" t="s">
        <v>91</v>
      </c>
      <c r="S25" s="374">
        <v>44208</v>
      </c>
    </row>
    <row r="26" spans="1:19" ht="35.25" customHeight="1" x14ac:dyDescent="0.2">
      <c r="A26" s="193">
        <v>21</v>
      </c>
      <c r="B26" s="365" t="s">
        <v>231</v>
      </c>
      <c r="C26" s="478" t="s">
        <v>377</v>
      </c>
      <c r="D26" s="366" t="s">
        <v>378</v>
      </c>
      <c r="E26" s="367" t="s">
        <v>379</v>
      </c>
      <c r="F26" s="368">
        <v>77</v>
      </c>
      <c r="G26" s="364" t="s">
        <v>256</v>
      </c>
      <c r="H26" s="368" t="s">
        <v>37</v>
      </c>
      <c r="I26" s="369">
        <v>4</v>
      </c>
      <c r="J26" s="370">
        <v>0</v>
      </c>
      <c r="K26" s="370">
        <v>3428.57</v>
      </c>
      <c r="L26" s="370">
        <v>0</v>
      </c>
      <c r="M26" s="370">
        <v>0</v>
      </c>
      <c r="N26" s="370">
        <v>0</v>
      </c>
      <c r="O26" s="371">
        <v>44182</v>
      </c>
      <c r="P26" s="434" t="s">
        <v>380</v>
      </c>
      <c r="Q26" s="373" t="s">
        <v>50</v>
      </c>
      <c r="R26" s="373" t="s">
        <v>50</v>
      </c>
      <c r="S26" s="374">
        <v>44218</v>
      </c>
    </row>
    <row r="27" spans="1:19" ht="36" x14ac:dyDescent="0.2">
      <c r="A27" s="193">
        <v>22</v>
      </c>
      <c r="B27" s="457" t="s">
        <v>232</v>
      </c>
      <c r="C27" s="478" t="s">
        <v>311</v>
      </c>
      <c r="D27" s="366" t="s">
        <v>312</v>
      </c>
      <c r="E27" s="367" t="s">
        <v>313</v>
      </c>
      <c r="F27" s="368">
        <v>62</v>
      </c>
      <c r="G27" s="368" t="s">
        <v>211</v>
      </c>
      <c r="H27" s="368" t="s">
        <v>34</v>
      </c>
      <c r="I27" s="369">
        <v>3</v>
      </c>
      <c r="J27" s="370">
        <v>3428.57</v>
      </c>
      <c r="K27" s="370">
        <v>4571.43</v>
      </c>
      <c r="L27" s="370">
        <v>0</v>
      </c>
      <c r="M27" s="370">
        <v>1142.8599999999999</v>
      </c>
      <c r="N27" s="370">
        <v>0</v>
      </c>
      <c r="O27" s="371">
        <v>44170</v>
      </c>
      <c r="P27" s="434" t="s">
        <v>314</v>
      </c>
      <c r="Q27" s="373" t="s">
        <v>90</v>
      </c>
      <c r="R27" s="373" t="s">
        <v>46</v>
      </c>
      <c r="S27" s="374">
        <v>44208</v>
      </c>
    </row>
    <row r="28" spans="1:19" ht="24" x14ac:dyDescent="0.2">
      <c r="A28" s="193">
        <v>23</v>
      </c>
      <c r="B28" s="365" t="s">
        <v>241</v>
      </c>
      <c r="C28" s="478" t="s">
        <v>368</v>
      </c>
      <c r="D28" s="480" t="s">
        <v>369</v>
      </c>
      <c r="E28" s="481" t="s">
        <v>370</v>
      </c>
      <c r="F28" s="482">
        <v>63</v>
      </c>
      <c r="G28" s="368" t="s">
        <v>211</v>
      </c>
      <c r="H28" s="482" t="s">
        <v>37</v>
      </c>
      <c r="I28" s="483">
        <v>4</v>
      </c>
      <c r="J28" s="484">
        <v>0</v>
      </c>
      <c r="K28" s="484">
        <v>5714.29</v>
      </c>
      <c r="L28" s="484">
        <v>0</v>
      </c>
      <c r="M28" s="484">
        <v>1142.8599999999999</v>
      </c>
      <c r="N28" s="484">
        <v>0</v>
      </c>
      <c r="O28" s="485">
        <v>44070</v>
      </c>
      <c r="P28" s="486" t="s">
        <v>371</v>
      </c>
      <c r="Q28" s="487" t="s">
        <v>372</v>
      </c>
      <c r="R28" s="487" t="s">
        <v>91</v>
      </c>
      <c r="S28" s="488">
        <v>44217</v>
      </c>
    </row>
    <row r="29" spans="1:19" ht="46.5" customHeight="1" x14ac:dyDescent="0.2">
      <c r="A29" s="193">
        <v>24</v>
      </c>
      <c r="B29" s="365" t="s">
        <v>242</v>
      </c>
      <c r="C29" s="478" t="s">
        <v>373</v>
      </c>
      <c r="D29" s="366" t="s">
        <v>374</v>
      </c>
      <c r="E29" s="367" t="s">
        <v>375</v>
      </c>
      <c r="F29" s="368">
        <v>52</v>
      </c>
      <c r="G29" s="368" t="s">
        <v>211</v>
      </c>
      <c r="H29" s="368" t="s">
        <v>32</v>
      </c>
      <c r="I29" s="369">
        <v>5</v>
      </c>
      <c r="J29" s="370">
        <v>3428.57</v>
      </c>
      <c r="K29" s="370">
        <v>5714.29</v>
      </c>
      <c r="L29" s="370">
        <v>0</v>
      </c>
      <c r="M29" s="370">
        <v>0</v>
      </c>
      <c r="N29" s="370">
        <v>0</v>
      </c>
      <c r="O29" s="371">
        <v>44148</v>
      </c>
      <c r="P29" s="372" t="s">
        <v>376</v>
      </c>
      <c r="Q29" s="373" t="s">
        <v>90</v>
      </c>
      <c r="R29" s="373" t="s">
        <v>50</v>
      </c>
      <c r="S29" s="374">
        <v>44218</v>
      </c>
    </row>
    <row r="30" spans="1:19" ht="36" x14ac:dyDescent="0.2">
      <c r="A30" s="193">
        <v>2</v>
      </c>
      <c r="B30" s="457" t="s">
        <v>243</v>
      </c>
      <c r="C30" s="478" t="s">
        <v>282</v>
      </c>
      <c r="D30" s="366" t="s">
        <v>283</v>
      </c>
      <c r="E30" s="367" t="s">
        <v>284</v>
      </c>
      <c r="F30" s="368">
        <v>65</v>
      </c>
      <c r="G30" s="364" t="s">
        <v>211</v>
      </c>
      <c r="H30" s="368" t="s">
        <v>42</v>
      </c>
      <c r="I30" s="369">
        <v>3</v>
      </c>
      <c r="J30" s="370">
        <v>0</v>
      </c>
      <c r="K30" s="370">
        <v>11428.57</v>
      </c>
      <c r="L30" s="370">
        <v>0</v>
      </c>
      <c r="M30" s="370">
        <v>0</v>
      </c>
      <c r="N30" s="370">
        <v>0</v>
      </c>
      <c r="O30" s="371">
        <v>43151</v>
      </c>
      <c r="P30" s="434" t="s">
        <v>285</v>
      </c>
      <c r="Q30" s="373" t="s">
        <v>36</v>
      </c>
      <c r="R30" s="373" t="s">
        <v>36</v>
      </c>
      <c r="S30" s="374">
        <v>44203</v>
      </c>
    </row>
    <row r="31" spans="1:19" ht="24" x14ac:dyDescent="0.2">
      <c r="A31" s="193">
        <v>3</v>
      </c>
      <c r="B31" s="365" t="s">
        <v>244</v>
      </c>
      <c r="C31" s="478" t="s">
        <v>458</v>
      </c>
      <c r="D31" s="366" t="s">
        <v>459</v>
      </c>
      <c r="E31" s="367" t="s">
        <v>460</v>
      </c>
      <c r="F31" s="368">
        <v>58</v>
      </c>
      <c r="G31" s="364" t="s">
        <v>211</v>
      </c>
      <c r="H31" s="368" t="s">
        <v>34</v>
      </c>
      <c r="I31" s="369">
        <v>3</v>
      </c>
      <c r="J31" s="370">
        <v>3428.57</v>
      </c>
      <c r="K31" s="370">
        <v>3428.57</v>
      </c>
      <c r="L31" s="370">
        <v>0</v>
      </c>
      <c r="M31" s="370">
        <v>1142.8599999999999</v>
      </c>
      <c r="N31" s="370">
        <v>0</v>
      </c>
      <c r="O31" s="371">
        <v>44167</v>
      </c>
      <c r="P31" s="434" t="s">
        <v>461</v>
      </c>
      <c r="Q31" s="373" t="s">
        <v>51</v>
      </c>
      <c r="R31" s="373" t="s">
        <v>51</v>
      </c>
      <c r="S31" s="374">
        <v>44225</v>
      </c>
    </row>
    <row r="32" spans="1:19" ht="24" x14ac:dyDescent="0.2">
      <c r="A32" s="193">
        <v>4</v>
      </c>
      <c r="B32" s="365" t="s">
        <v>245</v>
      </c>
      <c r="C32" s="478" t="s">
        <v>431</v>
      </c>
      <c r="D32" s="366" t="s">
        <v>432</v>
      </c>
      <c r="E32" s="367" t="s">
        <v>433</v>
      </c>
      <c r="F32" s="368">
        <v>79</v>
      </c>
      <c r="G32" s="364" t="s">
        <v>211</v>
      </c>
      <c r="H32" s="368" t="s">
        <v>37</v>
      </c>
      <c r="I32" s="369">
        <v>7</v>
      </c>
      <c r="J32" s="370">
        <v>0</v>
      </c>
      <c r="K32" s="370">
        <v>3428.57</v>
      </c>
      <c r="L32" s="370">
        <v>0</v>
      </c>
      <c r="M32" s="370">
        <v>0</v>
      </c>
      <c r="N32" s="370">
        <v>0</v>
      </c>
      <c r="O32" s="371">
        <v>44060</v>
      </c>
      <c r="P32" s="434" t="s">
        <v>434</v>
      </c>
      <c r="Q32" s="373" t="s">
        <v>51</v>
      </c>
      <c r="R32" s="373" t="s">
        <v>50</v>
      </c>
      <c r="S32" s="374">
        <v>44225</v>
      </c>
    </row>
    <row r="33" spans="1:19" ht="24" x14ac:dyDescent="0.2">
      <c r="A33" s="193">
        <v>5</v>
      </c>
      <c r="B33" s="457" t="s">
        <v>246</v>
      </c>
      <c r="C33" s="478" t="s">
        <v>347</v>
      </c>
      <c r="D33" s="366" t="s">
        <v>348</v>
      </c>
      <c r="E33" s="367" t="s">
        <v>349</v>
      </c>
      <c r="F33" s="368">
        <v>81</v>
      </c>
      <c r="G33" s="364" t="s">
        <v>256</v>
      </c>
      <c r="H33" s="368" t="s">
        <v>37</v>
      </c>
      <c r="I33" s="369">
        <v>1</v>
      </c>
      <c r="J33" s="370">
        <v>0</v>
      </c>
      <c r="K33" s="370">
        <v>1142.8599999999999</v>
      </c>
      <c r="L33" s="370">
        <v>0</v>
      </c>
      <c r="M33" s="370">
        <v>0</v>
      </c>
      <c r="N33" s="370">
        <v>0</v>
      </c>
      <c r="O33" s="371">
        <v>44038</v>
      </c>
      <c r="P33" s="372" t="s">
        <v>350</v>
      </c>
      <c r="Q33" s="373" t="s">
        <v>92</v>
      </c>
      <c r="R33" s="373" t="s">
        <v>92</v>
      </c>
      <c r="S33" s="374">
        <v>44211</v>
      </c>
    </row>
    <row r="34" spans="1:19" ht="36" x14ac:dyDescent="0.2">
      <c r="A34" s="193">
        <v>6</v>
      </c>
      <c r="B34" s="365" t="s">
        <v>247</v>
      </c>
      <c r="C34" s="478" t="s">
        <v>355</v>
      </c>
      <c r="D34" s="366" t="s">
        <v>356</v>
      </c>
      <c r="E34" s="367" t="s">
        <v>357</v>
      </c>
      <c r="F34" s="368">
        <v>46</v>
      </c>
      <c r="G34" s="364" t="s">
        <v>256</v>
      </c>
      <c r="H34" s="368" t="s">
        <v>34</v>
      </c>
      <c r="I34" s="369">
        <v>1</v>
      </c>
      <c r="J34" s="370">
        <v>3428.57</v>
      </c>
      <c r="K34" s="370">
        <v>0</v>
      </c>
      <c r="L34" s="370">
        <v>0</v>
      </c>
      <c r="M34" s="370">
        <v>0</v>
      </c>
      <c r="N34" s="370">
        <v>0</v>
      </c>
      <c r="O34" s="371">
        <v>44187</v>
      </c>
      <c r="P34" s="434" t="s">
        <v>358</v>
      </c>
      <c r="Q34" s="373" t="s">
        <v>90</v>
      </c>
      <c r="R34" s="373" t="s">
        <v>359</v>
      </c>
      <c r="S34" s="374">
        <v>44215</v>
      </c>
    </row>
    <row r="35" spans="1:19" ht="54" x14ac:dyDescent="0.2">
      <c r="A35" s="193">
        <v>7</v>
      </c>
      <c r="B35" s="365" t="s">
        <v>248</v>
      </c>
      <c r="C35" s="478" t="s">
        <v>299</v>
      </c>
      <c r="D35" s="366" t="s">
        <v>300</v>
      </c>
      <c r="E35" s="367" t="s">
        <v>301</v>
      </c>
      <c r="F35" s="368">
        <v>67</v>
      </c>
      <c r="G35" s="364" t="s">
        <v>256</v>
      </c>
      <c r="H35" s="368" t="s">
        <v>32</v>
      </c>
      <c r="I35" s="369">
        <v>2</v>
      </c>
      <c r="J35" s="370">
        <v>3428.57</v>
      </c>
      <c r="K35" s="370">
        <v>5714.29</v>
      </c>
      <c r="L35" s="370">
        <v>0</v>
      </c>
      <c r="M35" s="370">
        <v>1142.8599999999999</v>
      </c>
      <c r="N35" s="370">
        <v>0</v>
      </c>
      <c r="O35" s="371">
        <v>44174</v>
      </c>
      <c r="P35" s="434" t="s">
        <v>302</v>
      </c>
      <c r="Q35" s="373" t="s">
        <v>90</v>
      </c>
      <c r="R35" s="373" t="s">
        <v>50</v>
      </c>
      <c r="S35" s="374">
        <v>44207</v>
      </c>
    </row>
    <row r="36" spans="1:19" ht="24" x14ac:dyDescent="0.2">
      <c r="A36" s="193">
        <v>8</v>
      </c>
      <c r="B36" s="457" t="s">
        <v>249</v>
      </c>
      <c r="C36" s="478" t="s">
        <v>277</v>
      </c>
      <c r="D36" s="366" t="s">
        <v>278</v>
      </c>
      <c r="E36" s="367" t="s">
        <v>279</v>
      </c>
      <c r="F36" s="368">
        <v>54</v>
      </c>
      <c r="G36" s="364" t="s">
        <v>211</v>
      </c>
      <c r="H36" s="368" t="s">
        <v>32</v>
      </c>
      <c r="I36" s="369">
        <v>1</v>
      </c>
      <c r="J36" s="370">
        <v>3428.57</v>
      </c>
      <c r="K36" s="370">
        <v>0</v>
      </c>
      <c r="L36" s="370">
        <v>571.42999999999995</v>
      </c>
      <c r="M36" s="370">
        <v>0</v>
      </c>
      <c r="N36" s="370">
        <v>0</v>
      </c>
      <c r="O36" s="371">
        <v>44004</v>
      </c>
      <c r="P36" s="372" t="s">
        <v>280</v>
      </c>
      <c r="Q36" s="373" t="s">
        <v>281</v>
      </c>
      <c r="R36" s="373" t="s">
        <v>91</v>
      </c>
      <c r="S36" s="374">
        <v>44203</v>
      </c>
    </row>
    <row r="37" spans="1:19" ht="24" x14ac:dyDescent="0.2">
      <c r="A37" s="193">
        <v>9</v>
      </c>
      <c r="B37" s="365" t="s">
        <v>250</v>
      </c>
      <c r="C37" s="478" t="s">
        <v>303</v>
      </c>
      <c r="D37" s="366" t="s">
        <v>304</v>
      </c>
      <c r="E37" s="367" t="s">
        <v>305</v>
      </c>
      <c r="F37" s="368">
        <v>80</v>
      </c>
      <c r="G37" s="364" t="s">
        <v>256</v>
      </c>
      <c r="H37" s="368" t="s">
        <v>37</v>
      </c>
      <c r="I37" s="369">
        <v>3</v>
      </c>
      <c r="J37" s="370">
        <v>0</v>
      </c>
      <c r="K37" s="370">
        <v>3428.57</v>
      </c>
      <c r="L37" s="370">
        <v>0</v>
      </c>
      <c r="M37" s="370">
        <v>1142.8599999999999</v>
      </c>
      <c r="N37" s="370">
        <v>0</v>
      </c>
      <c r="O37" s="371">
        <v>44181</v>
      </c>
      <c r="P37" s="434" t="s">
        <v>257</v>
      </c>
      <c r="Q37" s="373" t="s">
        <v>306</v>
      </c>
      <c r="R37" s="373" t="s">
        <v>51</v>
      </c>
      <c r="S37" s="374">
        <v>44207</v>
      </c>
    </row>
    <row r="38" spans="1:19" ht="27" x14ac:dyDescent="0.2">
      <c r="A38" s="193">
        <v>10</v>
      </c>
      <c r="B38" s="365" t="s">
        <v>251</v>
      </c>
      <c r="C38" s="478" t="s">
        <v>335</v>
      </c>
      <c r="D38" s="366" t="s">
        <v>336</v>
      </c>
      <c r="E38" s="367" t="s">
        <v>337</v>
      </c>
      <c r="F38" s="368">
        <v>92</v>
      </c>
      <c r="G38" s="364" t="s">
        <v>211</v>
      </c>
      <c r="H38" s="368" t="s">
        <v>37</v>
      </c>
      <c r="I38" s="369">
        <v>5</v>
      </c>
      <c r="J38" s="370">
        <v>0</v>
      </c>
      <c r="K38" s="370">
        <v>3428.57</v>
      </c>
      <c r="L38" s="370">
        <v>0</v>
      </c>
      <c r="M38" s="370">
        <v>0</v>
      </c>
      <c r="N38" s="370">
        <v>0</v>
      </c>
      <c r="O38" s="371">
        <v>44007</v>
      </c>
      <c r="P38" s="434" t="s">
        <v>338</v>
      </c>
      <c r="Q38" s="373" t="s">
        <v>339</v>
      </c>
      <c r="R38" s="373" t="s">
        <v>31</v>
      </c>
      <c r="S38" s="374">
        <v>44211</v>
      </c>
    </row>
    <row r="39" spans="1:19" ht="24" x14ac:dyDescent="0.2">
      <c r="A39" s="193">
        <v>11</v>
      </c>
      <c r="B39" s="457" t="s">
        <v>252</v>
      </c>
      <c r="C39" s="478" t="s">
        <v>344</v>
      </c>
      <c r="D39" s="366" t="s">
        <v>345</v>
      </c>
      <c r="E39" s="367" t="s">
        <v>346</v>
      </c>
      <c r="F39" s="368">
        <v>90</v>
      </c>
      <c r="G39" s="364" t="s">
        <v>211</v>
      </c>
      <c r="H39" s="368" t="s">
        <v>37</v>
      </c>
      <c r="I39" s="369">
        <v>4</v>
      </c>
      <c r="J39" s="370">
        <v>0</v>
      </c>
      <c r="K39" s="370">
        <v>1142.8599999999999</v>
      </c>
      <c r="L39" s="370">
        <v>0</v>
      </c>
      <c r="M39" s="370">
        <v>0</v>
      </c>
      <c r="N39" s="370">
        <v>0</v>
      </c>
      <c r="O39" s="371">
        <v>43922</v>
      </c>
      <c r="P39" s="372" t="s">
        <v>55</v>
      </c>
      <c r="Q39" s="373" t="s">
        <v>255</v>
      </c>
      <c r="R39" s="373" t="s">
        <v>92</v>
      </c>
      <c r="S39" s="374">
        <v>44211</v>
      </c>
    </row>
    <row r="40" spans="1:19" ht="36" x14ac:dyDescent="0.2">
      <c r="A40" s="193">
        <v>12</v>
      </c>
      <c r="B40" s="365" t="s">
        <v>253</v>
      </c>
      <c r="C40" s="478" t="s">
        <v>385</v>
      </c>
      <c r="D40" s="366" t="s">
        <v>386</v>
      </c>
      <c r="E40" s="367" t="s">
        <v>387</v>
      </c>
      <c r="F40" s="368">
        <v>86</v>
      </c>
      <c r="G40" s="364" t="s">
        <v>211</v>
      </c>
      <c r="H40" s="368" t="s">
        <v>37</v>
      </c>
      <c r="I40" s="369">
        <v>1</v>
      </c>
      <c r="J40" s="370">
        <v>0</v>
      </c>
      <c r="K40" s="370">
        <v>3428.57</v>
      </c>
      <c r="L40" s="370">
        <v>0</v>
      </c>
      <c r="M40" s="370">
        <v>0</v>
      </c>
      <c r="N40" s="370">
        <v>0</v>
      </c>
      <c r="O40" s="371">
        <v>43695</v>
      </c>
      <c r="P40" s="434" t="s">
        <v>388</v>
      </c>
      <c r="Q40" s="373" t="s">
        <v>50</v>
      </c>
      <c r="R40" s="373" t="s">
        <v>50</v>
      </c>
      <c r="S40" s="374">
        <v>44218</v>
      </c>
    </row>
    <row r="41" spans="1:19" ht="24" x14ac:dyDescent="0.2">
      <c r="A41" s="193">
        <v>13</v>
      </c>
      <c r="B41" s="365" t="s">
        <v>254</v>
      </c>
      <c r="C41" s="478" t="s">
        <v>393</v>
      </c>
      <c r="D41" s="479" t="s">
        <v>394</v>
      </c>
      <c r="E41" s="367" t="s">
        <v>395</v>
      </c>
      <c r="F41" s="368">
        <v>98</v>
      </c>
      <c r="G41" s="368" t="s">
        <v>256</v>
      </c>
      <c r="H41" s="368" t="s">
        <v>37</v>
      </c>
      <c r="I41" s="369">
        <v>2</v>
      </c>
      <c r="J41" s="370">
        <v>0</v>
      </c>
      <c r="K41" s="370">
        <v>1142.8599999999999</v>
      </c>
      <c r="L41" s="370">
        <v>0</v>
      </c>
      <c r="M41" s="370">
        <v>0</v>
      </c>
      <c r="N41" s="370">
        <v>0</v>
      </c>
      <c r="O41" s="371">
        <v>44211</v>
      </c>
      <c r="P41" s="372" t="s">
        <v>396</v>
      </c>
      <c r="Q41" s="373" t="s">
        <v>90</v>
      </c>
      <c r="R41" s="373" t="s">
        <v>91</v>
      </c>
      <c r="S41" s="374">
        <v>44218</v>
      </c>
    </row>
    <row r="42" spans="1:19" ht="36.75" customHeight="1" x14ac:dyDescent="0.2">
      <c r="A42" s="193">
        <v>14</v>
      </c>
      <c r="B42" s="457" t="s">
        <v>466</v>
      </c>
      <c r="C42" s="478" t="s">
        <v>290</v>
      </c>
      <c r="D42" s="366" t="s">
        <v>291</v>
      </c>
      <c r="E42" s="367" t="s">
        <v>292</v>
      </c>
      <c r="F42" s="368">
        <v>60</v>
      </c>
      <c r="G42" s="364" t="s">
        <v>256</v>
      </c>
      <c r="H42" s="368" t="s">
        <v>32</v>
      </c>
      <c r="I42" s="369">
        <v>3</v>
      </c>
      <c r="J42" s="370">
        <v>3428.57</v>
      </c>
      <c r="K42" s="370">
        <v>11428.57</v>
      </c>
      <c r="L42" s="370">
        <v>0</v>
      </c>
      <c r="M42" s="370">
        <v>1142.8599999999999</v>
      </c>
      <c r="N42" s="370">
        <v>0</v>
      </c>
      <c r="O42" s="371">
        <v>44143</v>
      </c>
      <c r="P42" s="434" t="s">
        <v>293</v>
      </c>
      <c r="Q42" s="373" t="s">
        <v>90</v>
      </c>
      <c r="R42" s="373" t="s">
        <v>48</v>
      </c>
      <c r="S42" s="374">
        <v>44207</v>
      </c>
    </row>
    <row r="43" spans="1:19" ht="27.75" x14ac:dyDescent="0.2">
      <c r="A43" s="193">
        <v>15</v>
      </c>
      <c r="B43" s="365" t="s">
        <v>467</v>
      </c>
      <c r="C43" s="478" t="s">
        <v>426</v>
      </c>
      <c r="D43" s="480" t="s">
        <v>427</v>
      </c>
      <c r="E43" s="367" t="s">
        <v>428</v>
      </c>
      <c r="F43" s="491">
        <v>71</v>
      </c>
      <c r="G43" s="368" t="s">
        <v>211</v>
      </c>
      <c r="H43" s="368" t="s">
        <v>32</v>
      </c>
      <c r="I43" s="369">
        <v>2</v>
      </c>
      <c r="J43" s="493">
        <v>3428.57</v>
      </c>
      <c r="K43" s="493">
        <v>3428.57</v>
      </c>
      <c r="L43" s="493">
        <v>0</v>
      </c>
      <c r="M43" s="493">
        <v>0</v>
      </c>
      <c r="N43" s="493">
        <v>0</v>
      </c>
      <c r="O43" s="489">
        <v>44167</v>
      </c>
      <c r="P43" s="372" t="s">
        <v>429</v>
      </c>
      <c r="Q43" s="490" t="s">
        <v>430</v>
      </c>
      <c r="R43" s="492" t="s">
        <v>36</v>
      </c>
      <c r="S43" s="374">
        <v>44224</v>
      </c>
    </row>
    <row r="44" spans="1:19" ht="46.5" customHeight="1" x14ac:dyDescent="0.2">
      <c r="A44" s="193">
        <v>16</v>
      </c>
      <c r="B44" s="365" t="s">
        <v>468</v>
      </c>
      <c r="C44" s="478" t="s">
        <v>444</v>
      </c>
      <c r="D44" s="366" t="s">
        <v>445</v>
      </c>
      <c r="E44" s="367" t="s">
        <v>446</v>
      </c>
      <c r="F44" s="368">
        <v>59</v>
      </c>
      <c r="G44" s="364" t="s">
        <v>211</v>
      </c>
      <c r="H44" s="368" t="s">
        <v>32</v>
      </c>
      <c r="I44" s="369">
        <v>5</v>
      </c>
      <c r="J44" s="370">
        <v>3428.57</v>
      </c>
      <c r="K44" s="370">
        <v>3428.57</v>
      </c>
      <c r="L44" s="370">
        <v>0</v>
      </c>
      <c r="M44" s="370">
        <v>1142.8599999999999</v>
      </c>
      <c r="N44" s="370">
        <v>0</v>
      </c>
      <c r="O44" s="371">
        <v>44169</v>
      </c>
      <c r="P44" s="372" t="s">
        <v>447</v>
      </c>
      <c r="Q44" s="494" t="s">
        <v>448</v>
      </c>
      <c r="R44" s="373" t="s">
        <v>31</v>
      </c>
      <c r="S44" s="374">
        <v>44225</v>
      </c>
    </row>
    <row r="45" spans="1:19" ht="24" x14ac:dyDescent="0.2">
      <c r="A45" s="193">
        <v>17</v>
      </c>
      <c r="B45" s="457" t="s">
        <v>469</v>
      </c>
      <c r="C45" s="478" t="s">
        <v>273</v>
      </c>
      <c r="D45" s="366" t="s">
        <v>274</v>
      </c>
      <c r="E45" s="367" t="s">
        <v>275</v>
      </c>
      <c r="F45" s="368">
        <v>77</v>
      </c>
      <c r="G45" s="364" t="s">
        <v>211</v>
      </c>
      <c r="H45" s="368" t="s">
        <v>37</v>
      </c>
      <c r="I45" s="369">
        <v>4</v>
      </c>
      <c r="J45" s="370">
        <v>0</v>
      </c>
      <c r="K45" s="370">
        <v>3428.57</v>
      </c>
      <c r="L45" s="370">
        <v>0</v>
      </c>
      <c r="M45" s="370">
        <v>0</v>
      </c>
      <c r="N45" s="370">
        <v>0</v>
      </c>
      <c r="O45" s="371">
        <v>44175</v>
      </c>
      <c r="P45" s="372" t="s">
        <v>276</v>
      </c>
      <c r="Q45" s="373" t="s">
        <v>258</v>
      </c>
      <c r="R45" s="373" t="s">
        <v>91</v>
      </c>
      <c r="S45" s="374">
        <v>44203</v>
      </c>
    </row>
    <row r="46" spans="1:19" ht="24" x14ac:dyDescent="0.2">
      <c r="A46" s="193">
        <v>18</v>
      </c>
      <c r="B46" s="365" t="s">
        <v>470</v>
      </c>
      <c r="C46" s="478" t="s">
        <v>435</v>
      </c>
      <c r="D46" s="366" t="s">
        <v>436</v>
      </c>
      <c r="E46" s="367" t="s">
        <v>437</v>
      </c>
      <c r="F46" s="368">
        <v>67</v>
      </c>
      <c r="G46" s="364" t="s">
        <v>256</v>
      </c>
      <c r="H46" s="368" t="s">
        <v>40</v>
      </c>
      <c r="I46" s="369">
        <v>5</v>
      </c>
      <c r="J46" s="370">
        <v>0</v>
      </c>
      <c r="K46" s="370">
        <v>3428.57</v>
      </c>
      <c r="L46" s="370">
        <v>0</v>
      </c>
      <c r="M46" s="370">
        <v>0</v>
      </c>
      <c r="N46" s="370">
        <v>0</v>
      </c>
      <c r="O46" s="371">
        <v>43988</v>
      </c>
      <c r="P46" s="372" t="s">
        <v>438</v>
      </c>
      <c r="Q46" s="373" t="s">
        <v>51</v>
      </c>
      <c r="R46" s="373" t="s">
        <v>51</v>
      </c>
      <c r="S46" s="374">
        <v>44225</v>
      </c>
    </row>
    <row r="47" spans="1:19" ht="36" x14ac:dyDescent="0.2">
      <c r="A47" s="193">
        <v>19</v>
      </c>
      <c r="B47" s="365" t="s">
        <v>471</v>
      </c>
      <c r="C47" s="478" t="s">
        <v>269</v>
      </c>
      <c r="D47" s="366" t="s">
        <v>270</v>
      </c>
      <c r="E47" s="367" t="s">
        <v>271</v>
      </c>
      <c r="F47" s="368">
        <v>82</v>
      </c>
      <c r="G47" s="364" t="s">
        <v>256</v>
      </c>
      <c r="H47" s="368" t="s">
        <v>37</v>
      </c>
      <c r="I47" s="369">
        <v>1</v>
      </c>
      <c r="J47" s="370">
        <v>0</v>
      </c>
      <c r="K47" s="370">
        <v>3428.57</v>
      </c>
      <c r="L47" s="370">
        <v>0</v>
      </c>
      <c r="M47" s="370">
        <v>0</v>
      </c>
      <c r="N47" s="370">
        <v>0</v>
      </c>
      <c r="O47" s="371">
        <v>44150</v>
      </c>
      <c r="P47" s="434" t="s">
        <v>272</v>
      </c>
      <c r="Q47" s="373" t="s">
        <v>90</v>
      </c>
      <c r="R47" s="373" t="s">
        <v>111</v>
      </c>
      <c r="S47" s="374">
        <v>44203</v>
      </c>
    </row>
    <row r="48" spans="1:19" ht="36" x14ac:dyDescent="0.2">
      <c r="A48" s="193">
        <v>20</v>
      </c>
      <c r="B48" s="457" t="s">
        <v>472</v>
      </c>
      <c r="C48" s="478" t="s">
        <v>265</v>
      </c>
      <c r="D48" s="366" t="s">
        <v>266</v>
      </c>
      <c r="E48" s="367" t="s">
        <v>267</v>
      </c>
      <c r="F48" s="368">
        <v>82</v>
      </c>
      <c r="G48" s="364" t="s">
        <v>256</v>
      </c>
      <c r="H48" s="368" t="s">
        <v>40</v>
      </c>
      <c r="I48" s="369">
        <v>4</v>
      </c>
      <c r="J48" s="370">
        <v>0</v>
      </c>
      <c r="K48" s="370">
        <v>3428.57</v>
      </c>
      <c r="L48" s="370">
        <v>0</v>
      </c>
      <c r="M48" s="370">
        <v>0</v>
      </c>
      <c r="N48" s="370">
        <v>0</v>
      </c>
      <c r="O48" s="371">
        <v>43604</v>
      </c>
      <c r="P48" s="434" t="s">
        <v>268</v>
      </c>
      <c r="Q48" s="373" t="s">
        <v>90</v>
      </c>
      <c r="R48" s="373" t="s">
        <v>91</v>
      </c>
      <c r="S48" s="374">
        <v>44201</v>
      </c>
    </row>
    <row r="49" spans="1:19" ht="24" x14ac:dyDescent="0.2">
      <c r="A49" s="193">
        <v>21</v>
      </c>
      <c r="B49" s="365" t="s">
        <v>473</v>
      </c>
      <c r="C49" s="478" t="s">
        <v>439</v>
      </c>
      <c r="D49" s="366" t="s">
        <v>440</v>
      </c>
      <c r="E49" s="367" t="s">
        <v>441</v>
      </c>
      <c r="F49" s="368">
        <v>85</v>
      </c>
      <c r="G49" s="364" t="s">
        <v>211</v>
      </c>
      <c r="H49" s="368" t="s">
        <v>37</v>
      </c>
      <c r="I49" s="369">
        <v>1</v>
      </c>
      <c r="J49" s="370">
        <v>0</v>
      </c>
      <c r="K49" s="370">
        <v>3428.57</v>
      </c>
      <c r="L49" s="370">
        <v>0</v>
      </c>
      <c r="M49" s="370">
        <v>0</v>
      </c>
      <c r="N49" s="370">
        <v>0</v>
      </c>
      <c r="O49" s="371">
        <v>44187</v>
      </c>
      <c r="P49" s="372" t="s">
        <v>442</v>
      </c>
      <c r="Q49" s="373" t="s">
        <v>443</v>
      </c>
      <c r="R49" s="373" t="s">
        <v>51</v>
      </c>
      <c r="S49" s="374">
        <v>44225</v>
      </c>
    </row>
    <row r="50" spans="1:19" ht="24" x14ac:dyDescent="0.2">
      <c r="A50" s="193">
        <v>22</v>
      </c>
      <c r="B50" s="365" t="s">
        <v>474</v>
      </c>
      <c r="C50" s="478" t="s">
        <v>340</v>
      </c>
      <c r="D50" s="366" t="s">
        <v>341</v>
      </c>
      <c r="E50" s="367" t="s">
        <v>342</v>
      </c>
      <c r="F50" s="368">
        <v>87</v>
      </c>
      <c r="G50" s="364" t="s">
        <v>256</v>
      </c>
      <c r="H50" s="368" t="s">
        <v>37</v>
      </c>
      <c r="I50" s="369">
        <v>3</v>
      </c>
      <c r="J50" s="370">
        <v>0</v>
      </c>
      <c r="K50" s="370">
        <v>3428.57</v>
      </c>
      <c r="L50" s="370">
        <v>0</v>
      </c>
      <c r="M50" s="370">
        <v>0</v>
      </c>
      <c r="N50" s="370">
        <v>0</v>
      </c>
      <c r="O50" s="371">
        <v>44204</v>
      </c>
      <c r="P50" s="434" t="s">
        <v>343</v>
      </c>
      <c r="Q50" s="373" t="s">
        <v>90</v>
      </c>
      <c r="R50" s="373" t="s">
        <v>91</v>
      </c>
      <c r="S50" s="374">
        <v>44211</v>
      </c>
    </row>
    <row r="51" spans="1:19" ht="24" x14ac:dyDescent="0.2">
      <c r="A51" s="193">
        <v>23</v>
      </c>
      <c r="B51" s="457" t="s">
        <v>475</v>
      </c>
      <c r="C51" s="478" t="s">
        <v>410</v>
      </c>
      <c r="D51" s="366" t="s">
        <v>411</v>
      </c>
      <c r="E51" s="367" t="s">
        <v>412</v>
      </c>
      <c r="F51" s="368">
        <v>55</v>
      </c>
      <c r="G51" s="364" t="s">
        <v>256</v>
      </c>
      <c r="H51" s="368" t="s">
        <v>32</v>
      </c>
      <c r="I51" s="369">
        <v>4</v>
      </c>
      <c r="J51" s="370">
        <v>3428.57</v>
      </c>
      <c r="K51" s="370">
        <v>11428.57</v>
      </c>
      <c r="L51" s="370">
        <v>0</v>
      </c>
      <c r="M51" s="370">
        <v>1142.8599999999999</v>
      </c>
      <c r="N51" s="370">
        <v>0</v>
      </c>
      <c r="O51" s="371">
        <v>44187</v>
      </c>
      <c r="P51" s="434" t="s">
        <v>413</v>
      </c>
      <c r="Q51" s="373" t="s">
        <v>90</v>
      </c>
      <c r="R51" s="373" t="s">
        <v>91</v>
      </c>
      <c r="S51" s="374">
        <v>44222</v>
      </c>
    </row>
    <row r="52" spans="1:19" ht="24" x14ac:dyDescent="0.2">
      <c r="A52" s="193">
        <v>24</v>
      </c>
      <c r="B52" s="365" t="s">
        <v>476</v>
      </c>
      <c r="C52" s="478" t="s">
        <v>351</v>
      </c>
      <c r="D52" s="366" t="s">
        <v>352</v>
      </c>
      <c r="E52" s="367" t="s">
        <v>353</v>
      </c>
      <c r="F52" s="368">
        <v>76</v>
      </c>
      <c r="G52" s="368" t="s">
        <v>256</v>
      </c>
      <c r="H52" s="368" t="s">
        <v>37</v>
      </c>
      <c r="I52" s="369">
        <v>4</v>
      </c>
      <c r="J52" s="370">
        <v>0</v>
      </c>
      <c r="K52" s="370">
        <v>1142.8599999999999</v>
      </c>
      <c r="L52" s="370">
        <v>0</v>
      </c>
      <c r="M52" s="370">
        <v>0</v>
      </c>
      <c r="N52" s="370">
        <v>0</v>
      </c>
      <c r="O52" s="371">
        <v>44026</v>
      </c>
      <c r="P52" s="372" t="s">
        <v>354</v>
      </c>
      <c r="Q52" s="373" t="s">
        <v>90</v>
      </c>
      <c r="R52" s="373" t="s">
        <v>91</v>
      </c>
      <c r="S52" s="374">
        <v>44215</v>
      </c>
    </row>
    <row r="53" spans="1:19" ht="54.75" thickBot="1" x14ac:dyDescent="0.25">
      <c r="A53" s="193">
        <v>25</v>
      </c>
      <c r="B53" s="365" t="s">
        <v>477</v>
      </c>
      <c r="C53" s="495" t="s">
        <v>307</v>
      </c>
      <c r="D53" s="496" t="s">
        <v>308</v>
      </c>
      <c r="E53" s="497" t="s">
        <v>309</v>
      </c>
      <c r="F53" s="498">
        <v>46</v>
      </c>
      <c r="G53" s="364" t="s">
        <v>256</v>
      </c>
      <c r="H53" s="498" t="s">
        <v>32</v>
      </c>
      <c r="I53" s="499">
        <v>4</v>
      </c>
      <c r="J53" s="500">
        <v>3428.57</v>
      </c>
      <c r="K53" s="500">
        <v>15000</v>
      </c>
      <c r="L53" s="500">
        <v>0</v>
      </c>
      <c r="M53" s="500">
        <v>1142.8599999999999</v>
      </c>
      <c r="N53" s="500">
        <v>0</v>
      </c>
      <c r="O53" s="501">
        <v>44143</v>
      </c>
      <c r="P53" s="502" t="s">
        <v>310</v>
      </c>
      <c r="Q53" s="503" t="s">
        <v>90</v>
      </c>
      <c r="R53" s="503" t="s">
        <v>46</v>
      </c>
      <c r="S53" s="504">
        <v>44208</v>
      </c>
    </row>
    <row r="54" spans="1:19" ht="9" customHeight="1" x14ac:dyDescent="0.2">
      <c r="B54" s="457"/>
      <c r="C54" s="450"/>
      <c r="D54" s="451"/>
      <c r="E54" s="451"/>
      <c r="F54" s="451"/>
      <c r="G54" s="451"/>
      <c r="H54" s="451"/>
      <c r="I54" s="451"/>
      <c r="J54" s="451"/>
      <c r="K54" s="451"/>
      <c r="L54" s="452"/>
      <c r="M54" s="452"/>
      <c r="N54" s="452"/>
      <c r="O54" s="453"/>
      <c r="P54" s="309" t="s">
        <v>485</v>
      </c>
      <c r="Q54" s="454"/>
      <c r="R54" s="455"/>
      <c r="S54" s="456"/>
    </row>
    <row r="55" spans="1:19" x14ac:dyDescent="0.15">
      <c r="B55" s="306"/>
      <c r="C55" s="108"/>
      <c r="D55" s="10"/>
      <c r="E55" s="10"/>
      <c r="F55" s="10"/>
      <c r="G55" s="10"/>
      <c r="H55" s="10"/>
      <c r="I55" s="10"/>
      <c r="J55" s="10"/>
      <c r="K55" s="10"/>
      <c r="L55" s="307"/>
      <c r="M55" s="307"/>
      <c r="N55" s="307"/>
      <c r="O55" s="308"/>
      <c r="P55" s="308"/>
      <c r="Q55" s="439"/>
      <c r="R55" s="311"/>
    </row>
    <row r="56" spans="1:19" x14ac:dyDescent="0.15">
      <c r="B56" s="312" t="s">
        <v>152</v>
      </c>
      <c r="C56" s="108"/>
      <c r="D56" s="310" t="s">
        <v>93</v>
      </c>
      <c r="E56" s="310"/>
      <c r="F56" s="310" t="s">
        <v>94</v>
      </c>
      <c r="G56" s="310"/>
      <c r="H56" s="310"/>
      <c r="I56" s="310"/>
      <c r="J56" s="310"/>
      <c r="K56" s="310"/>
      <c r="L56" s="313" t="s">
        <v>97</v>
      </c>
      <c r="M56" s="313"/>
      <c r="N56" s="313"/>
      <c r="O56" s="314"/>
      <c r="P56" s="10"/>
      <c r="Q56" s="439"/>
      <c r="R56" s="307"/>
    </row>
    <row r="57" spans="1:19" x14ac:dyDescent="0.15">
      <c r="B57" s="10"/>
      <c r="C57" s="108"/>
      <c r="D57" s="310" t="s">
        <v>95</v>
      </c>
      <c r="E57" s="310"/>
      <c r="F57" s="310" t="s">
        <v>96</v>
      </c>
      <c r="G57" s="310"/>
      <c r="H57" s="310"/>
      <c r="I57" s="310"/>
      <c r="J57" s="310"/>
      <c r="K57" s="310"/>
      <c r="L57" s="313"/>
      <c r="M57" s="313"/>
      <c r="N57" s="313"/>
      <c r="O57" s="314"/>
      <c r="P57" s="10"/>
      <c r="Q57" s="439"/>
      <c r="R57" s="307"/>
    </row>
    <row r="58" spans="1:19" x14ac:dyDescent="0.2">
      <c r="B58" s="196"/>
      <c r="C58" s="194"/>
      <c r="D58" s="194"/>
      <c r="E58" s="194"/>
      <c r="F58" s="194"/>
      <c r="G58" s="194"/>
      <c r="H58" s="194"/>
      <c r="I58" s="194"/>
      <c r="J58" s="194"/>
      <c r="K58" s="194"/>
      <c r="L58" s="194"/>
      <c r="M58" s="194"/>
      <c r="N58" s="192"/>
      <c r="O58" s="192"/>
      <c r="P58" s="194"/>
      <c r="Q58" s="440"/>
      <c r="R58" s="192"/>
    </row>
    <row r="59" spans="1:19" x14ac:dyDescent="0.2">
      <c r="B59" s="197" t="s">
        <v>152</v>
      </c>
      <c r="C59" s="194"/>
      <c r="D59" s="192" t="s">
        <v>93</v>
      </c>
      <c r="E59" s="192"/>
      <c r="F59" s="192" t="s">
        <v>94</v>
      </c>
      <c r="G59" s="192"/>
      <c r="H59" s="192"/>
      <c r="I59" s="192"/>
      <c r="J59" s="192"/>
      <c r="K59" s="192"/>
      <c r="L59" s="192" t="s">
        <v>97</v>
      </c>
      <c r="M59" s="192"/>
      <c r="N59" s="192"/>
      <c r="O59" s="194"/>
      <c r="P59" s="194"/>
      <c r="Q59" s="441"/>
      <c r="R59" s="192"/>
    </row>
    <row r="60" spans="1:19" x14ac:dyDescent="0.2">
      <c r="B60" s="194"/>
      <c r="C60" s="194"/>
      <c r="D60" s="192" t="s">
        <v>95</v>
      </c>
      <c r="E60" s="192"/>
      <c r="F60" s="192" t="s">
        <v>96</v>
      </c>
      <c r="G60" s="192"/>
      <c r="H60" s="192"/>
      <c r="I60" s="192"/>
      <c r="J60" s="192"/>
      <c r="K60" s="192"/>
      <c r="L60" s="192"/>
      <c r="M60" s="192"/>
      <c r="N60" s="192"/>
      <c r="O60" s="194" t="s">
        <v>16</v>
      </c>
      <c r="P60" s="192"/>
      <c r="Q60" s="441"/>
      <c r="R60" s="192"/>
    </row>
    <row r="61" spans="1:19" x14ac:dyDescent="0.2">
      <c r="B61" s="194"/>
      <c r="C61" s="194"/>
      <c r="D61" s="194"/>
      <c r="E61" s="194"/>
      <c r="F61" s="194"/>
      <c r="G61" s="194"/>
      <c r="H61" s="194"/>
      <c r="I61" s="194"/>
      <c r="J61" s="194"/>
      <c r="K61" s="194"/>
      <c r="L61" s="194"/>
      <c r="M61" s="194"/>
      <c r="N61" s="194"/>
      <c r="O61" s="194"/>
      <c r="P61" s="194" t="s">
        <v>80</v>
      </c>
      <c r="Q61" s="441"/>
      <c r="R61" s="192"/>
    </row>
    <row r="62" spans="1:19" x14ac:dyDescent="0.2">
      <c r="B62" s="194"/>
      <c r="C62" s="194"/>
      <c r="D62" s="194"/>
      <c r="E62" s="194"/>
      <c r="F62" s="194"/>
      <c r="G62" s="194"/>
      <c r="H62" s="194"/>
      <c r="I62" s="194"/>
      <c r="J62" s="194"/>
      <c r="K62" s="194"/>
      <c r="L62" s="194"/>
      <c r="M62" s="194"/>
      <c r="N62" s="194"/>
      <c r="O62" s="194"/>
      <c r="P62" s="194" t="s">
        <v>153</v>
      </c>
      <c r="Q62" s="441"/>
      <c r="R62" s="192"/>
    </row>
    <row r="63" spans="1:19" x14ac:dyDescent="0.2">
      <c r="B63" s="194"/>
      <c r="C63" s="194"/>
      <c r="D63" s="194"/>
      <c r="E63" s="194"/>
      <c r="F63" s="194"/>
      <c r="G63" s="194"/>
      <c r="H63" s="194"/>
      <c r="I63" s="194"/>
      <c r="J63" s="194"/>
      <c r="K63" s="194"/>
      <c r="L63" s="194"/>
      <c r="O63" s="192"/>
      <c r="P63" s="194"/>
      <c r="Q63" s="441"/>
      <c r="R63" s="192"/>
    </row>
    <row r="64" spans="1:19" x14ac:dyDescent="0.2">
      <c r="B64" s="194"/>
      <c r="C64" s="194"/>
      <c r="D64" s="194"/>
      <c r="E64" s="194"/>
      <c r="F64" s="194"/>
      <c r="G64" s="194"/>
      <c r="H64" s="194"/>
      <c r="I64" s="194"/>
      <c r="J64" s="194"/>
      <c r="K64" s="194"/>
      <c r="L64" s="194"/>
      <c r="O64" s="192"/>
      <c r="P64" s="194"/>
      <c r="Q64" s="441"/>
      <c r="R64" s="192"/>
    </row>
    <row r="65" spans="2:18" x14ac:dyDescent="0.2">
      <c r="B65" s="194"/>
      <c r="C65" s="194"/>
      <c r="D65" s="194"/>
      <c r="E65" s="194"/>
      <c r="F65" s="194"/>
      <c r="G65" s="194"/>
      <c r="H65" s="194"/>
      <c r="I65" s="194"/>
      <c r="J65" s="194"/>
      <c r="K65" s="194"/>
      <c r="L65" s="194"/>
      <c r="O65" s="192"/>
      <c r="P65" s="194"/>
      <c r="Q65" s="441"/>
      <c r="R65" s="192"/>
    </row>
    <row r="66" spans="2:18" x14ac:dyDescent="0.2">
      <c r="B66" s="192"/>
      <c r="C66" s="192"/>
      <c r="D66" s="192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442"/>
      <c r="R66" s="192"/>
    </row>
    <row r="67" spans="2:18" x14ac:dyDescent="0.2">
      <c r="B67" s="192"/>
      <c r="C67" s="192"/>
      <c r="D67" s="192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442"/>
      <c r="R67" s="192"/>
    </row>
    <row r="68" spans="2:18" x14ac:dyDescent="0.2">
      <c r="B68" s="192"/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442"/>
      <c r="R68" s="192"/>
    </row>
    <row r="69" spans="2:18" x14ac:dyDescent="0.2">
      <c r="B69" s="192"/>
      <c r="C69" s="192"/>
      <c r="D69" s="192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442"/>
      <c r="R69" s="192"/>
    </row>
  </sheetData>
  <mergeCells count="1">
    <mergeCell ref="B2:P2"/>
  </mergeCells>
  <phoneticPr fontId="5" type="noConversion"/>
  <pageMargins left="0.70866141732283472" right="0.70866141732283472" top="0.74803149606299213" bottom="0.74803149606299213" header="0.31496062992125984" footer="0.31496062992125984"/>
  <pageSetup paperSiz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RESUMEN ACUMULADO</vt:lpstr>
      <vt:lpstr>RESUMEN MENSUAL</vt:lpstr>
      <vt:lpstr>1. RESUMEN DE PAGADOS </vt:lpstr>
      <vt:lpstr>2. COMPR DEV 30%</vt:lpstr>
      <vt:lpstr>3. COMP VR</vt:lpstr>
      <vt:lpstr>4. COMP VP</vt:lpstr>
      <vt:lpstr>5.ESTADÍSCAS X REPORTE mensual</vt:lpstr>
      <vt:lpstr>6. REPORTADOS F+ DETALLE-SEG</vt:lpstr>
      <vt:lpstr>8. REPORTE DE FALLECIDOS ENERO</vt:lpstr>
    </vt:vector>
  </TitlesOfParts>
  <Company>Caja Mutual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Ester</dc:creator>
  <cp:lastModifiedBy>Blanca Batres</cp:lastModifiedBy>
  <cp:lastPrinted>2022-04-07T13:21:39Z</cp:lastPrinted>
  <dcterms:created xsi:type="dcterms:W3CDTF">2002-04-29T19:59:45Z</dcterms:created>
  <dcterms:modified xsi:type="dcterms:W3CDTF">2022-08-01T05:26:51Z</dcterms:modified>
</cp:coreProperties>
</file>