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Blanca.Batres\Documents\2022\OIR\Información Oficiosa\Informes por disposición legal\"/>
    </mc:Choice>
  </mc:AlternateContent>
  <bookViews>
    <workbookView xWindow="0" yWindow="0" windowWidth="20490" windowHeight="7155" tabRatio="601" firstSheet="1" activeTab="1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  <sheet name="5. REPORTE FALLECIDOS FEBRERO" sheetId="28" r:id="rId7"/>
  </sheets>
  <externalReferences>
    <externalReference r:id="rId8"/>
    <externalReference r:id="rId9"/>
    <externalReference r:id="rId10"/>
    <externalReference r:id="rId11"/>
  </externalReferences>
  <calcPr calcId="152511"/>
</workbook>
</file>

<file path=xl/calcChain.xml><?xml version="1.0" encoding="utf-8"?>
<calcChain xmlns="http://schemas.openxmlformats.org/spreadsheetml/2006/main">
  <c r="M76" i="28" l="1"/>
  <c r="M75" i="28"/>
  <c r="M74" i="28"/>
  <c r="M73" i="28"/>
  <c r="M72" i="28"/>
  <c r="M71" i="28"/>
  <c r="M70" i="28"/>
  <c r="M69" i="28"/>
  <c r="M68" i="28"/>
  <c r="M67" i="28"/>
  <c r="M66" i="28"/>
  <c r="M65" i="28"/>
  <c r="M64" i="28"/>
  <c r="M63" i="28"/>
  <c r="M62" i="28"/>
  <c r="M61" i="28"/>
  <c r="M60" i="28"/>
  <c r="M59" i="28"/>
  <c r="M58" i="28"/>
  <c r="M57" i="28"/>
  <c r="M56" i="28"/>
  <c r="M55" i="28"/>
  <c r="M54" i="28"/>
  <c r="M53" i="28"/>
  <c r="M52" i="28"/>
  <c r="M51" i="28"/>
  <c r="M50" i="28"/>
  <c r="M49" i="28"/>
  <c r="M48" i="28"/>
  <c r="M47" i="28"/>
  <c r="M46" i="28"/>
  <c r="M45" i="28"/>
  <c r="M44" i="28"/>
  <c r="M43" i="28"/>
  <c r="M42" i="28"/>
  <c r="M41" i="28"/>
  <c r="M40" i="28"/>
  <c r="M39" i="28"/>
  <c r="M38" i="28"/>
  <c r="M37" i="28"/>
  <c r="M36" i="28"/>
  <c r="M35" i="28"/>
  <c r="M34" i="28"/>
  <c r="M33" i="28"/>
  <c r="M32" i="28"/>
  <c r="M31" i="28"/>
  <c r="M30" i="28"/>
  <c r="M29" i="28"/>
  <c r="M28" i="28"/>
  <c r="M27" i="28"/>
  <c r="M26" i="28"/>
  <c r="M25" i="28"/>
  <c r="M24" i="28"/>
  <c r="M23" i="28"/>
  <c r="M20" i="28"/>
  <c r="M19" i="28"/>
  <c r="M18" i="28"/>
  <c r="M17" i="28"/>
  <c r="M16" i="28"/>
  <c r="M15" i="28"/>
  <c r="M12" i="28"/>
  <c r="M11" i="28"/>
  <c r="M10" i="28"/>
  <c r="M9" i="28"/>
  <c r="M8" i="28"/>
  <c r="M7" i="28"/>
  <c r="M6" i="28"/>
  <c r="M5" i="28"/>
  <c r="M4" i="28"/>
  <c r="M3" i="28"/>
  <c r="E22" i="25" l="1"/>
  <c r="E23" i="25"/>
  <c r="E24" i="25"/>
  <c r="E17" i="25"/>
  <c r="E16" i="25"/>
  <c r="E13" i="25"/>
  <c r="E10" i="25"/>
  <c r="E9" i="25"/>
  <c r="C12" i="4" l="1"/>
  <c r="C11" i="4"/>
  <c r="N12" i="4" l="1"/>
  <c r="J12" i="4"/>
  <c r="M12" i="4"/>
  <c r="H12" i="4"/>
  <c r="G12" i="4"/>
  <c r="F11" i="4"/>
  <c r="F12" i="4"/>
  <c r="E12" i="4"/>
  <c r="D12" i="4"/>
  <c r="E10" i="17" l="1"/>
  <c r="D10" i="17"/>
  <c r="C10" i="17"/>
  <c r="B10" i="17"/>
  <c r="F13" i="18"/>
  <c r="E13" i="18"/>
  <c r="D13" i="18"/>
  <c r="C13" i="18"/>
  <c r="E10" i="16"/>
  <c r="D10" i="16"/>
  <c r="C10" i="16"/>
  <c r="B10" i="16"/>
  <c r="J11" i="4" l="1"/>
  <c r="C9" i="17" l="1"/>
  <c r="F12" i="18" l="1"/>
  <c r="E12" i="18"/>
  <c r="D12" i="18"/>
  <c r="C12" i="18"/>
  <c r="E9" i="17"/>
  <c r="D9" i="17"/>
  <c r="B9" i="17"/>
  <c r="E9" i="16"/>
  <c r="D9" i="16" l="1"/>
  <c r="C9" i="16" l="1"/>
  <c r="B9" i="16"/>
  <c r="H11" i="4" l="1"/>
  <c r="G11" i="4"/>
  <c r="E11" i="4"/>
  <c r="D11" i="4"/>
  <c r="M11" i="4"/>
  <c r="N11" i="4" l="1"/>
  <c r="E21" i="17" l="1"/>
  <c r="D21" i="17"/>
  <c r="D22" i="25"/>
  <c r="D39" i="25"/>
  <c r="D16" i="25"/>
  <c r="D14" i="25"/>
  <c r="D15" i="25" s="1"/>
  <c r="D19" i="25" s="1"/>
  <c r="D13" i="25"/>
  <c r="D11" i="25"/>
  <c r="D10" i="25"/>
  <c r="D9" i="25"/>
  <c r="E12" i="25"/>
  <c r="D23" i="25"/>
  <c r="D40" i="25" s="1"/>
  <c r="E11" i="25"/>
  <c r="E32" i="25"/>
  <c r="E14" i="25"/>
  <c r="I23" i="4"/>
  <c r="E11" i="27"/>
  <c r="E33" i="27" s="1"/>
  <c r="C24" i="18"/>
  <c r="C23" i="27" s="1"/>
  <c r="C40" i="27" s="1"/>
  <c r="F24" i="18"/>
  <c r="D24" i="18"/>
  <c r="D21" i="16"/>
  <c r="E41" i="25"/>
  <c r="C21" i="16"/>
  <c r="D24" i="25"/>
  <c r="D41" i="25" s="1"/>
  <c r="P22" i="4"/>
  <c r="Q22" i="4"/>
  <c r="P21" i="4"/>
  <c r="Q21" i="4"/>
  <c r="P20" i="4"/>
  <c r="Q20" i="4"/>
  <c r="P19" i="4"/>
  <c r="P18" i="4"/>
  <c r="Q18" i="4"/>
  <c r="P17" i="4"/>
  <c r="P16" i="4"/>
  <c r="P15" i="4"/>
  <c r="Q15" i="4"/>
  <c r="P14" i="4"/>
  <c r="P13" i="4"/>
  <c r="P12" i="4"/>
  <c r="H16" i="27"/>
  <c r="C18" i="27"/>
  <c r="C23" i="25"/>
  <c r="C22" i="25"/>
  <c r="C39" i="25"/>
  <c r="C18" i="25"/>
  <c r="C6" i="25"/>
  <c r="C11" i="25"/>
  <c r="C15" i="25"/>
  <c r="C19" i="25"/>
  <c r="C13" i="25"/>
  <c r="C10" i="25"/>
  <c r="C32" i="25"/>
  <c r="C9" i="25"/>
  <c r="C31" i="25"/>
  <c r="D33" i="25"/>
  <c r="C35" i="25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4" i="25"/>
  <c r="C41" i="25"/>
  <c r="E24" i="18"/>
  <c r="F23" i="4"/>
  <c r="E23" i="4"/>
  <c r="D23" i="4"/>
  <c r="N23" i="4"/>
  <c r="E17" i="27" s="1"/>
  <c r="E21" i="16"/>
  <c r="D31" i="25"/>
  <c r="D32" i="25"/>
  <c r="C23" i="4"/>
  <c r="M23" i="4"/>
  <c r="E13" i="27" s="1"/>
  <c r="E35" i="27" s="1"/>
  <c r="D38" i="25"/>
  <c r="D37" i="25"/>
  <c r="D35" i="25"/>
  <c r="D34" i="25"/>
  <c r="C38" i="25"/>
  <c r="C37" i="25"/>
  <c r="D18" i="25"/>
  <c r="C34" i="25"/>
  <c r="Q19" i="4"/>
  <c r="B7" i="17"/>
  <c r="Q12" i="4"/>
  <c r="Q13" i="4"/>
  <c r="Q16" i="4"/>
  <c r="Q17" i="4"/>
  <c r="L23" i="4"/>
  <c r="E34" i="25"/>
  <c r="C36" i="25"/>
  <c r="Q14" i="4"/>
  <c r="B23" i="4"/>
  <c r="K23" i="4"/>
  <c r="E12" i="27" s="1"/>
  <c r="E34" i="27" s="1"/>
  <c r="J23" i="4"/>
  <c r="E16" i="27" s="1"/>
  <c r="E37" i="27" s="1"/>
  <c r="B21" i="16"/>
  <c r="C24" i="27" s="1"/>
  <c r="C40" i="25"/>
  <c r="E33" i="25"/>
  <c r="C15" i="27"/>
  <c r="C19" i="27"/>
  <c r="D15" i="27"/>
  <c r="D19" i="27"/>
  <c r="P11" i="4"/>
  <c r="Q11" i="4" s="1"/>
  <c r="C25" i="25"/>
  <c r="E39" i="25"/>
  <c r="C21" i="17"/>
  <c r="B21" i="17"/>
  <c r="C22" i="27" s="1"/>
  <c r="C27" i="25"/>
  <c r="E38" i="25"/>
  <c r="E37" i="25"/>
  <c r="E18" i="25"/>
  <c r="E35" i="25"/>
  <c r="E31" i="25"/>
  <c r="G23" i="4"/>
  <c r="E9" i="27" s="1"/>
  <c r="E31" i="27" s="1"/>
  <c r="O23" i="4"/>
  <c r="E14" i="27" s="1"/>
  <c r="E36" i="27" s="1"/>
  <c r="C33" i="25"/>
  <c r="C42" i="25"/>
  <c r="H23" i="4"/>
  <c r="E10" i="27" s="1"/>
  <c r="E32" i="27" s="1"/>
  <c r="D36" i="25" l="1"/>
  <c r="E22" i="27"/>
  <c r="E39" i="27" s="1"/>
  <c r="D22" i="27"/>
  <c r="D39" i="27" s="1"/>
  <c r="C39" i="27"/>
  <c r="D25" i="25"/>
  <c r="D27" i="25" s="1"/>
  <c r="E15" i="25"/>
  <c r="E19" i="25" s="1"/>
  <c r="F12" i="25" s="1"/>
  <c r="E18" i="27"/>
  <c r="E38" i="27"/>
  <c r="E36" i="25"/>
  <c r="P23" i="4"/>
  <c r="I14" i="27"/>
  <c r="E15" i="27"/>
  <c r="D42" i="25"/>
  <c r="E24" i="27"/>
  <c r="E41" i="27" s="1"/>
  <c r="D24" i="27"/>
  <c r="D41" i="27" s="1"/>
  <c r="C41" i="27"/>
  <c r="E25" i="25"/>
  <c r="F22" i="25" s="1"/>
  <c r="Q23" i="4"/>
  <c r="Q24" i="4" s="1"/>
  <c r="E23" i="27"/>
  <c r="D23" i="27"/>
  <c r="E40" i="25"/>
  <c r="C25" i="27"/>
  <c r="C27" i="27" s="1"/>
  <c r="E19" i="27" l="1"/>
  <c r="F13" i="27" s="1"/>
  <c r="C42" i="27"/>
  <c r="F11" i="25"/>
  <c r="F17" i="25"/>
  <c r="F9" i="25"/>
  <c r="F14" i="25"/>
  <c r="F16" i="25"/>
  <c r="F13" i="25"/>
  <c r="F10" i="25"/>
  <c r="E25" i="27"/>
  <c r="F24" i="27" s="1"/>
  <c r="E27" i="25"/>
  <c r="F24" i="25"/>
  <c r="F23" i="25"/>
  <c r="E40" i="27"/>
  <c r="E42" i="27" s="1"/>
  <c r="F36" i="27" s="1"/>
  <c r="E42" i="25"/>
  <c r="F40" i="25" s="1"/>
  <c r="D40" i="27"/>
  <c r="D42" i="27" s="1"/>
  <c r="D25" i="27"/>
  <c r="D27" i="27" s="1"/>
  <c r="F12" i="27" l="1"/>
  <c r="F14" i="27"/>
  <c r="F16" i="27"/>
  <c r="F9" i="27"/>
  <c r="F19" i="27" s="1"/>
  <c r="F10" i="27"/>
  <c r="F11" i="27"/>
  <c r="F17" i="27"/>
  <c r="F19" i="25"/>
  <c r="F25" i="25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32" i="25"/>
  <c r="F37" i="25"/>
  <c r="F31" i="25"/>
  <c r="F36" i="25"/>
  <c r="F34" i="25"/>
  <c r="F39" i="25"/>
  <c r="F33" i="25"/>
  <c r="F35" i="25"/>
  <c r="F41" i="25"/>
  <c r="F38" i="25"/>
  <c r="F25" i="27" l="1"/>
  <c r="F42" i="27"/>
  <c r="F42" i="25"/>
</calcChain>
</file>

<file path=xl/comments1.xml><?xml version="1.0" encoding="utf-8"?>
<comments xmlns="http://schemas.openxmlformats.org/spreadsheetml/2006/main">
  <authors>
    <author>Cecilia Medina01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Cecilia Medina01:</t>
        </r>
        <r>
          <rPr>
            <sz val="9"/>
            <color indexed="81"/>
            <rFont val="Tahoma"/>
            <family val="2"/>
          </rPr>
          <t xml:space="preserve">
Correlativo general, secuencia del año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</rPr>
          <t>Cecilia Medina01:</t>
        </r>
        <r>
          <rPr>
            <sz val="9"/>
            <color indexed="81"/>
            <rFont val="Tahoma"/>
            <family val="2"/>
          </rPr>
          <t xml:space="preserve">
No. Correlativo del mes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Cecilia Medina01:</t>
        </r>
        <r>
          <rPr>
            <sz val="9"/>
            <color indexed="81"/>
            <rFont val="Tahoma"/>
            <family val="2"/>
          </rPr>
          <t xml:space="preserve">
Estructura Código fallecido
</t>
        </r>
        <r>
          <rPr>
            <b/>
            <sz val="9"/>
            <color indexed="81"/>
            <rFont val="Tahoma"/>
            <family val="2"/>
          </rPr>
          <t>R-LR-001-2022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Cecilia Medina01: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DA:</t>
        </r>
        <r>
          <rPr>
            <sz val="9"/>
            <color indexed="81"/>
            <rFont val="Tahoma"/>
            <family val="2"/>
          </rPr>
          <t xml:space="preserve">  DOCENTE ACTIVO
</t>
        </r>
        <r>
          <rPr>
            <b/>
            <sz val="9"/>
            <color indexed="81"/>
            <rFont val="Tahoma"/>
            <family val="2"/>
          </rPr>
          <t>DP:</t>
        </r>
        <r>
          <rPr>
            <sz val="9"/>
            <color indexed="81"/>
            <rFont val="Tahoma"/>
            <family val="2"/>
          </rPr>
          <t xml:space="preserve">  DOCENTE PENSIONADO
</t>
        </r>
        <r>
          <rPr>
            <b/>
            <sz val="9"/>
            <color indexed="81"/>
            <rFont val="Tahoma"/>
            <family val="2"/>
          </rPr>
          <t>AA:</t>
        </r>
        <r>
          <rPr>
            <sz val="9"/>
            <color indexed="81"/>
            <rFont val="Tahoma"/>
            <family val="2"/>
          </rPr>
          <t xml:space="preserve">  ADMINISTRATIVO ACTIVO
</t>
        </r>
        <r>
          <rPr>
            <b/>
            <sz val="9"/>
            <color indexed="81"/>
            <rFont val="Tahoma"/>
            <family val="2"/>
          </rPr>
          <t>AP:</t>
        </r>
        <r>
          <rPr>
            <sz val="9"/>
            <color indexed="81"/>
            <rFont val="Tahoma"/>
            <family val="2"/>
          </rPr>
          <t xml:space="preserve">  ADMINISTRATIVO PENSIONADO 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Cecilia Medina01:</t>
        </r>
        <r>
          <rPr>
            <sz val="9"/>
            <color indexed="81"/>
            <rFont val="Tahoma"/>
            <family val="2"/>
          </rPr>
          <t xml:space="preserve">
Renunció al MINED 1 día antes de fallecer.</t>
        </r>
      </text>
    </comment>
    <comment ref="J32" authorId="0" shapeId="0">
      <text>
        <r>
          <rPr>
            <sz val="12"/>
            <color indexed="81"/>
            <rFont val="Tahoma"/>
            <family val="2"/>
          </rPr>
          <t>Herederos</t>
        </r>
      </text>
    </comment>
  </commentList>
</comments>
</file>

<file path=xl/sharedStrings.xml><?xml version="1.0" encoding="utf-8"?>
<sst xmlns="http://schemas.openxmlformats.org/spreadsheetml/2006/main" count="904" uniqueCount="441">
  <si>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</si>
  <si>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</si>
  <si>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</si>
  <si>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</si>
  <si>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</si>
  <si>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</si>
  <si>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</si>
  <si>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</si>
  <si>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</si>
  <si>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</si>
  <si>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</si>
  <si>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>Sept.</t>
  </si>
  <si>
    <t>Octubre</t>
  </si>
  <si>
    <t>Noviem</t>
  </si>
  <si>
    <t>Diciem</t>
  </si>
  <si>
    <t>DOBLE PAGO POR MUERTE ACCIDENTAL</t>
  </si>
  <si>
    <t xml:space="preserve">PAGO DEL 10% DE GASTOS FUNERARIOS </t>
  </si>
  <si>
    <t>LUGAR DE FALLECIMIENTO</t>
  </si>
  <si>
    <t>RÉGIMEN</t>
  </si>
  <si>
    <t>AHUACHAPÁN</t>
  </si>
  <si>
    <t>DA</t>
  </si>
  <si>
    <t>AA</t>
  </si>
  <si>
    <t>DP</t>
  </si>
  <si>
    <t>AP</t>
  </si>
  <si>
    <t>SAN VICENTE</t>
  </si>
  <si>
    <t>USULUTÁN</t>
  </si>
  <si>
    <t>SAN MIGUEL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</si>
  <si>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</si>
  <si>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</si>
  <si>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</si>
  <si>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</si>
  <si>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</si>
  <si>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</si>
  <si>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</si>
  <si>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</si>
  <si>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</si>
  <si>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</si>
  <si>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</si>
  <si>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</si>
  <si>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</si>
  <si>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</si>
  <si>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</si>
  <si>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</si>
  <si>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</si>
  <si>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</si>
  <si>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</si>
  <si>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</si>
  <si>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</si>
  <si>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</si>
  <si>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</si>
  <si>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</si>
  <si>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NO.DE EXPEDIENTE</t>
  </si>
  <si>
    <t>EDAD</t>
  </si>
  <si>
    <t>S.V.B</t>
  </si>
  <si>
    <t>S.V.O.</t>
  </si>
  <si>
    <t>S.V.D.</t>
  </si>
  <si>
    <t>SXS</t>
  </si>
  <si>
    <t>CAUSA DE FALLECIMIENTO</t>
  </si>
  <si>
    <t>SAN SALVADOR</t>
  </si>
  <si>
    <t>OFICINA CENTRAL</t>
  </si>
  <si>
    <t>SANTA ANA</t>
  </si>
  <si>
    <t>TOTALES</t>
  </si>
  <si>
    <t>LA LIBERTAD</t>
  </si>
  <si>
    <t>NUMERO DE SEGUROS RECLAMADOS</t>
  </si>
  <si>
    <t>Nº DE DEVOLUCIONES DEL 30% RECLAMADAS</t>
  </si>
  <si>
    <t>Vo. Bo.</t>
  </si>
  <si>
    <t>REPORTADO EN</t>
  </si>
  <si>
    <t>PAGADO EN SEGURO DE VIDA BÁSICO</t>
  </si>
  <si>
    <t>PAGADO EN SEGURO DE VIDA DOTAL</t>
  </si>
  <si>
    <t>PAGADO EN SEGURO POR SEPELIO</t>
  </si>
  <si>
    <t xml:space="preserve">             </t>
  </si>
  <si>
    <t>SPS</t>
  </si>
  <si>
    <t>PAGADO EN SEGURO DECRECIENTE DE DEUDA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</si>
  <si>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</si>
  <si>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</si>
  <si>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</si>
  <si>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</si>
  <si>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</si>
  <si>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</si>
  <si>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</si>
  <si>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</si>
  <si>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</si>
  <si>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</si>
  <si>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</si>
  <si>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</si>
  <si>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</si>
  <si>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</si>
  <si>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</si>
  <si>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</si>
  <si>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</si>
  <si>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</si>
  <si>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 xml:space="preserve">FALLECIDOS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</si>
  <si>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</si>
  <si>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</si>
  <si>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</si>
  <si>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</si>
  <si>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</si>
  <si>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</si>
  <si>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</si>
  <si>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>Trámite*</t>
  </si>
  <si>
    <t xml:space="preserve">Caso Especial - Seguro de Vida Opcional 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</si>
  <si>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</si>
  <si>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</si>
  <si>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</si>
  <si>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</si>
  <si>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</si>
  <si>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</si>
  <si>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PARO CARDIO RESPIRATORIO</t>
  </si>
  <si>
    <t>FECHA DE FALLECIMIENTO</t>
  </si>
  <si>
    <t>No. 2</t>
  </si>
  <si>
    <t>GF</t>
  </si>
  <si>
    <t>R 01-12</t>
  </si>
  <si>
    <t>R 01-16</t>
  </si>
  <si>
    <t>PARO CARDIACO</t>
  </si>
  <si>
    <t>No. 4</t>
  </si>
  <si>
    <t>No. 3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</si>
  <si>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</si>
  <si>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</si>
  <si>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</si>
  <si>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</si>
  <si>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</si>
  <si>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</si>
  <si>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</si>
  <si>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DEL 01 DE ENERO AL 31 DE DICIEMBRE DEL AÑO 2022</t>
  </si>
  <si>
    <t>DE SEGURO DE VIDA DOTAL PAGADOS AÑO 2022</t>
  </si>
  <si>
    <t>DE VIDA DOTAL POR VENCIMIENTO DE PÓLIZA  AÑO 2022</t>
  </si>
  <si>
    <t>DEL 01  DE ENERO AL 31 DICIEMBRE DEL AÑO 2022</t>
  </si>
  <si>
    <t>CORRESPONDIENTE AL PERIODO DEL 01 DE ENERO AL 31 DE DICIEMBRE DEL AÑO 2022</t>
  </si>
  <si>
    <t>ESTADÍSTICAS GENERALES 2021</t>
  </si>
  <si>
    <t>ASEGURADOS QUE CUMPLIERON 70 AÑOS DE EDAD DURANTE EL AÑO 2021</t>
  </si>
  <si>
    <t>DE VIDA DOTAL POR VENCIMIENTO DE PÓLIZA AÑO 2021</t>
  </si>
  <si>
    <t>DE SEGURO DE VIDA DOTAL PAGADOS AÑO 2021</t>
  </si>
  <si>
    <t>SEGUROS PEND. DE PAGO DE OTROS AÑOS, PAGADOS EN EL 2022 (CUADROS APROBADOS POR CD+ CASOS DE INV)</t>
  </si>
  <si>
    <t xml:space="preserve"> FALLECIDOS  AÑO 2022 QUE HAN RECLAMADO Y PAGADO (CUADROS APROBADOS POR CD)</t>
  </si>
  <si>
    <t>San Salvador, 28 de febrero del año 2022</t>
  </si>
  <si>
    <t>Nº DE BENEF. A LOS QUE SE LES HA PAGADO EN EL AÑO 2022 (CUADROS APROBADOS POR CD + CASOS DE INV)</t>
  </si>
  <si>
    <t xml:space="preserve">            LIBRO DE REPORTE DE FALLECIDOS Y ESTADÍSTICAS AÑO 2022</t>
  </si>
  <si>
    <t>No.Gral.</t>
  </si>
  <si>
    <t>No</t>
  </si>
  <si>
    <t>FECHA DEL REPORTE</t>
  </si>
  <si>
    <t>CÓDIGO ASEGURADO</t>
  </si>
  <si>
    <t>NOMBRE DEL ASEGURADO FALLECIDO</t>
  </si>
  <si>
    <t>GÉNERO</t>
  </si>
  <si>
    <t>No. BENEFICIARIOS o HEREDEROS</t>
  </si>
  <si>
    <t>G.F.</t>
  </si>
  <si>
    <r>
      <t xml:space="preserve">S.D.D. </t>
    </r>
    <r>
      <rPr>
        <b/>
        <sz val="8"/>
        <color rgb="FFFFFF00"/>
        <rFont val="Museo Sans 100"/>
        <family val="3"/>
      </rPr>
      <t>(Seguro Decreciente de Deuda)</t>
    </r>
  </si>
  <si>
    <t>R-LR-001-2022</t>
  </si>
  <si>
    <t>00022</t>
  </si>
  <si>
    <t>MARIO ALFONSO CAMPOS</t>
  </si>
  <si>
    <t>M</t>
  </si>
  <si>
    <t>CUSCATLÁN</t>
  </si>
  <si>
    <t>R-LR-002-2022</t>
  </si>
  <si>
    <t>03707</t>
  </si>
  <si>
    <t>SILVIA NOENA GALLO VELASQUEZ</t>
  </si>
  <si>
    <t>F</t>
  </si>
  <si>
    <t>SOSPECHA INFARTO AGUDO MIOCARDIO, DIABETES MELLITUS 2</t>
  </si>
  <si>
    <t>R-LR-003-2022</t>
  </si>
  <si>
    <t>17859</t>
  </si>
  <si>
    <t>JOSÉ LUIS URRUTIA SEVELLÓN</t>
  </si>
  <si>
    <t>DIABETES TIPO 2, MAS INFARTO AGUDO AL MIOCARDIO</t>
  </si>
  <si>
    <t>R-LR-004-2022</t>
  </si>
  <si>
    <t>18600</t>
  </si>
  <si>
    <t>VILMA DE LA PAZ VILLALOBOS</t>
  </si>
  <si>
    <t>NEUMONÍA ATÍPICA GRAVE</t>
  </si>
  <si>
    <t>R-LR-005-2022</t>
  </si>
  <si>
    <t>66006</t>
  </si>
  <si>
    <t>ARISTIDES MORENO FRANCIA</t>
  </si>
  <si>
    <t>PARO CARDIORRESPIRATORIO DEBIDO A ACCIDENTE CEREBROVASCULAR HEMORRÁGICO MAS SECUELAS NEUROLÓGICAS</t>
  </si>
  <si>
    <t>R-LR-006-2022</t>
  </si>
  <si>
    <t>04878</t>
  </si>
  <si>
    <t>HORTENSIA DE LOS ÁNGELES RIVAS DE MAGAÑA</t>
  </si>
  <si>
    <t>PARO CARDIORRESPIRATORIO</t>
  </si>
  <si>
    <t>CHALATENANGO</t>
  </si>
  <si>
    <t>R-LR-007-2022</t>
  </si>
  <si>
    <t>67798</t>
  </si>
  <si>
    <t>NORMA ELIZABETH CAMPOS DE CERNA</t>
  </si>
  <si>
    <t>DIABETES MELLITUS 2,NEUMONIA ASPIRATIVA, TRAUMA CRANEOENCEFÁLICO SEVERO.</t>
  </si>
  <si>
    <t>R-LR-008-2022</t>
  </si>
  <si>
    <t>02342</t>
  </si>
  <si>
    <t>JOAQUÍN PERLA SERRANO</t>
  </si>
  <si>
    <t>SÍNDROME DE RESPUESTA INFLAMATORIA, SISTÉMICA DE ORÍGEN INFECCIOSO, CON FALLA ORGÁNICA, CHOQUE SÉPTICO, NEUMONÍA NO ESPECIFICADA, COVID-19</t>
  </si>
  <si>
    <t>R-LR-009-2022</t>
  </si>
  <si>
    <t>10449</t>
  </si>
  <si>
    <t>CARLOS GABRIEL ALVARENGA MELGAR</t>
  </si>
  <si>
    <t>HIPERTENSIÓN ENDOGRANEANA, INFARTO AGUDO A MIOCARDIO</t>
  </si>
  <si>
    <t>R-LR-010-2022</t>
  </si>
  <si>
    <t>12123</t>
  </si>
  <si>
    <t>GLADIS JOSEFINA ESCOBAR ALAS</t>
  </si>
  <si>
    <t>CHOQUE SÉPTICO, OBSTRUCCIÓN URETERAL POR CATETER DOBLE "J", PIOURETROSIS, COAGULACIÓN INTRAVASCULAR DISEMINADA</t>
  </si>
  <si>
    <t>MARICEL</t>
  </si>
  <si>
    <t>R-LR-011-2022</t>
  </si>
  <si>
    <t>38635</t>
  </si>
  <si>
    <t>DAVID HERNANDEZ CASTILLO</t>
  </si>
  <si>
    <t>COVID GUION DIECINUEVE</t>
  </si>
  <si>
    <t>R-LR-012-2022</t>
  </si>
  <si>
    <t>60699</t>
  </si>
  <si>
    <t>DAVID ERNESTO MELENDEZ ORTIZ</t>
  </si>
  <si>
    <t>TRAUMA CRANEOENCEFALICO SEVERO CONTUSO</t>
  </si>
  <si>
    <t>R-LR-013-2022</t>
  </si>
  <si>
    <t>53002</t>
  </si>
  <si>
    <t>IDALAI JEANNETTE MOLINA DE ZELEDÓN</t>
  </si>
  <si>
    <t>SEPSIS, FALLA HEPÁTICA CRÓNICA, CÁNCER DE RECTO.</t>
  </si>
  <si>
    <t>R-LR-014-2022</t>
  </si>
  <si>
    <t>63883</t>
  </si>
  <si>
    <t>ANA GLORIA COLORADO DE GONZÁLEZ</t>
  </si>
  <si>
    <t>PARO CARDIORESPIRATORIO A CONSECUENCIA DE HEPATOCARCINOMA</t>
  </si>
  <si>
    <t>R-LR-015-2022</t>
  </si>
  <si>
    <t>10674</t>
  </si>
  <si>
    <t>MARÍA ELIAN HERNÁNDEZ</t>
  </si>
  <si>
    <t>PARO CARDIORESPIRATORIO, DESNUTRICIÓN SEVERA</t>
  </si>
  <si>
    <t>R-LR-016-2022</t>
  </si>
  <si>
    <t>06541</t>
  </si>
  <si>
    <t>LUIS ALFONSO FLORES LEIVA</t>
  </si>
  <si>
    <t>NEUMONIA ASPIRATIVA</t>
  </si>
  <si>
    <t>R-LR-017-2022</t>
  </si>
  <si>
    <t>54954</t>
  </si>
  <si>
    <t>PATRICIA LORENA ROMERO DE VALDEZ</t>
  </si>
  <si>
    <t>R-LR-018-2022</t>
  </si>
  <si>
    <t>08223</t>
  </si>
  <si>
    <t>SANDRA LORENA NOLASCO SANTILLANA DE ARGUMEDO</t>
  </si>
  <si>
    <t>SINDROME DE DIFICULTAD RESPIRATORIO DEL ADULTO</t>
  </si>
  <si>
    <t>CECY COMPLETAR LUGARES</t>
  </si>
  <si>
    <t>R-LR-019-2022</t>
  </si>
  <si>
    <t>05505</t>
  </si>
  <si>
    <t>MARÍA CONSULO AMINTA CAMPOS CAMPOS</t>
  </si>
  <si>
    <t>NEUMONÍA POR ASPIRACIÓN</t>
  </si>
  <si>
    <t>R-LR-020-2022</t>
  </si>
  <si>
    <t>13520</t>
  </si>
  <si>
    <t>CARLOS ROBERTO MACHADO</t>
  </si>
  <si>
    <t>SHOCK SÉPTICO SECUNDARIO A UROSÉPSIS</t>
  </si>
  <si>
    <t>R-LR-021-2022</t>
  </si>
  <si>
    <t>65164</t>
  </si>
  <si>
    <t>JUAN ANTONIO ESCOBAR GONZÁLEZ</t>
  </si>
  <si>
    <t>R-LR-022-2022</t>
  </si>
  <si>
    <t>70073</t>
  </si>
  <si>
    <t>JOSÉ ROBERTO ALBANÉS</t>
  </si>
  <si>
    <t>SINDROME RESPIRATORIO AGUDO GRAVE, COVID-19, DIABETES MELLITUS ESPECIFICADA, SIN MENCIÓN DE COMPLICACIONES, HIPERTENSIÓN ESCENCIAL PRIMARIA</t>
  </si>
  <si>
    <t>R-LR-023-2022</t>
  </si>
  <si>
    <t>22108</t>
  </si>
  <si>
    <t>EVA GIRÓN VDA. DE HURTADO</t>
  </si>
  <si>
    <t>NEUMONÍA</t>
  </si>
  <si>
    <t>R-LR-024-2022</t>
  </si>
  <si>
    <t>43179</t>
  </si>
  <si>
    <t>RICARDO ANTONIO ARAUJO AMAYA</t>
  </si>
  <si>
    <t>CAUSA DESCONOCIDA</t>
  </si>
  <si>
    <t>R-LR-025-2022</t>
  </si>
  <si>
    <t>61301</t>
  </si>
  <si>
    <t>ISRAEL ANTONIO CALZADILLA MISMIT</t>
  </si>
  <si>
    <t>CÁNCER GÁSTRICO</t>
  </si>
  <si>
    <t>R-LR-026-2022</t>
  </si>
  <si>
    <t>13678</t>
  </si>
  <si>
    <t>JOSÉ OVED ALAS ALFARO</t>
  </si>
  <si>
    <t>R-LR-027-2022</t>
  </si>
  <si>
    <t>04325</t>
  </si>
  <si>
    <t>DAVID NAPOLEÓN LUNA CÁRCAMO</t>
  </si>
  <si>
    <t>CÁNCER DE TIROIDES, CHOQUE CARDIOGÉNICO, VENTILACIÓN MECÁNICA E INSUFICIENCIA RESPIRATORIA AGUDA.</t>
  </si>
  <si>
    <t>R-LR-028-2022</t>
  </si>
  <si>
    <t>00454</t>
  </si>
  <si>
    <t>ROSA LYDIA CALDERÓN VDA. DE LÓPEZ</t>
  </si>
  <si>
    <t>SHOCK MIXTO</t>
  </si>
  <si>
    <t>R-LR-029-2022</t>
  </si>
  <si>
    <t>34030</t>
  </si>
  <si>
    <t>ANA MIRIAM RETANA DE UMAÑA</t>
  </si>
  <si>
    <t>OTRAS FORMAS DE CHOQUE, COVID DIECINUEVE, HIPERTENSIÓN ESENCIAL (PRIMARIA)</t>
  </si>
  <si>
    <t>R-LR-030-2022</t>
  </si>
  <si>
    <t>66018</t>
  </si>
  <si>
    <t>JOSÉ HUMBERTO LÓPEZ VILLANUEVA</t>
  </si>
  <si>
    <t>ENCEFALOPATÍA URÉMICA, NEUMONÍA ASOCIADA A SERVICIOS DE SALUD, NEFROPATÍA CRÓNICA EN HEMODIALISIS, DIABETES MELLITUS TIPO 2, HIPERTENSIÓN ARTERIAL.</t>
  </si>
  <si>
    <t>HONDURAS</t>
  </si>
  <si>
    <t>R-LR-031-2022</t>
  </si>
  <si>
    <t>18397</t>
  </si>
  <si>
    <t>MARTHA ANTONIA PORTILLO ORELLANA DE APARICIO</t>
  </si>
  <si>
    <t>NEOPLASIA DE OVARIO CON METASTASIS</t>
  </si>
  <si>
    <t>R-LR-032-2022</t>
  </si>
  <si>
    <t>24949</t>
  </si>
  <si>
    <t>MARIETA ISABEL CORTEZ DE CRUZ</t>
  </si>
  <si>
    <t>ANEMIA SEVERA MÁS DESHEQUILIBRIO ELECTROLÍTICO</t>
  </si>
  <si>
    <t>R-LR-033-2022</t>
  </si>
  <si>
    <t>11673</t>
  </si>
  <si>
    <t>ADELA ESPERANZA REYES DE HERNÁNDEZ</t>
  </si>
  <si>
    <t>SINDROME DE DISTRES RESPIRATORIO AGUDO SEVERO, NEUMONÍA. OTRA CAUSA DEL FALLECIMIENTO FUE POR : COVID-19 VIRUS IDENTIFICADO.</t>
  </si>
  <si>
    <t>R-LR-034-2022</t>
  </si>
  <si>
    <t>03711</t>
  </si>
  <si>
    <t>EFRAIN GRANADOS SÁNCHEZ</t>
  </si>
  <si>
    <t>INSUFICIENCIA RENAL CRÓNICA</t>
  </si>
  <si>
    <t>R-LR-035-2022</t>
  </si>
  <si>
    <t>14602</t>
  </si>
  <si>
    <t>ELVA GUADALUPE ORTIZ DE GUILLÉN</t>
  </si>
  <si>
    <t>DESNUTRICIÓN SEVERA, MÁS SANGRAMIENTO DE TUBO DIGESTIVO SUPERIOR</t>
  </si>
  <si>
    <t>R-LR-036-2022</t>
  </si>
  <si>
    <t>52477</t>
  </si>
  <si>
    <t>JOSÉ MISAEL CARTAGENA</t>
  </si>
  <si>
    <t>CIRROSIS HEPÁTICA</t>
  </si>
  <si>
    <t>R-LR-037-2022</t>
  </si>
  <si>
    <t>11171</t>
  </si>
  <si>
    <t>JULIÁN ARTURO MARROQUÍN</t>
  </si>
  <si>
    <t>CHOQUE DISTRIBUTIVO, PANCREATITIS AGUDA, ENFERMEDADD RENAL CRÓNICA</t>
  </si>
  <si>
    <t>R-LR-038-2022</t>
  </si>
  <si>
    <t>02616</t>
  </si>
  <si>
    <t>MANUEL DE JESÚS HERNÁNDEZ GALDAMEZ</t>
  </si>
  <si>
    <t>NEUMONÍA ADQUIRIDA EN LA COMUNIDAD</t>
  </si>
  <si>
    <t>R-LR-039-2022</t>
  </si>
  <si>
    <t>23581</t>
  </si>
  <si>
    <t>MARÍA ESTER URBINA VDA. DE GIRÓN</t>
  </si>
  <si>
    <t>INFARTO AGUDO DE MIOCARDIO</t>
  </si>
  <si>
    <t>MORAZÁN</t>
  </si>
  <si>
    <t>R-LR-040-2022</t>
  </si>
  <si>
    <t>19568</t>
  </si>
  <si>
    <t>DILMA DEL CARMEN CRUZ DE LUNA</t>
  </si>
  <si>
    <t>CHOQUE SÉPTICO, NEUMONÍA SEVERA, CÁNCER GÁSTRICO</t>
  </si>
  <si>
    <t>LA UNIÓN</t>
  </si>
  <si>
    <t>R-LR-041-2022</t>
  </si>
  <si>
    <t>13717</t>
  </si>
  <si>
    <t>JOSÉ MANUEL PEREIRA PAZ</t>
  </si>
  <si>
    <t>R-LR-042-2022</t>
  </si>
  <si>
    <t>51936</t>
  </si>
  <si>
    <t>CÁNDIDA ISABEL MENDOZA CÁRCAMO</t>
  </si>
  <si>
    <t>R-LR-043-2022</t>
  </si>
  <si>
    <t>14341</t>
  </si>
  <si>
    <t>JOSÉ CRISTOBAL COLÓN ALAS</t>
  </si>
  <si>
    <t>CHOQUE SEPTICO, COVID GUION DIECINUEVE</t>
  </si>
  <si>
    <t>R-LR-044-2022</t>
  </si>
  <si>
    <t>06018</t>
  </si>
  <si>
    <t>LUIS IGNACIO MOREIRA MAGAÑA</t>
  </si>
  <si>
    <t>FALLA MUTISISTEMICA POR CANCER HEPATICO METASTASICO PULMONAR ESTADIO CUATRO GUION B</t>
  </si>
  <si>
    <t>R-LR-045-2022</t>
  </si>
  <si>
    <t>00859</t>
  </si>
  <si>
    <t>MARÍA VIRGINIA NUÑEZ DE ORELLANA</t>
  </si>
  <si>
    <t>CÁNCER DE MAMA AVANZADO</t>
  </si>
  <si>
    <t>R-LR-046-2022</t>
  </si>
  <si>
    <t>23058</t>
  </si>
  <si>
    <t>ZOILA ETELIA QUIJANO DE BAIZA</t>
  </si>
  <si>
    <t>R-LR-047-2022</t>
  </si>
  <si>
    <t>68504</t>
  </si>
  <si>
    <t>ANA LILIAN MORALES DE SAAVEDRA</t>
  </si>
  <si>
    <t>SÉPSIS</t>
  </si>
  <si>
    <t>R-LR-048-2022</t>
  </si>
  <si>
    <t>48241</t>
  </si>
  <si>
    <t>ROXANA MARISOL VENTURA DE ORTIZ</t>
  </si>
  <si>
    <t>NEUMONÍA BILATERAL GRAVE, SHOCK SÉTTICO, HEPATOLOGÍA CRÓNICA, SÍNDROME HEPATORRENAL</t>
  </si>
  <si>
    <t>R-LR-049-2022</t>
  </si>
  <si>
    <t>33642</t>
  </si>
  <si>
    <t>ROSA ELIZABETH SANTÉLIZ MONTOYA</t>
  </si>
  <si>
    <t>COMA HEPÁTICO, METASTÁSIS PULMONAR, CÁNCER DE MAMA</t>
  </si>
  <si>
    <t>R-LR-050-2022</t>
  </si>
  <si>
    <t>05014</t>
  </si>
  <si>
    <t>BERTA DE LOS ÁNGELES GUILLÉN RAMOS DE COREAS</t>
  </si>
  <si>
    <t>INSUFICIENCIA RESPIRATORIA AGUDA, COVID POSITIVO</t>
  </si>
  <si>
    <t>R-LR-051-2022</t>
  </si>
  <si>
    <t>26656</t>
  </si>
  <si>
    <t>FRANCISCO ORLANDO PÉREZ RAMOS</t>
  </si>
  <si>
    <t>PANDREATITIS HEMORRAGICA</t>
  </si>
  <si>
    <t>R-LR-052-2022</t>
  </si>
  <si>
    <t>06057</t>
  </si>
  <si>
    <t>SANTOS VIDAL HERNÁNDEZ OSORIO</t>
  </si>
  <si>
    <t>NEUMONIA ASOCIADA A COVID-19 Y ENFERMEDAD RENAL CRONICA</t>
  </si>
  <si>
    <t>R-LR-053-2022</t>
  </si>
  <si>
    <t>52261</t>
  </si>
  <si>
    <t>YANIRA IVETH YANES ARBAIZA</t>
  </si>
  <si>
    <t>EDEMA AGUDO DE PULMÓN, (CAUSA PRELIMINAR, PENDIENTE DE ESTUDIOS COMPLEMENTARIOS)</t>
  </si>
  <si>
    <t>R-LR-054-2022</t>
  </si>
  <si>
    <t>29469</t>
  </si>
  <si>
    <t>JOSE RICARDO SEGOVIA PINEDA</t>
  </si>
  <si>
    <t>R-LR-055-2022</t>
  </si>
  <si>
    <t>65636</t>
  </si>
  <si>
    <t>ROXANA CAROLINA NOLASCO TORRES</t>
  </si>
  <si>
    <t>SÍNDROME DE DIFICULTAD RESPIRATORIA DEL ADULTO, CHOQUE SÉPTICO, COVID GUIÓN DIECINUEVE</t>
  </si>
  <si>
    <t>R-LR-056-2022</t>
  </si>
  <si>
    <t>00627</t>
  </si>
  <si>
    <t>JOSÉ RICARDO ARGUETA BARILLAS</t>
  </si>
  <si>
    <t>INSUFICIENCIA CARDIACA, HIPERTENSIÓN ARTERIAL</t>
  </si>
  <si>
    <t>R-LR-057-2022</t>
  </si>
  <si>
    <t>39200</t>
  </si>
  <si>
    <t>OSCAR ARMANDO MELGAR AYALA</t>
  </si>
  <si>
    <t>R-LR-058-2022</t>
  </si>
  <si>
    <t>22473</t>
  </si>
  <si>
    <t>DINA DOLORES DÍAZ DE ROMERO</t>
  </si>
  <si>
    <t>CHOQUE SÉPTICO, FALLA RENAL AGUDA, NEUMONÍA NOSOCOMIAL</t>
  </si>
  <si>
    <t>R-LR-059-2022</t>
  </si>
  <si>
    <t>22040</t>
  </si>
  <si>
    <t>GLORIA RIVAS DE MENJÍVAR</t>
  </si>
  <si>
    <t>PARO CARDIORRESPIRATORIO, DIABETES MELLITUS, HIPERTENSIÓN ARTERIAL</t>
  </si>
  <si>
    <t>R-LR-060-2022</t>
  </si>
  <si>
    <t>74120</t>
  </si>
  <si>
    <t>GERSON LEONARDO ALFARO ZEPEDA</t>
  </si>
  <si>
    <t>INFARTO AGUDO AL MIOCARDIO</t>
  </si>
  <si>
    <t>R-LR-061-2022</t>
  </si>
  <si>
    <t>08321</t>
  </si>
  <si>
    <t>MARÍA ASTRID AVILÉS DE QUEZADA</t>
  </si>
  <si>
    <t>INFARTO AGUDO DEL MIOCARDIO, CARDIOPATÍA ISQUEMICA</t>
  </si>
  <si>
    <t>R-LR-062-2022</t>
  </si>
  <si>
    <t>23655</t>
  </si>
  <si>
    <t>LAURA ADILIA PANAMEÑO VDA. DE ESCOTO</t>
  </si>
  <si>
    <t>PARO CARDIO RESPIRATORIO, ABDOMEN AGUDO OBSTRUIDO</t>
  </si>
  <si>
    <t>R-LR-063-2022</t>
  </si>
  <si>
    <t>17976</t>
  </si>
  <si>
    <t>ANA FIDELIA BENÍTEZ JOVEL</t>
  </si>
  <si>
    <t>DEMENCIA CEREBROVASCULAR TIPO ALZHEIMER, SANGRAMIENTO TUBO DIGESTIVO SUPERIOR, PARO CARDIORRESPIRATORIO</t>
  </si>
  <si>
    <t>R-LR-064-2022</t>
  </si>
  <si>
    <t>66712</t>
  </si>
  <si>
    <t>NESTOR AUGUSTO HERNÁNDEZ MARTÍNEZ</t>
  </si>
  <si>
    <t>NEUMONÍA, HISTOPLASMOSIS SISTÉMICA, TUBERCULOSIS PULMONAR, SINDROME DE INMUNODEFICIENCIA ADQUIRIDA.</t>
  </si>
  <si>
    <t>R-LR-065-2022</t>
  </si>
  <si>
    <t>09471</t>
  </si>
  <si>
    <t>JUAN PABLO HERNÁNDEZ ALVARADO</t>
  </si>
  <si>
    <t>CHOQUE SÉPTICO, NEUMONÍA ASPIRATIVA, MENINGITIS, EPILEPSIA</t>
  </si>
  <si>
    <t>R-LR-066-2022</t>
  </si>
  <si>
    <t>70329</t>
  </si>
  <si>
    <t>JOSÉ MAURICIO VILLALTA MEJÍA</t>
  </si>
  <si>
    <t>SANGRADO DE TUBO DIGESTIVO SUPERIOR, CETOACIDOSIS DIABETICA</t>
  </si>
  <si>
    <t>R-LR-067-2022</t>
  </si>
  <si>
    <t>04917</t>
  </si>
  <si>
    <t>GERARDO CHILIN CHAVEZ</t>
  </si>
  <si>
    <t>R-LR-068-2022</t>
  </si>
  <si>
    <t>06738</t>
  </si>
  <si>
    <t>MARÍA YOLANDA GUZMÁN ARÉVALO DE MOLINA</t>
  </si>
  <si>
    <t>NEUMONÍA GRAVE, SOSPECHA DE COVID-19, HIPERTENSIÓN ARTERIAL CRÓNICA</t>
  </si>
  <si>
    <t>R-LR-069-2022</t>
  </si>
  <si>
    <t>51398</t>
  </si>
  <si>
    <t>ANA ELIZABETH FIGUEROA ZEPEDA</t>
  </si>
  <si>
    <t>CÁNCER DE OVARIO, CARCINOMATOSIS, PARO CARDIORESPIRATORIO</t>
  </si>
  <si>
    <t>R-LR-070-2022</t>
  </si>
  <si>
    <t>00344</t>
  </si>
  <si>
    <t>RENÉ ANTONIO RAMOS</t>
  </si>
  <si>
    <t>PARO CARDIO-RESPIRATORIO, INFARTO AGUDO AL MIOCARDIO E HIPERTENCIÓN ARTERIAL CRÓNICA</t>
  </si>
  <si>
    <t>R-LR-071-2022</t>
  </si>
  <si>
    <t>61783</t>
  </si>
  <si>
    <t>SARA ELIZABETH LINARES DE MEJÍA</t>
  </si>
  <si>
    <t>ESCLEROSIS LATERAL AMIOTRÓFICA, PARO RESPIRATORIO.</t>
  </si>
  <si>
    <t>R-LR-072-2022</t>
  </si>
  <si>
    <t>38065</t>
  </si>
  <si>
    <t>JOSÉ AMADEO ARANIVA MARAVILLA</t>
  </si>
  <si>
    <t>CESE DE FUNCIONES VITALES POR CARDIOPATIA DIABETICA</t>
  </si>
  <si>
    <t>R-LR-073-2022</t>
  </si>
  <si>
    <t>53409</t>
  </si>
  <si>
    <t>LUIS FRANCISCO ARREAGA</t>
  </si>
  <si>
    <t>NEUMONÍA POR COVID-19, ENFERMEDAD RENAL CRÓNICA V</t>
  </si>
  <si>
    <t>R-LR-074-2022</t>
  </si>
  <si>
    <t>02578</t>
  </si>
  <si>
    <t>MYRIAM TERESA MENJÍVAR DÍAZ</t>
  </si>
  <si>
    <t>NEUMONÍA POR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</si>
</sst>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C09]* #,##0.00_-;\-[$$-C09]* #,##0.00_-;_-[$$-C09]* &quot;-&quot;??_-;_-@_-"/>
    <numFmt numFmtId="167" formatCode="dd/mm/yyyy;@"/>
    <numFmt numFmtId="168" formatCode="_([$€]* #,##0.00_);_([$€]* \(#,##0.00\);_([$€]* &quot;-&quot;??_);_(@_)"/>
    <numFmt numFmtId="169" formatCode="&quot;$&quot;#,##0.00;[Red]&quot;$&quot;#,##0.00"/>
  </numFmts>
  <fonts count="6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b/>
      <sz val="4"/>
      <name val="Arial"/>
      <family val="2"/>
    </font>
    <font>
      <sz val="11"/>
      <name val="Museo Sans 300"/>
      <family val="3"/>
    </font>
    <font>
      <sz val="10"/>
      <name val="Museo Sans 300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b/>
      <sz val="14"/>
      <color rgb="FF002060"/>
      <name val="Bembo Std"/>
      <family val="1"/>
    </font>
    <font>
      <b/>
      <sz val="8"/>
      <color theme="1"/>
      <name val="Museo Sans 100"/>
      <family val="3"/>
    </font>
    <font>
      <b/>
      <sz val="9"/>
      <color theme="1"/>
      <name val="Museo Sans 100"/>
      <family val="3"/>
    </font>
    <font>
      <b/>
      <sz val="11"/>
      <color theme="1"/>
      <name val="Museo Sans 100"/>
      <family val="3"/>
    </font>
    <font>
      <b/>
      <sz val="7"/>
      <color theme="1"/>
      <name val="Museo Sans 100"/>
      <family val="3"/>
    </font>
    <font>
      <b/>
      <sz val="6"/>
      <color theme="1"/>
      <name val="Museo Sans 100"/>
      <family val="3"/>
    </font>
    <font>
      <b/>
      <sz val="11"/>
      <color rgb="FFFFFF00"/>
      <name val="Museo Sans 100"/>
      <family val="3"/>
    </font>
    <font>
      <b/>
      <sz val="8"/>
      <color rgb="FFFFFF00"/>
      <name val="Museo Sans 100"/>
      <family val="3"/>
    </font>
    <font>
      <sz val="9"/>
      <color theme="1"/>
      <name val="Museo Sans 100"/>
      <family val="3"/>
    </font>
    <font>
      <sz val="8"/>
      <color theme="1"/>
      <name val="Museo Sans 100"/>
      <family val="3"/>
    </font>
    <font>
      <sz val="7"/>
      <color theme="1"/>
      <name val="Museo Sans 100"/>
      <family val="3"/>
    </font>
    <font>
      <sz val="9"/>
      <name val="Museo Sans 100"/>
      <family val="3"/>
    </font>
    <font>
      <sz val="8"/>
      <color rgb="FFFF0000"/>
      <name val="Museo Sans 100"/>
      <family val="3"/>
    </font>
    <font>
      <sz val="9"/>
      <color rgb="FFFF0000"/>
      <name val="Museo Sans 100"/>
      <family val="3"/>
    </font>
    <font>
      <sz val="9"/>
      <color rgb="FF7030A0"/>
      <name val="Museo Sans 100"/>
      <family val="3"/>
    </font>
    <font>
      <sz val="8"/>
      <name val="Museo Sans 100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8" tint="0.79998168889431442"/>
      </patternFill>
    </fill>
  </fills>
  <borders count="9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theme="8" tint="0.39997558519241921"/>
      </bottom>
      <diagonal/>
    </border>
    <border>
      <left style="thin">
        <color rgb="FF002060"/>
      </left>
      <right style="thin">
        <color rgb="FF002060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rgb="FF002060"/>
      </right>
      <top style="thin">
        <color rgb="FF002060"/>
      </top>
      <bottom style="medium">
        <color auto="1"/>
      </bottom>
      <diagonal/>
    </border>
    <border>
      <left style="thin">
        <color rgb="FF002060"/>
      </left>
      <right style="thin">
        <color rgb="FF002060"/>
      </right>
      <top/>
      <bottom style="medium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2060"/>
      </left>
      <right/>
      <top style="thin">
        <color rgb="FF002060"/>
      </top>
      <bottom style="medium">
        <color auto="1"/>
      </bottom>
      <diagonal/>
    </border>
  </borders>
  <cellStyleXfs count="14">
    <xf numFmtId="0" fontId="0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" fillId="0" borderId="0"/>
    <xf numFmtId="0" fontId="2" fillId="0" borderId="0"/>
    <xf numFmtId="0" fontId="22" fillId="0" borderId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62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8" fillId="0" borderId="0" xfId="0" applyFont="1"/>
    <xf numFmtId="0" fontId="0" fillId="0" borderId="0" xfId="0" applyBorder="1"/>
    <xf numFmtId="9" fontId="0" fillId="0" borderId="0" xfId="11" applyFont="1"/>
    <xf numFmtId="0" fontId="7" fillId="0" borderId="0" xfId="0" applyFont="1"/>
    <xf numFmtId="0" fontId="6" fillId="0" borderId="0" xfId="0" applyFont="1" applyBorder="1" applyAlignment="1">
      <alignment horizontal="center"/>
    </xf>
    <xf numFmtId="165" fontId="0" fillId="0" borderId="0" xfId="0" applyNumberFormat="1"/>
    <xf numFmtId="165" fontId="2" fillId="0" borderId="0" xfId="0" applyNumberFormat="1" applyFont="1"/>
    <xf numFmtId="0" fontId="6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2" fillId="0" borderId="2" xfId="0" applyFont="1" applyBorder="1"/>
    <xf numFmtId="0" fontId="15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7" fontId="16" fillId="0" borderId="5" xfId="0" applyNumberFormat="1" applyFont="1" applyBorder="1" applyAlignment="1">
      <alignment horizontal="left"/>
    </xf>
    <xf numFmtId="0" fontId="12" fillId="0" borderId="0" xfId="0" applyFont="1"/>
    <xf numFmtId="0" fontId="17" fillId="0" borderId="0" xfId="0" applyFont="1"/>
    <xf numFmtId="0" fontId="14" fillId="0" borderId="1" xfId="0" applyFont="1" applyBorder="1" applyAlignment="1">
      <alignment horizontal="center" vertical="center" wrapText="1"/>
    </xf>
    <xf numFmtId="17" fontId="16" fillId="0" borderId="2" xfId="0" applyNumberFormat="1" applyFont="1" applyBorder="1" applyAlignment="1">
      <alignment horizontal="left"/>
    </xf>
    <xf numFmtId="166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166" fontId="1" fillId="0" borderId="1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4" fillId="0" borderId="7" xfId="0" applyFont="1" applyBorder="1" applyAlignment="1">
      <alignment horizontal="center" vertical="center" wrapText="1"/>
    </xf>
    <xf numFmtId="166" fontId="2" fillId="0" borderId="7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6" fontId="0" fillId="0" borderId="0" xfId="0" applyNumberFormat="1"/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2" fillId="0" borderId="0" xfId="7"/>
    <xf numFmtId="0" fontId="12" fillId="0" borderId="0" xfId="7" applyFont="1" applyAlignment="1">
      <alignment horizontal="center"/>
    </xf>
    <xf numFmtId="0" fontId="2" fillId="0" borderId="0" xfId="7" applyFont="1"/>
    <xf numFmtId="0" fontId="2" fillId="0" borderId="2" xfId="7" applyFont="1" applyBorder="1"/>
    <xf numFmtId="0" fontId="14" fillId="0" borderId="9" xfId="7" applyFont="1" applyBorder="1" applyAlignment="1">
      <alignment horizontal="center" vertical="center" wrapText="1"/>
    </xf>
    <xf numFmtId="0" fontId="14" fillId="0" borderId="3" xfId="7" applyFont="1" applyBorder="1" applyAlignment="1">
      <alignment horizontal="center" vertical="center" wrapText="1"/>
    </xf>
    <xf numFmtId="0" fontId="14" fillId="0" borderId="10" xfId="7" applyFont="1" applyBorder="1" applyAlignment="1">
      <alignment horizontal="center" vertical="center" wrapText="1"/>
    </xf>
    <xf numFmtId="0" fontId="14" fillId="0" borderId="4" xfId="7" applyFont="1" applyBorder="1" applyAlignment="1">
      <alignment horizontal="center" vertical="center" wrapText="1"/>
    </xf>
    <xf numFmtId="17" fontId="16" fillId="0" borderId="5" xfId="7" applyNumberFormat="1" applyFont="1" applyBorder="1" applyAlignment="1">
      <alignment horizontal="left"/>
    </xf>
    <xf numFmtId="0" fontId="1" fillId="0" borderId="5" xfId="7" applyFont="1" applyBorder="1"/>
    <xf numFmtId="0" fontId="17" fillId="0" borderId="0" xfId="7" applyFont="1"/>
    <xf numFmtId="0" fontId="3" fillId="0" borderId="0" xfId="7" applyFont="1"/>
    <xf numFmtId="165" fontId="2" fillId="0" borderId="0" xfId="7" applyNumberFormat="1" applyFont="1"/>
    <xf numFmtId="0" fontId="6" fillId="0" borderId="0" xfId="7" applyFont="1"/>
    <xf numFmtId="0" fontId="2" fillId="0" borderId="0" xfId="7" applyFont="1" applyAlignment="1">
      <alignment horizontal="left"/>
    </xf>
    <xf numFmtId="0" fontId="2" fillId="0" borderId="0" xfId="7" applyFont="1" applyAlignment="1">
      <alignment horizontal="center"/>
    </xf>
    <xf numFmtId="0" fontId="12" fillId="0" borderId="0" xfId="7" applyFont="1"/>
    <xf numFmtId="0" fontId="1" fillId="0" borderId="5" xfId="7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7" fontId="16" fillId="0" borderId="11" xfId="0" applyNumberFormat="1" applyFont="1" applyBorder="1" applyAlignment="1">
      <alignment horizontal="left"/>
    </xf>
    <xf numFmtId="17" fontId="16" fillId="0" borderId="9" xfId="0" applyNumberFormat="1" applyFont="1" applyBorder="1" applyAlignment="1">
      <alignment horizontal="left"/>
    </xf>
    <xf numFmtId="0" fontId="0" fillId="0" borderId="0" xfId="11" applyNumberFormat="1" applyFont="1"/>
    <xf numFmtId="166" fontId="0" fillId="0" borderId="0" xfId="11" applyNumberFormat="1" applyFont="1"/>
    <xf numFmtId="0" fontId="2" fillId="0" borderId="0" xfId="11" applyNumberFormat="1" applyFont="1"/>
    <xf numFmtId="0" fontId="0" fillId="0" borderId="0" xfId="0" applyNumberFormat="1"/>
    <xf numFmtId="1" fontId="0" fillId="0" borderId="0" xfId="11" applyNumberFormat="1" applyFont="1"/>
    <xf numFmtId="166" fontId="2" fillId="0" borderId="0" xfId="11" applyNumberFormat="1" applyFo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5" applyFont="1" applyBorder="1" applyAlignment="1">
      <alignment horizontal="center"/>
    </xf>
    <xf numFmtId="0" fontId="8" fillId="0" borderId="0" xfId="0" applyFont="1" applyAlignment="1">
      <alignment horizontal="left"/>
    </xf>
    <xf numFmtId="165" fontId="0" fillId="0" borderId="0" xfId="5" applyFont="1"/>
    <xf numFmtId="0" fontId="0" fillId="0" borderId="12" xfId="0" applyBorder="1"/>
    <xf numFmtId="17" fontId="16" fillId="0" borderId="13" xfId="0" applyNumberFormat="1" applyFont="1" applyBorder="1" applyAlignment="1">
      <alignment horizontal="left"/>
    </xf>
    <xf numFmtId="4" fontId="0" fillId="0" borderId="0" xfId="11" applyNumberFormat="1" applyFont="1"/>
    <xf numFmtId="1" fontId="2" fillId="0" borderId="0" xfId="11" applyNumberFormat="1" applyFont="1"/>
    <xf numFmtId="165" fontId="2" fillId="0" borderId="0" xfId="5" applyFont="1"/>
    <xf numFmtId="166" fontId="1" fillId="0" borderId="14" xfId="0" applyNumberFormat="1" applyFont="1" applyBorder="1" applyAlignment="1">
      <alignment horizontal="center"/>
    </xf>
    <xf numFmtId="9" fontId="1" fillId="0" borderId="0" xfId="11" applyFont="1" applyFill="1" applyBorder="1" applyAlignment="1">
      <alignment horizontal="center"/>
    </xf>
    <xf numFmtId="44" fontId="7" fillId="0" borderId="5" xfId="6" applyFont="1" applyBorder="1" applyAlignment="1">
      <alignment horizontal="center"/>
    </xf>
    <xf numFmtId="166" fontId="7" fillId="0" borderId="5" xfId="7" applyNumberFormat="1" applyFont="1" applyBorder="1" applyAlignment="1">
      <alignment horizontal="center"/>
    </xf>
    <xf numFmtId="0" fontId="24" fillId="0" borderId="0" xfId="7" applyFont="1"/>
    <xf numFmtId="0" fontId="25" fillId="0" borderId="0" xfId="0" applyFont="1"/>
    <xf numFmtId="0" fontId="12" fillId="0" borderId="0" xfId="0" applyFont="1" applyAlignment="1">
      <alignment vertical="center"/>
    </xf>
    <xf numFmtId="0" fontId="12" fillId="0" borderId="0" xfId="7" applyFont="1" applyAlignment="1">
      <alignment vertical="center"/>
    </xf>
    <xf numFmtId="166" fontId="26" fillId="0" borderId="0" xfId="0" applyNumberFormat="1" applyFont="1"/>
    <xf numFmtId="0" fontId="2" fillId="0" borderId="2" xfId="9" applyFont="1" applyBorder="1"/>
    <xf numFmtId="0" fontId="14" fillId="0" borderId="9" xfId="9" applyFont="1" applyBorder="1" applyAlignment="1">
      <alignment horizontal="center" vertical="center" wrapText="1"/>
    </xf>
    <xf numFmtId="0" fontId="15" fillId="0" borderId="2" xfId="9" applyFont="1" applyBorder="1" applyAlignment="1">
      <alignment horizontal="center" vertical="center" wrapText="1"/>
    </xf>
    <xf numFmtId="0" fontId="14" fillId="0" borderId="3" xfId="9" applyFont="1" applyBorder="1" applyAlignment="1">
      <alignment horizontal="center" vertical="center" wrapText="1"/>
    </xf>
    <xf numFmtId="0" fontId="14" fillId="0" borderId="10" xfId="9" applyFont="1" applyBorder="1" applyAlignment="1">
      <alignment horizontal="center" vertical="center" wrapText="1"/>
    </xf>
    <xf numFmtId="0" fontId="14" fillId="0" borderId="4" xfId="9" applyFont="1" applyBorder="1" applyAlignment="1">
      <alignment horizontal="center" vertical="center" wrapText="1"/>
    </xf>
    <xf numFmtId="0" fontId="15" fillId="0" borderId="10" xfId="9" applyFont="1" applyBorder="1" applyAlignment="1">
      <alignment horizontal="center" vertical="center" wrapText="1"/>
    </xf>
    <xf numFmtId="165" fontId="3" fillId="0" borderId="17" xfId="5" applyFont="1" applyBorder="1" applyAlignment="1">
      <alignment horizontal="center"/>
    </xf>
    <xf numFmtId="17" fontId="3" fillId="0" borderId="18" xfId="0" applyNumberFormat="1" applyFont="1" applyBorder="1" applyAlignment="1">
      <alignment horizontal="center"/>
    </xf>
    <xf numFmtId="17" fontId="3" fillId="0" borderId="19" xfId="0" applyNumberFormat="1" applyFont="1" applyBorder="1" applyAlignment="1">
      <alignment horizontal="center"/>
    </xf>
    <xf numFmtId="17" fontId="3" fillId="0" borderId="20" xfId="0" applyNumberFormat="1" applyFont="1" applyBorder="1" applyAlignment="1">
      <alignment horizontal="center"/>
    </xf>
    <xf numFmtId="17" fontId="3" fillId="0" borderId="21" xfId="0" applyNumberFormat="1" applyFont="1" applyBorder="1" applyAlignment="1">
      <alignment horizontal="center"/>
    </xf>
    <xf numFmtId="165" fontId="3" fillId="0" borderId="0" xfId="0" applyNumberFormat="1" applyFont="1"/>
    <xf numFmtId="166" fontId="2" fillId="0" borderId="0" xfId="7" applyNumberFormat="1" applyFont="1"/>
    <xf numFmtId="165" fontId="1" fillId="0" borderId="6" xfId="4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7" fillId="0" borderId="25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10" fontId="28" fillId="0" borderId="23" xfId="11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165" fontId="3" fillId="0" borderId="28" xfId="5" applyFont="1" applyBorder="1" applyAlignment="1">
      <alignment horizontal="center"/>
    </xf>
    <xf numFmtId="17" fontId="3" fillId="0" borderId="29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wrapText="1" shrinkToFit="1"/>
    </xf>
    <xf numFmtId="0" fontId="5" fillId="0" borderId="32" xfId="0" applyFont="1" applyBorder="1" applyAlignment="1">
      <alignment horizontal="center" vertical="center" wrapText="1" shrinkToFit="1"/>
    </xf>
    <xf numFmtId="165" fontId="3" fillId="0" borderId="33" xfId="5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65" fontId="4" fillId="0" borderId="34" xfId="4" applyFont="1" applyBorder="1" applyAlignment="1">
      <alignment horizontal="center"/>
    </xf>
    <xf numFmtId="165" fontId="4" fillId="0" borderId="35" xfId="4" applyFont="1" applyBorder="1" applyAlignment="1">
      <alignment horizontal="center"/>
    </xf>
    <xf numFmtId="0" fontId="0" fillId="0" borderId="36" xfId="0" applyBorder="1"/>
    <xf numFmtId="0" fontId="1" fillId="0" borderId="37" xfId="0" applyFont="1" applyBorder="1" applyAlignment="1">
      <alignment horizontal="center"/>
    </xf>
    <xf numFmtId="44" fontId="0" fillId="0" borderId="0" xfId="0" applyNumberFormat="1"/>
    <xf numFmtId="165" fontId="1" fillId="0" borderId="25" xfId="0" applyNumberFormat="1" applyFont="1" applyBorder="1" applyAlignment="1">
      <alignment horizontal="center"/>
    </xf>
    <xf numFmtId="165" fontId="28" fillId="0" borderId="0" xfId="4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/>
    </xf>
    <xf numFmtId="165" fontId="3" fillId="2" borderId="28" xfId="5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9" fillId="0" borderId="24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justify" vertical="center" wrapText="1"/>
    </xf>
    <xf numFmtId="0" fontId="2" fillId="0" borderId="43" xfId="0" applyFont="1" applyBorder="1" applyAlignment="1">
      <alignment horizontal="center"/>
    </xf>
    <xf numFmtId="165" fontId="30" fillId="0" borderId="33" xfId="4" applyFont="1" applyBorder="1" applyAlignment="1">
      <alignment horizontal="justify" vertical="center" wrapText="1"/>
    </xf>
    <xf numFmtId="10" fontId="30" fillId="0" borderId="43" xfId="11" applyNumberFormat="1" applyFont="1" applyBorder="1" applyAlignment="1">
      <alignment horizontal="center" vertical="center" wrapText="1"/>
    </xf>
    <xf numFmtId="0" fontId="21" fillId="0" borderId="44" xfId="0" applyFont="1" applyBorder="1"/>
    <xf numFmtId="0" fontId="2" fillId="0" borderId="23" xfId="0" applyFont="1" applyBorder="1" applyAlignment="1">
      <alignment horizontal="center"/>
    </xf>
    <xf numFmtId="10" fontId="30" fillId="0" borderId="23" xfId="11" applyNumberFormat="1" applyFont="1" applyBorder="1" applyAlignment="1">
      <alignment horizontal="center" vertical="center" wrapText="1"/>
    </xf>
    <xf numFmtId="10" fontId="30" fillId="0" borderId="44" xfId="11" applyNumberFormat="1" applyFont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10" fontId="29" fillId="0" borderId="24" xfId="11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justify" vertical="center" wrapText="1"/>
    </xf>
    <xf numFmtId="165" fontId="30" fillId="0" borderId="45" xfId="4" applyFont="1" applyBorder="1" applyAlignment="1">
      <alignment horizontal="left" vertical="center" wrapText="1"/>
    </xf>
    <xf numFmtId="0" fontId="30" fillId="0" borderId="23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left" vertical="center" wrapText="1"/>
    </xf>
    <xf numFmtId="0" fontId="30" fillId="0" borderId="43" xfId="0" applyFont="1" applyBorder="1" applyAlignment="1">
      <alignment horizontal="left" vertical="center" wrapText="1"/>
    </xf>
    <xf numFmtId="17" fontId="31" fillId="0" borderId="5" xfId="7" applyNumberFormat="1" applyFont="1" applyBorder="1" applyAlignment="1">
      <alignment horizontal="left"/>
    </xf>
    <xf numFmtId="0" fontId="31" fillId="0" borderId="5" xfId="7" applyFont="1" applyBorder="1" applyAlignment="1">
      <alignment horizontal="center"/>
    </xf>
    <xf numFmtId="44" fontId="31" fillId="0" borderId="5" xfId="6" applyFont="1" applyBorder="1" applyAlignment="1">
      <alignment horizontal="center"/>
    </xf>
    <xf numFmtId="166" fontId="31" fillId="0" borderId="5" xfId="7" applyNumberFormat="1" applyFont="1" applyBorder="1" applyAlignment="1">
      <alignment horizontal="center"/>
    </xf>
    <xf numFmtId="44" fontId="22" fillId="0" borderId="5" xfId="6" applyFont="1" applyBorder="1"/>
    <xf numFmtId="17" fontId="31" fillId="0" borderId="5" xfId="9" applyNumberFormat="1" applyFont="1" applyBorder="1" applyAlignment="1">
      <alignment horizontal="left"/>
    </xf>
    <xf numFmtId="0" fontId="32" fillId="0" borderId="5" xfId="7" applyFont="1" applyBorder="1"/>
    <xf numFmtId="0" fontId="32" fillId="0" borderId="6" xfId="0" applyFont="1" applyBorder="1" applyAlignment="1">
      <alignment horizontal="center"/>
    </xf>
    <xf numFmtId="44" fontId="32" fillId="0" borderId="6" xfId="0" applyNumberFormat="1" applyFont="1" applyBorder="1" applyAlignment="1">
      <alignment horizontal="center"/>
    </xf>
    <xf numFmtId="166" fontId="32" fillId="0" borderId="6" xfId="0" applyNumberFormat="1" applyFont="1" applyBorder="1" applyAlignment="1">
      <alignment horizontal="center"/>
    </xf>
    <xf numFmtId="166" fontId="32" fillId="0" borderId="1" xfId="0" applyNumberFormat="1" applyFont="1" applyBorder="1" applyAlignment="1">
      <alignment horizontal="center"/>
    </xf>
    <xf numFmtId="17" fontId="2" fillId="0" borderId="11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165" fontId="2" fillId="0" borderId="5" xfId="4" applyFont="1" applyBorder="1" applyAlignment="1">
      <alignment horizontal="center" vertical="center"/>
    </xf>
    <xf numFmtId="17" fontId="2" fillId="0" borderId="46" xfId="0" applyNumberFormat="1" applyFont="1" applyBorder="1" applyAlignment="1">
      <alignment horizontal="left"/>
    </xf>
    <xf numFmtId="0" fontId="2" fillId="0" borderId="5" xfId="7" applyFont="1" applyBorder="1" applyAlignment="1">
      <alignment horizontal="center"/>
    </xf>
    <xf numFmtId="166" fontId="2" fillId="0" borderId="5" xfId="7" applyNumberFormat="1" applyFont="1" applyBorder="1" applyAlignment="1">
      <alignment horizontal="center"/>
    </xf>
    <xf numFmtId="165" fontId="30" fillId="0" borderId="0" xfId="4" applyFont="1" applyBorder="1" applyAlignment="1">
      <alignment horizontal="left" vertical="center" wrapText="1"/>
    </xf>
    <xf numFmtId="10" fontId="30" fillId="0" borderId="0" xfId="11" applyNumberFormat="1" applyFont="1" applyBorder="1" applyAlignment="1">
      <alignment horizontal="center" vertical="center" wrapText="1"/>
    </xf>
    <xf numFmtId="10" fontId="30" fillId="0" borderId="47" xfId="11" applyNumberFormat="1" applyFont="1" applyBorder="1" applyAlignment="1">
      <alignment horizontal="center" vertical="center" wrapText="1"/>
    </xf>
    <xf numFmtId="165" fontId="1" fillId="0" borderId="48" xfId="0" applyNumberFormat="1" applyFont="1" applyBorder="1" applyAlignment="1">
      <alignment horizontal="center"/>
    </xf>
    <xf numFmtId="10" fontId="30" fillId="0" borderId="24" xfId="11" applyNumberFormat="1" applyFont="1" applyBorder="1" applyAlignment="1">
      <alignment horizontal="center" vertical="center" wrapText="1"/>
    </xf>
    <xf numFmtId="0" fontId="28" fillId="0" borderId="49" xfId="0" applyFont="1" applyBorder="1" applyAlignment="1">
      <alignment horizontal="left" vertical="center" wrapText="1"/>
    </xf>
    <xf numFmtId="0" fontId="30" fillId="0" borderId="49" xfId="0" applyFont="1" applyBorder="1" applyAlignment="1">
      <alignment horizontal="left" vertical="center" wrapText="1"/>
    </xf>
    <xf numFmtId="0" fontId="28" fillId="0" borderId="50" xfId="0" applyFont="1" applyBorder="1" applyAlignment="1">
      <alignment horizontal="left" vertical="center" wrapText="1"/>
    </xf>
    <xf numFmtId="0" fontId="20" fillId="0" borderId="49" xfId="0" applyFont="1" applyBorder="1" applyAlignment="1">
      <alignment horizontal="justify" vertical="center" wrapText="1"/>
    </xf>
    <xf numFmtId="0" fontId="20" fillId="0" borderId="50" xfId="0" applyFont="1" applyBorder="1"/>
    <xf numFmtId="10" fontId="28" fillId="0" borderId="44" xfId="11" applyNumberFormat="1" applyFont="1" applyBorder="1" applyAlignment="1">
      <alignment horizontal="center" vertical="center" wrapText="1"/>
    </xf>
    <xf numFmtId="0" fontId="28" fillId="0" borderId="51" xfId="0" applyFont="1" applyBorder="1" applyAlignment="1">
      <alignment horizontal="left" vertical="center" wrapText="1"/>
    </xf>
    <xf numFmtId="0" fontId="27" fillId="0" borderId="25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0" fillId="2" borderId="23" xfId="0" applyFill="1" applyBorder="1" applyAlignment="1">
      <alignment horizontal="center"/>
    </xf>
    <xf numFmtId="165" fontId="28" fillId="0" borderId="47" xfId="4" applyFont="1" applyBorder="1" applyAlignment="1">
      <alignment horizontal="left" vertical="center" wrapText="1"/>
    </xf>
    <xf numFmtId="165" fontId="28" fillId="0" borderId="23" xfId="4" applyFont="1" applyBorder="1" applyAlignment="1">
      <alignment horizontal="left" vertical="center" wrapText="1"/>
    </xf>
    <xf numFmtId="165" fontId="28" fillId="0" borderId="23" xfId="4" applyFont="1" applyBorder="1" applyAlignment="1">
      <alignment horizontal="justify" vertical="center" wrapText="1"/>
    </xf>
    <xf numFmtId="10" fontId="28" fillId="0" borderId="47" xfId="11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165" fontId="28" fillId="0" borderId="44" xfId="4" applyFont="1" applyBorder="1" applyAlignment="1">
      <alignment horizontal="justify" vertical="center" wrapText="1"/>
    </xf>
    <xf numFmtId="165" fontId="1" fillId="0" borderId="24" xfId="0" applyNumberFormat="1" applyFont="1" applyBorder="1" applyAlignment="1">
      <alignment horizontal="center"/>
    </xf>
    <xf numFmtId="0" fontId="34" fillId="0" borderId="0" xfId="0" applyFont="1"/>
    <xf numFmtId="10" fontId="27" fillId="0" borderId="24" xfId="1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10" fontId="28" fillId="0" borderId="0" xfId="11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26" fillId="0" borderId="0" xfId="0" applyFont="1"/>
    <xf numFmtId="0" fontId="36" fillId="0" borderId="0" xfId="0" applyFont="1" applyAlignment="1">
      <alignment horizontal="center" wrapText="1"/>
    </xf>
    <xf numFmtId="165" fontId="25" fillId="0" borderId="52" xfId="5" applyFont="1" applyBorder="1" applyAlignment="1">
      <alignment horizontal="center"/>
    </xf>
    <xf numFmtId="164" fontId="26" fillId="0" borderId="0" xfId="0" applyNumberFormat="1" applyFont="1"/>
    <xf numFmtId="165" fontId="26" fillId="0" borderId="0" xfId="0" applyNumberFormat="1" applyFont="1"/>
    <xf numFmtId="44" fontId="26" fillId="0" borderId="0" xfId="0" applyNumberFormat="1" applyFont="1"/>
    <xf numFmtId="44" fontId="37" fillId="0" borderId="0" xfId="0" applyNumberFormat="1" applyFont="1"/>
    <xf numFmtId="165" fontId="25" fillId="0" borderId="0" xfId="5" applyFont="1" applyFill="1" applyBorder="1" applyAlignment="1">
      <alignment horizontal="center"/>
    </xf>
    <xf numFmtId="165" fontId="38" fillId="0" borderId="24" xfId="4" applyFont="1" applyBorder="1" applyAlignment="1">
      <alignment horizontal="center"/>
    </xf>
    <xf numFmtId="165" fontId="38" fillId="0" borderId="0" xfId="4" applyFont="1" applyBorder="1" applyAlignment="1">
      <alignment horizontal="center"/>
    </xf>
    <xf numFmtId="164" fontId="39" fillId="0" borderId="0" xfId="11" applyNumberFormat="1" applyFont="1"/>
    <xf numFmtId="0" fontId="25" fillId="0" borderId="45" xfId="0" applyFont="1" applyBorder="1"/>
    <xf numFmtId="9" fontId="26" fillId="0" borderId="0" xfId="11" applyFont="1"/>
    <xf numFmtId="0" fontId="39" fillId="0" borderId="0" xfId="0" applyFont="1"/>
    <xf numFmtId="0" fontId="2" fillId="0" borderId="45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27" fillId="0" borderId="5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/>
    </xf>
    <xf numFmtId="0" fontId="30" fillId="0" borderId="43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165" fontId="30" fillId="0" borderId="42" xfId="4" applyFont="1" applyBorder="1" applyAlignment="1">
      <alignment horizontal="left" vertical="center" wrapText="1"/>
    </xf>
    <xf numFmtId="0" fontId="29" fillId="0" borderId="3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/>
    </xf>
    <xf numFmtId="0" fontId="30" fillId="0" borderId="23" xfId="0" applyFont="1" applyBorder="1" applyAlignment="1">
      <alignment horizontal="center" vertical="center" wrapText="1"/>
    </xf>
    <xf numFmtId="10" fontId="30" fillId="0" borderId="54" xfId="11" applyNumberFormat="1" applyFont="1" applyBorder="1" applyAlignment="1">
      <alignment horizontal="center" vertical="center" wrapText="1"/>
    </xf>
    <xf numFmtId="10" fontId="30" fillId="0" borderId="40" xfId="11" applyNumberFormat="1" applyFont="1" applyBorder="1" applyAlignment="1">
      <alignment horizontal="center" vertical="center" wrapText="1"/>
    </xf>
    <xf numFmtId="10" fontId="30" fillId="0" borderId="22" xfId="11" applyNumberFormat="1" applyFont="1" applyBorder="1" applyAlignment="1">
      <alignment horizontal="center" vertical="center"/>
    </xf>
    <xf numFmtId="165" fontId="30" fillId="0" borderId="43" xfId="4" applyFont="1" applyBorder="1" applyAlignment="1">
      <alignment horizontal="left" vertical="center" wrapText="1"/>
    </xf>
    <xf numFmtId="165" fontId="30" fillId="0" borderId="23" xfId="4" applyFont="1" applyBorder="1" applyAlignment="1">
      <alignment horizontal="left" vertical="center" wrapText="1"/>
    </xf>
    <xf numFmtId="165" fontId="29" fillId="0" borderId="16" xfId="4" applyFont="1" applyBorder="1" applyAlignment="1">
      <alignment horizontal="left" vertical="center"/>
    </xf>
    <xf numFmtId="0" fontId="30" fillId="0" borderId="51" xfId="0" applyFont="1" applyBorder="1" applyAlignment="1">
      <alignment horizontal="left" vertical="center" wrapText="1"/>
    </xf>
    <xf numFmtId="0" fontId="29" fillId="0" borderId="48" xfId="0" applyFont="1" applyBorder="1" applyAlignment="1">
      <alignment horizontal="right" vertical="center" wrapText="1"/>
    </xf>
    <xf numFmtId="0" fontId="2" fillId="2" borderId="55" xfId="0" applyFont="1" applyFill="1" applyBorder="1" applyAlignment="1">
      <alignment horizontal="center"/>
    </xf>
    <xf numFmtId="165" fontId="29" fillId="0" borderId="37" xfId="4" applyFont="1" applyBorder="1" applyAlignment="1">
      <alignment horizontal="left" vertical="center" wrapText="1"/>
    </xf>
    <xf numFmtId="0" fontId="2" fillId="0" borderId="56" xfId="0" applyFont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9" fillId="0" borderId="25" xfId="0" applyFont="1" applyBorder="1" applyAlignment="1">
      <alignment horizontal="right" vertical="center" wrapText="1"/>
    </xf>
    <xf numFmtId="0" fontId="1" fillId="2" borderId="25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44" fontId="1" fillId="0" borderId="0" xfId="0" applyNumberFormat="1" applyFont="1" applyBorder="1" applyAlignment="1">
      <alignment wrapText="1"/>
    </xf>
    <xf numFmtId="44" fontId="1" fillId="0" borderId="16" xfId="0" applyNumberFormat="1" applyFont="1" applyBorder="1" applyAlignment="1">
      <alignment wrapText="1"/>
    </xf>
    <xf numFmtId="0" fontId="1" fillId="0" borderId="16" xfId="0" applyFont="1" applyBorder="1" applyAlignment="1">
      <alignment horizontal="center" wrapText="1"/>
    </xf>
    <xf numFmtId="0" fontId="20" fillId="0" borderId="23" xfId="0" applyFont="1" applyBorder="1" applyAlignment="1">
      <alignment horizontal="justify" vertical="center" wrapText="1"/>
    </xf>
    <xf numFmtId="44" fontId="2" fillId="0" borderId="0" xfId="0" applyNumberFormat="1" applyFont="1"/>
    <xf numFmtId="169" fontId="26" fillId="0" borderId="0" xfId="0" applyNumberFormat="1" applyFont="1"/>
    <xf numFmtId="0" fontId="30" fillId="0" borderId="57" xfId="0" applyFont="1" applyBorder="1" applyAlignment="1">
      <alignment horizontal="left" vertical="center" wrapText="1"/>
    </xf>
    <xf numFmtId="0" fontId="29" fillId="0" borderId="56" xfId="0" applyFont="1" applyBorder="1" applyAlignment="1">
      <alignment horizontal="center" vertical="center" wrapText="1"/>
    </xf>
    <xf numFmtId="0" fontId="40" fillId="0" borderId="0" xfId="0" applyFont="1"/>
    <xf numFmtId="0" fontId="41" fillId="0" borderId="0" xfId="0" applyFont="1"/>
    <xf numFmtId="0" fontId="34" fillId="0" borderId="0" xfId="0" applyFont="1" applyAlignment="1">
      <alignment horizontal="right"/>
    </xf>
    <xf numFmtId="165" fontId="30" fillId="0" borderId="58" xfId="4" applyFont="1" applyBorder="1" applyAlignment="1">
      <alignment horizontal="left" vertical="center" wrapText="1"/>
    </xf>
    <xf numFmtId="165" fontId="29" fillId="0" borderId="24" xfId="4" applyFont="1" applyBorder="1" applyAlignment="1">
      <alignment horizontal="left" vertical="center" wrapText="1"/>
    </xf>
    <xf numFmtId="165" fontId="1" fillId="0" borderId="16" xfId="0" applyNumberFormat="1" applyFont="1" applyBorder="1" applyAlignment="1">
      <alignment horizontal="center"/>
    </xf>
    <xf numFmtId="44" fontId="42" fillId="0" borderId="0" xfId="0" applyNumberFormat="1" applyFont="1"/>
    <xf numFmtId="0" fontId="43" fillId="0" borderId="0" xfId="0" applyFont="1"/>
    <xf numFmtId="0" fontId="38" fillId="0" borderId="0" xfId="0" applyFont="1"/>
    <xf numFmtId="0" fontId="44" fillId="0" borderId="0" xfId="0" applyFont="1"/>
    <xf numFmtId="3" fontId="26" fillId="0" borderId="0" xfId="0" applyNumberFormat="1" applyFont="1"/>
    <xf numFmtId="16" fontId="26" fillId="0" borderId="0" xfId="0" applyNumberFormat="1" applyFont="1" applyAlignment="1">
      <alignment horizontal="right"/>
    </xf>
    <xf numFmtId="17" fontId="26" fillId="0" borderId="0" xfId="0" applyNumberFormat="1" applyFont="1" applyAlignment="1">
      <alignment horizontal="right"/>
    </xf>
    <xf numFmtId="0" fontId="15" fillId="0" borderId="59" xfId="9" applyFont="1" applyBorder="1" applyAlignment="1">
      <alignment horizontal="center" vertical="center" wrapText="1"/>
    </xf>
    <xf numFmtId="166" fontId="2" fillId="0" borderId="14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0" fontId="2" fillId="0" borderId="45" xfId="0" applyFont="1" applyBorder="1"/>
    <xf numFmtId="0" fontId="3" fillId="0" borderId="45" xfId="0" applyFont="1" applyBorder="1"/>
    <xf numFmtId="165" fontId="4" fillId="0" borderId="0" xfId="0" applyNumberFormat="1" applyFont="1"/>
    <xf numFmtId="0" fontId="6" fillId="0" borderId="0" xfId="0" applyFont="1" applyAlignment="1">
      <alignment horizontal="left"/>
    </xf>
    <xf numFmtId="165" fontId="22" fillId="0" borderId="5" xfId="6" applyNumberFormat="1" applyFont="1" applyBorder="1"/>
    <xf numFmtId="44" fontId="31" fillId="0" borderId="5" xfId="7" applyNumberFormat="1" applyFont="1" applyBorder="1" applyAlignment="1">
      <alignment horizontal="center"/>
    </xf>
    <xf numFmtId="166" fontId="7" fillId="0" borderId="5" xfId="6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6" fontId="35" fillId="0" borderId="5" xfId="6" applyNumberFormat="1" applyFont="1" applyBorder="1"/>
    <xf numFmtId="165" fontId="35" fillId="0" borderId="5" xfId="6" applyNumberFormat="1" applyFont="1" applyBorder="1"/>
    <xf numFmtId="165" fontId="2" fillId="0" borderId="5" xfId="7" applyNumberFormat="1" applyFont="1" applyBorder="1" applyAlignment="1">
      <alignment horizontal="center"/>
    </xf>
    <xf numFmtId="165" fontId="33" fillId="0" borderId="5" xfId="6" applyNumberFormat="1" applyFont="1" applyBorder="1"/>
    <xf numFmtId="0" fontId="30" fillId="0" borderId="42" xfId="4" applyNumberFormat="1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46" fillId="0" borderId="73" xfId="0" applyFont="1" applyBorder="1" applyAlignment="1">
      <alignment horizontal="center" vertical="center" wrapText="1"/>
    </xf>
    <xf numFmtId="0" fontId="47" fillId="0" borderId="73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47" fillId="0" borderId="73" xfId="0" applyFont="1" applyBorder="1" applyAlignment="1">
      <alignment horizontal="center" vertical="center"/>
    </xf>
    <xf numFmtId="0" fontId="46" fillId="0" borderId="73" xfId="0" applyFont="1" applyFill="1" applyBorder="1" applyAlignment="1">
      <alignment horizontal="center" vertical="center" wrapText="1"/>
    </xf>
    <xf numFmtId="0" fontId="49" fillId="0" borderId="73" xfId="0" applyFont="1" applyBorder="1" applyAlignment="1">
      <alignment horizontal="center" vertical="center" wrapText="1"/>
    </xf>
    <xf numFmtId="0" fontId="50" fillId="0" borderId="73" xfId="0" applyFont="1" applyFill="1" applyBorder="1" applyAlignment="1">
      <alignment horizontal="center" wrapText="1"/>
    </xf>
    <xf numFmtId="0" fontId="48" fillId="0" borderId="73" xfId="0" applyFont="1" applyBorder="1" applyAlignment="1">
      <alignment horizontal="center" vertical="center"/>
    </xf>
    <xf numFmtId="0" fontId="51" fillId="0" borderId="73" xfId="0" applyFont="1" applyBorder="1" applyAlignment="1">
      <alignment horizontal="center" wrapText="1"/>
    </xf>
    <xf numFmtId="167" fontId="46" fillId="0" borderId="73" xfId="0" applyNumberFormat="1" applyFont="1" applyFill="1" applyBorder="1" applyAlignment="1">
      <alignment horizontal="center" vertical="center" wrapText="1"/>
    </xf>
    <xf numFmtId="0" fontId="47" fillId="0" borderId="73" xfId="0" applyFont="1" applyFill="1" applyBorder="1" applyAlignment="1">
      <alignment horizontal="left" vertical="center" wrapText="1"/>
    </xf>
    <xf numFmtId="0" fontId="49" fillId="0" borderId="73" xfId="0" applyFont="1" applyFill="1" applyBorder="1" applyAlignment="1">
      <alignment horizontal="center" vertical="center" wrapText="1"/>
    </xf>
    <xf numFmtId="0" fontId="46" fillId="0" borderId="74" xfId="0" applyFont="1" applyFill="1" applyBorder="1" applyAlignment="1">
      <alignment horizontal="center" vertical="center" wrapText="1"/>
    </xf>
    <xf numFmtId="167" fontId="47" fillId="0" borderId="0" xfId="0" applyNumberFormat="1" applyFont="1" applyFill="1" applyBorder="1" applyAlignment="1">
      <alignment horizontal="center" vertical="center" wrapText="1"/>
    </xf>
    <xf numFmtId="0" fontId="53" fillId="0" borderId="75" xfId="0" applyFont="1" applyBorder="1" applyAlignment="1">
      <alignment horizontal="center" vertical="center"/>
    </xf>
    <xf numFmtId="0" fontId="53" fillId="0" borderId="76" xfId="0" applyFont="1" applyBorder="1" applyAlignment="1">
      <alignment horizontal="center" vertical="center"/>
    </xf>
    <xf numFmtId="167" fontId="53" fillId="0" borderId="76" xfId="0" applyNumberFormat="1" applyFont="1" applyBorder="1" applyAlignment="1">
      <alignment horizontal="center" vertical="center"/>
    </xf>
    <xf numFmtId="0" fontId="53" fillId="0" borderId="76" xfId="0" applyFont="1" applyBorder="1" applyAlignment="1">
      <alignment horizontal="center" vertical="center" wrapText="1"/>
    </xf>
    <xf numFmtId="49" fontId="53" fillId="0" borderId="76" xfId="0" applyNumberFormat="1" applyFont="1" applyBorder="1" applyAlignment="1">
      <alignment horizontal="center" vertical="center"/>
    </xf>
    <xf numFmtId="0" fontId="53" fillId="0" borderId="76" xfId="0" applyFont="1" applyBorder="1" applyAlignment="1">
      <alignment vertical="center" wrapText="1"/>
    </xf>
    <xf numFmtId="1" fontId="53" fillId="0" borderId="76" xfId="0" applyNumberFormat="1" applyFont="1" applyBorder="1" applyAlignment="1">
      <alignment horizontal="center" vertical="center"/>
    </xf>
    <xf numFmtId="165" fontId="53" fillId="0" borderId="76" xfId="4" applyFont="1" applyBorder="1" applyAlignment="1">
      <alignment vertical="center"/>
    </xf>
    <xf numFmtId="167" fontId="54" fillId="0" borderId="76" xfId="0" applyNumberFormat="1" applyFont="1" applyBorder="1" applyAlignment="1">
      <alignment horizontal="center" vertical="center" wrapText="1"/>
    </xf>
    <xf numFmtId="0" fontId="54" fillId="0" borderId="76" xfId="0" applyFont="1" applyBorder="1" applyAlignment="1">
      <alignment horizontal="left" vertical="center" wrapText="1"/>
    </xf>
    <xf numFmtId="0" fontId="54" fillId="0" borderId="76" xfId="0" applyFont="1" applyBorder="1" applyAlignment="1">
      <alignment vertical="center" wrapText="1"/>
    </xf>
    <xf numFmtId="167" fontId="53" fillId="0" borderId="0" xfId="0" applyNumberFormat="1" applyFont="1" applyBorder="1" applyAlignment="1">
      <alignment horizontal="center"/>
    </xf>
    <xf numFmtId="0" fontId="54" fillId="0" borderId="75" xfId="0" applyFont="1" applyBorder="1" applyAlignment="1">
      <alignment horizontal="center" vertical="center"/>
    </xf>
    <xf numFmtId="0" fontId="55" fillId="0" borderId="76" xfId="0" applyFont="1" applyBorder="1" applyAlignment="1">
      <alignment horizontal="left" vertical="center" wrapText="1"/>
    </xf>
    <xf numFmtId="0" fontId="55" fillId="0" borderId="76" xfId="0" applyFont="1" applyBorder="1" applyAlignment="1">
      <alignment horizontal="left" wrapText="1"/>
    </xf>
    <xf numFmtId="167" fontId="56" fillId="0" borderId="76" xfId="0" applyNumberFormat="1" applyFont="1" applyBorder="1" applyAlignment="1">
      <alignment horizontal="center" vertical="center"/>
    </xf>
    <xf numFmtId="0" fontId="56" fillId="0" borderId="76" xfId="0" applyFont="1" applyBorder="1" applyAlignment="1">
      <alignment horizontal="center" vertical="center" wrapText="1"/>
    </xf>
    <xf numFmtId="0" fontId="57" fillId="3" borderId="76" xfId="0" applyFont="1" applyFill="1" applyBorder="1" applyAlignment="1">
      <alignment vertical="center" wrapText="1"/>
    </xf>
    <xf numFmtId="0" fontId="54" fillId="0" borderId="77" xfId="0" applyFont="1" applyBorder="1" applyAlignment="1">
      <alignment vertical="center" wrapText="1"/>
    </xf>
    <xf numFmtId="0" fontId="54" fillId="0" borderId="78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center"/>
    </xf>
    <xf numFmtId="167" fontId="53" fillId="0" borderId="79" xfId="0" applyNumberFormat="1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center" wrapText="1"/>
    </xf>
    <xf numFmtId="49" fontId="53" fillId="0" borderId="79" xfId="0" applyNumberFormat="1" applyFont="1" applyBorder="1" applyAlignment="1">
      <alignment horizontal="center" vertical="center"/>
    </xf>
    <xf numFmtId="0" fontId="53" fillId="0" borderId="79" xfId="0" applyFont="1" applyBorder="1" applyAlignment="1">
      <alignment vertical="center" wrapText="1"/>
    </xf>
    <xf numFmtId="1" fontId="53" fillId="0" borderId="79" xfId="0" applyNumberFormat="1" applyFont="1" applyBorder="1" applyAlignment="1">
      <alignment horizontal="center" vertical="center"/>
    </xf>
    <xf numFmtId="165" fontId="53" fillId="0" borderId="79" xfId="4" applyFont="1" applyBorder="1" applyAlignment="1">
      <alignment vertical="center"/>
    </xf>
    <xf numFmtId="167" fontId="54" fillId="0" borderId="79" xfId="0" applyNumberFormat="1" applyFont="1" applyBorder="1" applyAlignment="1">
      <alignment horizontal="center" vertical="center" wrapText="1"/>
    </xf>
    <xf numFmtId="0" fontId="55" fillId="0" borderId="79" xfId="0" applyFont="1" applyBorder="1" applyAlignment="1">
      <alignment horizontal="left" vertical="center" wrapText="1"/>
    </xf>
    <xf numFmtId="167" fontId="56" fillId="0" borderId="0" xfId="0" applyNumberFormat="1" applyFont="1" applyFill="1" applyBorder="1" applyAlignment="1">
      <alignment horizontal="center"/>
    </xf>
    <xf numFmtId="0" fontId="54" fillId="0" borderId="79" xfId="0" applyFont="1" applyBorder="1" applyAlignment="1">
      <alignment vertical="center" wrapText="1"/>
    </xf>
    <xf numFmtId="167" fontId="58" fillId="0" borderId="0" xfId="0" applyNumberFormat="1" applyFont="1" applyFill="1" applyBorder="1" applyAlignment="1">
      <alignment horizontal="center"/>
    </xf>
    <xf numFmtId="165" fontId="53" fillId="0" borderId="76" xfId="4" applyNumberFormat="1" applyFont="1" applyBorder="1" applyAlignment="1">
      <alignment vertical="center"/>
    </xf>
    <xf numFmtId="49" fontId="56" fillId="0" borderId="80" xfId="0" applyNumberFormat="1" applyFont="1" applyFill="1" applyBorder="1" applyAlignment="1">
      <alignment horizontal="center" vertical="center"/>
    </xf>
    <xf numFmtId="0" fontId="56" fillId="0" borderId="80" xfId="0" applyFont="1" applyFill="1" applyBorder="1" applyAlignment="1">
      <alignment vertical="center" wrapText="1"/>
    </xf>
    <xf numFmtId="0" fontId="56" fillId="0" borderId="80" xfId="0" applyFont="1" applyFill="1" applyBorder="1" applyAlignment="1">
      <alignment horizontal="center" vertical="center"/>
    </xf>
    <xf numFmtId="1" fontId="56" fillId="0" borderId="80" xfId="0" applyNumberFormat="1" applyFont="1" applyFill="1" applyBorder="1" applyAlignment="1">
      <alignment horizontal="center" vertical="center"/>
    </xf>
    <xf numFmtId="165" fontId="53" fillId="0" borderId="79" xfId="4" applyNumberFormat="1" applyFont="1" applyBorder="1" applyAlignment="1">
      <alignment vertical="center"/>
    </xf>
    <xf numFmtId="165" fontId="53" fillId="4" borderId="76" xfId="4" applyNumberFormat="1" applyFont="1" applyFill="1" applyBorder="1" applyAlignment="1">
      <alignment vertical="center"/>
    </xf>
    <xf numFmtId="49" fontId="53" fillId="0" borderId="79" xfId="0" applyNumberFormat="1" applyFont="1" applyFill="1" applyBorder="1" applyAlignment="1">
      <alignment horizontal="center" vertical="center"/>
    </xf>
    <xf numFmtId="167" fontId="53" fillId="0" borderId="81" xfId="0" applyNumberFormat="1" applyFont="1" applyBorder="1" applyAlignment="1">
      <alignment horizontal="center" vertical="center"/>
    </xf>
    <xf numFmtId="0" fontId="53" fillId="0" borderId="81" xfId="0" applyFont="1" applyBorder="1" applyAlignment="1">
      <alignment horizontal="center" vertical="center" wrapText="1"/>
    </xf>
    <xf numFmtId="49" fontId="56" fillId="0" borderId="81" xfId="0" applyNumberFormat="1" applyFont="1" applyFill="1" applyBorder="1" applyAlignment="1">
      <alignment horizontal="center" vertical="center"/>
    </xf>
    <xf numFmtId="0" fontId="56" fillId="0" borderId="81" xfId="0" applyFont="1" applyFill="1" applyBorder="1" applyAlignment="1">
      <alignment vertical="center" wrapText="1"/>
    </xf>
    <xf numFmtId="0" fontId="56" fillId="0" borderId="81" xfId="0" applyFont="1" applyFill="1" applyBorder="1" applyAlignment="1">
      <alignment horizontal="center" vertical="center"/>
    </xf>
    <xf numFmtId="1" fontId="56" fillId="0" borderId="81" xfId="0" applyNumberFormat="1" applyFont="1" applyFill="1" applyBorder="1" applyAlignment="1">
      <alignment horizontal="center" vertical="center"/>
    </xf>
    <xf numFmtId="165" fontId="53" fillId="0" borderId="81" xfId="4" applyNumberFormat="1" applyFont="1" applyBorder="1" applyAlignment="1">
      <alignment vertical="center"/>
    </xf>
    <xf numFmtId="167" fontId="54" fillId="0" borderId="81" xfId="0" applyNumberFormat="1" applyFont="1" applyBorder="1" applyAlignment="1">
      <alignment horizontal="center" vertical="center" wrapText="1"/>
    </xf>
    <xf numFmtId="0" fontId="55" fillId="0" borderId="81" xfId="0" applyFont="1" applyBorder="1" applyAlignment="1">
      <alignment horizontal="left" vertical="center" wrapText="1"/>
    </xf>
    <xf numFmtId="49" fontId="56" fillId="0" borderId="79" xfId="0" applyNumberFormat="1" applyFont="1" applyBorder="1" applyAlignment="1">
      <alignment horizontal="center" vertical="center"/>
    </xf>
    <xf numFmtId="0" fontId="56" fillId="0" borderId="79" xfId="0" applyFont="1" applyBorder="1" applyAlignment="1">
      <alignment vertical="center" wrapText="1"/>
    </xf>
    <xf numFmtId="0" fontId="54" fillId="0" borderId="82" xfId="0" applyFont="1" applyBorder="1" applyAlignment="1">
      <alignment vertical="center" wrapText="1"/>
    </xf>
    <xf numFmtId="0" fontId="54" fillId="0" borderId="83" xfId="0" applyFont="1" applyBorder="1" applyAlignment="1">
      <alignment horizontal="center" vertical="center"/>
    </xf>
    <xf numFmtId="0" fontId="53" fillId="0" borderId="84" xfId="0" applyFont="1" applyBorder="1" applyAlignment="1">
      <alignment horizontal="center" vertical="center"/>
    </xf>
    <xf numFmtId="167" fontId="53" fillId="0" borderId="84" xfId="0" applyNumberFormat="1" applyFont="1" applyBorder="1" applyAlignment="1">
      <alignment horizontal="center" vertical="center"/>
    </xf>
    <xf numFmtId="0" fontId="53" fillId="0" borderId="85" xfId="0" applyFont="1" applyBorder="1" applyAlignment="1">
      <alignment horizontal="center" vertical="center" wrapText="1"/>
    </xf>
    <xf numFmtId="49" fontId="53" fillId="0" borderId="84" xfId="0" applyNumberFormat="1" applyFont="1" applyBorder="1" applyAlignment="1">
      <alignment horizontal="center" vertical="center"/>
    </xf>
    <xf numFmtId="0" fontId="53" fillId="0" borderId="84" xfId="0" applyFont="1" applyBorder="1" applyAlignment="1">
      <alignment vertical="center" wrapText="1"/>
    </xf>
    <xf numFmtId="1" fontId="53" fillId="0" borderId="84" xfId="0" applyNumberFormat="1" applyFont="1" applyBorder="1" applyAlignment="1">
      <alignment horizontal="center" vertical="center"/>
    </xf>
    <xf numFmtId="165" fontId="53" fillId="0" borderId="84" xfId="4" applyFont="1" applyBorder="1" applyAlignment="1">
      <alignment vertical="center"/>
    </xf>
    <xf numFmtId="165" fontId="53" fillId="0" borderId="84" xfId="4" applyNumberFormat="1" applyFont="1" applyBorder="1" applyAlignment="1">
      <alignment vertical="center"/>
    </xf>
    <xf numFmtId="167" fontId="54" fillId="0" borderId="84" xfId="0" applyNumberFormat="1" applyFont="1" applyBorder="1" applyAlignment="1">
      <alignment horizontal="center" vertical="center" wrapText="1"/>
    </xf>
    <xf numFmtId="0" fontId="55" fillId="0" borderId="84" xfId="0" applyFont="1" applyBorder="1" applyAlignment="1">
      <alignment horizontal="left" vertical="center" wrapText="1"/>
    </xf>
    <xf numFmtId="0" fontId="54" fillId="0" borderId="84" xfId="0" applyFont="1" applyBorder="1" applyAlignment="1">
      <alignment vertical="center" wrapText="1"/>
    </xf>
    <xf numFmtId="0" fontId="54" fillId="0" borderId="86" xfId="0" applyFont="1" applyBorder="1" applyAlignment="1">
      <alignment horizontal="center" vertical="center"/>
    </xf>
    <xf numFmtId="0" fontId="59" fillId="0" borderId="87" xfId="0" applyFont="1" applyBorder="1" applyAlignment="1">
      <alignment horizontal="center" vertical="center"/>
    </xf>
    <xf numFmtId="167" fontId="59" fillId="0" borderId="87" xfId="0" applyNumberFormat="1" applyFont="1" applyBorder="1" applyAlignment="1">
      <alignment horizontal="center" vertical="center"/>
    </xf>
    <xf numFmtId="0" fontId="53" fillId="0" borderId="88" xfId="0" applyFont="1" applyBorder="1" applyAlignment="1">
      <alignment horizontal="center" vertical="center" wrapText="1"/>
    </xf>
    <xf numFmtId="49" fontId="53" fillId="0" borderId="87" xfId="0" applyNumberFormat="1" applyFont="1" applyBorder="1" applyAlignment="1">
      <alignment horizontal="center" vertical="center"/>
    </xf>
    <xf numFmtId="0" fontId="53" fillId="0" borderId="87" xfId="0" applyFont="1" applyBorder="1" applyAlignment="1">
      <alignment vertical="center" wrapText="1"/>
    </xf>
    <xf numFmtId="0" fontId="53" fillId="0" borderId="87" xfId="0" applyFont="1" applyBorder="1" applyAlignment="1">
      <alignment horizontal="center" vertical="center"/>
    </xf>
    <xf numFmtId="1" fontId="53" fillId="0" borderId="87" xfId="0" applyNumberFormat="1" applyFont="1" applyBorder="1" applyAlignment="1">
      <alignment horizontal="center" vertical="center"/>
    </xf>
    <xf numFmtId="165" fontId="53" fillId="0" borderId="73" xfId="4" applyFont="1" applyBorder="1" applyAlignment="1">
      <alignment vertical="center"/>
    </xf>
    <xf numFmtId="165" fontId="53" fillId="0" borderId="87" xfId="4" applyFont="1" applyBorder="1" applyAlignment="1">
      <alignment vertical="center"/>
    </xf>
    <xf numFmtId="165" fontId="53" fillId="0" borderId="87" xfId="4" applyNumberFormat="1" applyFont="1" applyBorder="1" applyAlignment="1">
      <alignment vertical="center"/>
    </xf>
    <xf numFmtId="167" fontId="54" fillId="0" borderId="87" xfId="0" applyNumberFormat="1" applyFont="1" applyBorder="1" applyAlignment="1">
      <alignment horizontal="center" vertical="center" wrapText="1"/>
    </xf>
    <xf numFmtId="0" fontId="55" fillId="0" borderId="87" xfId="0" applyFont="1" applyBorder="1" applyAlignment="1">
      <alignment horizontal="left" vertical="center" wrapText="1"/>
    </xf>
    <xf numFmtId="0" fontId="54" fillId="0" borderId="73" xfId="0" applyFont="1" applyBorder="1" applyAlignment="1">
      <alignment vertical="center" wrapText="1"/>
    </xf>
    <xf numFmtId="0" fontId="59" fillId="0" borderId="79" xfId="0" applyFont="1" applyBorder="1" applyAlignment="1">
      <alignment horizontal="center" vertical="center"/>
    </xf>
    <xf numFmtId="167" fontId="59" fillId="0" borderId="79" xfId="0" applyNumberFormat="1" applyFont="1" applyBorder="1" applyAlignment="1">
      <alignment horizontal="center" vertical="center"/>
    </xf>
    <xf numFmtId="0" fontId="56" fillId="0" borderId="81" xfId="0" applyFont="1" applyBorder="1" applyAlignment="1">
      <alignment horizontal="center" vertical="center" wrapText="1"/>
    </xf>
    <xf numFmtId="0" fontId="53" fillId="0" borderId="79" xfId="0" applyFont="1" applyFill="1" applyBorder="1" applyAlignment="1">
      <alignment horizontal="center" vertical="center"/>
    </xf>
    <xf numFmtId="1" fontId="53" fillId="0" borderId="79" xfId="0" applyNumberFormat="1" applyFont="1" applyFill="1" applyBorder="1" applyAlignment="1">
      <alignment horizontal="center" vertical="center"/>
    </xf>
    <xf numFmtId="165" fontId="53" fillId="0" borderId="76" xfId="4" applyFont="1" applyFill="1" applyBorder="1" applyAlignment="1">
      <alignment vertical="center"/>
    </xf>
    <xf numFmtId="165" fontId="53" fillId="0" borderId="79" xfId="4" applyFont="1" applyFill="1" applyBorder="1" applyAlignment="1">
      <alignment vertical="center"/>
    </xf>
    <xf numFmtId="165" fontId="53" fillId="0" borderId="79" xfId="4" applyNumberFormat="1" applyFont="1" applyFill="1" applyBorder="1" applyAlignment="1">
      <alignment vertical="center"/>
    </xf>
    <xf numFmtId="167" fontId="54" fillId="0" borderId="79" xfId="0" applyNumberFormat="1" applyFont="1" applyFill="1" applyBorder="1" applyAlignment="1">
      <alignment horizontal="center" vertical="center" wrapText="1"/>
    </xf>
    <xf numFmtId="0" fontId="55" fillId="0" borderId="79" xfId="0" applyFont="1" applyFill="1" applyBorder="1" applyAlignment="1">
      <alignment horizontal="left" vertical="center" wrapText="1"/>
    </xf>
    <xf numFmtId="0" fontId="54" fillId="0" borderId="76" xfId="0" applyFont="1" applyFill="1" applyBorder="1" applyAlignment="1">
      <alignment vertical="center" wrapText="1"/>
    </xf>
    <xf numFmtId="0" fontId="56" fillId="0" borderId="81" xfId="0" applyFont="1" applyFill="1" applyBorder="1" applyAlignment="1">
      <alignment horizontal="center" vertical="center" wrapText="1"/>
    </xf>
    <xf numFmtId="0" fontId="53" fillId="0" borderId="79" xfId="0" applyFont="1" applyFill="1" applyBorder="1" applyAlignment="1">
      <alignment vertical="center" wrapText="1"/>
    </xf>
    <xf numFmtId="0" fontId="54" fillId="0" borderId="79" xfId="0" applyFont="1" applyFill="1" applyBorder="1" applyAlignment="1">
      <alignment vertical="center" wrapText="1"/>
    </xf>
    <xf numFmtId="0" fontId="54" fillId="0" borderId="82" xfId="0" applyFont="1" applyFill="1" applyBorder="1" applyAlignment="1">
      <alignment vertical="center" wrapText="1"/>
    </xf>
    <xf numFmtId="49" fontId="53" fillId="0" borderId="89" xfId="0" applyNumberFormat="1" applyFont="1" applyFill="1" applyBorder="1" applyAlignment="1">
      <alignment horizontal="center" vertical="center"/>
    </xf>
    <xf numFmtId="0" fontId="53" fillId="0" borderId="89" xfId="0" applyFont="1" applyFill="1" applyBorder="1" applyAlignment="1">
      <alignment vertical="center" wrapText="1"/>
    </xf>
    <xf numFmtId="0" fontId="53" fillId="0" borderId="89" xfId="0" applyFont="1" applyFill="1" applyBorder="1" applyAlignment="1">
      <alignment horizontal="center" vertical="center"/>
    </xf>
    <xf numFmtId="1" fontId="53" fillId="0" borderId="89" xfId="0" applyNumberFormat="1" applyFont="1" applyFill="1" applyBorder="1" applyAlignment="1">
      <alignment horizontal="center" vertical="center"/>
    </xf>
    <xf numFmtId="167" fontId="54" fillId="0" borderId="89" xfId="0" applyNumberFormat="1" applyFont="1" applyFill="1" applyBorder="1" applyAlignment="1">
      <alignment horizontal="center" vertical="center" wrapText="1"/>
    </xf>
    <xf numFmtId="0" fontId="55" fillId="0" borderId="89" xfId="0" applyFont="1" applyFill="1" applyBorder="1" applyAlignment="1">
      <alignment horizontal="left" vertical="center" wrapText="1"/>
    </xf>
    <xf numFmtId="0" fontId="54" fillId="0" borderId="89" xfId="0" applyFont="1" applyFill="1" applyBorder="1" applyAlignment="1">
      <alignment vertical="center" wrapText="1"/>
    </xf>
    <xf numFmtId="0" fontId="53" fillId="0" borderId="81" xfId="0" applyFont="1" applyFill="1" applyBorder="1" applyAlignment="1">
      <alignment horizontal="center" vertical="center" wrapText="1"/>
    </xf>
    <xf numFmtId="0" fontId="60" fillId="0" borderId="89" xfId="0" applyFont="1" applyFill="1" applyBorder="1" applyAlignment="1">
      <alignment vertical="center" wrapText="1"/>
    </xf>
    <xf numFmtId="0" fontId="59" fillId="0" borderId="76" xfId="0" applyFont="1" applyBorder="1" applyAlignment="1">
      <alignment horizontal="center" vertical="center"/>
    </xf>
    <xf numFmtId="49" fontId="53" fillId="0" borderId="89" xfId="0" applyNumberFormat="1" applyFont="1" applyBorder="1" applyAlignment="1">
      <alignment horizontal="center" vertical="center"/>
    </xf>
    <xf numFmtId="0" fontId="53" fillId="0" borderId="89" xfId="0" applyFont="1" applyBorder="1" applyAlignment="1">
      <alignment vertical="center" wrapText="1"/>
    </xf>
    <xf numFmtId="0" fontId="53" fillId="0" borderId="90" xfId="0" applyFont="1" applyBorder="1" applyAlignment="1">
      <alignment horizontal="center" vertical="center"/>
    </xf>
    <xf numFmtId="1" fontId="53" fillId="0" borderId="90" xfId="0" applyNumberFormat="1" applyFont="1" applyBorder="1" applyAlignment="1">
      <alignment horizontal="center" vertical="center"/>
    </xf>
    <xf numFmtId="167" fontId="54" fillId="0" borderId="89" xfId="0" applyNumberFormat="1" applyFont="1" applyBorder="1" applyAlignment="1">
      <alignment horizontal="center" vertical="center" wrapText="1"/>
    </xf>
    <xf numFmtId="0" fontId="55" fillId="0" borderId="89" xfId="0" applyFont="1" applyBorder="1" applyAlignment="1">
      <alignment horizontal="left" vertical="center" wrapText="1"/>
    </xf>
    <xf numFmtId="0" fontId="54" fillId="0" borderId="89" xfId="0" applyFont="1" applyBorder="1" applyAlignment="1">
      <alignment vertical="center" wrapText="1"/>
    </xf>
    <xf numFmtId="49" fontId="56" fillId="0" borderId="76" xfId="0" applyNumberFormat="1" applyFont="1" applyBorder="1" applyAlignment="1">
      <alignment horizontal="center" vertical="center"/>
    </xf>
    <xf numFmtId="0" fontId="56" fillId="0" borderId="76" xfId="0" applyFont="1" applyBorder="1" applyAlignment="1">
      <alignment vertical="center" wrapText="1"/>
    </xf>
    <xf numFmtId="0" fontId="53" fillId="0" borderId="76" xfId="0" applyFont="1" applyFill="1" applyBorder="1" applyAlignment="1">
      <alignment horizontal="center" vertical="center"/>
    </xf>
    <xf numFmtId="1" fontId="53" fillId="0" borderId="76" xfId="0" applyNumberFormat="1" applyFont="1" applyFill="1" applyBorder="1" applyAlignment="1">
      <alignment horizontal="center" vertical="center"/>
    </xf>
    <xf numFmtId="167" fontId="54" fillId="0" borderId="76" xfId="0" applyNumberFormat="1" applyFont="1" applyFill="1" applyBorder="1" applyAlignment="1">
      <alignment horizontal="center" vertical="center" wrapText="1"/>
    </xf>
    <xf numFmtId="0" fontId="55" fillId="0" borderId="76" xfId="0" applyFont="1" applyFill="1" applyBorder="1" applyAlignment="1">
      <alignment horizontal="left" vertical="center" wrapText="1"/>
    </xf>
    <xf numFmtId="0" fontId="60" fillId="0" borderId="76" xfId="0" applyFont="1" applyFill="1" applyBorder="1" applyAlignment="1">
      <alignment vertical="center" wrapText="1"/>
    </xf>
    <xf numFmtId="0" fontId="53" fillId="0" borderId="91" xfId="0" applyFont="1" applyBorder="1" applyAlignment="1">
      <alignment horizontal="center" vertical="center"/>
    </xf>
    <xf numFmtId="1" fontId="53" fillId="0" borderId="91" xfId="0" applyNumberFormat="1" applyFont="1" applyBorder="1" applyAlignment="1">
      <alignment horizontal="center" vertical="center"/>
    </xf>
    <xf numFmtId="0" fontId="54" fillId="0" borderId="92" xfId="0" applyFont="1" applyBorder="1" applyAlignment="1">
      <alignment horizontal="center" vertical="center"/>
    </xf>
    <xf numFmtId="0" fontId="59" fillId="0" borderId="93" xfId="0" applyFont="1" applyBorder="1" applyAlignment="1">
      <alignment horizontal="center" vertical="center"/>
    </xf>
    <xf numFmtId="167" fontId="53" fillId="0" borderId="94" xfId="0" applyNumberFormat="1" applyFont="1" applyBorder="1" applyAlignment="1">
      <alignment horizontal="center" vertical="center"/>
    </xf>
    <xf numFmtId="0" fontId="53" fillId="0" borderId="95" xfId="0" applyFont="1" applyBorder="1" applyAlignment="1">
      <alignment horizontal="center" vertical="center" wrapText="1"/>
    </xf>
    <xf numFmtId="49" fontId="56" fillId="0" borderId="94" xfId="0" applyNumberFormat="1" applyFont="1" applyBorder="1" applyAlignment="1">
      <alignment horizontal="center" vertical="center"/>
    </xf>
    <xf numFmtId="0" fontId="56" fillId="0" borderId="94" xfId="0" applyFont="1" applyBorder="1" applyAlignment="1">
      <alignment vertical="center" wrapText="1"/>
    </xf>
    <xf numFmtId="0" fontId="53" fillId="0" borderId="94" xfId="0" applyFont="1" applyFill="1" applyBorder="1" applyAlignment="1">
      <alignment horizontal="center" vertical="center"/>
    </xf>
    <xf numFmtId="1" fontId="53" fillId="0" borderId="94" xfId="0" applyNumberFormat="1" applyFont="1" applyFill="1" applyBorder="1" applyAlignment="1">
      <alignment horizontal="center" vertical="center"/>
    </xf>
    <xf numFmtId="165" fontId="53" fillId="0" borderId="94" xfId="4" applyFont="1" applyFill="1" applyBorder="1" applyAlignment="1">
      <alignment vertical="center"/>
    </xf>
    <xf numFmtId="167" fontId="54" fillId="0" borderId="94" xfId="0" applyNumberFormat="1" applyFont="1" applyFill="1" applyBorder="1" applyAlignment="1">
      <alignment horizontal="center" vertical="center" wrapText="1"/>
    </xf>
    <xf numFmtId="0" fontId="55" fillId="0" borderId="94" xfId="0" applyFont="1" applyFill="1" applyBorder="1" applyAlignment="1">
      <alignment horizontal="left" vertical="center" wrapText="1"/>
    </xf>
    <xf numFmtId="0" fontId="54" fillId="0" borderId="94" xfId="0" applyFont="1" applyBorder="1" applyAlignment="1">
      <alignment vertical="center" wrapText="1"/>
    </xf>
    <xf numFmtId="0" fontId="54" fillId="0" borderId="96" xfId="0" applyFont="1" applyBorder="1" applyAlignment="1">
      <alignment vertical="center" wrapText="1"/>
    </xf>
    <xf numFmtId="0" fontId="27" fillId="0" borderId="60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/>
    </xf>
    <xf numFmtId="0" fontId="2" fillId="0" borderId="53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5" fillId="0" borderId="63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5" fillId="0" borderId="67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5" fillId="0" borderId="62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19" fillId="0" borderId="62" xfId="0" applyFont="1" applyBorder="1" applyAlignment="1">
      <alignment horizontal="center" vertical="center" wrapText="1" shrinkToFit="1"/>
    </xf>
    <xf numFmtId="0" fontId="19" fillId="0" borderId="30" xfId="0" applyFont="1" applyBorder="1" applyAlignment="1">
      <alignment horizontal="center" vertical="center" wrapText="1" shrinkToFit="1"/>
    </xf>
    <xf numFmtId="0" fontId="5" fillId="0" borderId="38" xfId="0" applyFont="1" applyBorder="1" applyAlignment="1">
      <alignment horizontal="center" vertical="center" wrapText="1" shrinkToFit="1"/>
    </xf>
    <xf numFmtId="0" fontId="5" fillId="0" borderId="39" xfId="0" applyFont="1" applyBorder="1" applyAlignment="1">
      <alignment horizontal="center" vertical="center" wrapText="1" shrinkToFit="1"/>
    </xf>
    <xf numFmtId="0" fontId="5" fillId="0" borderId="64" xfId="0" applyFont="1" applyBorder="1" applyAlignment="1">
      <alignment horizontal="center" vertical="center" wrapText="1" shrinkToFit="1"/>
    </xf>
    <xf numFmtId="0" fontId="36" fillId="0" borderId="56" xfId="0" applyFont="1" applyBorder="1" applyAlignment="1">
      <alignment horizontal="center" vertical="center" wrapText="1" shrinkToFit="1"/>
    </xf>
    <xf numFmtId="0" fontId="36" fillId="0" borderId="65" xfId="0" applyFont="1" applyBorder="1" applyAlignment="1">
      <alignment horizontal="center" vertical="center" wrapText="1" shrinkToFit="1"/>
    </xf>
    <xf numFmtId="0" fontId="15" fillId="0" borderId="0" xfId="7" applyFont="1" applyAlignment="1">
      <alignment horizontal="center"/>
    </xf>
    <xf numFmtId="0" fontId="15" fillId="0" borderId="68" xfId="9" applyFont="1" applyBorder="1" applyAlignment="1">
      <alignment horizontal="center" vertical="center" wrapText="1"/>
    </xf>
    <xf numFmtId="0" fontId="15" fillId="0" borderId="69" xfId="9" applyFont="1" applyBorder="1" applyAlignment="1">
      <alignment horizontal="center" vertical="center" wrapText="1"/>
    </xf>
    <xf numFmtId="0" fontId="15" fillId="0" borderId="70" xfId="9" applyFont="1" applyBorder="1" applyAlignment="1">
      <alignment horizontal="center" vertical="center" wrapText="1"/>
    </xf>
    <xf numFmtId="0" fontId="18" fillId="0" borderId="71" xfId="7" applyFont="1" applyBorder="1" applyAlignment="1">
      <alignment horizontal="center"/>
    </xf>
    <xf numFmtId="0" fontId="14" fillId="0" borderId="68" xfId="7" applyFont="1" applyBorder="1" applyAlignment="1">
      <alignment horizontal="center" wrapText="1"/>
    </xf>
    <xf numFmtId="0" fontId="14" fillId="0" borderId="69" xfId="7" applyFont="1" applyBorder="1" applyAlignment="1">
      <alignment horizontal="center" wrapText="1"/>
    </xf>
    <xf numFmtId="0" fontId="14" fillId="0" borderId="70" xfId="7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68" xfId="0" applyFont="1" applyBorder="1" applyAlignment="1">
      <alignment horizontal="center" wrapText="1"/>
    </xf>
    <xf numFmtId="0" fontId="14" fillId="0" borderId="69" xfId="0" applyFont="1" applyBorder="1" applyAlignment="1">
      <alignment horizontal="center" wrapText="1"/>
    </xf>
    <xf numFmtId="0" fontId="14" fillId="0" borderId="70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 wrapText="1"/>
    </xf>
    <xf numFmtId="0" fontId="45" fillId="0" borderId="0" xfId="0" applyFont="1" applyBorder="1" applyAlignment="1">
      <alignment horizontal="center" vertical="center"/>
    </xf>
  </cellXfs>
  <cellStyles count="14">
    <cellStyle name="Euro" xfId="1"/>
    <cellStyle name="Euro 2" xfId="2"/>
    <cellStyle name="Hipervínculo 2" xfId="3"/>
    <cellStyle name="Moneda" xfId="4" builtinId="4"/>
    <cellStyle name="Moneda 2" xfId="5"/>
    <cellStyle name="Moneda 3" xfId="6"/>
    <cellStyle name="Normal" xfId="0" builtinId="0"/>
    <cellStyle name="Normal 2" xfId="7"/>
    <cellStyle name="Normal 2 2" xfId="8"/>
    <cellStyle name="Normal 3" xfId="9"/>
    <cellStyle name="Normal 3 2" xfId="10"/>
    <cellStyle name="Porcentaje" xfId="11" builtinId="5"/>
    <cellStyle name="Porcentaje 2" xfId="12"/>
    <cellStyle name="Porcentual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D1-499C-89F8-E9A72C53B44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D1-499C-89F8-E9A72C53B44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215699.89</c:v>
                </c:pt>
                <c:pt idx="1">
                  <c:v>428628.47999999998</c:v>
                </c:pt>
                <c:pt idx="2">
                  <c:v>14000</c:v>
                </c:pt>
                <c:pt idx="3">
                  <c:v>0</c:v>
                </c:pt>
                <c:pt idx="4">
                  <c:v>9790.4800000000014</c:v>
                </c:pt>
                <c:pt idx="5">
                  <c:v>25142.92</c:v>
                </c:pt>
                <c:pt idx="6">
                  <c:v>156420.83000000002</c:v>
                </c:pt>
                <c:pt idx="7">
                  <c:v>180571.63000000003</c:v>
                </c:pt>
                <c:pt idx="8">
                  <c:v>14190.74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97211360"/>
        <c:axId val="-97217344"/>
      </c:barChart>
      <c:catAx>
        <c:axId val="-972113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97217344"/>
        <c:crosses val="autoZero"/>
        <c:auto val="1"/>
        <c:lblAlgn val="ctr"/>
        <c:lblOffset val="100"/>
        <c:noMultiLvlLbl val="0"/>
      </c:catAx>
      <c:valAx>
        <c:axId val="-97217344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97211360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FEBRERO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MENSUAL'!$E$30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MENSUAL'!$B$31:$B$41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MENSUAL'!$E$31:$E$41</c:f>
              <c:numCache>
                <c:formatCode>_("$"* #,##0.00_);_("$"* \(#,##0.00\);_("$"* "-"??_);_(@_)</c:formatCode>
                <c:ptCount val="11"/>
                <c:pt idx="0">
                  <c:v>117942.81000000001</c:v>
                </c:pt>
                <c:pt idx="1">
                  <c:v>239931.37</c:v>
                </c:pt>
                <c:pt idx="2">
                  <c:v>0</c:v>
                </c:pt>
                <c:pt idx="3">
                  <c:v>0</c:v>
                </c:pt>
                <c:pt idx="4">
                  <c:v>11428.57</c:v>
                </c:pt>
                <c:pt idx="5">
                  <c:v>0</c:v>
                </c:pt>
                <c:pt idx="6">
                  <c:v>4304.76</c:v>
                </c:pt>
                <c:pt idx="7">
                  <c:v>13714.32</c:v>
                </c:pt>
                <c:pt idx="8">
                  <c:v>109847.06</c:v>
                </c:pt>
                <c:pt idx="9">
                  <c:v>104000.12000000001</c:v>
                </c:pt>
                <c:pt idx="10">
                  <c:v>8159.7600000000011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-97214080"/>
        <c:axId val="-2106135808"/>
        <c:axId val="0"/>
      </c:bar3DChart>
      <c:catAx>
        <c:axId val="-972140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2106135808"/>
        <c:crosses val="autoZero"/>
        <c:auto val="1"/>
        <c:lblAlgn val="ctr"/>
        <c:lblOffset val="100"/>
        <c:noMultiLvlLbl val="0"/>
      </c:catAx>
      <c:valAx>
        <c:axId val="-2106135808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-972140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43</xdr:row>
      <xdr:rowOff>123825</xdr:rowOff>
    </xdr:from>
    <xdr:to>
      <xdr:col>7</xdr:col>
      <xdr:colOff>66675</xdr:colOff>
      <xdr:row>78</xdr:row>
      <xdr:rowOff>38100</xdr:rowOff>
    </xdr:to>
    <xdr:graphicFrame macro="">
      <xdr:nvGraphicFramePr>
        <xdr:cNvPr id="2391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raly.Morataya\Desktop\RECLAMOS%202021\LIBRO%20DE%20REPORTE%20A&#209;O%202022\LIBRO%20DE%20REPORTE%20DE%20FALLECIDOS%20Y%20ESTADISTICAS%20A&#209;O%202022-febrero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ilia.Medina01\AppData\Local\Microsoft\Windows\Temporary%20Internet%20Files\Content.Outlook\Z3V4UX8C\LIBRO%20DE%20REPORTE%20DE%20FALLECIDOS%20Y%20ESTADISTICAS%20A%20FEB%20A&#209;O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cilia.Medina01\Desktop\NELSON%2028022022%20LIBRO%20DE%20REPORTE%20DE%20FALLECID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 REPORTES 2022"/>
      <sheetName val="LIBRO DE REPORTE DE FALLECIDOS 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 REPORTES 2022"/>
      <sheetName val="LIBRO DE REPORTE DE FALLECIDOS 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 REPORTES 2022"/>
      <sheetName val="NELSON 28022022 LIBRO DE REPORT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66"/>
  <sheetViews>
    <sheetView zoomScale="124" zoomScaleNormal="124" workbookViewId="0">
      <selection activeCell="C6" sqref="C6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146" t="s">
        <v>103</v>
      </c>
      <c r="C6" s="215">
        <f>'1. RESUMEN DE PAGADOS '!B21+'1. RESUMEN DE PAGADOS '!C21</f>
        <v>0</v>
      </c>
      <c r="D6" s="139"/>
      <c r="E6" s="218"/>
      <c r="F6" s="140"/>
    </row>
    <row r="7" spans="2:9" ht="13.5" thickBot="1" x14ac:dyDescent="0.25"/>
    <row r="8" spans="2:9" ht="39" thickBot="1" x14ac:dyDescent="0.25">
      <c r="B8" s="133" t="s">
        <v>73</v>
      </c>
      <c r="C8" s="133" t="s">
        <v>75</v>
      </c>
      <c r="D8" s="133" t="s">
        <v>102</v>
      </c>
      <c r="E8" s="133" t="s">
        <v>74</v>
      </c>
      <c r="F8" s="219" t="s">
        <v>83</v>
      </c>
    </row>
    <row r="9" spans="2:9" ht="15.75" customHeight="1" x14ac:dyDescent="0.2">
      <c r="B9" s="228" t="s">
        <v>76</v>
      </c>
      <c r="C9" s="135">
        <v>152</v>
      </c>
      <c r="D9" s="135">
        <v>0</v>
      </c>
      <c r="E9" s="225">
        <f>'1. RESUMEN DE PAGADOS '!G23</f>
        <v>215699.89</v>
      </c>
      <c r="F9" s="222">
        <f>E9/E19</f>
        <v>0.31113772507605608</v>
      </c>
    </row>
    <row r="10" spans="2:9" x14ac:dyDescent="0.2">
      <c r="B10" s="172" t="s">
        <v>77</v>
      </c>
      <c r="C10" s="220">
        <v>248</v>
      </c>
      <c r="D10" s="139">
        <v>0</v>
      </c>
      <c r="E10" s="225">
        <f>'1. RESUMEN DE PAGADOS '!H23</f>
        <v>428628.47999999998</v>
      </c>
      <c r="F10" s="223">
        <f>E10/E19</f>
        <v>0.61827797023914932</v>
      </c>
    </row>
    <row r="11" spans="2:9" ht="25.5" x14ac:dyDescent="0.2">
      <c r="B11" s="172" t="s">
        <v>106</v>
      </c>
      <c r="C11" s="220">
        <v>8</v>
      </c>
      <c r="D11" s="139">
        <v>0</v>
      </c>
      <c r="E11" s="225">
        <f>'1. RESUMEN DE PAGADOS '!I23</f>
        <v>0</v>
      </c>
      <c r="F11" s="223">
        <f>E11/E19</f>
        <v>0</v>
      </c>
    </row>
    <row r="12" spans="2:9" ht="25.5" x14ac:dyDescent="0.2">
      <c r="B12" s="172" t="s">
        <v>97</v>
      </c>
      <c r="C12" s="221">
        <v>2</v>
      </c>
      <c r="D12" s="216">
        <v>0</v>
      </c>
      <c r="E12" s="225">
        <f>'1. RESUMEN DE PAGADOS '!K23</f>
        <v>0</v>
      </c>
      <c r="F12" s="223">
        <f>E12/E19</f>
        <v>0</v>
      </c>
    </row>
    <row r="13" spans="2:9" x14ac:dyDescent="0.2">
      <c r="B13" s="172" t="s">
        <v>78</v>
      </c>
      <c r="C13" s="139">
        <v>8</v>
      </c>
      <c r="D13" s="135">
        <v>0</v>
      </c>
      <c r="E13" s="225">
        <f>'1. RESUMEN DE PAGADOS '!M23</f>
        <v>14000</v>
      </c>
      <c r="F13" s="223">
        <f>E13/E19</f>
        <v>2.0194392083671367E-2</v>
      </c>
    </row>
    <row r="14" spans="2:9" x14ac:dyDescent="0.2">
      <c r="B14" s="172" t="s">
        <v>92</v>
      </c>
      <c r="C14" s="139">
        <v>9</v>
      </c>
      <c r="D14" s="139">
        <v>0</v>
      </c>
      <c r="E14" s="226">
        <f>'1. RESUMEN DE PAGADOS '!O23</f>
        <v>0</v>
      </c>
      <c r="F14" s="223">
        <f>E14/E19</f>
        <v>0</v>
      </c>
      <c r="I14" s="127">
        <f>E9+E10+E13</f>
        <v>658328.37</v>
      </c>
    </row>
    <row r="15" spans="2:9" ht="13.5" thickBot="1" x14ac:dyDescent="0.25">
      <c r="B15" s="229" t="s">
        <v>95</v>
      </c>
      <c r="C15" s="217">
        <f>C9+C10+C11+C12+C13+C14</f>
        <v>427</v>
      </c>
      <c r="D15" s="217">
        <f>D9+D10+D11+D12+D13+D14</f>
        <v>0</v>
      </c>
      <c r="E15" s="227">
        <f>SUM(E9:E14)</f>
        <v>658328.37</v>
      </c>
      <c r="F15" s="224"/>
    </row>
    <row r="16" spans="2:9" ht="13.5" thickBot="1" x14ac:dyDescent="0.25">
      <c r="B16" s="148" t="s">
        <v>101</v>
      </c>
      <c r="C16" s="212">
        <v>16</v>
      </c>
      <c r="D16" s="232">
        <v>31</v>
      </c>
      <c r="E16" s="225">
        <f>'1. RESUMEN DE PAGADOS '!J23</f>
        <v>9790.4800000000014</v>
      </c>
      <c r="F16" s="168">
        <f>E16/E19</f>
        <v>1.4122342271953062E-2</v>
      </c>
      <c r="H16">
        <f>C9+C10+C11+C12+C13+C14</f>
        <v>427</v>
      </c>
    </row>
    <row r="17" spans="2:9" ht="13.5" thickBot="1" x14ac:dyDescent="0.25">
      <c r="B17" s="147" t="s">
        <v>94</v>
      </c>
      <c r="C17" s="230">
        <v>12</v>
      </c>
      <c r="D17" s="233">
        <v>12</v>
      </c>
      <c r="E17" s="248">
        <f>'1. RESUMEN DE PAGADOS '!N23</f>
        <v>25142.92</v>
      </c>
      <c r="F17" s="170">
        <f>E17/E19</f>
        <v>3.6267570329170176E-2</v>
      </c>
      <c r="I17" s="127"/>
    </row>
    <row r="18" spans="2:9" ht="13.5" thickBot="1" x14ac:dyDescent="0.25">
      <c r="B18" s="234" t="s">
        <v>95</v>
      </c>
      <c r="C18" s="235">
        <f>C16+C17</f>
        <v>28</v>
      </c>
      <c r="D18" s="236">
        <f>D16+D17</f>
        <v>43</v>
      </c>
      <c r="E18" s="249">
        <f>E16+E17</f>
        <v>34933.4</v>
      </c>
      <c r="F18" s="167"/>
    </row>
    <row r="19" spans="2:9" ht="13.5" thickBot="1" x14ac:dyDescent="0.25">
      <c r="B19" s="142" t="s">
        <v>0</v>
      </c>
      <c r="C19" s="126">
        <f>C15+C18</f>
        <v>455</v>
      </c>
      <c r="D19" s="213">
        <f>D15+D18</f>
        <v>43</v>
      </c>
      <c r="E19" s="250">
        <f>E15+E18</f>
        <v>693261.77</v>
      </c>
      <c r="F19" s="143">
        <f>SUM(F9:F17)</f>
        <v>1</v>
      </c>
    </row>
    <row r="20" spans="2:9" ht="15" customHeight="1" thickBot="1" x14ac:dyDescent="0.25">
      <c r="B20" s="424"/>
      <c r="C20" s="425"/>
      <c r="D20" s="425"/>
      <c r="E20" s="425"/>
      <c r="F20" s="426"/>
    </row>
    <row r="21" spans="2:9" ht="39" thickBot="1" x14ac:dyDescent="0.25">
      <c r="B21" s="133" t="s">
        <v>99</v>
      </c>
      <c r="C21" s="133" t="s">
        <v>75</v>
      </c>
      <c r="D21" s="133" t="s">
        <v>105</v>
      </c>
      <c r="E21" s="133" t="s">
        <v>74</v>
      </c>
      <c r="F21" s="133" t="s">
        <v>83</v>
      </c>
    </row>
    <row r="22" spans="2:9" x14ac:dyDescent="0.2">
      <c r="B22" s="134" t="s">
        <v>79</v>
      </c>
      <c r="C22" s="135">
        <f>'3. COMP VR'!B21</f>
        <v>147</v>
      </c>
      <c r="D22" s="212">
        <f>C22</f>
        <v>147</v>
      </c>
      <c r="E22" s="136">
        <f>'3. COMP VR'!C21+'3. COMP VR'!E21</f>
        <v>156420.83000000002</v>
      </c>
      <c r="F22" s="137">
        <f>E22/E25</f>
        <v>0.44541091373391434</v>
      </c>
    </row>
    <row r="23" spans="2:9" x14ac:dyDescent="0.2">
      <c r="B23" s="144" t="s">
        <v>80</v>
      </c>
      <c r="C23" s="139">
        <f>'4. COMP VP'!C24</f>
        <v>106</v>
      </c>
      <c r="D23" s="212">
        <f>C23</f>
        <v>106</v>
      </c>
      <c r="E23" s="136">
        <f>'4. COMP VP'!D24+'4. COMP VP'!F24</f>
        <v>180571.63000000003</v>
      </c>
      <c r="F23" s="140">
        <f>E23/E25</f>
        <v>0.51418071821203293</v>
      </c>
    </row>
    <row r="24" spans="2:9" ht="13.5" thickBot="1" x14ac:dyDescent="0.25">
      <c r="B24" s="138" t="s">
        <v>81</v>
      </c>
      <c r="C24" s="139">
        <f>'2. COMPR DEV 30%'!B21</f>
        <v>37</v>
      </c>
      <c r="D24" s="212">
        <f>C24</f>
        <v>37</v>
      </c>
      <c r="E24" s="136">
        <f>'2. COMPR DEV 30%'!C21+'2. COMPR DEV 30%'!E21</f>
        <v>14190.74</v>
      </c>
      <c r="F24" s="141">
        <f>E24/E25</f>
        <v>4.0408368054052693E-2</v>
      </c>
      <c r="G24" s="127"/>
    </row>
    <row r="25" spans="2:9" ht="13.5" thickBot="1" x14ac:dyDescent="0.25">
      <c r="B25" s="142" t="s">
        <v>0</v>
      </c>
      <c r="C25" s="126">
        <f>C22+C23+C24</f>
        <v>290</v>
      </c>
      <c r="D25" s="126">
        <f>D22+D23+D24</f>
        <v>290</v>
      </c>
      <c r="E25" s="128">
        <f>E22+E23+E24</f>
        <v>351183.20000000007</v>
      </c>
      <c r="F25" s="143">
        <f>SUM(F22:F24)</f>
        <v>0.99999999999999989</v>
      </c>
    </row>
    <row r="26" spans="2:9" ht="13.5" customHeight="1" thickBot="1" x14ac:dyDescent="0.25">
      <c r="B26" s="427" t="s">
        <v>82</v>
      </c>
      <c r="C26" s="428"/>
      <c r="D26" s="428"/>
      <c r="E26" s="428"/>
      <c r="F26" s="429"/>
    </row>
    <row r="27" spans="2:9" ht="15.75" customHeight="1" thickBot="1" x14ac:dyDescent="0.25">
      <c r="B27" s="142" t="s">
        <v>61</v>
      </c>
      <c r="C27" s="239">
        <f>C19+C25</f>
        <v>745</v>
      </c>
      <c r="D27" s="239">
        <f>D19+D25</f>
        <v>333</v>
      </c>
      <c r="E27" s="238">
        <f>E25+E19</f>
        <v>1044444.9700000001</v>
      </c>
      <c r="F27" s="237"/>
    </row>
    <row r="28" spans="2:9" ht="15" x14ac:dyDescent="0.2">
      <c r="B28" s="190"/>
      <c r="C28" s="190"/>
      <c r="D28" s="190"/>
      <c r="E28" s="190"/>
      <c r="F28" s="191"/>
    </row>
    <row r="29" spans="2:9" ht="15.75" thickBot="1" x14ac:dyDescent="0.25">
      <c r="B29" s="192"/>
      <c r="C29" s="132"/>
      <c r="D29" s="132"/>
      <c r="E29" s="129"/>
      <c r="F29" s="191"/>
    </row>
    <row r="30" spans="2:9" ht="45.75" thickBot="1" x14ac:dyDescent="0.25">
      <c r="B30" s="193" t="s">
        <v>73</v>
      </c>
      <c r="C30" s="194" t="s">
        <v>75</v>
      </c>
      <c r="D30" s="214" t="s">
        <v>104</v>
      </c>
      <c r="E30" s="193" t="s">
        <v>74</v>
      </c>
      <c r="F30" s="193" t="s">
        <v>83</v>
      </c>
    </row>
    <row r="31" spans="2:9" ht="15" x14ac:dyDescent="0.2">
      <c r="B31" s="177" t="s">
        <v>76</v>
      </c>
      <c r="C31" s="179">
        <f>C9</f>
        <v>152</v>
      </c>
      <c r="D31" s="179">
        <f>D9</f>
        <v>0</v>
      </c>
      <c r="E31" s="181">
        <f>E9</f>
        <v>215699.89</v>
      </c>
      <c r="F31" s="184">
        <f>E31/E42</f>
        <v>0.20652106735695228</v>
      </c>
    </row>
    <row r="32" spans="2:9" ht="15" x14ac:dyDescent="0.2">
      <c r="B32" s="171" t="s">
        <v>77</v>
      </c>
      <c r="C32" s="107">
        <f t="shared" ref="C32:E36" si="0">C10</f>
        <v>248</v>
      </c>
      <c r="D32" s="107">
        <f>D10</f>
        <v>0</v>
      </c>
      <c r="E32" s="182">
        <f t="shared" si="0"/>
        <v>428628.47999999998</v>
      </c>
      <c r="F32" s="111">
        <f>E32/E42</f>
        <v>0.4103887637086327</v>
      </c>
    </row>
    <row r="33" spans="2:9" ht="25.5" hidden="1" x14ac:dyDescent="0.2">
      <c r="B33" s="172" t="s">
        <v>100</v>
      </c>
      <c r="C33" s="107">
        <f>C11</f>
        <v>8</v>
      </c>
      <c r="D33" s="107">
        <f>D11</f>
        <v>0</v>
      </c>
      <c r="E33" s="182">
        <f t="shared" si="0"/>
        <v>0</v>
      </c>
      <c r="F33" s="111">
        <f>E33/E42</f>
        <v>0</v>
      </c>
    </row>
    <row r="34" spans="2:9" ht="19.5" hidden="1" customHeight="1" x14ac:dyDescent="0.2">
      <c r="B34" s="171" t="s">
        <v>97</v>
      </c>
      <c r="C34" s="107">
        <f t="shared" si="0"/>
        <v>2</v>
      </c>
      <c r="D34" s="107">
        <f>D12</f>
        <v>0</v>
      </c>
      <c r="E34" s="182">
        <f t="shared" si="0"/>
        <v>0</v>
      </c>
      <c r="F34" s="111">
        <f>E34/E42</f>
        <v>0</v>
      </c>
    </row>
    <row r="35" spans="2:9" ht="15" x14ac:dyDescent="0.2">
      <c r="B35" s="171" t="s">
        <v>78</v>
      </c>
      <c r="C35" s="107">
        <f t="shared" si="0"/>
        <v>8</v>
      </c>
      <c r="D35" s="107">
        <f>D13</f>
        <v>0</v>
      </c>
      <c r="E35" s="182">
        <f>E13</f>
        <v>14000</v>
      </c>
      <c r="F35" s="111">
        <f>E35/E42</f>
        <v>1.3404248574245131E-2</v>
      </c>
    </row>
    <row r="36" spans="2:9" ht="30" x14ac:dyDescent="0.2">
      <c r="B36" s="171" t="s">
        <v>92</v>
      </c>
      <c r="C36" s="107">
        <f t="shared" si="0"/>
        <v>9</v>
      </c>
      <c r="D36" s="107">
        <f>D14</f>
        <v>0</v>
      </c>
      <c r="E36" s="182">
        <f t="shared" si="0"/>
        <v>0</v>
      </c>
      <c r="F36" s="111">
        <f>E36/E42</f>
        <v>0</v>
      </c>
    </row>
    <row r="37" spans="2:9" ht="15" x14ac:dyDescent="0.2">
      <c r="B37" s="171" t="s">
        <v>93</v>
      </c>
      <c r="C37" s="107">
        <f t="shared" ref="C37:E38" si="1">C16</f>
        <v>16</v>
      </c>
      <c r="D37" s="107">
        <f t="shared" si="1"/>
        <v>31</v>
      </c>
      <c r="E37" s="182">
        <f t="shared" si="1"/>
        <v>9790.4800000000014</v>
      </c>
      <c r="F37" s="111">
        <f>E37/E42</f>
        <v>9.3738591129411061E-3</v>
      </c>
    </row>
    <row r="38" spans="2:9" ht="15" x14ac:dyDescent="0.2">
      <c r="B38" s="173" t="s">
        <v>94</v>
      </c>
      <c r="C38" s="180">
        <f t="shared" si="1"/>
        <v>12</v>
      </c>
      <c r="D38" s="180">
        <f t="shared" si="1"/>
        <v>12</v>
      </c>
      <c r="E38" s="182">
        <f t="shared" si="1"/>
        <v>25142.92</v>
      </c>
      <c r="F38" s="111">
        <f>E38/E42</f>
        <v>2.4072996397311384E-2</v>
      </c>
    </row>
    <row r="39" spans="2:9" ht="15" x14ac:dyDescent="0.2">
      <c r="B39" s="240" t="s">
        <v>79</v>
      </c>
      <c r="C39" s="107">
        <f t="shared" ref="C39:E41" si="2">C22</f>
        <v>147</v>
      </c>
      <c r="D39" s="107">
        <f t="shared" si="2"/>
        <v>147</v>
      </c>
      <c r="E39" s="183">
        <f t="shared" si="2"/>
        <v>156420.83000000002</v>
      </c>
      <c r="F39" s="111">
        <f>E39/E42</f>
        <v>0.1497645491078386</v>
      </c>
    </row>
    <row r="40" spans="2:9" ht="15" x14ac:dyDescent="0.2">
      <c r="B40" s="174" t="s">
        <v>80</v>
      </c>
      <c r="C40" s="107">
        <f t="shared" si="2"/>
        <v>106</v>
      </c>
      <c r="D40" s="107">
        <f t="shared" si="2"/>
        <v>106</v>
      </c>
      <c r="E40" s="183">
        <f t="shared" si="2"/>
        <v>180571.63000000003</v>
      </c>
      <c r="F40" s="111">
        <f>E40/E42</f>
        <v>0.17288764385547284</v>
      </c>
    </row>
    <row r="41" spans="2:9" ht="15.75" thickBot="1" x14ac:dyDescent="0.3">
      <c r="B41" s="175" t="s">
        <v>81</v>
      </c>
      <c r="C41" s="185">
        <f t="shared" si="2"/>
        <v>37</v>
      </c>
      <c r="D41" s="185">
        <f t="shared" si="2"/>
        <v>37</v>
      </c>
      <c r="E41" s="186">
        <f t="shared" si="2"/>
        <v>14190.74</v>
      </c>
      <c r="F41" s="176">
        <f>E41/E42</f>
        <v>1.3586871886605954E-2</v>
      </c>
    </row>
    <row r="42" spans="2:9" ht="15.75" thickBot="1" x14ac:dyDescent="0.25">
      <c r="B42" s="178" t="s">
        <v>0</v>
      </c>
      <c r="C42" s="108">
        <f>SUM(C31:C41)</f>
        <v>745</v>
      </c>
      <c r="D42" s="108">
        <f>SUM(D31:D41)</f>
        <v>333</v>
      </c>
      <c r="E42" s="187">
        <f>SUM(E31:E41)</f>
        <v>1044444.9700000001</v>
      </c>
      <c r="F42" s="189">
        <f>SUM(F31:F41)</f>
        <v>0.99999999999999989</v>
      </c>
      <c r="G42" s="14"/>
      <c r="H42" s="11"/>
      <c r="I42" s="127">
        <f>E42-'1. RESUMEN DE PAGADOS '!Q23</f>
        <v>0</v>
      </c>
    </row>
    <row r="43" spans="2:9" ht="15" x14ac:dyDescent="0.2">
      <c r="B43" s="110"/>
      <c r="C43" s="110"/>
      <c r="D43" s="110"/>
      <c r="E43" s="110"/>
    </row>
    <row r="44" spans="2:9" x14ac:dyDescent="0.2">
      <c r="B44" s="10"/>
      <c r="C44" s="10"/>
      <c r="D44" s="10"/>
      <c r="E44" s="10"/>
    </row>
    <row r="45" spans="2:9" x14ac:dyDescent="0.2">
      <c r="B45" s="10"/>
      <c r="C45" s="10"/>
      <c r="D45" s="10"/>
      <c r="E45" s="10"/>
    </row>
    <row r="46" spans="2:9" x14ac:dyDescent="0.2">
      <c r="B46" s="10"/>
      <c r="C46" s="10"/>
      <c r="D46" s="10"/>
      <c r="E46" s="10"/>
    </row>
    <row r="47" spans="2:9" x14ac:dyDescent="0.2">
      <c r="B47" s="10"/>
      <c r="C47" s="10"/>
      <c r="D47" s="10"/>
      <c r="E47" s="10"/>
    </row>
    <row r="48" spans="2:9" x14ac:dyDescent="0.2">
      <c r="B48" s="10"/>
      <c r="C48" s="10"/>
      <c r="D48" s="10"/>
      <c r="E48" s="10"/>
    </row>
    <row r="49" spans="2:5" x14ac:dyDescent="0.2">
      <c r="B49" s="10"/>
      <c r="C49" s="10"/>
      <c r="D49" s="10"/>
      <c r="E49" s="10"/>
    </row>
    <row r="50" spans="2:5" x14ac:dyDescent="0.2">
      <c r="B50" s="10"/>
      <c r="C50" s="10"/>
      <c r="D50" s="10"/>
      <c r="E50" s="10"/>
    </row>
    <row r="51" spans="2:5" x14ac:dyDescent="0.2">
      <c r="B51" s="10"/>
      <c r="C51" s="10"/>
      <c r="D51" s="10"/>
      <c r="E51" s="10"/>
    </row>
    <row r="52" spans="2:5" x14ac:dyDescent="0.2">
      <c r="B52" s="10"/>
      <c r="C52" s="10"/>
      <c r="D52" s="10"/>
      <c r="E52" s="10"/>
    </row>
    <row r="53" spans="2:5" x14ac:dyDescent="0.2">
      <c r="B53" s="10"/>
      <c r="C53" s="10"/>
      <c r="D53" s="10"/>
      <c r="E53" s="10"/>
    </row>
    <row r="66" spans="12:12" x14ac:dyDescent="0.2">
      <c r="L66" s="1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I53"/>
  <sheetViews>
    <sheetView tabSelected="1" zoomScale="98" zoomScaleNormal="98" workbookViewId="0">
      <selection activeCell="I11" sqref="I11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6" spans="2:9" x14ac:dyDescent="0.2">
      <c r="B6" s="146" t="s">
        <v>103</v>
      </c>
      <c r="C6" s="215">
        <f>'1. RESUMEN DE PAGADOS '!B22+'1. RESUMEN DE PAGADOS '!C22</f>
        <v>0</v>
      </c>
      <c r="D6" s="139"/>
      <c r="E6" s="276">
        <v>66</v>
      </c>
      <c r="F6" s="140"/>
    </row>
    <row r="7" spans="2:9" ht="13.5" thickBot="1" x14ac:dyDescent="0.25"/>
    <row r="8" spans="2:9" ht="39" thickBot="1" x14ac:dyDescent="0.25">
      <c r="B8" s="244" t="s">
        <v>73</v>
      </c>
      <c r="C8" s="133" t="s">
        <v>75</v>
      </c>
      <c r="D8" s="133" t="s">
        <v>102</v>
      </c>
      <c r="E8" s="133" t="s">
        <v>74</v>
      </c>
      <c r="F8" s="219" t="s">
        <v>83</v>
      </c>
    </row>
    <row r="9" spans="2:9" ht="15.75" customHeight="1" x14ac:dyDescent="0.2">
      <c r="B9" s="243" t="s">
        <v>76</v>
      </c>
      <c r="C9" s="135">
        <f>6+11+2+4</f>
        <v>23</v>
      </c>
      <c r="D9" s="135">
        <f>[1]TOTALES!$D$4</f>
        <v>52</v>
      </c>
      <c r="E9" s="225">
        <f>'1. RESUMEN DE PAGADOS '!G12</f>
        <v>117942.81000000001</v>
      </c>
      <c r="F9" s="222">
        <f>E9/E19</f>
        <v>0.30450855300358365</v>
      </c>
    </row>
    <row r="10" spans="2:9" x14ac:dyDescent="0.2">
      <c r="B10" s="172" t="s">
        <v>77</v>
      </c>
      <c r="C10" s="220">
        <f>10+10+7+8</f>
        <v>35</v>
      </c>
      <c r="D10" s="139">
        <f>[1]TOTALES!$D$6</f>
        <v>74</v>
      </c>
      <c r="E10" s="225">
        <f>'1. RESUMEN DE PAGADOS '!H12</f>
        <v>239931.37</v>
      </c>
      <c r="F10" s="223">
        <f>E10/E19</f>
        <v>0.61946255391801697</v>
      </c>
    </row>
    <row r="11" spans="2:9" ht="25.5" x14ac:dyDescent="0.2">
      <c r="B11" s="172" t="s">
        <v>106</v>
      </c>
      <c r="C11" s="220">
        <f>1+1+1+1+1</f>
        <v>5</v>
      </c>
      <c r="D11" s="139">
        <f>7</f>
        <v>7</v>
      </c>
      <c r="E11" s="225">
        <f>'1. RESUMEN DE PAGADOS '!I11</f>
        <v>0</v>
      </c>
      <c r="F11" s="223">
        <f>E11/E19</f>
        <v>0</v>
      </c>
    </row>
    <row r="12" spans="2:9" ht="25.5" x14ac:dyDescent="0.2">
      <c r="B12" s="172" t="s">
        <v>97</v>
      </c>
      <c r="C12" s="221">
        <v>0</v>
      </c>
      <c r="D12" s="216">
        <v>2</v>
      </c>
      <c r="E12" s="225">
        <f>'1. RESUMEN DE PAGADOS '!K11</f>
        <v>0</v>
      </c>
      <c r="F12" s="223">
        <f>E12/E19</f>
        <v>0</v>
      </c>
    </row>
    <row r="13" spans="2:9" x14ac:dyDescent="0.2">
      <c r="B13" s="172" t="s">
        <v>78</v>
      </c>
      <c r="C13" s="139">
        <f>1+1</f>
        <v>2</v>
      </c>
      <c r="D13" s="135">
        <f>[1]TOTALES!$D$12</f>
        <v>3</v>
      </c>
      <c r="E13" s="225">
        <f>'1. RESUMEN DE PAGADOS '!M12</f>
        <v>11428.57</v>
      </c>
      <c r="F13" s="223">
        <f>E13/E19</f>
        <v>2.9506650838657864E-2</v>
      </c>
    </row>
    <row r="14" spans="2:9" x14ac:dyDescent="0.2">
      <c r="B14" s="172" t="s">
        <v>92</v>
      </c>
      <c r="C14" s="139">
        <v>0</v>
      </c>
      <c r="D14" s="139">
        <f>[1]TOTALES!$D$14</f>
        <v>2</v>
      </c>
      <c r="E14" s="226">
        <f>'1. RESUMEN DE PAGADOS '!O11</f>
        <v>0</v>
      </c>
      <c r="F14" s="223">
        <f>E14/E19</f>
        <v>0</v>
      </c>
      <c r="I14" s="127"/>
    </row>
    <row r="15" spans="2:9" ht="13.5" thickBot="1" x14ac:dyDescent="0.25">
      <c r="B15" s="229" t="s">
        <v>95</v>
      </c>
      <c r="C15" s="217">
        <f>C9+C10+C11+C12+C13+C14</f>
        <v>65</v>
      </c>
      <c r="D15" s="217">
        <f>D9+D10+D11+D12+D13+D14</f>
        <v>140</v>
      </c>
      <c r="E15" s="227">
        <f>SUM(E9:E14)</f>
        <v>369302.75</v>
      </c>
      <c r="F15" s="224"/>
    </row>
    <row r="16" spans="2:9" ht="13.5" thickBot="1" x14ac:dyDescent="0.25">
      <c r="B16" s="148" t="s">
        <v>101</v>
      </c>
      <c r="C16" s="212">
        <v>11</v>
      </c>
      <c r="D16" s="232">
        <f>[1]TOTALES!$D$10</f>
        <v>28</v>
      </c>
      <c r="E16" s="145">
        <f>'1. RESUMEN DE PAGADOS '!J12</f>
        <v>4304.76</v>
      </c>
      <c r="F16" s="168">
        <f>E16/E19</f>
        <v>1.111416828739036E-2</v>
      </c>
    </row>
    <row r="17" spans="2:9" ht="13.5" thickBot="1" x14ac:dyDescent="0.25">
      <c r="B17" s="147" t="s">
        <v>94</v>
      </c>
      <c r="C17" s="230">
        <v>12</v>
      </c>
      <c r="D17" s="233">
        <v>12</v>
      </c>
      <c r="E17" s="166">
        <f>'1. RESUMEN DE PAGADOS '!N12</f>
        <v>13714.32</v>
      </c>
      <c r="F17" s="170">
        <f>E17/E19</f>
        <v>3.5408073952351196E-2</v>
      </c>
      <c r="I17" s="127"/>
    </row>
    <row r="18" spans="2:9" ht="13.5" thickBot="1" x14ac:dyDescent="0.25">
      <c r="B18" s="234" t="s">
        <v>95</v>
      </c>
      <c r="C18" s="235">
        <f>C16+C17</f>
        <v>23</v>
      </c>
      <c r="D18" s="236">
        <f>D16+D17</f>
        <v>40</v>
      </c>
      <c r="E18" s="231">
        <f>E16+E17</f>
        <v>18019.080000000002</v>
      </c>
      <c r="F18" s="167"/>
    </row>
    <row r="19" spans="2:9" ht="13.5" thickBot="1" x14ac:dyDescent="0.25">
      <c r="B19" s="142" t="s">
        <v>0</v>
      </c>
      <c r="C19" s="126">
        <f>C15+C18</f>
        <v>88</v>
      </c>
      <c r="D19" s="213">
        <f>D15+D18</f>
        <v>180</v>
      </c>
      <c r="E19" s="169">
        <f>E15+E18</f>
        <v>387321.83</v>
      </c>
      <c r="F19" s="143">
        <f>SUM(F9:F17)</f>
        <v>1</v>
      </c>
    </row>
    <row r="20" spans="2:9" ht="15" customHeight="1" thickBot="1" x14ac:dyDescent="0.25">
      <c r="B20" s="424"/>
      <c r="C20" s="425"/>
      <c r="D20" s="425"/>
      <c r="E20" s="425"/>
      <c r="F20" s="426"/>
    </row>
    <row r="21" spans="2:9" ht="39" thickBot="1" x14ac:dyDescent="0.25">
      <c r="B21" s="133" t="s">
        <v>99</v>
      </c>
      <c r="C21" s="133" t="s">
        <v>75</v>
      </c>
      <c r="D21" s="133" t="s">
        <v>105</v>
      </c>
      <c r="E21" s="133" t="s">
        <v>74</v>
      </c>
      <c r="F21" s="133" t="s">
        <v>83</v>
      </c>
    </row>
    <row r="22" spans="2:9" x14ac:dyDescent="0.2">
      <c r="B22" s="134" t="s">
        <v>79</v>
      </c>
      <c r="C22" s="135">
        <f>'3. COMP VR'!B20</f>
        <v>0</v>
      </c>
      <c r="D22" s="212">
        <f>'3. COMP VR'!B9</f>
        <v>56</v>
      </c>
      <c r="E22" s="136">
        <f>'3. COMP VR'!E10+'3. COMP VR'!C10</f>
        <v>109847.06</v>
      </c>
      <c r="F22" s="137">
        <f>E22/E25</f>
        <v>0.49479110878245514</v>
      </c>
    </row>
    <row r="23" spans="2:9" x14ac:dyDescent="0.2">
      <c r="B23" s="144" t="s">
        <v>80</v>
      </c>
      <c r="C23" s="139">
        <f>'4. COMP VP'!C23</f>
        <v>0</v>
      </c>
      <c r="D23" s="212">
        <f>'4. COMP VP'!C12</f>
        <v>46</v>
      </c>
      <c r="E23" s="136">
        <f>'4. COMP VP'!D13+'4. COMP VP'!F13</f>
        <v>104000.12000000001</v>
      </c>
      <c r="F23" s="140">
        <f>E23/E25</f>
        <v>0.46845436453473033</v>
      </c>
    </row>
    <row r="24" spans="2:9" ht="13.5" thickBot="1" x14ac:dyDescent="0.25">
      <c r="B24" s="138" t="s">
        <v>81</v>
      </c>
      <c r="C24" s="139">
        <f>'2. COMPR DEV 30%'!B20</f>
        <v>0</v>
      </c>
      <c r="D24" s="212">
        <f>'2. COMPR DEV 30%'!B9</f>
        <v>16</v>
      </c>
      <c r="E24" s="136">
        <f>'2. COMPR DEV 30%'!C10+'2. COMPR DEV 30%'!E10</f>
        <v>8159.7600000000011</v>
      </c>
      <c r="F24" s="141">
        <f>E24/E25</f>
        <v>3.6754526682814516E-2</v>
      </c>
      <c r="G24" s="127"/>
    </row>
    <row r="25" spans="2:9" ht="13.5" thickBot="1" x14ac:dyDescent="0.25">
      <c r="B25" s="142" t="s">
        <v>0</v>
      </c>
      <c r="C25" s="126">
        <f>C22+C23+C24</f>
        <v>0</v>
      </c>
      <c r="D25" s="126">
        <f>D22+D23+D24</f>
        <v>118</v>
      </c>
      <c r="E25" s="128">
        <f>E22+E23+E24</f>
        <v>222006.94</v>
      </c>
      <c r="F25" s="143">
        <f>SUM(F22:F24)</f>
        <v>1</v>
      </c>
    </row>
    <row r="26" spans="2:9" ht="13.5" customHeight="1" thickBot="1" x14ac:dyDescent="0.25">
      <c r="B26" s="427" t="s">
        <v>82</v>
      </c>
      <c r="C26" s="428"/>
      <c r="D26" s="428"/>
      <c r="E26" s="428"/>
      <c r="F26" s="429"/>
    </row>
    <row r="27" spans="2:9" ht="15.75" customHeight="1" thickBot="1" x14ac:dyDescent="0.25">
      <c r="B27" s="142" t="s">
        <v>61</v>
      </c>
      <c r="C27" s="239">
        <f>C19+C25</f>
        <v>88</v>
      </c>
      <c r="D27" s="239">
        <f>D19+D25</f>
        <v>298</v>
      </c>
      <c r="E27" s="238">
        <f>E25+E19</f>
        <v>609328.77</v>
      </c>
      <c r="F27" s="237"/>
    </row>
    <row r="28" spans="2:9" ht="15" x14ac:dyDescent="0.2">
      <c r="B28" s="190"/>
      <c r="C28" s="190"/>
      <c r="D28" s="190"/>
      <c r="E28" s="190"/>
      <c r="F28" s="191"/>
    </row>
    <row r="29" spans="2:9" ht="15.75" thickBot="1" x14ac:dyDescent="0.25">
      <c r="B29" s="192"/>
      <c r="C29" s="132"/>
      <c r="D29" s="132"/>
      <c r="E29" s="129"/>
      <c r="F29" s="191"/>
    </row>
    <row r="30" spans="2:9" ht="45.75" thickBot="1" x14ac:dyDescent="0.25">
      <c r="B30" s="193" t="s">
        <v>73</v>
      </c>
      <c r="C30" s="194" t="s">
        <v>75</v>
      </c>
      <c r="D30" s="214" t="s">
        <v>104</v>
      </c>
      <c r="E30" s="109" t="s">
        <v>74</v>
      </c>
      <c r="F30" s="193" t="s">
        <v>83</v>
      </c>
    </row>
    <row r="31" spans="2:9" ht="15" x14ac:dyDescent="0.2">
      <c r="B31" s="177" t="s">
        <v>76</v>
      </c>
      <c r="C31" s="179">
        <f>C9</f>
        <v>23</v>
      </c>
      <c r="D31" s="179">
        <f>D9</f>
        <v>52</v>
      </c>
      <c r="E31" s="181">
        <f>E9</f>
        <v>117942.81000000001</v>
      </c>
      <c r="F31" s="184">
        <f>E31/E42</f>
        <v>0.19356185988066837</v>
      </c>
    </row>
    <row r="32" spans="2:9" ht="15" x14ac:dyDescent="0.2">
      <c r="B32" s="171" t="s">
        <v>77</v>
      </c>
      <c r="C32" s="107">
        <f t="shared" ref="C32:E36" si="0">C10</f>
        <v>35</v>
      </c>
      <c r="D32" s="107">
        <f>D10</f>
        <v>74</v>
      </c>
      <c r="E32" s="182">
        <f t="shared" si="0"/>
        <v>239931.37</v>
      </c>
      <c r="F32" s="111">
        <f>E32/E42</f>
        <v>0.39376340296552875</v>
      </c>
    </row>
    <row r="33" spans="2:8" ht="25.5" x14ac:dyDescent="0.2">
      <c r="B33" s="172" t="s">
        <v>100</v>
      </c>
      <c r="C33" s="107">
        <f>C11</f>
        <v>5</v>
      </c>
      <c r="D33" s="107">
        <f>D11</f>
        <v>7</v>
      </c>
      <c r="E33" s="182">
        <f t="shared" si="0"/>
        <v>0</v>
      </c>
      <c r="F33" s="111">
        <f>E33/E42</f>
        <v>0</v>
      </c>
    </row>
    <row r="34" spans="2:8" ht="33.75" customHeight="1" x14ac:dyDescent="0.2">
      <c r="B34" s="171" t="s">
        <v>97</v>
      </c>
      <c r="C34" s="107">
        <f t="shared" si="0"/>
        <v>0</v>
      </c>
      <c r="D34" s="107">
        <f>D12</f>
        <v>2</v>
      </c>
      <c r="E34" s="182">
        <f t="shared" si="0"/>
        <v>0</v>
      </c>
      <c r="F34" s="111">
        <f>E34/E42</f>
        <v>0</v>
      </c>
    </row>
    <row r="35" spans="2:8" ht="15" x14ac:dyDescent="0.2">
      <c r="B35" s="171" t="s">
        <v>78</v>
      </c>
      <c r="C35" s="107">
        <f t="shared" si="0"/>
        <v>2</v>
      </c>
      <c r="D35" s="107">
        <f>D13</f>
        <v>3</v>
      </c>
      <c r="E35" s="182">
        <f>E13</f>
        <v>11428.57</v>
      </c>
      <c r="F35" s="111">
        <f>E35/E42</f>
        <v>1.8755999326931502E-2</v>
      </c>
    </row>
    <row r="36" spans="2:8" ht="30" x14ac:dyDescent="0.2">
      <c r="B36" s="171" t="s">
        <v>92</v>
      </c>
      <c r="C36" s="107">
        <f t="shared" si="0"/>
        <v>0</v>
      </c>
      <c r="D36" s="107">
        <f>D14</f>
        <v>2</v>
      </c>
      <c r="E36" s="182">
        <f t="shared" si="0"/>
        <v>0</v>
      </c>
      <c r="F36" s="111">
        <f>E36/E42</f>
        <v>0</v>
      </c>
    </row>
    <row r="37" spans="2:8" ht="15" x14ac:dyDescent="0.2">
      <c r="B37" s="171" t="s">
        <v>93</v>
      </c>
      <c r="C37" s="107">
        <f t="shared" ref="C37:E38" si="1">C16</f>
        <v>11</v>
      </c>
      <c r="D37" s="107">
        <f t="shared" si="1"/>
        <v>28</v>
      </c>
      <c r="E37" s="182">
        <f t="shared" si="1"/>
        <v>4304.76</v>
      </c>
      <c r="F37" s="111">
        <f>E37/E42</f>
        <v>7.0647575035723328E-3</v>
      </c>
    </row>
    <row r="38" spans="2:8" ht="15" x14ac:dyDescent="0.2">
      <c r="B38" s="173" t="s">
        <v>94</v>
      </c>
      <c r="C38" s="180">
        <f t="shared" si="1"/>
        <v>12</v>
      </c>
      <c r="D38" s="180">
        <f t="shared" si="1"/>
        <v>12</v>
      </c>
      <c r="E38" s="182">
        <f t="shared" si="1"/>
        <v>13714.32</v>
      </c>
      <c r="F38" s="111">
        <f>E38/E42</f>
        <v>2.2507258273723067E-2</v>
      </c>
    </row>
    <row r="39" spans="2:8" ht="15" x14ac:dyDescent="0.2">
      <c r="B39" s="240" t="s">
        <v>79</v>
      </c>
      <c r="C39" s="107">
        <f t="shared" ref="C39:E41" si="2">C22</f>
        <v>0</v>
      </c>
      <c r="D39" s="107">
        <f t="shared" si="2"/>
        <v>56</v>
      </c>
      <c r="E39" s="183">
        <f t="shared" si="2"/>
        <v>109847.06</v>
      </c>
      <c r="F39" s="111">
        <f>E39/E42</f>
        <v>0.18027551858416269</v>
      </c>
    </row>
    <row r="40" spans="2:8" ht="15" x14ac:dyDescent="0.2">
      <c r="B40" s="174" t="s">
        <v>80</v>
      </c>
      <c r="C40" s="107">
        <f t="shared" si="2"/>
        <v>0</v>
      </c>
      <c r="D40" s="107">
        <f t="shared" si="2"/>
        <v>46</v>
      </c>
      <c r="E40" s="183">
        <f t="shared" si="2"/>
        <v>104000.12000000001</v>
      </c>
      <c r="F40" s="111">
        <f>E40/E42</f>
        <v>0.17067981214804612</v>
      </c>
    </row>
    <row r="41" spans="2:8" ht="15.75" thickBot="1" x14ac:dyDescent="0.3">
      <c r="B41" s="175" t="s">
        <v>81</v>
      </c>
      <c r="C41" s="185">
        <f t="shared" si="2"/>
        <v>0</v>
      </c>
      <c r="D41" s="185">
        <f t="shared" si="2"/>
        <v>16</v>
      </c>
      <c r="E41" s="186">
        <f t="shared" si="2"/>
        <v>8159.7600000000011</v>
      </c>
      <c r="F41" s="176">
        <f>E41/E42</f>
        <v>1.3391391317367144E-2</v>
      </c>
    </row>
    <row r="42" spans="2:8" ht="15.75" thickBot="1" x14ac:dyDescent="0.25">
      <c r="B42" s="178" t="s">
        <v>0</v>
      </c>
      <c r="C42" s="108">
        <f>SUM(C31:C41)</f>
        <v>88</v>
      </c>
      <c r="D42" s="108">
        <f>SUM(D31:D41)</f>
        <v>298</v>
      </c>
      <c r="E42" s="187">
        <f>SUM(E31:E41)</f>
        <v>609328.77</v>
      </c>
      <c r="F42" s="189">
        <f>SUM(F31:F41)</f>
        <v>1</v>
      </c>
      <c r="G42" s="14"/>
      <c r="H42" s="11"/>
    </row>
    <row r="43" spans="2:8" ht="15" x14ac:dyDescent="0.2">
      <c r="B43" s="110"/>
      <c r="C43" s="110"/>
      <c r="D43" s="110"/>
      <c r="E43" s="110"/>
    </row>
    <row r="44" spans="2:8" x14ac:dyDescent="0.2">
      <c r="B44" s="10"/>
      <c r="C44" s="10"/>
      <c r="D44" s="10"/>
      <c r="E44" s="10"/>
    </row>
    <row r="45" spans="2:8" x14ac:dyDescent="0.2">
      <c r="B45" s="10"/>
      <c r="C45" s="10"/>
      <c r="D45" s="10"/>
      <c r="E45" s="10"/>
    </row>
    <row r="46" spans="2:8" x14ac:dyDescent="0.2">
      <c r="B46" s="10"/>
      <c r="C46" s="10"/>
      <c r="D46" s="10"/>
      <c r="E46" s="10"/>
    </row>
    <row r="47" spans="2:8" x14ac:dyDescent="0.2">
      <c r="B47" s="10"/>
      <c r="C47" s="10"/>
      <c r="D47" s="10"/>
      <c r="E47" s="10"/>
    </row>
    <row r="48" spans="2:8" x14ac:dyDescent="0.2">
      <c r="B48" s="10"/>
      <c r="C48" s="10"/>
      <c r="D48" s="10"/>
      <c r="E48" s="10"/>
    </row>
    <row r="49" spans="2:5" x14ac:dyDescent="0.2">
      <c r="B49" s="10"/>
      <c r="C49" s="10"/>
      <c r="D49" s="10"/>
      <c r="E49" s="10"/>
    </row>
    <row r="50" spans="2:5" x14ac:dyDescent="0.2">
      <c r="B50" s="10"/>
      <c r="C50" s="10"/>
      <c r="D50" s="10"/>
      <c r="E50" s="10"/>
    </row>
    <row r="51" spans="2:5" x14ac:dyDescent="0.2">
      <c r="B51" s="10"/>
      <c r="C51" s="10"/>
      <c r="D51" s="10"/>
      <c r="E51" s="10"/>
    </row>
    <row r="52" spans="2:5" x14ac:dyDescent="0.2">
      <c r="B52" s="10"/>
      <c r="C52" s="10"/>
      <c r="D52" s="10"/>
      <c r="E52" s="10"/>
    </row>
    <row r="53" spans="2:5" x14ac:dyDescent="0.2">
      <c r="B53" s="10"/>
      <c r="C53" s="10"/>
      <c r="D53" s="10"/>
      <c r="E53" s="10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zoomScale="106" zoomScaleNormal="106" workbookViewId="0">
      <selection activeCell="E12" sqref="E12"/>
    </sheetView>
  </sheetViews>
  <sheetFormatPr baseColWidth="10" defaultColWidth="11.42578125" defaultRowHeight="12.75" x14ac:dyDescent="0.2"/>
  <cols>
    <col min="1" max="2" width="8" style="1" customWidth="1"/>
    <col min="3" max="3" width="7.85546875" style="1" customWidth="1"/>
    <col min="4" max="4" width="8" style="1" customWidth="1"/>
    <col min="5" max="5" width="7.7109375" style="1" customWidth="1"/>
    <col min="6" max="6" width="8.28515625" style="1" customWidth="1"/>
    <col min="7" max="7" width="13.5703125" style="1" customWidth="1"/>
    <col min="8" max="8" width="15.5703125" style="1" customWidth="1"/>
    <col min="9" max="9" width="12.5703125" style="1" customWidth="1"/>
    <col min="10" max="10" width="13" style="1" customWidth="1"/>
    <col min="11" max="11" width="11.5703125" style="1" customWidth="1"/>
    <col min="12" max="12" width="11.28515625" style="1" customWidth="1"/>
    <col min="13" max="13" width="11.85546875" style="1" customWidth="1"/>
    <col min="14" max="14" width="12.7109375" style="1" customWidth="1"/>
    <col min="15" max="15" width="12" style="1" customWidth="1"/>
    <col min="16" max="16" width="15.140625" style="198" customWidth="1"/>
    <col min="17" max="17" width="16" style="198" customWidth="1"/>
    <col min="18" max="18" width="15.42578125" style="198" customWidth="1"/>
    <col min="19" max="19" width="11.42578125" style="198"/>
    <col min="20" max="20" width="11.42578125" style="1"/>
    <col min="21" max="21" width="14" style="1" bestFit="1" customWidth="1"/>
    <col min="22" max="22" width="17.7109375" style="1" customWidth="1"/>
    <col min="23" max="16384" width="11.42578125" style="1"/>
  </cols>
  <sheetData>
    <row r="1" spans="1:22" x14ac:dyDescent="0.2">
      <c r="P1" s="247" t="s">
        <v>98</v>
      </c>
    </row>
    <row r="6" spans="1:22" x14ac:dyDescent="0.2">
      <c r="A6" s="437" t="s">
        <v>90</v>
      </c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N6" s="437"/>
      <c r="O6" s="437"/>
      <c r="P6" s="437"/>
    </row>
    <row r="7" spans="1:22" x14ac:dyDescent="0.2">
      <c r="A7" s="437" t="s">
        <v>127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7"/>
      <c r="N7" s="437"/>
      <c r="O7" s="437"/>
      <c r="P7" s="437"/>
    </row>
    <row r="8" spans="1:22" ht="12.75" customHeight="1" thickBot="1" x14ac:dyDescent="0.25"/>
    <row r="9" spans="1:22" ht="12.75" customHeight="1" thickBot="1" x14ac:dyDescent="0.25">
      <c r="A9" s="442" t="s">
        <v>7</v>
      </c>
      <c r="B9" s="438" t="s">
        <v>133</v>
      </c>
      <c r="C9" s="440" t="s">
        <v>132</v>
      </c>
      <c r="D9" s="440" t="s">
        <v>135</v>
      </c>
      <c r="E9" s="430" t="s">
        <v>91</v>
      </c>
      <c r="F9" s="431"/>
      <c r="G9" s="435" t="s">
        <v>67</v>
      </c>
      <c r="H9" s="432" t="s">
        <v>84</v>
      </c>
      <c r="I9" s="433"/>
      <c r="J9" s="433"/>
      <c r="K9" s="433"/>
      <c r="L9" s="434"/>
      <c r="M9" s="431" t="s">
        <v>68</v>
      </c>
      <c r="N9" s="438" t="s">
        <v>69</v>
      </c>
      <c r="O9" s="430" t="s">
        <v>72</v>
      </c>
      <c r="P9" s="445" t="s">
        <v>1</v>
      </c>
      <c r="T9" s="188"/>
      <c r="U9" s="188"/>
    </row>
    <row r="10" spans="1:22" ht="75.75" customHeight="1" thickBot="1" x14ac:dyDescent="0.25">
      <c r="A10" s="443"/>
      <c r="B10" s="439"/>
      <c r="C10" s="441"/>
      <c r="D10" s="441"/>
      <c r="E10" s="117" t="s">
        <v>88</v>
      </c>
      <c r="F10" s="117" t="s">
        <v>89</v>
      </c>
      <c r="G10" s="436"/>
      <c r="H10" s="118" t="s">
        <v>87</v>
      </c>
      <c r="I10" s="118" t="s">
        <v>96</v>
      </c>
      <c r="J10" s="119" t="s">
        <v>16</v>
      </c>
      <c r="K10" s="112" t="s">
        <v>15</v>
      </c>
      <c r="L10" s="113" t="s">
        <v>85</v>
      </c>
      <c r="M10" s="439"/>
      <c r="N10" s="439"/>
      <c r="O10" s="444"/>
      <c r="P10" s="446"/>
      <c r="Q10" s="199"/>
      <c r="R10" s="198" t="s">
        <v>71</v>
      </c>
      <c r="S10" s="198" t="s">
        <v>110</v>
      </c>
      <c r="T10" s="188"/>
      <c r="U10" s="188"/>
    </row>
    <row r="11" spans="1:22" ht="23.1" customHeight="1" x14ac:dyDescent="0.2">
      <c r="A11" s="115" t="s">
        <v>2</v>
      </c>
      <c r="B11" s="116">
        <v>0</v>
      </c>
      <c r="C11" s="130">
        <f>16+17+13+15+1</f>
        <v>62</v>
      </c>
      <c r="D11" s="130">
        <f>3+37+36+24+38</f>
        <v>138</v>
      </c>
      <c r="E11" s="116">
        <f>7+9+4+8</f>
        <v>28</v>
      </c>
      <c r="F11" s="116">
        <f>9+8+9+7+1</f>
        <v>34</v>
      </c>
      <c r="G11" s="114">
        <f>(21257.09+0.04)+(40114.3-0.04+0.01+385.71)+(15428.57-0.02)+(19405.7-0.01+0.01+1165.72)</f>
        <v>97757.08</v>
      </c>
      <c r="H11" s="131">
        <f>(47131.44-0.04+0.04+542.85)+(52571.41-0.04+0.04+1000.01)+(26571.43-0.03+0.01)+(58422.8-0.03+0.07+2457.15)</f>
        <v>188697.11000000002</v>
      </c>
      <c r="I11" s="131">
        <v>0</v>
      </c>
      <c r="J11" s="114">
        <f>(300+300+300+300)+(1200)+(285.7+285.72+285.72+285.72)+(200+200+200+200)+(285.72+285.7+285.72+285.72)</f>
        <v>5485.7200000000012</v>
      </c>
      <c r="K11" s="99">
        <v>0</v>
      </c>
      <c r="L11" s="99">
        <v>0</v>
      </c>
      <c r="M11" s="114">
        <f>(342.86+400+400)+(1142.86)+(285.72-0.01)</f>
        <v>2571.4300000000003</v>
      </c>
      <c r="N11" s="131">
        <f>10*1142.86</f>
        <v>11428.599999999999</v>
      </c>
      <c r="O11" s="120">
        <v>0</v>
      </c>
      <c r="P11" s="200">
        <f t="shared" ref="P11:P22" si="0">G11+H11+I11+J11+K11+L11+M11+N11+O11</f>
        <v>305939.94</v>
      </c>
      <c r="Q11" s="201">
        <f>P11+'2. COMPR DEV 30%'!E9+'2. COMPR DEV 30%'!C9+'3. COMP VR'!C9+'3. COMP VR'!E9+'4. COMP VP'!D12+'4. COMP VP'!F12</f>
        <v>435116.20000000007</v>
      </c>
      <c r="R11" s="256" t="s">
        <v>111</v>
      </c>
      <c r="S11" s="257" t="s">
        <v>112</v>
      </c>
      <c r="T11" s="188"/>
      <c r="U11" s="251"/>
      <c r="V11" s="241"/>
    </row>
    <row r="12" spans="1:22" ht="23.1" customHeight="1" x14ac:dyDescent="0.2">
      <c r="A12" s="100" t="s">
        <v>3</v>
      </c>
      <c r="B12" s="116">
        <v>0</v>
      </c>
      <c r="C12" s="130">
        <f>17+14+17+18</f>
        <v>66</v>
      </c>
      <c r="D12" s="130">
        <f>29+37+42+47</f>
        <v>155</v>
      </c>
      <c r="E12" s="116">
        <f>8+4+10+11</f>
        <v>33</v>
      </c>
      <c r="F12" s="116">
        <f>9+10+7+7</f>
        <v>33</v>
      </c>
      <c r="G12" s="114">
        <f>(34285.71-0.03+0.01)+(16457.13-0.01+0.02)+(36342.83-0.02+0.04)+(30857.14-0.03+0.02)</f>
        <v>117942.81000000001</v>
      </c>
      <c r="H12" s="131">
        <f>(36000.01-0.03)+(51257.16-0.05+0.02)+(50274.28-0.04+0.02)+(101828.5+0.08+571.42)</f>
        <v>239931.37</v>
      </c>
      <c r="I12" s="131">
        <v>0</v>
      </c>
      <c r="J12" s="114">
        <f>(190.47+190.48+190.48)+(190.47)+(1142.86)+(600+600)+(600+600)</f>
        <v>4304.76</v>
      </c>
      <c r="K12" s="99">
        <v>0</v>
      </c>
      <c r="L12" s="99">
        <v>0</v>
      </c>
      <c r="M12" s="114">
        <f>(2285.71)+(9142.86)</f>
        <v>11428.57</v>
      </c>
      <c r="N12" s="131">
        <f>12*1142.86</f>
        <v>13714.32</v>
      </c>
      <c r="O12" s="120">
        <v>0</v>
      </c>
      <c r="P12" s="200">
        <f t="shared" si="0"/>
        <v>387321.83</v>
      </c>
      <c r="Q12" s="202">
        <f>P12+'2. COMPR DEV 30%'!C10+'2. COMPR DEV 30%'!E10+'3. COMP VR'!C10+'3. COMP VR'!E10+'4. COMP VP'!D13+'4. COMP VP'!F13</f>
        <v>609328.7699999999</v>
      </c>
      <c r="R12" s="203"/>
      <c r="T12" s="188"/>
      <c r="U12" s="251"/>
      <c r="V12" s="241"/>
    </row>
    <row r="13" spans="1:22" ht="23.1" customHeight="1" x14ac:dyDescent="0.2">
      <c r="A13" s="100" t="s">
        <v>4</v>
      </c>
      <c r="B13" s="116">
        <v>0</v>
      </c>
      <c r="C13" s="130">
        <v>0</v>
      </c>
      <c r="D13" s="130">
        <v>0</v>
      </c>
      <c r="E13" s="116">
        <v>0</v>
      </c>
      <c r="F13" s="116">
        <v>0</v>
      </c>
      <c r="G13" s="114">
        <v>0</v>
      </c>
      <c r="H13" s="131">
        <v>0</v>
      </c>
      <c r="I13" s="131">
        <v>0</v>
      </c>
      <c r="J13" s="114">
        <v>0</v>
      </c>
      <c r="K13" s="99">
        <v>0</v>
      </c>
      <c r="L13" s="99">
        <v>0</v>
      </c>
      <c r="M13" s="114">
        <v>0</v>
      </c>
      <c r="N13" s="131">
        <v>0</v>
      </c>
      <c r="O13" s="120">
        <v>0</v>
      </c>
      <c r="P13" s="200">
        <f t="shared" si="0"/>
        <v>0</v>
      </c>
      <c r="Q13" s="202">
        <f>P13+'2. COMPR DEV 30%'!C11+'2. COMPR DEV 30%'!E11+'3. COMP VR'!C11+'3. COMP VR'!E11+'4. COMP VP'!D14+'4. COMP VP'!F14</f>
        <v>0</v>
      </c>
      <c r="R13" s="204"/>
      <c r="T13" s="188"/>
      <c r="U13" s="251"/>
      <c r="V13" s="241"/>
    </row>
    <row r="14" spans="1:22" ht="23.1" customHeight="1" x14ac:dyDescent="0.2">
      <c r="A14" s="100" t="s">
        <v>5</v>
      </c>
      <c r="B14" s="116">
        <v>0</v>
      </c>
      <c r="C14" s="130">
        <v>0</v>
      </c>
      <c r="D14" s="130">
        <v>0</v>
      </c>
      <c r="E14" s="116">
        <v>0</v>
      </c>
      <c r="F14" s="116">
        <v>0</v>
      </c>
      <c r="G14" s="114">
        <v>0</v>
      </c>
      <c r="H14" s="131">
        <v>0</v>
      </c>
      <c r="I14" s="131">
        <v>0</v>
      </c>
      <c r="J14" s="114">
        <v>0</v>
      </c>
      <c r="K14" s="99">
        <v>0</v>
      </c>
      <c r="L14" s="99">
        <v>0</v>
      </c>
      <c r="M14" s="114">
        <v>0</v>
      </c>
      <c r="N14" s="131">
        <v>0</v>
      </c>
      <c r="O14" s="120">
        <v>0</v>
      </c>
      <c r="P14" s="200">
        <f t="shared" si="0"/>
        <v>0</v>
      </c>
      <c r="Q14" s="202">
        <f>P14+'2. COMPR DEV 30%'!C12+'2. COMPR DEV 30%'!E12+'3. COMP VR'!C12+'3. COMP VR'!E12+'4. COMP VP'!D15+'4. COMP VP'!F15</f>
        <v>0</v>
      </c>
      <c r="T14" s="188"/>
      <c r="U14" s="251"/>
      <c r="V14" s="241"/>
    </row>
    <row r="15" spans="1:22" ht="23.1" customHeight="1" x14ac:dyDescent="0.2">
      <c r="A15" s="100" t="s">
        <v>6</v>
      </c>
      <c r="B15" s="116">
        <v>0</v>
      </c>
      <c r="C15" s="130">
        <v>0</v>
      </c>
      <c r="D15" s="130">
        <v>0</v>
      </c>
      <c r="E15" s="116">
        <v>0</v>
      </c>
      <c r="F15" s="116">
        <v>0</v>
      </c>
      <c r="G15" s="114">
        <v>0</v>
      </c>
      <c r="H15" s="131">
        <v>0</v>
      </c>
      <c r="I15" s="131">
        <v>0</v>
      </c>
      <c r="J15" s="114">
        <v>0</v>
      </c>
      <c r="K15" s="99">
        <v>0</v>
      </c>
      <c r="L15" s="99">
        <v>0</v>
      </c>
      <c r="M15" s="114">
        <v>0</v>
      </c>
      <c r="N15" s="131">
        <v>0</v>
      </c>
      <c r="O15" s="120">
        <v>0</v>
      </c>
      <c r="P15" s="200">
        <f t="shared" si="0"/>
        <v>0</v>
      </c>
      <c r="Q15" s="202">
        <f>P15+'2. COMPR DEV 30%'!C13+'2. COMPR DEV 30%'!E13+'3. COMP VR'!C13+'3. COMP VR'!E13+'4. COMP VP'!D16+'4. COMP VP'!F16</f>
        <v>0</v>
      </c>
      <c r="R15" s="203"/>
      <c r="T15" s="188"/>
      <c r="U15" s="251"/>
      <c r="V15" s="241"/>
    </row>
    <row r="16" spans="1:22" ht="23.1" customHeight="1" x14ac:dyDescent="0.2">
      <c r="A16" s="100" t="s">
        <v>8</v>
      </c>
      <c r="B16" s="116">
        <v>0</v>
      </c>
      <c r="C16" s="130">
        <v>0</v>
      </c>
      <c r="D16" s="130">
        <v>0</v>
      </c>
      <c r="E16" s="116">
        <v>0</v>
      </c>
      <c r="F16" s="116">
        <v>0</v>
      </c>
      <c r="G16" s="114">
        <v>0</v>
      </c>
      <c r="H16" s="131">
        <v>0</v>
      </c>
      <c r="I16" s="131">
        <v>0</v>
      </c>
      <c r="J16" s="114">
        <v>0</v>
      </c>
      <c r="K16" s="99">
        <v>0</v>
      </c>
      <c r="L16" s="99">
        <v>0</v>
      </c>
      <c r="M16" s="114">
        <v>0</v>
      </c>
      <c r="N16" s="131">
        <v>0</v>
      </c>
      <c r="O16" s="120">
        <v>0</v>
      </c>
      <c r="P16" s="200">
        <f t="shared" si="0"/>
        <v>0</v>
      </c>
      <c r="Q16" s="202">
        <f>P16+'2. COMPR DEV 30%'!C14+'2. COMPR DEV 30%'!E14+'3. COMP VR'!C14+'3. COMP VR'!E14+'4. COMP VP'!D17+'4. COMP VP'!F17</f>
        <v>0</v>
      </c>
      <c r="T16" s="188"/>
      <c r="U16" s="251"/>
      <c r="V16" s="241"/>
    </row>
    <row r="17" spans="1:24" ht="23.1" customHeight="1" x14ac:dyDescent="0.2">
      <c r="A17" s="100" t="s">
        <v>9</v>
      </c>
      <c r="B17" s="116">
        <v>0</v>
      </c>
      <c r="C17" s="130">
        <v>0</v>
      </c>
      <c r="D17" s="130">
        <v>0</v>
      </c>
      <c r="E17" s="116">
        <v>0</v>
      </c>
      <c r="F17" s="116">
        <v>0</v>
      </c>
      <c r="G17" s="114">
        <v>0</v>
      </c>
      <c r="H17" s="131">
        <v>0</v>
      </c>
      <c r="I17" s="131">
        <v>0</v>
      </c>
      <c r="J17" s="114">
        <v>0</v>
      </c>
      <c r="K17" s="99">
        <v>0</v>
      </c>
      <c r="L17" s="99">
        <v>0</v>
      </c>
      <c r="M17" s="114">
        <v>0</v>
      </c>
      <c r="N17" s="131">
        <v>0</v>
      </c>
      <c r="O17" s="120">
        <v>0</v>
      </c>
      <c r="P17" s="200">
        <f t="shared" si="0"/>
        <v>0</v>
      </c>
      <c r="Q17" s="202">
        <f>P17+'2. COMPR DEV 30%'!C15+'2. COMPR DEV 30%'!E15+'3. COMP VR'!C15+'3. COMP VR'!E15+'4. COMP VP'!D18+'4. COMP VP'!F18</f>
        <v>0</v>
      </c>
      <c r="R17" s="202"/>
      <c r="T17" s="188"/>
      <c r="U17" s="251"/>
      <c r="V17" s="241"/>
    </row>
    <row r="18" spans="1:24" ht="23.1" customHeight="1" x14ac:dyDescent="0.2">
      <c r="A18" s="100" t="s">
        <v>10</v>
      </c>
      <c r="B18" s="116">
        <v>0</v>
      </c>
      <c r="C18" s="130">
        <v>0</v>
      </c>
      <c r="D18" s="130">
        <v>0</v>
      </c>
      <c r="E18" s="116">
        <v>0</v>
      </c>
      <c r="F18" s="116">
        <v>0</v>
      </c>
      <c r="G18" s="114">
        <v>0</v>
      </c>
      <c r="H18" s="131">
        <v>0</v>
      </c>
      <c r="I18" s="131">
        <v>0</v>
      </c>
      <c r="J18" s="114">
        <v>0</v>
      </c>
      <c r="K18" s="99">
        <v>0</v>
      </c>
      <c r="L18" s="99">
        <v>0</v>
      </c>
      <c r="M18" s="114">
        <v>0</v>
      </c>
      <c r="N18" s="131">
        <v>0</v>
      </c>
      <c r="O18" s="120">
        <v>0</v>
      </c>
      <c r="P18" s="200">
        <f t="shared" si="0"/>
        <v>0</v>
      </c>
      <c r="Q18" s="202">
        <f>P18+'2. COMPR DEV 30%'!C16+'2. COMPR DEV 30%'!E16+'3. COMP VR'!C16+'3. COMP VR'!E16+'4. COMP VP'!D19+'4. COMP VP'!F19</f>
        <v>0</v>
      </c>
      <c r="T18" s="188"/>
      <c r="U18" s="251"/>
      <c r="V18" s="241"/>
    </row>
    <row r="19" spans="1:24" ht="23.1" customHeight="1" x14ac:dyDescent="0.2">
      <c r="A19" s="101" t="s">
        <v>11</v>
      </c>
      <c r="B19" s="116">
        <v>0</v>
      </c>
      <c r="C19" s="130">
        <v>0</v>
      </c>
      <c r="D19" s="130">
        <v>0</v>
      </c>
      <c r="E19" s="116">
        <v>0</v>
      </c>
      <c r="F19" s="116">
        <v>0</v>
      </c>
      <c r="G19" s="114">
        <v>0</v>
      </c>
      <c r="H19" s="131">
        <v>0</v>
      </c>
      <c r="I19" s="131">
        <v>0</v>
      </c>
      <c r="J19" s="114">
        <v>0</v>
      </c>
      <c r="K19" s="99">
        <v>0</v>
      </c>
      <c r="L19" s="99">
        <v>0</v>
      </c>
      <c r="M19" s="114">
        <v>0</v>
      </c>
      <c r="N19" s="131">
        <v>0</v>
      </c>
      <c r="O19" s="120">
        <v>0</v>
      </c>
      <c r="P19" s="200">
        <f t="shared" si="0"/>
        <v>0</v>
      </c>
      <c r="Q19" s="202">
        <f>P19+'2. COMPR DEV 30%'!C17+'2. COMPR DEV 30%'!E17+'3. COMP VR'!C17+'3. COMP VR'!E17+'4. COMP VP'!D20+'4. COMP VP'!F20</f>
        <v>0</v>
      </c>
      <c r="R19" s="203"/>
      <c r="T19" s="188"/>
      <c r="U19" s="251"/>
      <c r="V19" s="241"/>
      <c r="X19" s="241"/>
    </row>
    <row r="20" spans="1:24" ht="23.1" customHeight="1" x14ac:dyDescent="0.2">
      <c r="A20" s="102" t="s">
        <v>12</v>
      </c>
      <c r="B20" s="116">
        <v>0</v>
      </c>
      <c r="C20" s="130">
        <v>0</v>
      </c>
      <c r="D20" s="130">
        <v>0</v>
      </c>
      <c r="E20" s="116">
        <v>0</v>
      </c>
      <c r="F20" s="116">
        <v>0</v>
      </c>
      <c r="G20" s="114">
        <v>0</v>
      </c>
      <c r="H20" s="131">
        <v>0</v>
      </c>
      <c r="I20" s="131">
        <v>0</v>
      </c>
      <c r="J20" s="114">
        <v>0</v>
      </c>
      <c r="K20" s="99">
        <v>0</v>
      </c>
      <c r="L20" s="99">
        <v>0</v>
      </c>
      <c r="M20" s="114">
        <v>0</v>
      </c>
      <c r="N20" s="131">
        <v>0</v>
      </c>
      <c r="O20" s="120">
        <v>0</v>
      </c>
      <c r="P20" s="200">
        <f t="shared" si="0"/>
        <v>0</v>
      </c>
      <c r="Q20" s="202">
        <f>P20+'2. COMPR DEV 30%'!C18+'2. COMPR DEV 30%'!E18+'3. COMP VR'!C18+'3. COMP VR'!E18+'4. COMP VP'!D21+'4. COMP VP'!F21</f>
        <v>0</v>
      </c>
      <c r="R20" s="205"/>
      <c r="T20" s="198"/>
      <c r="U20" s="251"/>
      <c r="V20" s="241"/>
    </row>
    <row r="21" spans="1:24" ht="23.1" customHeight="1" x14ac:dyDescent="0.2">
      <c r="A21" s="103" t="s">
        <v>13</v>
      </c>
      <c r="B21" s="116">
        <v>0</v>
      </c>
      <c r="C21" s="130">
        <v>0</v>
      </c>
      <c r="D21" s="130">
        <v>0</v>
      </c>
      <c r="E21" s="116">
        <v>0</v>
      </c>
      <c r="F21" s="116">
        <v>0</v>
      </c>
      <c r="G21" s="114">
        <v>0</v>
      </c>
      <c r="H21" s="131">
        <v>0</v>
      </c>
      <c r="I21" s="131">
        <v>0</v>
      </c>
      <c r="J21" s="114">
        <v>0</v>
      </c>
      <c r="K21" s="99">
        <v>0</v>
      </c>
      <c r="L21" s="99">
        <v>0</v>
      </c>
      <c r="M21" s="114">
        <v>0</v>
      </c>
      <c r="N21" s="131">
        <v>0</v>
      </c>
      <c r="O21" s="120">
        <v>0</v>
      </c>
      <c r="P21" s="200">
        <f t="shared" si="0"/>
        <v>0</v>
      </c>
      <c r="Q21" s="202">
        <f>P21+'2. COMPR DEV 30%'!C19+'2. COMPR DEV 30%'!E19+'3. COMP VR'!C19+'3. COMP VR'!E19+'4. COMP VP'!D22+'4. COMP VP'!F22</f>
        <v>0</v>
      </c>
      <c r="R21" s="203"/>
      <c r="T21" s="198"/>
      <c r="U21" s="251"/>
      <c r="V21" s="241"/>
    </row>
    <row r="22" spans="1:24" ht="23.1" customHeight="1" thickBot="1" x14ac:dyDescent="0.25">
      <c r="A22" s="103" t="s">
        <v>14</v>
      </c>
      <c r="B22" s="116">
        <v>0</v>
      </c>
      <c r="C22" s="130">
        <v>0</v>
      </c>
      <c r="D22" s="130">
        <v>0</v>
      </c>
      <c r="E22" s="116">
        <v>0</v>
      </c>
      <c r="F22" s="116">
        <v>0</v>
      </c>
      <c r="G22" s="114">
        <v>0</v>
      </c>
      <c r="H22" s="131">
        <v>0</v>
      </c>
      <c r="I22" s="131">
        <v>0</v>
      </c>
      <c r="J22" s="114">
        <v>0</v>
      </c>
      <c r="K22" s="99">
        <v>0</v>
      </c>
      <c r="L22" s="99">
        <v>0</v>
      </c>
      <c r="M22" s="114">
        <v>0</v>
      </c>
      <c r="N22" s="131">
        <v>0</v>
      </c>
      <c r="O22" s="120">
        <v>0</v>
      </c>
      <c r="P22" s="200">
        <f t="shared" si="0"/>
        <v>0</v>
      </c>
      <c r="Q22" s="202">
        <f>P22+'2. COMPR DEV 30%'!C20+'2. COMPR DEV 30%'!E20+'3. COMP VR'!C20+'3. COMP VR'!E20+'4. COMP VP'!D23+'4. COMP VP'!F23</f>
        <v>0</v>
      </c>
      <c r="R22" s="202"/>
      <c r="T22" s="198"/>
      <c r="U22" s="251"/>
      <c r="V22" s="241"/>
    </row>
    <row r="23" spans="1:24" ht="27.75" customHeight="1" thickBot="1" x14ac:dyDescent="0.25">
      <c r="A23" s="121" t="s">
        <v>0</v>
      </c>
      <c r="B23" s="122">
        <f t="shared" ref="B23:I23" si="1">SUM(B11:B22)</f>
        <v>0</v>
      </c>
      <c r="C23" s="122">
        <f t="shared" si="1"/>
        <v>128</v>
      </c>
      <c r="D23" s="122">
        <f t="shared" si="1"/>
        <v>293</v>
      </c>
      <c r="E23" s="122">
        <f t="shared" si="1"/>
        <v>61</v>
      </c>
      <c r="F23" s="122">
        <f t="shared" si="1"/>
        <v>67</v>
      </c>
      <c r="G23" s="123">
        <f t="shared" si="1"/>
        <v>215699.89</v>
      </c>
      <c r="H23" s="123">
        <f t="shared" si="1"/>
        <v>428628.47999999998</v>
      </c>
      <c r="I23" s="123">
        <f t="shared" si="1"/>
        <v>0</v>
      </c>
      <c r="J23" s="123">
        <f t="shared" ref="J23:O23" si="2">SUM(J11:J22)</f>
        <v>9790.4800000000014</v>
      </c>
      <c r="K23" s="123">
        <f t="shared" si="2"/>
        <v>0</v>
      </c>
      <c r="L23" s="123">
        <f t="shared" si="2"/>
        <v>0</v>
      </c>
      <c r="M23" s="123">
        <f t="shared" si="2"/>
        <v>14000</v>
      </c>
      <c r="N23" s="123">
        <f t="shared" si="2"/>
        <v>25142.92</v>
      </c>
      <c r="O23" s="124">
        <f t="shared" si="2"/>
        <v>0</v>
      </c>
      <c r="P23" s="206">
        <f>G23+H23+I23+J23+K23+L23+M23+N23+O23</f>
        <v>693261.77</v>
      </c>
      <c r="Q23" s="207">
        <f>SUM(Q11:Q22)</f>
        <v>1044444.97</v>
      </c>
      <c r="T23" s="188"/>
      <c r="U23" s="251"/>
      <c r="V23" s="241"/>
    </row>
    <row r="24" spans="1:24" s="198" customFormat="1" x14ac:dyDescent="0.2">
      <c r="A24" s="89" t="s">
        <v>116</v>
      </c>
      <c r="B24" s="252"/>
      <c r="C24" s="252"/>
      <c r="D24" s="252"/>
      <c r="E24" s="252"/>
      <c r="F24" s="252"/>
      <c r="G24" s="211"/>
      <c r="H24" s="252"/>
      <c r="I24" s="252"/>
      <c r="J24" s="252"/>
      <c r="K24" s="252"/>
      <c r="L24" s="252"/>
      <c r="M24" s="211"/>
      <c r="N24" s="1" t="s">
        <v>134</v>
      </c>
      <c r="O24" s="211"/>
      <c r="Q24" s="201">
        <f>SUM(Q11:Q23)-Q23</f>
        <v>1044444.97</v>
      </c>
      <c r="R24" s="203"/>
    </row>
    <row r="25" spans="1:24" s="198" customFormat="1" x14ac:dyDescent="0.2">
      <c r="A25" s="5" t="s">
        <v>86</v>
      </c>
      <c r="B25" s="88"/>
      <c r="C25" s="252"/>
      <c r="D25" s="252"/>
      <c r="E25" s="252"/>
      <c r="F25" s="252"/>
      <c r="G25" s="211"/>
      <c r="H25" s="252"/>
      <c r="I25" s="252"/>
      <c r="J25" s="252"/>
      <c r="K25" s="252"/>
      <c r="L25" s="252"/>
      <c r="M25" s="211"/>
      <c r="N25" s="211"/>
      <c r="O25" s="211"/>
      <c r="P25" s="208"/>
      <c r="Q25" s="203"/>
      <c r="V25" s="203"/>
    </row>
    <row r="26" spans="1:24" s="198" customFormat="1" x14ac:dyDescent="0.2">
      <c r="B26" s="254"/>
      <c r="C26" s="252"/>
      <c r="D26" s="252"/>
      <c r="E26" s="252"/>
      <c r="F26" s="252"/>
      <c r="G26" s="211"/>
      <c r="H26" s="252"/>
      <c r="I26" s="252"/>
      <c r="J26" s="252"/>
      <c r="K26" s="252"/>
      <c r="L26" s="252"/>
      <c r="M26" s="211"/>
      <c r="N26" s="211"/>
      <c r="O26" s="211"/>
      <c r="P26" s="203"/>
      <c r="Q26" s="242"/>
      <c r="V26" s="203"/>
    </row>
    <row r="27" spans="1:24" s="198" customFormat="1" x14ac:dyDescent="0.2">
      <c r="A27" s="252"/>
      <c r="B27" s="254"/>
      <c r="C27" s="252"/>
      <c r="D27" s="252"/>
      <c r="E27" s="252"/>
      <c r="F27" s="252"/>
      <c r="G27" s="211"/>
      <c r="H27" s="252"/>
      <c r="I27" s="252"/>
      <c r="J27" s="252"/>
      <c r="K27" s="252"/>
      <c r="L27" s="252"/>
      <c r="M27" s="211"/>
      <c r="N27" s="211"/>
      <c r="O27" s="211"/>
      <c r="P27" s="203"/>
      <c r="Q27" s="203"/>
    </row>
    <row r="28" spans="1:24" s="198" customFormat="1" x14ac:dyDescent="0.2">
      <c r="A28" s="88" t="s">
        <v>70</v>
      </c>
      <c r="B28" s="254"/>
      <c r="C28" s="253"/>
      <c r="D28" s="253"/>
      <c r="E28" s="253"/>
      <c r="F28" s="253"/>
      <c r="G28" s="88"/>
      <c r="H28" s="253"/>
      <c r="I28" s="253"/>
      <c r="J28" s="253"/>
      <c r="K28" s="253"/>
      <c r="L28" s="253"/>
      <c r="M28" s="88"/>
      <c r="N28" s="88"/>
      <c r="O28" s="88"/>
      <c r="P28" s="88"/>
      <c r="Q28" s="203"/>
    </row>
    <row r="29" spans="1:24" s="198" customFormat="1" x14ac:dyDescent="0.2">
      <c r="A29" s="253"/>
      <c r="B29" s="254"/>
      <c r="C29" s="252"/>
      <c r="D29" s="252"/>
      <c r="E29" s="252"/>
      <c r="F29" s="252"/>
      <c r="G29" s="211"/>
      <c r="H29" s="252"/>
      <c r="I29" s="252"/>
      <c r="J29" s="252"/>
      <c r="K29" s="252"/>
      <c r="L29" s="252"/>
      <c r="M29" s="211"/>
      <c r="N29" s="211"/>
      <c r="O29" s="211"/>
      <c r="Q29" s="242"/>
      <c r="U29" s="203"/>
    </row>
    <row r="30" spans="1:24" s="198" customFormat="1" x14ac:dyDescent="0.2">
      <c r="A30" s="253"/>
      <c r="B30" s="88"/>
      <c r="C30" s="253"/>
      <c r="D30" s="253"/>
      <c r="E30" s="253"/>
      <c r="F30" s="253"/>
      <c r="G30" s="88"/>
      <c r="H30" s="253"/>
      <c r="I30" s="253"/>
      <c r="J30" s="253"/>
      <c r="K30" s="253"/>
      <c r="L30" s="253"/>
      <c r="M30" s="88"/>
      <c r="N30" s="88"/>
      <c r="O30" s="88"/>
      <c r="P30" s="88"/>
      <c r="Q30" s="242"/>
    </row>
    <row r="31" spans="1:24" s="198" customFormat="1" x14ac:dyDescent="0.2">
      <c r="A31" s="253"/>
      <c r="B31" s="88"/>
      <c r="C31" s="253"/>
      <c r="D31" s="253"/>
      <c r="E31" s="253"/>
      <c r="F31" s="253"/>
      <c r="G31" s="88"/>
      <c r="H31" s="253"/>
      <c r="I31" s="253"/>
      <c r="J31" s="253"/>
      <c r="K31" s="253"/>
      <c r="L31" s="253"/>
      <c r="M31" s="88"/>
      <c r="N31" s="88"/>
      <c r="O31" s="88"/>
      <c r="P31" s="88"/>
    </row>
    <row r="32" spans="1:24" s="198" customFormat="1" x14ac:dyDescent="0.2">
      <c r="A32" s="253"/>
      <c r="B32" s="88"/>
      <c r="C32" s="253"/>
      <c r="D32" s="253"/>
      <c r="E32" s="253"/>
      <c r="F32" s="253"/>
      <c r="G32" s="7" t="s">
        <v>117</v>
      </c>
      <c r="H32" s="263"/>
      <c r="I32" s="264"/>
      <c r="J32" s="265"/>
      <c r="K32" s="265"/>
      <c r="L32" s="4"/>
      <c r="M32" s="7" t="s">
        <v>65</v>
      </c>
      <c r="N32" s="263"/>
      <c r="O32" s="264"/>
      <c r="P32" s="209"/>
    </row>
    <row r="33" spans="1:18" s="198" customFormat="1" x14ac:dyDescent="0.2">
      <c r="A33" s="253"/>
      <c r="B33" s="88"/>
      <c r="D33" s="253"/>
      <c r="E33" s="253"/>
      <c r="F33" s="253"/>
      <c r="G33" s="15"/>
      <c r="H33" s="8" t="s">
        <v>118</v>
      </c>
      <c r="I33" s="1"/>
      <c r="J33" s="5"/>
      <c r="K33" s="5"/>
      <c r="L33" s="4"/>
      <c r="M33" s="15"/>
      <c r="N33" s="8" t="s">
        <v>120</v>
      </c>
      <c r="O33" s="1"/>
    </row>
    <row r="34" spans="1:18" s="198" customFormat="1" x14ac:dyDescent="0.2">
      <c r="A34" s="253"/>
      <c r="B34" s="88"/>
      <c r="C34" s="253"/>
      <c r="D34" s="253"/>
      <c r="E34" s="253"/>
      <c r="F34" s="253"/>
      <c r="G34" s="3"/>
      <c r="H34" s="266" t="s">
        <v>121</v>
      </c>
      <c r="I34" s="1"/>
      <c r="J34" s="2"/>
      <c r="K34" s="2"/>
      <c r="L34" s="1"/>
      <c r="M34" s="3"/>
      <c r="N34" s="266" t="s">
        <v>119</v>
      </c>
      <c r="O34" s="1"/>
      <c r="Q34" s="255"/>
    </row>
    <row r="35" spans="1:18" x14ac:dyDescent="0.2">
      <c r="A35" s="5"/>
      <c r="B35" s="245"/>
      <c r="C35" s="246"/>
      <c r="D35" s="246"/>
      <c r="E35" s="246"/>
      <c r="F35" s="246"/>
      <c r="G35" s="188"/>
      <c r="H35" s="246"/>
      <c r="I35" s="246"/>
      <c r="J35" s="2"/>
      <c r="K35" s="2"/>
      <c r="L35" s="2"/>
      <c r="Q35" s="255"/>
      <c r="R35" s="203"/>
    </row>
    <row r="36" spans="1:18" x14ac:dyDescent="0.2">
      <c r="A36" s="5"/>
      <c r="B36" s="4"/>
      <c r="C36" s="2"/>
      <c r="D36" s="2"/>
      <c r="E36" s="2"/>
      <c r="F36" s="2"/>
      <c r="H36" s="2"/>
      <c r="I36" s="2"/>
      <c r="J36" s="2"/>
      <c r="K36" s="2"/>
      <c r="L36" s="2"/>
      <c r="P36" s="210"/>
      <c r="Q36" s="255"/>
    </row>
    <row r="37" spans="1:18" x14ac:dyDescent="0.2">
      <c r="A37" s="5"/>
      <c r="B37" s="3"/>
      <c r="C37" s="12"/>
      <c r="D37" s="12"/>
      <c r="E37" s="12"/>
      <c r="F37" s="12"/>
      <c r="G37" s="104"/>
      <c r="H37" s="12"/>
      <c r="I37" s="12"/>
      <c r="J37" s="12"/>
      <c r="K37" s="12"/>
      <c r="L37" s="12"/>
      <c r="M37" s="3"/>
      <c r="N37" s="3"/>
      <c r="O37" s="3"/>
      <c r="P37" s="210"/>
    </row>
    <row r="38" spans="1:18" ht="10.5" customHeight="1" x14ac:dyDescent="0.2">
      <c r="A38" s="5"/>
      <c r="B38" s="3"/>
      <c r="C38" s="2"/>
      <c r="D38" s="2"/>
      <c r="E38" s="2"/>
      <c r="F38" s="2"/>
      <c r="H38" s="2"/>
      <c r="I38" s="2"/>
      <c r="J38" s="2"/>
      <c r="K38" s="2"/>
      <c r="L38" s="2"/>
    </row>
    <row r="39" spans="1:18" x14ac:dyDescent="0.2">
      <c r="A39" s="5"/>
      <c r="B39" s="3"/>
      <c r="C39" s="2"/>
      <c r="D39" s="2"/>
      <c r="E39" s="2"/>
      <c r="F39" s="2"/>
      <c r="G39" s="104"/>
      <c r="H39" s="2"/>
      <c r="I39" s="2"/>
      <c r="J39" s="2"/>
      <c r="K39" s="2"/>
      <c r="L39" s="2"/>
    </row>
    <row r="40" spans="1:18" x14ac:dyDescent="0.2">
      <c r="A40" s="13"/>
      <c r="B40" s="13"/>
      <c r="C40" s="13"/>
      <c r="D40" s="13"/>
      <c r="E40" s="18"/>
      <c r="H40" s="241"/>
    </row>
    <row r="41" spans="1:18" x14ac:dyDescent="0.2">
      <c r="A41" s="13"/>
      <c r="B41" s="13"/>
      <c r="C41" s="13"/>
      <c r="D41" s="13"/>
      <c r="E41" s="18"/>
    </row>
    <row r="42" spans="1:18" x14ac:dyDescent="0.2">
      <c r="A42" s="13"/>
      <c r="B42" s="13"/>
      <c r="C42" s="13"/>
      <c r="D42" s="13"/>
      <c r="E42" s="16"/>
      <c r="F42" s="3"/>
      <c r="N42" s="3"/>
      <c r="O42" s="3"/>
      <c r="P42" s="211"/>
    </row>
    <row r="43" spans="1:18" x14ac:dyDescent="0.2">
      <c r="A43" s="13"/>
      <c r="B43" s="13"/>
      <c r="C43" s="13"/>
      <c r="D43" s="13"/>
      <c r="E43" s="18"/>
    </row>
    <row r="44" spans="1:18" x14ac:dyDescent="0.2">
      <c r="A44" s="13"/>
      <c r="B44" s="13"/>
      <c r="C44" s="13"/>
      <c r="D44" s="13"/>
      <c r="E44" s="18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7" workbookViewId="0">
      <selection activeCell="I23" sqref="I23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7" t="s">
        <v>109</v>
      </c>
    </row>
    <row r="3" spans="1:11" ht="15" x14ac:dyDescent="0.25">
      <c r="A3" s="46"/>
      <c r="B3" s="46"/>
      <c r="C3" s="46"/>
      <c r="H3" s="46"/>
      <c r="I3" s="46"/>
      <c r="J3" s="46"/>
      <c r="K3" s="45"/>
    </row>
    <row r="4" spans="1:11" s="9" customFormat="1" ht="9" x14ac:dyDescent="0.15">
      <c r="A4" s="447" t="s">
        <v>39</v>
      </c>
      <c r="B4" s="447"/>
      <c r="C4" s="447"/>
      <c r="D4" s="447"/>
      <c r="E4" s="447"/>
      <c r="F4" s="87"/>
      <c r="G4" s="447" t="s">
        <v>39</v>
      </c>
      <c r="H4" s="447"/>
      <c r="I4" s="447"/>
      <c r="J4" s="447"/>
      <c r="K4" s="447"/>
    </row>
    <row r="5" spans="1:11" s="9" customFormat="1" ht="9" x14ac:dyDescent="0.15">
      <c r="A5" s="447" t="s">
        <v>40</v>
      </c>
      <c r="B5" s="447"/>
      <c r="C5" s="447"/>
      <c r="D5" s="447"/>
      <c r="E5" s="447"/>
      <c r="F5" s="87"/>
      <c r="G5" s="447" t="s">
        <v>40</v>
      </c>
      <c r="H5" s="447"/>
      <c r="I5" s="447"/>
      <c r="J5" s="447"/>
      <c r="K5" s="447"/>
    </row>
    <row r="6" spans="1:11" s="9" customFormat="1" ht="9" x14ac:dyDescent="0.15">
      <c r="A6" s="451" t="s">
        <v>122</v>
      </c>
      <c r="B6" s="451"/>
      <c r="C6" s="451"/>
      <c r="D6" s="451"/>
      <c r="E6" s="451"/>
      <c r="F6" s="87"/>
      <c r="G6" s="451" t="s">
        <v>129</v>
      </c>
      <c r="H6" s="451"/>
      <c r="I6" s="451"/>
      <c r="J6" s="451"/>
      <c r="K6" s="451"/>
    </row>
    <row r="7" spans="1:11" ht="15" customHeight="1" x14ac:dyDescent="0.25">
      <c r="A7" s="92"/>
      <c r="B7" s="448" t="s">
        <v>123</v>
      </c>
      <c r="C7" s="449"/>
      <c r="D7" s="449"/>
      <c r="E7" s="450"/>
      <c r="F7" s="45"/>
      <c r="G7" s="48"/>
      <c r="H7" s="452" t="s">
        <v>128</v>
      </c>
      <c r="I7" s="453"/>
      <c r="J7" s="453"/>
      <c r="K7" s="454"/>
    </row>
    <row r="8" spans="1:11" ht="77.25" customHeight="1" x14ac:dyDescent="0.25">
      <c r="A8" s="93" t="s">
        <v>41</v>
      </c>
      <c r="B8" s="94" t="s">
        <v>64</v>
      </c>
      <c r="C8" s="95" t="s">
        <v>43</v>
      </c>
      <c r="D8" s="96" t="s">
        <v>44</v>
      </c>
      <c r="E8" s="97" t="s">
        <v>45</v>
      </c>
      <c r="F8" s="45"/>
      <c r="G8" s="49" t="s">
        <v>41</v>
      </c>
      <c r="H8" s="22" t="s">
        <v>64</v>
      </c>
      <c r="I8" s="50" t="s">
        <v>43</v>
      </c>
      <c r="J8" s="51" t="s">
        <v>44</v>
      </c>
      <c r="K8" s="52" t="s">
        <v>45</v>
      </c>
    </row>
    <row r="9" spans="1:11" ht="15" x14ac:dyDescent="0.25">
      <c r="A9" s="149" t="s">
        <v>28</v>
      </c>
      <c r="B9" s="150">
        <f>6+6+3+1</f>
        <v>16</v>
      </c>
      <c r="C9" s="151">
        <f>232.33+240.99+71+58.76</f>
        <v>603.08000000000004</v>
      </c>
      <c r="D9" s="151">
        <f>7744.51+8033.19+2366.96+1958.58</f>
        <v>20103.239999999998</v>
      </c>
      <c r="E9" s="152">
        <f>2091.02+2168.98+639.09+528.81</f>
        <v>5427.9</v>
      </c>
      <c r="F9" s="45"/>
      <c r="G9" s="53" t="s">
        <v>28</v>
      </c>
      <c r="H9" s="150">
        <v>25</v>
      </c>
      <c r="I9" s="151">
        <v>857.02</v>
      </c>
      <c r="J9" s="151">
        <v>28566.57</v>
      </c>
      <c r="K9" s="152">
        <v>7712.96</v>
      </c>
    </row>
    <row r="10" spans="1:11" ht="15" x14ac:dyDescent="0.25">
      <c r="A10" s="149" t="s">
        <v>29</v>
      </c>
      <c r="B10" s="150">
        <f>4+8+7+2</f>
        <v>21</v>
      </c>
      <c r="C10" s="151">
        <f>140+341.73+319.59+14.65</f>
        <v>815.96999999999991</v>
      </c>
      <c r="D10" s="151">
        <f>4666.74+11390.98+10653.14+488.3</f>
        <v>27199.16</v>
      </c>
      <c r="E10" s="152">
        <f>1260.02+3075.58+2876.35+131.84</f>
        <v>7343.7900000000009</v>
      </c>
      <c r="F10" s="45"/>
      <c r="G10" s="53" t="s">
        <v>29</v>
      </c>
      <c r="H10" s="150">
        <v>25</v>
      </c>
      <c r="I10" s="153">
        <v>911.44</v>
      </c>
      <c r="J10" s="153">
        <v>12434.68</v>
      </c>
      <c r="K10" s="152">
        <v>8202.7500000000018</v>
      </c>
    </row>
    <row r="11" spans="1:11" ht="15" x14ac:dyDescent="0.25">
      <c r="A11" s="149" t="s">
        <v>30</v>
      </c>
      <c r="B11" s="150">
        <v>0</v>
      </c>
      <c r="C11" s="151">
        <v>0</v>
      </c>
      <c r="D11" s="151">
        <v>0</v>
      </c>
      <c r="E11" s="152">
        <v>0</v>
      </c>
      <c r="F11" s="45"/>
      <c r="G11" s="53" t="s">
        <v>30</v>
      </c>
      <c r="H11" s="150">
        <v>23</v>
      </c>
      <c r="I11" s="153">
        <v>895.42000000000007</v>
      </c>
      <c r="J11" s="267">
        <v>29846.589999999997</v>
      </c>
      <c r="K11" s="268">
        <v>8058.5500000000011</v>
      </c>
    </row>
    <row r="12" spans="1:11" ht="15" x14ac:dyDescent="0.25">
      <c r="A12" s="149" t="s">
        <v>31</v>
      </c>
      <c r="B12" s="150">
        <v>0</v>
      </c>
      <c r="C12" s="153">
        <v>0</v>
      </c>
      <c r="D12" s="153">
        <v>0</v>
      </c>
      <c r="E12" s="152">
        <v>0</v>
      </c>
      <c r="F12" s="45"/>
      <c r="G12" s="53" t="s">
        <v>31</v>
      </c>
      <c r="H12" s="150">
        <v>10</v>
      </c>
      <c r="I12" s="153">
        <v>269.23</v>
      </c>
      <c r="J12" s="153">
        <v>8973.65</v>
      </c>
      <c r="K12" s="152">
        <v>2422.86</v>
      </c>
    </row>
    <row r="13" spans="1:11" ht="15" x14ac:dyDescent="0.25">
      <c r="A13" s="149" t="s">
        <v>32</v>
      </c>
      <c r="B13" s="150">
        <v>0</v>
      </c>
      <c r="C13" s="151">
        <v>0</v>
      </c>
      <c r="D13" s="151">
        <v>0</v>
      </c>
      <c r="E13" s="152">
        <v>0</v>
      </c>
      <c r="F13" s="45"/>
      <c r="G13" s="53" t="s">
        <v>32</v>
      </c>
      <c r="H13" s="150">
        <v>14</v>
      </c>
      <c r="I13" s="153">
        <v>548.13</v>
      </c>
      <c r="J13" s="153">
        <v>18270.580000000002</v>
      </c>
      <c r="K13" s="152">
        <v>4933.05</v>
      </c>
    </row>
    <row r="14" spans="1:11" ht="15" x14ac:dyDescent="0.25">
      <c r="A14" s="149" t="s">
        <v>33</v>
      </c>
      <c r="B14" s="150">
        <v>0</v>
      </c>
      <c r="C14" s="151">
        <v>0</v>
      </c>
      <c r="D14" s="151">
        <v>0</v>
      </c>
      <c r="E14" s="152">
        <v>0</v>
      </c>
      <c r="F14" s="45"/>
      <c r="G14" s="53" t="s">
        <v>33</v>
      </c>
      <c r="H14" s="150">
        <v>16</v>
      </c>
      <c r="I14" s="153">
        <v>743.39</v>
      </c>
      <c r="J14" s="153">
        <v>24779.439999999999</v>
      </c>
      <c r="K14" s="152">
        <v>6690.45</v>
      </c>
    </row>
    <row r="15" spans="1:11" ht="15" x14ac:dyDescent="0.25">
      <c r="A15" s="154" t="s">
        <v>34</v>
      </c>
      <c r="B15" s="150">
        <v>0</v>
      </c>
      <c r="C15" s="153">
        <v>0</v>
      </c>
      <c r="D15" s="153">
        <v>0</v>
      </c>
      <c r="E15" s="152">
        <v>0</v>
      </c>
      <c r="F15" s="45"/>
      <c r="G15" s="53" t="s">
        <v>34</v>
      </c>
      <c r="H15" s="150">
        <v>17</v>
      </c>
      <c r="I15" s="153">
        <v>489.1</v>
      </c>
      <c r="J15" s="153">
        <v>16302.849999999999</v>
      </c>
      <c r="K15" s="152">
        <v>4401.7700000000004</v>
      </c>
    </row>
    <row r="16" spans="1:11" ht="15" x14ac:dyDescent="0.25">
      <c r="A16" s="149" t="s">
        <v>35</v>
      </c>
      <c r="B16" s="150">
        <v>0</v>
      </c>
      <c r="C16" s="151">
        <v>0</v>
      </c>
      <c r="D16" s="151">
        <v>0</v>
      </c>
      <c r="E16" s="152">
        <v>0</v>
      </c>
      <c r="F16" s="45"/>
      <c r="G16" s="53" t="s">
        <v>35</v>
      </c>
      <c r="H16" s="150">
        <v>23</v>
      </c>
      <c r="I16" s="153">
        <v>808.94</v>
      </c>
      <c r="J16" s="153">
        <v>26964.11</v>
      </c>
      <c r="K16" s="152">
        <v>7280.2999999999993</v>
      </c>
    </row>
    <row r="17" spans="1:13" ht="15" x14ac:dyDescent="0.25">
      <c r="A17" s="149" t="s">
        <v>46</v>
      </c>
      <c r="B17" s="150">
        <v>0</v>
      </c>
      <c r="C17" s="151">
        <v>0</v>
      </c>
      <c r="D17" s="151">
        <v>0</v>
      </c>
      <c r="E17" s="152">
        <v>0</v>
      </c>
      <c r="F17" s="45"/>
      <c r="G17" s="53" t="s">
        <v>46</v>
      </c>
      <c r="H17" s="150">
        <v>33</v>
      </c>
      <c r="I17" s="153">
        <v>1020.5999999999999</v>
      </c>
      <c r="J17" s="153">
        <v>34019.47</v>
      </c>
      <c r="K17" s="152">
        <v>9185.25</v>
      </c>
    </row>
    <row r="18" spans="1:13" ht="15" x14ac:dyDescent="0.25">
      <c r="A18" s="149" t="s">
        <v>36</v>
      </c>
      <c r="B18" s="150">
        <v>0</v>
      </c>
      <c r="C18" s="151">
        <v>0</v>
      </c>
      <c r="D18" s="151">
        <v>0</v>
      </c>
      <c r="E18" s="152">
        <v>0</v>
      </c>
      <c r="F18" s="45"/>
      <c r="G18" s="53" t="s">
        <v>36</v>
      </c>
      <c r="H18" s="150">
        <v>23</v>
      </c>
      <c r="I18" s="153">
        <v>937.36</v>
      </c>
      <c r="J18" s="153">
        <v>31244.399999999998</v>
      </c>
      <c r="K18" s="152">
        <v>8435.9599999999991</v>
      </c>
    </row>
    <row r="19" spans="1:13" ht="15" x14ac:dyDescent="0.25">
      <c r="A19" s="149" t="s">
        <v>37</v>
      </c>
      <c r="B19" s="150">
        <v>0</v>
      </c>
      <c r="C19" s="151">
        <v>0</v>
      </c>
      <c r="D19" s="151">
        <v>0</v>
      </c>
      <c r="E19" s="152">
        <v>0</v>
      </c>
      <c r="F19" s="45"/>
      <c r="G19" s="53" t="s">
        <v>37</v>
      </c>
      <c r="H19" s="150">
        <v>19</v>
      </c>
      <c r="I19" s="153">
        <v>705.8900000000001</v>
      </c>
      <c r="J19" s="153">
        <v>23529.39</v>
      </c>
      <c r="K19" s="152">
        <v>6352.91</v>
      </c>
    </row>
    <row r="20" spans="1:13" ht="15" x14ac:dyDescent="0.25">
      <c r="A20" s="149" t="s">
        <v>38</v>
      </c>
      <c r="B20" s="150">
        <v>0</v>
      </c>
      <c r="C20" s="151">
        <v>0</v>
      </c>
      <c r="D20" s="151">
        <v>0</v>
      </c>
      <c r="E20" s="152">
        <v>0</v>
      </c>
      <c r="F20" s="45"/>
      <c r="G20" s="53" t="s">
        <v>38</v>
      </c>
      <c r="H20" s="150">
        <v>20</v>
      </c>
      <c r="I20" s="153">
        <v>761.49</v>
      </c>
      <c r="J20" s="153">
        <v>25382.79</v>
      </c>
      <c r="K20" s="152">
        <v>6853.34</v>
      </c>
    </row>
    <row r="21" spans="1:13" ht="15" x14ac:dyDescent="0.25">
      <c r="A21" s="155" t="s">
        <v>0</v>
      </c>
      <c r="B21" s="156">
        <f>SUM(B9:B20)</f>
        <v>37</v>
      </c>
      <c r="C21" s="157">
        <f>SUM(C9:C20)</f>
        <v>1419.05</v>
      </c>
      <c r="D21" s="158">
        <f>SUM(D9:D20)</f>
        <v>47302.399999999994</v>
      </c>
      <c r="E21" s="159">
        <f>SUM(E9:E20)</f>
        <v>12771.69</v>
      </c>
      <c r="F21" s="45"/>
      <c r="G21" s="54" t="s">
        <v>0</v>
      </c>
      <c r="H21" s="62">
        <v>248</v>
      </c>
      <c r="I21" s="85">
        <v>8948.01</v>
      </c>
      <c r="J21" s="269">
        <v>280314.51999999996</v>
      </c>
      <c r="K21" s="86">
        <v>80530.149999999994</v>
      </c>
    </row>
    <row r="22" spans="1:13" ht="15" x14ac:dyDescent="0.25">
      <c r="A22" s="90" t="s">
        <v>116</v>
      </c>
      <c r="B22" s="47"/>
      <c r="C22" s="47"/>
      <c r="D22" s="47"/>
      <c r="F22" s="45"/>
      <c r="G22" s="55"/>
      <c r="H22" s="47"/>
      <c r="I22" s="1" t="s">
        <v>134</v>
      </c>
    </row>
    <row r="23" spans="1:13" ht="15" x14ac:dyDescent="0.25">
      <c r="A23" s="47"/>
      <c r="B23" s="47"/>
      <c r="C23" s="47"/>
      <c r="D23" s="47"/>
      <c r="E23" s="47"/>
      <c r="F23" s="45"/>
      <c r="G23" s="47"/>
      <c r="H23" s="47"/>
      <c r="I23" s="47"/>
      <c r="J23" s="47"/>
      <c r="K23" s="47"/>
    </row>
    <row r="24" spans="1:13" ht="15" x14ac:dyDescent="0.25">
      <c r="A24" s="56"/>
      <c r="B24" s="47"/>
      <c r="C24" s="57"/>
      <c r="D24" s="105"/>
      <c r="E24" s="47"/>
      <c r="F24" s="45"/>
      <c r="G24" s="56"/>
      <c r="H24" s="47"/>
      <c r="I24" s="47"/>
      <c r="J24" s="47"/>
      <c r="K24" s="47"/>
      <c r="M24" s="42"/>
    </row>
    <row r="25" spans="1:13" x14ac:dyDescent="0.2">
      <c r="A25" s="47"/>
      <c r="B25" s="7" t="s">
        <v>117</v>
      </c>
      <c r="C25" s="263"/>
      <c r="D25" s="264"/>
      <c r="E25" s="265"/>
      <c r="F25" s="265"/>
      <c r="G25" s="4"/>
      <c r="H25" s="7" t="s">
        <v>65</v>
      </c>
      <c r="I25" s="263"/>
      <c r="J25" s="264"/>
      <c r="K25" s="209"/>
    </row>
    <row r="26" spans="1:13" x14ac:dyDescent="0.2">
      <c r="A26" s="56"/>
      <c r="B26" s="15"/>
      <c r="C26" s="8" t="s">
        <v>118</v>
      </c>
      <c r="D26" s="1"/>
      <c r="E26" s="5"/>
      <c r="F26" s="5"/>
      <c r="G26" s="4"/>
      <c r="H26" s="15"/>
      <c r="I26" s="8" t="s">
        <v>120</v>
      </c>
      <c r="J26" s="1"/>
      <c r="K26" s="198"/>
    </row>
    <row r="27" spans="1:13" x14ac:dyDescent="0.2">
      <c r="A27" s="47"/>
      <c r="B27" s="3"/>
      <c r="C27" s="266" t="s">
        <v>121</v>
      </c>
      <c r="D27" s="1"/>
      <c r="E27" s="2"/>
      <c r="F27" s="2"/>
      <c r="G27" s="1"/>
      <c r="H27" s="3"/>
      <c r="I27" s="266" t="s">
        <v>119</v>
      </c>
      <c r="J27" s="1"/>
      <c r="K27" s="198"/>
    </row>
    <row r="28" spans="1:13" ht="15" x14ac:dyDescent="0.25">
      <c r="A28" s="45"/>
      <c r="B28" s="45"/>
      <c r="C28" s="58"/>
      <c r="E28" s="45"/>
      <c r="F28" s="47"/>
      <c r="G28" s="45"/>
      <c r="H28" s="45"/>
      <c r="I28" s="47"/>
      <c r="J28" s="47"/>
      <c r="K28" s="45"/>
    </row>
    <row r="29" spans="1:13" ht="15" x14ac:dyDescent="0.25">
      <c r="A29" s="45"/>
      <c r="B29" s="45"/>
      <c r="C29" s="47"/>
      <c r="E29" s="45"/>
      <c r="F29" s="59"/>
      <c r="G29" s="45"/>
      <c r="H29" s="45"/>
      <c r="I29" s="47"/>
      <c r="J29" s="47"/>
      <c r="K29" s="45"/>
    </row>
    <row r="30" spans="1:13" ht="15" x14ac:dyDescent="0.25">
      <c r="A30" s="60"/>
      <c r="B30" s="45"/>
      <c r="C30" s="47"/>
      <c r="D30" s="42"/>
      <c r="E30" s="45"/>
      <c r="F30" s="56"/>
      <c r="G30" s="60"/>
      <c r="H30" s="45"/>
      <c r="I30" s="47"/>
      <c r="J30" s="47"/>
      <c r="K30" s="45"/>
    </row>
    <row r="31" spans="1:13" ht="15" x14ac:dyDescent="0.25">
      <c r="A31" s="58"/>
      <c r="B31" s="45"/>
      <c r="C31" s="58"/>
      <c r="D31" s="58"/>
      <c r="E31" s="58"/>
      <c r="F31" s="45"/>
      <c r="G31" s="45"/>
      <c r="H31" s="45"/>
      <c r="I31" s="45"/>
      <c r="J31" s="45"/>
      <c r="K31" s="45"/>
    </row>
    <row r="32" spans="1:13" ht="15" x14ac:dyDescent="0.25">
      <c r="A32" s="45"/>
      <c r="B32" s="45"/>
      <c r="C32" s="45"/>
      <c r="D32" s="45"/>
      <c r="E32" s="45"/>
    </row>
    <row r="33" spans="1:5" ht="15" x14ac:dyDescent="0.25">
      <c r="A33" s="45"/>
      <c r="B33" s="45"/>
      <c r="C33" s="45"/>
      <c r="D33" s="45"/>
      <c r="E33" s="45"/>
    </row>
    <row r="34" spans="1:5" ht="15" x14ac:dyDescent="0.25">
      <c r="A34" s="45"/>
      <c r="B34" s="45"/>
      <c r="C34" s="45"/>
      <c r="D34" s="45"/>
      <c r="E34" s="45"/>
    </row>
    <row r="35" spans="1:5" ht="15" x14ac:dyDescent="0.25">
      <c r="A35" s="47"/>
      <c r="B35" s="45"/>
      <c r="C35" s="45"/>
      <c r="D35" s="45"/>
      <c r="E35" s="45"/>
    </row>
    <row r="36" spans="1:5" x14ac:dyDescent="0.2">
      <c r="A36" s="61"/>
      <c r="B36" s="47"/>
      <c r="C36" s="47"/>
      <c r="D36" s="47"/>
      <c r="E36" s="47"/>
    </row>
    <row r="37" spans="1:5" ht="15" x14ac:dyDescent="0.25">
      <c r="A37" s="45"/>
      <c r="B37" s="58"/>
      <c r="C37" s="58"/>
      <c r="D37" s="58"/>
      <c r="E37" s="47"/>
    </row>
    <row r="38" spans="1:5" ht="15" x14ac:dyDescent="0.25">
      <c r="A38" s="45"/>
      <c r="B38" s="58"/>
      <c r="C38" s="58"/>
      <c r="D38" s="58"/>
      <c r="E38" s="47"/>
    </row>
    <row r="39" spans="1:5" x14ac:dyDescent="0.2">
      <c r="A39" s="47"/>
      <c r="B39" s="47"/>
      <c r="C39" s="47"/>
      <c r="D39" s="47"/>
      <c r="E39" s="47"/>
    </row>
    <row r="40" spans="1:5" x14ac:dyDescent="0.2">
      <c r="A40" s="47"/>
      <c r="B40" s="47"/>
      <c r="C40" s="47"/>
      <c r="D40" s="47"/>
      <c r="E40" s="47"/>
    </row>
    <row r="41" spans="1:5" x14ac:dyDescent="0.2">
      <c r="A41" s="47"/>
      <c r="B41" s="47"/>
      <c r="C41" s="47"/>
      <c r="D41" s="47"/>
      <c r="E41" s="47"/>
    </row>
    <row r="42" spans="1:5" x14ac:dyDescent="0.2">
      <c r="A42" s="47"/>
      <c r="B42" s="47"/>
      <c r="C42" s="47"/>
      <c r="D42" s="47"/>
      <c r="E42" s="47"/>
    </row>
    <row r="43" spans="1:5" x14ac:dyDescent="0.2">
      <c r="A43" s="47"/>
      <c r="B43" s="47"/>
      <c r="C43" s="47"/>
      <c r="D43" s="47"/>
      <c r="E43" s="47"/>
    </row>
    <row r="44" spans="1:5" x14ac:dyDescent="0.2">
      <c r="A44" s="47"/>
      <c r="B44" s="47"/>
      <c r="C44" s="47"/>
      <c r="D44" s="47"/>
      <c r="E44" s="47"/>
    </row>
    <row r="45" spans="1:5" x14ac:dyDescent="0.2">
      <c r="A45" s="47"/>
      <c r="B45" s="47"/>
      <c r="C45" s="47"/>
      <c r="D45" s="47"/>
      <c r="E45" s="47"/>
    </row>
    <row r="46" spans="1:5" x14ac:dyDescent="0.2">
      <c r="A46" s="47"/>
      <c r="B46" s="47"/>
      <c r="C46" s="47"/>
      <c r="D46" s="47"/>
      <c r="E46" s="47"/>
    </row>
    <row r="47" spans="1:5" x14ac:dyDescent="0.2">
      <c r="A47" s="47"/>
      <c r="B47" s="47"/>
      <c r="C47" s="47"/>
      <c r="D47" s="47"/>
      <c r="E47" s="47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44"/>
  <sheetViews>
    <sheetView zoomScaleNormal="100" workbookViewId="0">
      <selection activeCell="I23" sqref="I23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7" t="s">
        <v>115</v>
      </c>
    </row>
    <row r="4" spans="1:14" x14ac:dyDescent="0.2">
      <c r="A4" s="455" t="s">
        <v>47</v>
      </c>
      <c r="B4" s="455"/>
      <c r="C4" s="455"/>
      <c r="D4" s="455"/>
      <c r="E4" s="455"/>
      <c r="F4" s="1"/>
      <c r="G4" s="455" t="s">
        <v>47</v>
      </c>
      <c r="H4" s="455"/>
      <c r="I4" s="455"/>
      <c r="J4" s="455"/>
      <c r="K4" s="455"/>
    </row>
    <row r="5" spans="1:14" x14ac:dyDescent="0.2">
      <c r="A5" s="455" t="s">
        <v>124</v>
      </c>
      <c r="B5" s="455"/>
      <c r="C5" s="455"/>
      <c r="D5" s="455"/>
      <c r="E5" s="455"/>
      <c r="F5" s="1"/>
      <c r="G5" s="455" t="s">
        <v>131</v>
      </c>
      <c r="H5" s="455"/>
      <c r="I5" s="455"/>
      <c r="J5" s="455"/>
      <c r="K5" s="455"/>
    </row>
    <row r="6" spans="1:14" x14ac:dyDescent="0.2">
      <c r="A6" s="43"/>
      <c r="B6" s="43"/>
      <c r="C6" s="43"/>
      <c r="D6" s="43"/>
      <c r="E6" s="43"/>
      <c r="F6" s="1"/>
      <c r="G6" s="43"/>
      <c r="H6" s="43"/>
      <c r="I6" s="43"/>
      <c r="J6" s="43"/>
      <c r="K6" s="43"/>
    </row>
    <row r="7" spans="1:14" ht="12.75" customHeight="1" x14ac:dyDescent="0.2">
      <c r="A7" s="21"/>
      <c r="B7" s="448" t="str">
        <f>'2. COMPR DEV 30%'!B7:E7</f>
        <v>DEL 01 DE ENERO AL 31 DE DICIEMBRE DEL AÑO 2022</v>
      </c>
      <c r="C7" s="449"/>
      <c r="D7" s="449"/>
      <c r="E7" s="450"/>
      <c r="G7" s="21"/>
      <c r="H7" s="456" t="s">
        <v>128</v>
      </c>
      <c r="I7" s="457"/>
      <c r="J7" s="457"/>
      <c r="K7" s="458"/>
    </row>
    <row r="8" spans="1:14" ht="45" x14ac:dyDescent="0.2">
      <c r="A8" s="33" t="s">
        <v>41</v>
      </c>
      <c r="B8" s="22" t="s">
        <v>42</v>
      </c>
      <c r="C8" s="23" t="s">
        <v>43</v>
      </c>
      <c r="D8" s="98" t="s">
        <v>44</v>
      </c>
      <c r="E8" s="24" t="s">
        <v>45</v>
      </c>
      <c r="G8" s="33" t="s">
        <v>41</v>
      </c>
      <c r="H8" s="63" t="s">
        <v>42</v>
      </c>
      <c r="I8" s="35" t="s">
        <v>43</v>
      </c>
      <c r="J8" s="35" t="s">
        <v>44</v>
      </c>
      <c r="K8" s="64" t="s">
        <v>45</v>
      </c>
    </row>
    <row r="9" spans="1:14" x14ac:dyDescent="0.2">
      <c r="A9" s="160" t="s">
        <v>28</v>
      </c>
      <c r="B9" s="161">
        <f>6+14+12+24</f>
        <v>56</v>
      </c>
      <c r="C9" s="162">
        <f>8.12+14.53+8.48+22.13</f>
        <v>53.26</v>
      </c>
      <c r="D9" s="162">
        <f>4728.27+10811.43+13975.72+19573.03</f>
        <v>49088.45</v>
      </c>
      <c r="E9" s="162">
        <f>4350.58+9856.94+13277.77+19035.22</f>
        <v>46520.51</v>
      </c>
      <c r="G9" s="29" t="s">
        <v>28</v>
      </c>
      <c r="H9" s="161">
        <v>83</v>
      </c>
      <c r="I9" s="162">
        <v>115.64000000000001</v>
      </c>
      <c r="J9" s="162">
        <v>83311.760000000009</v>
      </c>
      <c r="K9" s="162">
        <v>78765.06</v>
      </c>
      <c r="L9" s="42"/>
      <c r="M9" s="42"/>
    </row>
    <row r="10" spans="1:14" x14ac:dyDescent="0.2">
      <c r="A10" s="160" t="s">
        <v>29</v>
      </c>
      <c r="B10" s="161">
        <f>19+14+27+31</f>
        <v>91</v>
      </c>
      <c r="C10" s="162">
        <f>41.5+12.89+44.41+57.64</f>
        <v>156.44</v>
      </c>
      <c r="D10" s="162">
        <f>38034.94+12572.96+26573.64+38432.83</f>
        <v>115614.37000000001</v>
      </c>
      <c r="E10" s="162">
        <f>37428.41+11199.48+24892.53+36170.2</f>
        <v>109690.62</v>
      </c>
      <c r="F10" s="125"/>
      <c r="G10" s="25" t="s">
        <v>29</v>
      </c>
      <c r="H10" s="164">
        <v>85</v>
      </c>
      <c r="I10" s="275">
        <v>166.46000000000004</v>
      </c>
      <c r="J10" s="275">
        <v>82953.849999999991</v>
      </c>
      <c r="K10" s="274">
        <v>79310.16</v>
      </c>
      <c r="L10" s="11"/>
      <c r="M10" s="11"/>
    </row>
    <row r="11" spans="1:14" x14ac:dyDescent="0.2">
      <c r="A11" s="160" t="s">
        <v>30</v>
      </c>
      <c r="B11" s="161">
        <v>0</v>
      </c>
      <c r="C11" s="162">
        <v>0</v>
      </c>
      <c r="D11" s="162">
        <v>0</v>
      </c>
      <c r="E11" s="162">
        <v>0</v>
      </c>
      <c r="G11" s="66" t="s">
        <v>30</v>
      </c>
      <c r="H11" s="164">
        <v>99</v>
      </c>
      <c r="I11" s="275">
        <v>130.04000000000002</v>
      </c>
      <c r="J11" s="275">
        <v>99120.49</v>
      </c>
      <c r="K11" s="274">
        <v>94341.91</v>
      </c>
      <c r="L11" s="67"/>
      <c r="M11" s="68"/>
    </row>
    <row r="12" spans="1:14" x14ac:dyDescent="0.2">
      <c r="A12" s="160" t="s">
        <v>31</v>
      </c>
      <c r="B12" s="161">
        <v>0</v>
      </c>
      <c r="C12" s="162">
        <v>0</v>
      </c>
      <c r="D12" s="162">
        <v>0</v>
      </c>
      <c r="E12" s="162">
        <v>0</v>
      </c>
      <c r="G12" s="29" t="s">
        <v>31</v>
      </c>
      <c r="H12" s="164">
        <v>62</v>
      </c>
      <c r="I12" s="275">
        <v>71.45</v>
      </c>
      <c r="J12" s="275">
        <v>54884.89</v>
      </c>
      <c r="K12" s="274">
        <v>50897.62</v>
      </c>
      <c r="L12" s="68"/>
      <c r="M12" s="69"/>
    </row>
    <row r="13" spans="1:14" x14ac:dyDescent="0.2">
      <c r="A13" s="160" t="s">
        <v>32</v>
      </c>
      <c r="B13" s="161">
        <v>0</v>
      </c>
      <c r="C13" s="162">
        <v>0</v>
      </c>
      <c r="D13" s="162">
        <v>0</v>
      </c>
      <c r="E13" s="162">
        <v>0</v>
      </c>
      <c r="G13" s="29" t="s">
        <v>32</v>
      </c>
      <c r="H13" s="164">
        <v>96</v>
      </c>
      <c r="I13" s="275">
        <v>85.09</v>
      </c>
      <c r="J13" s="275">
        <v>85567.81</v>
      </c>
      <c r="K13" s="274">
        <v>75952.350000000006</v>
      </c>
      <c r="L13" s="42"/>
      <c r="M13" s="68"/>
    </row>
    <row r="14" spans="1:14" x14ac:dyDescent="0.2">
      <c r="A14" s="160" t="s">
        <v>33</v>
      </c>
      <c r="B14" s="161">
        <v>0</v>
      </c>
      <c r="C14" s="162">
        <v>0</v>
      </c>
      <c r="D14" s="162">
        <v>0</v>
      </c>
      <c r="E14" s="162">
        <v>0</v>
      </c>
      <c r="G14" s="29" t="s">
        <v>33</v>
      </c>
      <c r="H14" s="164">
        <v>82</v>
      </c>
      <c r="I14" s="275">
        <v>85.36</v>
      </c>
      <c r="J14" s="275">
        <v>73274.09</v>
      </c>
      <c r="K14" s="274">
        <v>69752.92</v>
      </c>
      <c r="L14" s="68"/>
      <c r="M14" s="70"/>
      <c r="N14" s="42"/>
    </row>
    <row r="15" spans="1:14" x14ac:dyDescent="0.2">
      <c r="A15" s="163" t="s">
        <v>34</v>
      </c>
      <c r="B15" s="161">
        <v>0</v>
      </c>
      <c r="C15" s="162">
        <v>0</v>
      </c>
      <c r="D15" s="162">
        <v>0</v>
      </c>
      <c r="E15" s="162">
        <v>0</v>
      </c>
      <c r="G15" s="29" t="s">
        <v>34</v>
      </c>
      <c r="H15" s="164">
        <v>75</v>
      </c>
      <c r="I15" s="275">
        <v>118.37</v>
      </c>
      <c r="J15" s="275">
        <v>73737.26999999999</v>
      </c>
      <c r="K15" s="274">
        <v>67993.59</v>
      </c>
      <c r="L15" s="42"/>
      <c r="M15" s="70"/>
      <c r="N15" s="42"/>
    </row>
    <row r="16" spans="1:14" x14ac:dyDescent="0.2">
      <c r="A16" s="160" t="s">
        <v>35</v>
      </c>
      <c r="B16" s="161">
        <v>0</v>
      </c>
      <c r="C16" s="162">
        <v>0</v>
      </c>
      <c r="D16" s="162">
        <v>0</v>
      </c>
      <c r="E16" s="162">
        <v>0</v>
      </c>
      <c r="G16" s="29" t="s">
        <v>35</v>
      </c>
      <c r="H16" s="164">
        <v>82</v>
      </c>
      <c r="I16" s="275">
        <v>142.56</v>
      </c>
      <c r="J16" s="275">
        <v>88260.59</v>
      </c>
      <c r="K16" s="274">
        <v>83459.06</v>
      </c>
      <c r="L16" s="71"/>
      <c r="M16" s="11"/>
      <c r="N16" s="42"/>
    </row>
    <row r="17" spans="1:14" x14ac:dyDescent="0.2">
      <c r="A17" s="160" t="s">
        <v>46</v>
      </c>
      <c r="B17" s="161">
        <v>0</v>
      </c>
      <c r="C17" s="162">
        <v>0</v>
      </c>
      <c r="D17" s="162">
        <v>0</v>
      </c>
      <c r="E17" s="162">
        <v>0</v>
      </c>
      <c r="G17" s="29" t="s">
        <v>46</v>
      </c>
      <c r="H17" s="164">
        <v>76</v>
      </c>
      <c r="I17" s="275">
        <v>77.539999999999992</v>
      </c>
      <c r="J17" s="275">
        <v>65717.95</v>
      </c>
      <c r="K17" s="274">
        <v>59994.15</v>
      </c>
      <c r="L17" s="68"/>
      <c r="M17" s="11"/>
      <c r="N17" s="42"/>
    </row>
    <row r="18" spans="1:14" x14ac:dyDescent="0.2">
      <c r="A18" s="160" t="s">
        <v>36</v>
      </c>
      <c r="B18" s="161">
        <v>0</v>
      </c>
      <c r="C18" s="162">
        <v>0</v>
      </c>
      <c r="D18" s="162">
        <v>0</v>
      </c>
      <c r="E18" s="162">
        <v>0</v>
      </c>
      <c r="G18" s="29" t="s">
        <v>36</v>
      </c>
      <c r="H18" s="164">
        <v>91</v>
      </c>
      <c r="I18" s="275">
        <v>108.77000000000001</v>
      </c>
      <c r="J18" s="275">
        <v>91407.44</v>
      </c>
      <c r="K18" s="274">
        <v>85501.53</v>
      </c>
      <c r="L18" s="68"/>
      <c r="M18" s="72"/>
      <c r="N18" s="42"/>
    </row>
    <row r="19" spans="1:14" x14ac:dyDescent="0.2">
      <c r="A19" s="160" t="s">
        <v>37</v>
      </c>
      <c r="B19" s="161">
        <v>0</v>
      </c>
      <c r="C19" s="162">
        <v>0</v>
      </c>
      <c r="D19" s="162">
        <v>0</v>
      </c>
      <c r="E19" s="162">
        <v>0</v>
      </c>
      <c r="G19" s="29" t="s">
        <v>37</v>
      </c>
      <c r="H19" s="164">
        <v>113</v>
      </c>
      <c r="I19" s="275">
        <v>140.94</v>
      </c>
      <c r="J19" s="275">
        <v>102316.38</v>
      </c>
      <c r="K19" s="274">
        <v>93843.42</v>
      </c>
      <c r="L19" s="72"/>
      <c r="M19" s="11"/>
      <c r="N19" s="42"/>
    </row>
    <row r="20" spans="1:14" x14ac:dyDescent="0.2">
      <c r="A20" s="160" t="s">
        <v>38</v>
      </c>
      <c r="B20" s="161">
        <v>0</v>
      </c>
      <c r="C20" s="162">
        <v>0</v>
      </c>
      <c r="D20" s="162">
        <v>0</v>
      </c>
      <c r="E20" s="162">
        <v>0</v>
      </c>
      <c r="G20" s="29" t="s">
        <v>38</v>
      </c>
      <c r="H20" s="164">
        <v>103</v>
      </c>
      <c r="I20" s="275">
        <v>168.64</v>
      </c>
      <c r="J20" s="275">
        <v>104655.48</v>
      </c>
      <c r="K20" s="274">
        <v>99934.23000000001</v>
      </c>
      <c r="L20" s="42"/>
      <c r="M20" s="68"/>
      <c r="N20" s="42"/>
    </row>
    <row r="21" spans="1:14" x14ac:dyDescent="0.2">
      <c r="A21" s="31" t="s">
        <v>0</v>
      </c>
      <c r="B21" s="73">
        <f>SUM(B9:B20)</f>
        <v>147</v>
      </c>
      <c r="C21" s="106">
        <f>SUM(C9:C20)</f>
        <v>209.7</v>
      </c>
      <c r="D21" s="106">
        <f>SUM(D9:D20)</f>
        <v>164702.82</v>
      </c>
      <c r="E21" s="106">
        <f>SUM(E9:E20)</f>
        <v>156211.13</v>
      </c>
      <c r="G21" s="31" t="s">
        <v>0</v>
      </c>
      <c r="H21" s="74">
        <v>1047</v>
      </c>
      <c r="I21" s="75">
        <v>1410.8600000000001</v>
      </c>
      <c r="J21" s="75">
        <v>1005207.9999999999</v>
      </c>
      <c r="K21" s="75">
        <v>939746</v>
      </c>
      <c r="L21" s="11"/>
      <c r="M21" s="11"/>
      <c r="N21" s="42"/>
    </row>
    <row r="22" spans="1:14" x14ac:dyDescent="0.2">
      <c r="A22" s="89" t="s">
        <v>116</v>
      </c>
      <c r="B22" s="1"/>
      <c r="C22" s="1"/>
      <c r="D22" s="1"/>
      <c r="E22" s="6"/>
      <c r="G22" s="27"/>
      <c r="H22" s="1"/>
      <c r="I22" s="1" t="s">
        <v>134</v>
      </c>
      <c r="J22" s="1"/>
    </row>
    <row r="23" spans="1:14" x14ac:dyDescent="0.2">
      <c r="A23" s="88"/>
      <c r="B23" s="14"/>
    </row>
    <row r="24" spans="1:14" x14ac:dyDescent="0.2">
      <c r="A24" s="88"/>
      <c r="B24" s="1"/>
      <c r="C24" s="1"/>
      <c r="D24" s="1"/>
      <c r="E24" s="1"/>
      <c r="F24" s="1"/>
    </row>
    <row r="25" spans="1:14" x14ac:dyDescent="0.2">
      <c r="A25" s="88"/>
      <c r="B25" s="15"/>
      <c r="C25" s="1"/>
      <c r="D25" s="1"/>
      <c r="E25" s="1"/>
      <c r="F25" s="1"/>
    </row>
    <row r="26" spans="1:14" x14ac:dyDescent="0.2">
      <c r="A26" s="4"/>
      <c r="B26" s="17"/>
      <c r="C26" s="1"/>
      <c r="D26" s="1"/>
      <c r="F26" s="1"/>
      <c r="J26" s="1"/>
    </row>
    <row r="27" spans="1:14" x14ac:dyDescent="0.2">
      <c r="A27" s="4"/>
      <c r="B27" s="44"/>
      <c r="C27" s="262"/>
      <c r="D27" s="262"/>
      <c r="E27" s="262"/>
      <c r="F27" s="1"/>
    </row>
    <row r="28" spans="1:14" x14ac:dyDescent="0.2">
      <c r="A28" s="4"/>
      <c r="B28" s="7" t="s">
        <v>117</v>
      </c>
      <c r="C28" s="263"/>
      <c r="D28" s="264"/>
      <c r="E28" s="265"/>
      <c r="F28" s="265"/>
      <c r="G28" s="4"/>
      <c r="H28" s="7" t="s">
        <v>65</v>
      </c>
      <c r="I28" s="263"/>
      <c r="J28" s="264"/>
      <c r="K28" s="209"/>
    </row>
    <row r="29" spans="1:14" x14ac:dyDescent="0.2">
      <c r="A29" s="4"/>
      <c r="B29" s="15"/>
      <c r="C29" s="8" t="s">
        <v>118</v>
      </c>
      <c r="D29" s="1"/>
      <c r="E29" s="5"/>
      <c r="F29" s="5"/>
      <c r="G29" s="4"/>
      <c r="H29" s="15"/>
      <c r="I29" s="8" t="s">
        <v>120</v>
      </c>
      <c r="J29" s="1"/>
      <c r="K29" s="198"/>
    </row>
    <row r="30" spans="1:14" x14ac:dyDescent="0.2">
      <c r="A30" s="4"/>
      <c r="B30" s="3"/>
      <c r="C30" s="266" t="s">
        <v>121</v>
      </c>
      <c r="D30" s="1"/>
      <c r="E30" s="2"/>
      <c r="F30" s="2"/>
      <c r="G30" s="1"/>
      <c r="H30" s="3"/>
      <c r="I30" s="266" t="s">
        <v>119</v>
      </c>
      <c r="J30" s="1"/>
      <c r="K30" s="198"/>
    </row>
    <row r="31" spans="1:14" x14ac:dyDescent="0.2">
      <c r="A31" s="76"/>
      <c r="B31" s="9"/>
      <c r="C31" s="9"/>
      <c r="F31" s="1"/>
    </row>
    <row r="32" spans="1:14" x14ac:dyDescent="0.2">
      <c r="A32" s="9"/>
      <c r="B32" s="4"/>
      <c r="F32" s="1"/>
      <c r="H32" s="1"/>
      <c r="I32" s="1"/>
    </row>
    <row r="33" spans="1:9" x14ac:dyDescent="0.2">
      <c r="A33" s="26"/>
      <c r="B33" s="1"/>
      <c r="C33" s="1"/>
      <c r="D33" s="1"/>
      <c r="E33" s="1"/>
      <c r="F33" s="1"/>
      <c r="H33" s="1"/>
      <c r="I33" s="1"/>
    </row>
    <row r="34" spans="1:9" x14ac:dyDescent="0.2">
      <c r="B34" s="3"/>
      <c r="C34" s="3"/>
      <c r="D34" s="3"/>
      <c r="E34" s="1"/>
      <c r="F34" s="1"/>
      <c r="H34" s="1"/>
      <c r="I34" s="1"/>
    </row>
    <row r="35" spans="1:9" x14ac:dyDescent="0.2">
      <c r="B35" s="3"/>
      <c r="C35" s="3"/>
      <c r="D35" s="3"/>
      <c r="E35" s="1"/>
      <c r="F35" s="1"/>
    </row>
    <row r="36" spans="1:9" x14ac:dyDescent="0.2">
      <c r="A36" s="1"/>
      <c r="B36" s="1"/>
      <c r="C36" s="1"/>
      <c r="D36" s="1"/>
      <c r="E36" s="1"/>
      <c r="F36" s="1"/>
    </row>
    <row r="37" spans="1:9" x14ac:dyDescent="0.2">
      <c r="A37" s="1"/>
      <c r="B37" s="1"/>
      <c r="C37" s="1"/>
      <c r="D37" s="1"/>
      <c r="E37" s="1"/>
      <c r="F37" s="1"/>
    </row>
    <row r="38" spans="1:9" x14ac:dyDescent="0.2">
      <c r="A38" s="1"/>
      <c r="B38" s="1"/>
      <c r="C38" s="1"/>
      <c r="D38" s="1"/>
      <c r="E38" s="1"/>
      <c r="F38" s="1"/>
    </row>
    <row r="39" spans="1:9" x14ac:dyDescent="0.2">
      <c r="A39" s="1"/>
      <c r="B39" s="1"/>
      <c r="C39" s="1"/>
      <c r="D39" s="1"/>
      <c r="E39" s="1"/>
      <c r="F39" s="1"/>
    </row>
    <row r="40" spans="1:9" x14ac:dyDescent="0.2">
      <c r="A40" s="1"/>
      <c r="B40" s="1"/>
      <c r="C40" s="1"/>
      <c r="D40" s="1"/>
      <c r="E40" s="1"/>
      <c r="F40" s="1"/>
    </row>
    <row r="41" spans="1:9" x14ac:dyDescent="0.2">
      <c r="A41" s="1"/>
      <c r="B41" s="1"/>
      <c r="C41" s="1"/>
      <c r="D41" s="1"/>
      <c r="E41" s="1"/>
      <c r="F41" s="1"/>
    </row>
    <row r="42" spans="1:9" x14ac:dyDescent="0.2">
      <c r="A42" s="1"/>
      <c r="B42" s="1"/>
      <c r="C42" s="1"/>
      <c r="D42" s="1"/>
      <c r="E42" s="1"/>
      <c r="F42" s="1"/>
    </row>
    <row r="43" spans="1:9" x14ac:dyDescent="0.2">
      <c r="A43" s="1"/>
      <c r="B43" s="1"/>
      <c r="C43" s="1"/>
      <c r="D43" s="1"/>
      <c r="E43" s="1"/>
      <c r="F43" s="1"/>
    </row>
    <row r="44" spans="1:9" x14ac:dyDescent="0.2">
      <c r="A44" s="1"/>
      <c r="B44" s="1"/>
      <c r="C44" s="1"/>
      <c r="D44" s="1"/>
      <c r="E44" s="1"/>
      <c r="F44" s="1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2"/>
  <sheetViews>
    <sheetView topLeftCell="A7" workbookViewId="0">
      <selection activeCell="D28" sqref="D28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1:15" x14ac:dyDescent="0.2">
      <c r="L3" s="17" t="s">
        <v>114</v>
      </c>
    </row>
    <row r="5" spans="1:15" x14ac:dyDescent="0.2">
      <c r="B5" s="19"/>
    </row>
    <row r="6" spans="1:15" x14ac:dyDescent="0.2">
      <c r="B6" s="20"/>
      <c r="C6" s="20"/>
      <c r="D6" s="20"/>
      <c r="E6" s="20"/>
    </row>
    <row r="7" spans="1:15" x14ac:dyDescent="0.2">
      <c r="B7" s="20"/>
      <c r="C7" s="20"/>
      <c r="D7" s="20"/>
      <c r="E7" s="20"/>
    </row>
    <row r="8" spans="1:15" x14ac:dyDescent="0.2">
      <c r="B8" s="455" t="s">
        <v>48</v>
      </c>
      <c r="C8" s="455"/>
      <c r="D8" s="455"/>
      <c r="E8" s="455"/>
      <c r="F8" s="455"/>
      <c r="G8" s="1"/>
      <c r="H8" s="455" t="s">
        <v>48</v>
      </c>
      <c r="I8" s="455"/>
      <c r="J8" s="455"/>
      <c r="K8" s="455"/>
      <c r="L8" s="455"/>
    </row>
    <row r="9" spans="1:15" x14ac:dyDescent="0.2">
      <c r="B9" s="459" t="s">
        <v>125</v>
      </c>
      <c r="C9" s="459"/>
      <c r="D9" s="459"/>
      <c r="E9" s="459"/>
      <c r="F9" s="459"/>
      <c r="G9" s="1"/>
      <c r="H9" s="459" t="s">
        <v>130</v>
      </c>
      <c r="I9" s="459"/>
      <c r="J9" s="459"/>
      <c r="K9" s="459"/>
      <c r="L9" s="459"/>
    </row>
    <row r="10" spans="1:15" ht="12.75" customHeight="1" x14ac:dyDescent="0.2">
      <c r="B10" s="21"/>
      <c r="C10" s="448" t="s">
        <v>126</v>
      </c>
      <c r="D10" s="449"/>
      <c r="E10" s="449"/>
      <c r="F10" s="450"/>
      <c r="H10" s="21"/>
      <c r="I10" s="456" t="s">
        <v>128</v>
      </c>
      <c r="J10" s="457"/>
      <c r="K10" s="457"/>
      <c r="L10" s="460"/>
    </row>
    <row r="11" spans="1:15" ht="45" x14ac:dyDescent="0.2">
      <c r="B11" s="33" t="s">
        <v>41</v>
      </c>
      <c r="C11" s="40" t="s">
        <v>63</v>
      </c>
      <c r="D11" s="35" t="s">
        <v>43</v>
      </c>
      <c r="E11" s="258" t="s">
        <v>44</v>
      </c>
      <c r="F11" s="260" t="s">
        <v>49</v>
      </c>
      <c r="H11" s="33" t="s">
        <v>41</v>
      </c>
      <c r="I11" s="40" t="s">
        <v>63</v>
      </c>
      <c r="J11" s="35" t="s">
        <v>43</v>
      </c>
      <c r="K11" s="35" t="s">
        <v>44</v>
      </c>
      <c r="L11" s="28" t="s">
        <v>49</v>
      </c>
      <c r="N11" s="197"/>
    </row>
    <row r="12" spans="1:15" x14ac:dyDescent="0.2">
      <c r="A12" s="195"/>
      <c r="B12" s="29" t="s">
        <v>28</v>
      </c>
      <c r="C12" s="38">
        <f>9+19+5+13</f>
        <v>46</v>
      </c>
      <c r="D12" s="162">
        <f>57.24+183.18+41.57+116.58</f>
        <v>398.57</v>
      </c>
      <c r="E12" s="162">
        <f>10856.4+33025.8+8155.8+20548.8</f>
        <v>72586.8</v>
      </c>
      <c r="F12" s="162">
        <f>11371.35+34673.99+8529.87+21597.73</f>
        <v>76172.94</v>
      </c>
      <c r="H12" s="29" t="s">
        <v>28</v>
      </c>
      <c r="I12" s="38">
        <v>47</v>
      </c>
      <c r="J12" s="270">
        <v>394.84000000000003</v>
      </c>
      <c r="K12" s="270">
        <v>90036.48000000001</v>
      </c>
      <c r="L12" s="271">
        <v>96748.079999999987</v>
      </c>
      <c r="M12" s="91"/>
      <c r="N12" s="70"/>
      <c r="O12" s="42"/>
    </row>
    <row r="13" spans="1:15" x14ac:dyDescent="0.2">
      <c r="A13" s="195"/>
      <c r="B13" s="29" t="s">
        <v>29</v>
      </c>
      <c r="C13" s="38">
        <f>11+21+19+9</f>
        <v>60</v>
      </c>
      <c r="D13" s="36">
        <f>87.89+177.85+207.82+79.6</f>
        <v>553.16</v>
      </c>
      <c r="E13" s="259">
        <f>16264.2+31936.2+36779.4+13489.8</f>
        <v>98469.6</v>
      </c>
      <c r="F13" s="261">
        <f>17054.99+33536.48+38649.36+14206.13</f>
        <v>103446.96</v>
      </c>
      <c r="H13" s="29" t="s">
        <v>29</v>
      </c>
      <c r="I13" s="164">
        <v>42</v>
      </c>
      <c r="J13" s="272">
        <v>356.93000000000006</v>
      </c>
      <c r="K13" s="272">
        <v>65469.229999999996</v>
      </c>
      <c r="L13" s="165">
        <v>68785.97</v>
      </c>
      <c r="M13" s="91"/>
      <c r="N13" s="68"/>
      <c r="O13" s="42"/>
    </row>
    <row r="14" spans="1:15" x14ac:dyDescent="0.2">
      <c r="A14" s="195"/>
      <c r="B14" s="29" t="s">
        <v>30</v>
      </c>
      <c r="C14" s="38">
        <v>0</v>
      </c>
      <c r="D14" s="36">
        <v>0</v>
      </c>
      <c r="E14" s="36">
        <v>0</v>
      </c>
      <c r="F14" s="30">
        <v>0</v>
      </c>
      <c r="H14" s="29" t="s">
        <v>30</v>
      </c>
      <c r="I14" s="164">
        <v>85</v>
      </c>
      <c r="J14" s="272">
        <v>609.20000000000005</v>
      </c>
      <c r="K14" s="272">
        <v>122088.59999999999</v>
      </c>
      <c r="L14" s="165">
        <v>128533.81</v>
      </c>
      <c r="M14" s="91"/>
      <c r="N14" s="67"/>
      <c r="O14" s="11"/>
    </row>
    <row r="15" spans="1:15" x14ac:dyDescent="0.2">
      <c r="A15" s="195"/>
      <c r="B15" s="29" t="s">
        <v>31</v>
      </c>
      <c r="C15" s="38">
        <v>0</v>
      </c>
      <c r="D15" s="36">
        <v>0</v>
      </c>
      <c r="E15" s="36">
        <v>0</v>
      </c>
      <c r="F15" s="30">
        <v>0</v>
      </c>
      <c r="H15" s="29" t="s">
        <v>31</v>
      </c>
      <c r="I15" s="164">
        <v>116</v>
      </c>
      <c r="J15" s="273">
        <v>970.55</v>
      </c>
      <c r="K15" s="273">
        <v>184753.2</v>
      </c>
      <c r="L15" s="274">
        <v>193886.79</v>
      </c>
      <c r="M15" s="77"/>
      <c r="N15" s="70"/>
      <c r="O15" s="11"/>
    </row>
    <row r="16" spans="1:15" x14ac:dyDescent="0.2">
      <c r="A16" s="195"/>
      <c r="B16" s="29" t="s">
        <v>32</v>
      </c>
      <c r="C16" s="38">
        <v>0</v>
      </c>
      <c r="D16" s="36">
        <v>0</v>
      </c>
      <c r="E16" s="36">
        <v>0</v>
      </c>
      <c r="F16" s="30">
        <v>0</v>
      </c>
      <c r="H16" s="29" t="s">
        <v>32</v>
      </c>
      <c r="I16" s="164">
        <v>124</v>
      </c>
      <c r="J16" s="272">
        <v>1019.6600000000001</v>
      </c>
      <c r="K16" s="272">
        <v>190551.96</v>
      </c>
      <c r="L16" s="165">
        <v>200123.46000000002</v>
      </c>
      <c r="M16" s="68"/>
      <c r="N16" s="67"/>
      <c r="O16" s="11"/>
    </row>
    <row r="17" spans="1:16" x14ac:dyDescent="0.2">
      <c r="A17" s="195"/>
      <c r="B17" s="29" t="s">
        <v>33</v>
      </c>
      <c r="C17" s="38">
        <v>0</v>
      </c>
      <c r="D17" s="36">
        <v>0</v>
      </c>
      <c r="E17" s="36">
        <v>0</v>
      </c>
      <c r="F17" s="30">
        <v>0</v>
      </c>
      <c r="H17" s="29" t="s">
        <v>33</v>
      </c>
      <c r="I17" s="164">
        <v>78</v>
      </c>
      <c r="J17" s="272">
        <v>515.70000000000005</v>
      </c>
      <c r="K17" s="272">
        <v>93701.400000000009</v>
      </c>
      <c r="L17" s="165">
        <v>98341.62</v>
      </c>
      <c r="M17" s="68"/>
      <c r="N17" s="67"/>
      <c r="O17" s="11"/>
    </row>
    <row r="18" spans="1:16" x14ac:dyDescent="0.2">
      <c r="A18" s="195"/>
      <c r="B18" s="25" t="s">
        <v>50</v>
      </c>
      <c r="C18" s="38">
        <v>0</v>
      </c>
      <c r="D18" s="36">
        <v>0</v>
      </c>
      <c r="E18" s="36">
        <v>0</v>
      </c>
      <c r="F18" s="30">
        <v>0</v>
      </c>
      <c r="G18" s="78"/>
      <c r="H18" s="79" t="s">
        <v>50</v>
      </c>
      <c r="I18" s="164">
        <v>104</v>
      </c>
      <c r="J18" s="272">
        <v>776.40000000000009</v>
      </c>
      <c r="K18" s="272">
        <v>143984.12</v>
      </c>
      <c r="L18" s="165">
        <v>151223.74</v>
      </c>
      <c r="M18" s="42"/>
      <c r="N18" s="67"/>
      <c r="O18" s="42"/>
    </row>
    <row r="19" spans="1:16" x14ac:dyDescent="0.2">
      <c r="A19" s="195"/>
      <c r="B19" s="65" t="s">
        <v>35</v>
      </c>
      <c r="C19" s="38">
        <v>0</v>
      </c>
      <c r="D19" s="36">
        <v>0</v>
      </c>
      <c r="E19" s="36">
        <v>0</v>
      </c>
      <c r="F19" s="30">
        <v>0</v>
      </c>
      <c r="H19" s="66" t="s">
        <v>35</v>
      </c>
      <c r="I19" s="164">
        <v>82</v>
      </c>
      <c r="J19" s="272">
        <v>717.84</v>
      </c>
      <c r="K19" s="272">
        <v>137550.51</v>
      </c>
      <c r="L19" s="165">
        <v>144996.56999999998</v>
      </c>
      <c r="M19" s="42"/>
      <c r="N19" s="11"/>
      <c r="O19" s="11"/>
    </row>
    <row r="20" spans="1:16" x14ac:dyDescent="0.2">
      <c r="A20" s="195"/>
      <c r="B20" s="65" t="s">
        <v>46</v>
      </c>
      <c r="C20" s="38">
        <v>0</v>
      </c>
      <c r="D20" s="36">
        <v>0</v>
      </c>
      <c r="E20" s="36">
        <v>0</v>
      </c>
      <c r="F20" s="30">
        <v>0</v>
      </c>
      <c r="H20" s="29" t="s">
        <v>46</v>
      </c>
      <c r="I20" s="164">
        <v>87</v>
      </c>
      <c r="J20" s="272">
        <v>649.84</v>
      </c>
      <c r="K20" s="272">
        <v>116931.48000000001</v>
      </c>
      <c r="L20" s="165">
        <v>122778.89</v>
      </c>
      <c r="M20" s="80"/>
      <c r="N20" s="71"/>
      <c r="O20" s="68"/>
      <c r="P20" s="11"/>
    </row>
    <row r="21" spans="1:16" x14ac:dyDescent="0.2">
      <c r="A21" s="195"/>
      <c r="B21" s="29" t="s">
        <v>36</v>
      </c>
      <c r="C21" s="38">
        <v>0</v>
      </c>
      <c r="D21" s="36">
        <v>0</v>
      </c>
      <c r="E21" s="36">
        <v>0</v>
      </c>
      <c r="F21" s="30">
        <v>0</v>
      </c>
      <c r="H21" s="29" t="s">
        <v>36</v>
      </c>
      <c r="I21" s="164">
        <v>78</v>
      </c>
      <c r="J21" s="272">
        <v>584.67999999999995</v>
      </c>
      <c r="K21" s="272">
        <v>109804.79999999999</v>
      </c>
      <c r="L21" s="165">
        <v>115415.43</v>
      </c>
      <c r="M21" s="68"/>
      <c r="N21" s="42"/>
      <c r="O21" s="11"/>
    </row>
    <row r="22" spans="1:16" x14ac:dyDescent="0.2">
      <c r="A22" s="195"/>
      <c r="B22" s="29" t="s">
        <v>37</v>
      </c>
      <c r="C22" s="38">
        <v>0</v>
      </c>
      <c r="D22" s="36">
        <v>0</v>
      </c>
      <c r="E22" s="36">
        <v>0</v>
      </c>
      <c r="F22" s="30">
        <v>0</v>
      </c>
      <c r="H22" s="29" t="s">
        <v>37</v>
      </c>
      <c r="I22" s="164">
        <v>85</v>
      </c>
      <c r="J22" s="272">
        <v>637.45000000000005</v>
      </c>
      <c r="K22" s="272">
        <v>137100.24</v>
      </c>
      <c r="L22" s="165">
        <v>146791.25</v>
      </c>
      <c r="M22" s="81"/>
      <c r="N22" s="82"/>
      <c r="O22" s="11"/>
      <c r="P22" s="1"/>
    </row>
    <row r="23" spans="1:16" x14ac:dyDescent="0.2">
      <c r="A23" s="195"/>
      <c r="B23" s="29" t="s">
        <v>38</v>
      </c>
      <c r="C23" s="38">
        <v>0</v>
      </c>
      <c r="D23" s="36">
        <v>0</v>
      </c>
      <c r="E23" s="36">
        <v>0</v>
      </c>
      <c r="F23" s="30">
        <v>0</v>
      </c>
      <c r="H23" s="29" t="s">
        <v>38</v>
      </c>
      <c r="I23" s="164">
        <v>65</v>
      </c>
      <c r="J23" s="272">
        <v>500.15999999999997</v>
      </c>
      <c r="K23" s="272">
        <v>100520.67</v>
      </c>
      <c r="L23" s="165">
        <v>106928.54000000001</v>
      </c>
      <c r="M23" s="68"/>
      <c r="N23" s="11"/>
      <c r="O23" s="11"/>
    </row>
    <row r="24" spans="1:16" x14ac:dyDescent="0.2">
      <c r="A24" s="195"/>
      <c r="B24" s="31" t="s">
        <v>0</v>
      </c>
      <c r="C24" s="39">
        <f>SUM(C12:C23)</f>
        <v>106</v>
      </c>
      <c r="D24" s="37">
        <f>SUM(D12:D23)</f>
        <v>951.73</v>
      </c>
      <c r="E24" s="83">
        <f>SUM(E12:E23)</f>
        <v>171056.40000000002</v>
      </c>
      <c r="F24" s="32">
        <f>SUM(F12:F23)</f>
        <v>179619.90000000002</v>
      </c>
      <c r="H24" s="31" t="s">
        <v>0</v>
      </c>
      <c r="I24" s="39">
        <v>993</v>
      </c>
      <c r="J24" s="37">
        <v>7733.2500000000009</v>
      </c>
      <c r="K24" s="83">
        <v>1492492.69</v>
      </c>
      <c r="L24" s="32">
        <v>1574554.15</v>
      </c>
      <c r="M24" s="42"/>
      <c r="N24" s="84"/>
      <c r="O24" s="11"/>
    </row>
    <row r="25" spans="1:16" x14ac:dyDescent="0.2">
      <c r="A25" s="195"/>
      <c r="B25" s="196" t="s">
        <v>116</v>
      </c>
      <c r="C25" s="195"/>
      <c r="D25" s="195"/>
      <c r="E25" s="195"/>
      <c r="F25" s="195"/>
      <c r="I25" s="4"/>
      <c r="J25" s="1" t="s">
        <v>134</v>
      </c>
      <c r="L25" s="7"/>
      <c r="M25" s="42"/>
    </row>
    <row r="26" spans="1:16" x14ac:dyDescent="0.2">
      <c r="A26" s="195"/>
      <c r="B26" s="195"/>
      <c r="C26" s="195"/>
      <c r="D26" s="195"/>
      <c r="E26" s="195"/>
      <c r="F26" s="195"/>
      <c r="I26" s="4"/>
      <c r="N26" s="11"/>
    </row>
    <row r="27" spans="1:16" x14ac:dyDescent="0.2">
      <c r="A27" s="4"/>
      <c r="B27" s="88"/>
      <c r="C27" s="1"/>
      <c r="D27" s="1"/>
      <c r="E27" s="1"/>
      <c r="F27" s="1"/>
      <c r="G27" s="1"/>
    </row>
    <row r="28" spans="1:16" x14ac:dyDescent="0.2">
      <c r="B28" s="88"/>
    </row>
    <row r="29" spans="1:16" x14ac:dyDescent="0.2">
      <c r="B29" s="88"/>
      <c r="E29" s="14"/>
      <c r="N29" s="11"/>
    </row>
    <row r="30" spans="1:16" x14ac:dyDescent="0.2">
      <c r="B30" s="1"/>
      <c r="D30" s="3"/>
      <c r="E30" s="3"/>
    </row>
    <row r="31" spans="1:16" x14ac:dyDescent="0.2">
      <c r="B31" s="1"/>
      <c r="C31" s="7" t="s">
        <v>117</v>
      </c>
      <c r="D31" s="263"/>
      <c r="E31" s="264"/>
      <c r="F31" s="265"/>
      <c r="G31" s="265"/>
      <c r="H31" s="4"/>
      <c r="I31" s="7" t="s">
        <v>65</v>
      </c>
      <c r="J31" s="263"/>
      <c r="K31" s="264"/>
      <c r="L31" s="209"/>
    </row>
    <row r="32" spans="1:16" x14ac:dyDescent="0.2">
      <c r="A32" s="1"/>
      <c r="B32" s="34"/>
      <c r="C32" s="15"/>
      <c r="D32" s="8" t="s">
        <v>118</v>
      </c>
      <c r="E32" s="1"/>
      <c r="F32" s="5"/>
      <c r="G32" s="5"/>
      <c r="H32" s="4"/>
      <c r="I32" s="15"/>
      <c r="J32" s="8" t="s">
        <v>120</v>
      </c>
      <c r="K32" s="1"/>
      <c r="L32" s="198"/>
      <c r="M32" s="4"/>
    </row>
    <row r="33" spans="1:13" x14ac:dyDescent="0.2">
      <c r="A33" s="41"/>
      <c r="B33" s="41"/>
      <c r="C33" s="3"/>
      <c r="D33" s="266" t="s">
        <v>121</v>
      </c>
      <c r="E33" s="1"/>
      <c r="F33" s="2"/>
      <c r="G33" s="2"/>
      <c r="H33" s="1"/>
      <c r="I33" s="3"/>
      <c r="J33" s="266" t="s">
        <v>119</v>
      </c>
      <c r="K33" s="1"/>
      <c r="L33" s="198"/>
      <c r="M33" s="4"/>
    </row>
    <row r="34" spans="1:13" x14ac:dyDescent="0.2">
      <c r="B34" s="4"/>
      <c r="C34" s="1"/>
      <c r="D34" s="1"/>
      <c r="E34" s="1"/>
      <c r="F34" s="4"/>
      <c r="G34" s="4"/>
      <c r="H34" s="4"/>
      <c r="I34" s="4"/>
      <c r="J34" s="4"/>
      <c r="K34" s="4"/>
      <c r="L34" s="4"/>
      <c r="M34" s="4"/>
    </row>
    <row r="35" spans="1:13" x14ac:dyDescent="0.2">
      <c r="B35" s="1"/>
      <c r="C35" s="1"/>
      <c r="D35" s="1"/>
      <c r="E35" s="1"/>
      <c r="F35" s="1"/>
      <c r="G35" s="1"/>
    </row>
    <row r="36" spans="1:13" x14ac:dyDescent="0.2">
      <c r="F36" s="1"/>
      <c r="G36" s="1"/>
    </row>
    <row r="37" spans="1:13" x14ac:dyDescent="0.2">
      <c r="F37" s="1"/>
      <c r="G37" s="1"/>
    </row>
    <row r="38" spans="1:13" x14ac:dyDescent="0.2">
      <c r="F38" s="1"/>
      <c r="G38" s="1"/>
    </row>
    <row r="39" spans="1:13" x14ac:dyDescent="0.2">
      <c r="B39" s="1"/>
      <c r="C39" s="1"/>
      <c r="D39" s="1"/>
      <c r="E39" s="1"/>
      <c r="F39" s="1"/>
      <c r="G39" s="1"/>
    </row>
    <row r="40" spans="1:13" x14ac:dyDescent="0.2">
      <c r="B40" s="1"/>
      <c r="C40" s="1"/>
      <c r="D40" s="1"/>
      <c r="E40" s="1"/>
      <c r="F40" s="1"/>
      <c r="G40" s="1"/>
    </row>
    <row r="41" spans="1:13" x14ac:dyDescent="0.2">
      <c r="B41" s="1"/>
      <c r="C41" s="1"/>
      <c r="D41" s="1"/>
      <c r="E41" s="1"/>
      <c r="F41" s="1"/>
      <c r="G41" s="1"/>
    </row>
    <row r="42" spans="1:13" x14ac:dyDescent="0.2">
      <c r="B42" s="1"/>
      <c r="C42" s="1"/>
      <c r="D42" s="1"/>
      <c r="E42" s="1"/>
      <c r="F42" s="1"/>
      <c r="G42" s="1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6"/>
  <sheetViews>
    <sheetView workbookViewId="0">
      <selection activeCell="I5" sqref="I5"/>
    </sheetView>
  </sheetViews>
  <sheetFormatPr baseColWidth="10" defaultRowHeight="12.75" x14ac:dyDescent="0.2"/>
  <sheetData>
    <row r="1" spans="1:21" ht="18" x14ac:dyDescent="0.2">
      <c r="B1" s="461" t="s">
        <v>136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</row>
    <row r="2" spans="1:21" ht="90" x14ac:dyDescent="0.2">
      <c r="A2" s="277" t="s">
        <v>137</v>
      </c>
      <c r="B2" s="278" t="s">
        <v>138</v>
      </c>
      <c r="C2" s="278" t="s">
        <v>139</v>
      </c>
      <c r="D2" s="279" t="s">
        <v>51</v>
      </c>
      <c r="E2" s="278" t="s">
        <v>140</v>
      </c>
      <c r="F2" s="280" t="s">
        <v>141</v>
      </c>
      <c r="G2" s="281" t="s">
        <v>52</v>
      </c>
      <c r="H2" s="282" t="s">
        <v>142</v>
      </c>
      <c r="I2" s="283" t="s">
        <v>18</v>
      </c>
      <c r="J2" s="284" t="s">
        <v>143</v>
      </c>
      <c r="K2" s="285" t="s">
        <v>53</v>
      </c>
      <c r="L2" s="285" t="s">
        <v>54</v>
      </c>
      <c r="M2" s="285" t="s">
        <v>144</v>
      </c>
      <c r="N2" s="285" t="s">
        <v>55</v>
      </c>
      <c r="O2" s="285" t="s">
        <v>56</v>
      </c>
      <c r="P2" s="286" t="s">
        <v>145</v>
      </c>
      <c r="Q2" s="287" t="s">
        <v>108</v>
      </c>
      <c r="R2" s="288" t="s">
        <v>57</v>
      </c>
      <c r="S2" s="289" t="s">
        <v>17</v>
      </c>
      <c r="T2" s="290" t="s">
        <v>66</v>
      </c>
      <c r="U2" s="291"/>
    </row>
    <row r="3" spans="1:21" ht="45" x14ac:dyDescent="0.2">
      <c r="A3" s="292">
        <v>1</v>
      </c>
      <c r="B3" s="293">
        <v>1</v>
      </c>
      <c r="C3" s="294">
        <v>44564</v>
      </c>
      <c r="D3" s="295" t="s">
        <v>146</v>
      </c>
      <c r="E3" s="296" t="s">
        <v>147</v>
      </c>
      <c r="F3" s="297" t="s">
        <v>148</v>
      </c>
      <c r="G3" s="293">
        <v>79</v>
      </c>
      <c r="H3" s="293" t="s">
        <v>149</v>
      </c>
      <c r="I3" s="293" t="s">
        <v>22</v>
      </c>
      <c r="J3" s="298">
        <v>4</v>
      </c>
      <c r="K3" s="299">
        <v>3428.57</v>
      </c>
      <c r="L3" s="299">
        <v>0</v>
      </c>
      <c r="M3" s="299" t="e">
        <f>IF([2]!Tabla1[[#This Row],[S.V.O.]]&gt;11428.57,1200,IF([2]!Tabla1[[#This Row],[S.V.O.]]&lt;5714.29,0,[2]!Tabla1[[#This Row],[S.V.O.]]*0.1))</f>
        <v>#REF!</v>
      </c>
      <c r="N3" s="299">
        <v>0</v>
      </c>
      <c r="O3" s="299">
        <v>0</v>
      </c>
      <c r="P3" s="299">
        <v>0</v>
      </c>
      <c r="Q3" s="300">
        <v>44522</v>
      </c>
      <c r="R3" s="301" t="s">
        <v>107</v>
      </c>
      <c r="S3" s="302" t="s">
        <v>24</v>
      </c>
      <c r="T3" s="302" t="s">
        <v>150</v>
      </c>
      <c r="U3" s="303"/>
    </row>
    <row r="4" spans="1:21" ht="54" x14ac:dyDescent="0.2">
      <c r="A4" s="304">
        <v>2</v>
      </c>
      <c r="B4" s="293">
        <v>2</v>
      </c>
      <c r="C4" s="294">
        <v>44564</v>
      </c>
      <c r="D4" s="295" t="s">
        <v>151</v>
      </c>
      <c r="E4" s="296" t="s">
        <v>152</v>
      </c>
      <c r="F4" s="297" t="s">
        <v>153</v>
      </c>
      <c r="G4" s="293">
        <v>58</v>
      </c>
      <c r="H4" s="293" t="s">
        <v>154</v>
      </c>
      <c r="I4" s="293" t="s">
        <v>20</v>
      </c>
      <c r="J4" s="298">
        <v>2</v>
      </c>
      <c r="K4" s="299">
        <v>3428.57</v>
      </c>
      <c r="L4" s="299">
        <v>30000</v>
      </c>
      <c r="M4" s="299" t="e">
        <f>IF([2]!Tabla1[[#This Row],[S.V.O.]]&gt;11428.57,1200,IF([2]!Tabla1[[#This Row],[S.V.O.]]&lt;5714.29,0,[2]!Tabla1[[#This Row],[S.V.O.]]*0.1))</f>
        <v>#REF!</v>
      </c>
      <c r="N4" s="299">
        <v>0</v>
      </c>
      <c r="O4" s="299">
        <v>1142.8599999999999</v>
      </c>
      <c r="P4" s="299">
        <v>0</v>
      </c>
      <c r="Q4" s="300">
        <v>44521</v>
      </c>
      <c r="R4" s="305" t="s">
        <v>155</v>
      </c>
      <c r="S4" s="302" t="s">
        <v>26</v>
      </c>
      <c r="T4" s="302" t="s">
        <v>26</v>
      </c>
      <c r="U4" s="303"/>
    </row>
    <row r="5" spans="1:21" ht="45.75" x14ac:dyDescent="0.2">
      <c r="A5" s="304">
        <v>3</v>
      </c>
      <c r="B5" s="293">
        <v>3</v>
      </c>
      <c r="C5" s="294">
        <v>44564</v>
      </c>
      <c r="D5" s="295" t="s">
        <v>156</v>
      </c>
      <c r="E5" s="296" t="s">
        <v>157</v>
      </c>
      <c r="F5" s="297" t="s">
        <v>158</v>
      </c>
      <c r="G5" s="293">
        <v>83</v>
      </c>
      <c r="H5" s="293" t="s">
        <v>149</v>
      </c>
      <c r="I5" s="293" t="s">
        <v>22</v>
      </c>
      <c r="J5" s="298">
        <v>4</v>
      </c>
      <c r="K5" s="299">
        <v>0</v>
      </c>
      <c r="L5" s="299">
        <v>3428.57</v>
      </c>
      <c r="M5" s="299" t="e">
        <f>IF([2]!Tabla1[[#This Row],[S.V.O.]]&gt;11428.57,1200,IF([2]!Tabla1[[#This Row],[S.V.O.]]&lt;5714.29,0,[2]!Tabla1[[#This Row],[S.V.O.]]*0.1))</f>
        <v>#REF!</v>
      </c>
      <c r="N5" s="299">
        <v>0</v>
      </c>
      <c r="O5" s="299">
        <v>0</v>
      </c>
      <c r="P5" s="299">
        <v>0</v>
      </c>
      <c r="Q5" s="300">
        <v>44478</v>
      </c>
      <c r="R5" s="306" t="s">
        <v>159</v>
      </c>
      <c r="S5" s="302" t="s">
        <v>25</v>
      </c>
      <c r="T5" s="302" t="s">
        <v>25</v>
      </c>
      <c r="U5" s="303"/>
    </row>
    <row r="6" spans="1:21" ht="36" x14ac:dyDescent="0.2">
      <c r="A6" s="304">
        <v>4</v>
      </c>
      <c r="B6" s="293">
        <v>4</v>
      </c>
      <c r="C6" s="294">
        <v>44564</v>
      </c>
      <c r="D6" s="295" t="s">
        <v>160</v>
      </c>
      <c r="E6" s="296" t="s">
        <v>161</v>
      </c>
      <c r="F6" s="297" t="s">
        <v>162</v>
      </c>
      <c r="G6" s="293">
        <v>79</v>
      </c>
      <c r="H6" s="293" t="s">
        <v>154</v>
      </c>
      <c r="I6" s="293" t="s">
        <v>22</v>
      </c>
      <c r="J6" s="298">
        <v>3</v>
      </c>
      <c r="K6" s="299">
        <v>0</v>
      </c>
      <c r="L6" s="299">
        <v>3428.57</v>
      </c>
      <c r="M6" s="299" t="e">
        <f>IF([2]!Tabla1[[#This Row],[S.V.O.]]&gt;11428.57,1200,IF([2]!Tabla1[[#This Row],[S.V.O.]]&lt;5714.29,0,[2]!Tabla1[[#This Row],[S.V.O.]]*0.1))</f>
        <v>#REF!</v>
      </c>
      <c r="N6" s="299">
        <v>0</v>
      </c>
      <c r="O6" s="299">
        <v>1142.8599999999999</v>
      </c>
      <c r="P6" s="299">
        <v>0</v>
      </c>
      <c r="Q6" s="300">
        <v>44529</v>
      </c>
      <c r="R6" s="306" t="s">
        <v>163</v>
      </c>
      <c r="S6" s="302" t="s">
        <v>26</v>
      </c>
      <c r="T6" s="302" t="s">
        <v>26</v>
      </c>
      <c r="U6" s="303"/>
    </row>
    <row r="7" spans="1:21" ht="99" x14ac:dyDescent="0.2">
      <c r="A7" s="304">
        <v>5</v>
      </c>
      <c r="B7" s="293">
        <v>5</v>
      </c>
      <c r="C7" s="294">
        <v>44564</v>
      </c>
      <c r="D7" s="295" t="s">
        <v>164</v>
      </c>
      <c r="E7" s="296" t="s">
        <v>165</v>
      </c>
      <c r="F7" s="297" t="s">
        <v>166</v>
      </c>
      <c r="G7" s="293">
        <v>54</v>
      </c>
      <c r="H7" s="293" t="s">
        <v>149</v>
      </c>
      <c r="I7" s="293" t="s">
        <v>20</v>
      </c>
      <c r="J7" s="298">
        <v>2</v>
      </c>
      <c r="K7" s="299">
        <v>3428.57</v>
      </c>
      <c r="L7" s="299">
        <v>0</v>
      </c>
      <c r="M7" s="299" t="e">
        <f>IF([2]!Tabla1[[#This Row],[S.V.O.]]&gt;11428.57,1200,IF([2]!Tabla1[[#This Row],[S.V.O.]]&lt;5714.29,0,[2]!Tabla1[[#This Row],[S.V.O.]]*0.1))</f>
        <v>#REF!</v>
      </c>
      <c r="N7" s="299">
        <v>1714.57</v>
      </c>
      <c r="O7" s="299">
        <v>0</v>
      </c>
      <c r="P7" s="299">
        <v>0</v>
      </c>
      <c r="Q7" s="300">
        <v>44515</v>
      </c>
      <c r="R7" s="305" t="s">
        <v>167</v>
      </c>
      <c r="S7" s="302" t="s">
        <v>60</v>
      </c>
      <c r="T7" s="302" t="s">
        <v>60</v>
      </c>
      <c r="U7" s="303"/>
    </row>
    <row r="8" spans="1:21" ht="60" x14ac:dyDescent="0.2">
      <c r="A8" s="304">
        <v>6</v>
      </c>
      <c r="B8" s="293">
        <v>6</v>
      </c>
      <c r="C8" s="294">
        <v>44564</v>
      </c>
      <c r="D8" s="295" t="s">
        <v>168</v>
      </c>
      <c r="E8" s="296" t="s">
        <v>169</v>
      </c>
      <c r="F8" s="297" t="s">
        <v>170</v>
      </c>
      <c r="G8" s="293">
        <v>73</v>
      </c>
      <c r="H8" s="293" t="s">
        <v>154</v>
      </c>
      <c r="I8" s="293" t="s">
        <v>22</v>
      </c>
      <c r="J8" s="298">
        <v>2</v>
      </c>
      <c r="K8" s="299">
        <v>0</v>
      </c>
      <c r="L8" s="299">
        <v>3428.57</v>
      </c>
      <c r="M8" s="299" t="e">
        <f>IF([2]!Tabla1[[#This Row],[S.V.O.]]&gt;11428.57,1200,IF([2]!Tabla1[[#This Row],[S.V.O.]]&lt;5714.29,0,[2]!Tabla1[[#This Row],[S.V.O.]]*0.1))</f>
        <v>#REF!</v>
      </c>
      <c r="N8" s="299">
        <v>0</v>
      </c>
      <c r="O8" s="299">
        <v>0</v>
      </c>
      <c r="P8" s="299">
        <v>0</v>
      </c>
      <c r="Q8" s="300">
        <v>44190</v>
      </c>
      <c r="R8" s="305" t="s">
        <v>171</v>
      </c>
      <c r="S8" s="302" t="s">
        <v>172</v>
      </c>
      <c r="T8" s="302" t="s">
        <v>60</v>
      </c>
      <c r="U8" s="303"/>
    </row>
    <row r="9" spans="1:21" ht="63" x14ac:dyDescent="0.2">
      <c r="A9" s="304">
        <v>7</v>
      </c>
      <c r="B9" s="293">
        <v>7</v>
      </c>
      <c r="C9" s="294">
        <v>44564</v>
      </c>
      <c r="D9" s="295" t="s">
        <v>173</v>
      </c>
      <c r="E9" s="296" t="s">
        <v>174</v>
      </c>
      <c r="F9" s="297" t="s">
        <v>175</v>
      </c>
      <c r="G9" s="293">
        <v>67</v>
      </c>
      <c r="H9" s="293" t="s">
        <v>154</v>
      </c>
      <c r="I9" s="293" t="s">
        <v>20</v>
      </c>
      <c r="J9" s="298">
        <v>1</v>
      </c>
      <c r="K9" s="299">
        <v>3428.57</v>
      </c>
      <c r="L9" s="299">
        <v>0</v>
      </c>
      <c r="M9" s="299" t="e">
        <f>IF([2]!Tabla1[[#This Row],[S.V.O.]]&gt;11428.57,1200,IF([2]!Tabla1[[#This Row],[S.V.O.]]&lt;5714.29,0,[2]!Tabla1[[#This Row],[S.V.O.]]*0.1))</f>
        <v>#REF!</v>
      </c>
      <c r="N9" s="299">
        <v>0</v>
      </c>
      <c r="O9" s="299">
        <v>0</v>
      </c>
      <c r="P9" s="299">
        <v>0</v>
      </c>
      <c r="Q9" s="300">
        <v>44518</v>
      </c>
      <c r="R9" s="305" t="s">
        <v>176</v>
      </c>
      <c r="S9" s="302" t="s">
        <v>60</v>
      </c>
      <c r="T9" s="302" t="s">
        <v>60</v>
      </c>
      <c r="U9" s="303"/>
    </row>
    <row r="10" spans="1:21" ht="117" x14ac:dyDescent="0.2">
      <c r="A10" s="304">
        <v>8</v>
      </c>
      <c r="B10" s="293">
        <v>8</v>
      </c>
      <c r="C10" s="307">
        <v>44565</v>
      </c>
      <c r="D10" s="308" t="s">
        <v>177</v>
      </c>
      <c r="E10" s="296" t="s">
        <v>178</v>
      </c>
      <c r="F10" s="297" t="s">
        <v>179</v>
      </c>
      <c r="G10" s="293">
        <v>75</v>
      </c>
      <c r="H10" s="293" t="s">
        <v>149</v>
      </c>
      <c r="I10" s="293" t="s">
        <v>22</v>
      </c>
      <c r="J10" s="298">
        <v>3</v>
      </c>
      <c r="K10" s="299">
        <v>0</v>
      </c>
      <c r="L10" s="299">
        <v>3428.57</v>
      </c>
      <c r="M10" s="299" t="e">
        <f>IF([2]!Tabla1[[#This Row],[S.V.O.]]&gt;11428.57,1200,IF([2]!Tabla1[[#This Row],[S.V.O.]]&lt;5714.29,0,[2]!Tabla1[[#This Row],[S.V.O.]]*0.1))</f>
        <v>#REF!</v>
      </c>
      <c r="N10" s="299">
        <v>0</v>
      </c>
      <c r="O10" s="299">
        <v>0</v>
      </c>
      <c r="P10" s="299">
        <v>0</v>
      </c>
      <c r="Q10" s="300">
        <v>44518</v>
      </c>
      <c r="R10" s="305" t="s">
        <v>180</v>
      </c>
      <c r="S10" s="302" t="s">
        <v>58</v>
      </c>
      <c r="T10" s="302" t="s">
        <v>58</v>
      </c>
      <c r="U10" s="303"/>
    </row>
    <row r="11" spans="1:21" ht="48" x14ac:dyDescent="0.2">
      <c r="A11" s="304">
        <v>9</v>
      </c>
      <c r="B11" s="293">
        <v>9</v>
      </c>
      <c r="C11" s="294">
        <v>44565</v>
      </c>
      <c r="D11" s="295" t="s">
        <v>181</v>
      </c>
      <c r="E11" s="296" t="s">
        <v>182</v>
      </c>
      <c r="F11" s="297" t="s">
        <v>183</v>
      </c>
      <c r="G11" s="293">
        <v>81</v>
      </c>
      <c r="H11" s="293" t="s">
        <v>149</v>
      </c>
      <c r="I11" s="293" t="s">
        <v>22</v>
      </c>
      <c r="J11" s="298">
        <v>5</v>
      </c>
      <c r="K11" s="299">
        <v>0</v>
      </c>
      <c r="L11" s="299">
        <v>3428.57</v>
      </c>
      <c r="M11" s="299" t="e">
        <f>IF([2]!Tabla1[[#This Row],[S.V.O.]]&gt;11428.57,1200,IF([2]!Tabla1[[#This Row],[S.V.O.]]&lt;5714.29,0,[2]!Tabla1[[#This Row],[S.V.O.]]*0.1))</f>
        <v>#REF!</v>
      </c>
      <c r="N11" s="299">
        <v>0</v>
      </c>
      <c r="O11" s="299">
        <v>0</v>
      </c>
      <c r="P11" s="299">
        <v>0</v>
      </c>
      <c r="Q11" s="300">
        <v>44488</v>
      </c>
      <c r="R11" s="305" t="s">
        <v>184</v>
      </c>
      <c r="S11" s="302" t="s">
        <v>58</v>
      </c>
      <c r="T11" s="302" t="s">
        <v>58</v>
      </c>
      <c r="U11" s="303"/>
    </row>
    <row r="12" spans="1:21" ht="90" x14ac:dyDescent="0.2">
      <c r="A12" s="304">
        <v>10</v>
      </c>
      <c r="B12" s="293">
        <v>10</v>
      </c>
      <c r="C12" s="294">
        <v>44566</v>
      </c>
      <c r="D12" s="295" t="s">
        <v>185</v>
      </c>
      <c r="E12" s="296" t="s">
        <v>186</v>
      </c>
      <c r="F12" s="297" t="s">
        <v>187</v>
      </c>
      <c r="G12" s="293">
        <v>60</v>
      </c>
      <c r="H12" s="293" t="s">
        <v>154</v>
      </c>
      <c r="I12" s="293" t="s">
        <v>20</v>
      </c>
      <c r="J12" s="298">
        <v>2</v>
      </c>
      <c r="K12" s="299">
        <v>3428.57</v>
      </c>
      <c r="L12" s="299">
        <v>0</v>
      </c>
      <c r="M12" s="299" t="e">
        <f>IF([2]!Tabla1[[#This Row],[S.V.O.]]&gt;11428.57,1200,IF([2]!Tabla1[[#This Row],[S.V.O.]]&lt;5714.29,0,[2]!Tabla1[[#This Row],[S.V.O.]]*0.1))</f>
        <v>#REF!</v>
      </c>
      <c r="N12" s="299">
        <v>2285.71</v>
      </c>
      <c r="O12" s="299">
        <v>0</v>
      </c>
      <c r="P12" s="299">
        <v>0</v>
      </c>
      <c r="Q12" s="300">
        <v>44535</v>
      </c>
      <c r="R12" s="305" t="s">
        <v>188</v>
      </c>
      <c r="S12" s="309" t="s">
        <v>189</v>
      </c>
      <c r="T12" s="302" t="s">
        <v>58</v>
      </c>
      <c r="U12" s="303"/>
    </row>
    <row r="13" spans="1:21" ht="36" x14ac:dyDescent="0.2">
      <c r="A13" s="304">
        <v>11</v>
      </c>
      <c r="B13" s="293">
        <v>11</v>
      </c>
      <c r="C13" s="294">
        <v>44566</v>
      </c>
      <c r="D13" s="295" t="s">
        <v>190</v>
      </c>
      <c r="E13" s="296" t="s">
        <v>191</v>
      </c>
      <c r="F13" s="297" t="s">
        <v>192</v>
      </c>
      <c r="G13" s="293">
        <v>60</v>
      </c>
      <c r="H13" s="293" t="s">
        <v>149</v>
      </c>
      <c r="I13" s="293" t="s">
        <v>20</v>
      </c>
      <c r="J13" s="298">
        <v>4</v>
      </c>
      <c r="K13" s="299">
        <v>3428.57</v>
      </c>
      <c r="L13" s="299">
        <v>30000</v>
      </c>
      <c r="M13" s="299">
        <v>1200</v>
      </c>
      <c r="N13" s="299">
        <v>0</v>
      </c>
      <c r="O13" s="299">
        <v>1142.8599999999999</v>
      </c>
      <c r="P13" s="299">
        <v>0</v>
      </c>
      <c r="Q13" s="300">
        <v>44478</v>
      </c>
      <c r="R13" s="305" t="s">
        <v>193</v>
      </c>
      <c r="S13" s="302" t="s">
        <v>58</v>
      </c>
      <c r="T13" s="310" t="s">
        <v>59</v>
      </c>
      <c r="U13" s="303"/>
    </row>
    <row r="14" spans="1:21" ht="48" x14ac:dyDescent="0.2">
      <c r="A14" s="304">
        <v>12</v>
      </c>
      <c r="B14" s="293">
        <v>12</v>
      </c>
      <c r="C14" s="294">
        <v>44567</v>
      </c>
      <c r="D14" s="295" t="s">
        <v>194</v>
      </c>
      <c r="E14" s="296" t="s">
        <v>195</v>
      </c>
      <c r="F14" s="297" t="s">
        <v>196</v>
      </c>
      <c r="G14" s="293">
        <v>35</v>
      </c>
      <c r="H14" s="293" t="s">
        <v>149</v>
      </c>
      <c r="I14" s="293" t="s">
        <v>21</v>
      </c>
      <c r="J14" s="298">
        <v>1</v>
      </c>
      <c r="K14" s="299">
        <v>3428.57</v>
      </c>
      <c r="L14" s="299"/>
      <c r="M14" s="299">
        <v>0</v>
      </c>
      <c r="N14" s="299">
        <v>0</v>
      </c>
      <c r="O14" s="299">
        <v>0</v>
      </c>
      <c r="P14" s="299">
        <v>0</v>
      </c>
      <c r="Q14" s="300">
        <v>44533</v>
      </c>
      <c r="R14" s="305" t="s">
        <v>197</v>
      </c>
      <c r="S14" s="302" t="s">
        <v>58</v>
      </c>
      <c r="T14" s="310" t="s">
        <v>59</v>
      </c>
      <c r="U14" s="303"/>
    </row>
    <row r="15" spans="1:21" ht="48" x14ac:dyDescent="0.2">
      <c r="A15" s="304">
        <v>13</v>
      </c>
      <c r="B15" s="293">
        <v>13</v>
      </c>
      <c r="C15" s="294">
        <v>44571</v>
      </c>
      <c r="D15" s="295" t="s">
        <v>198</v>
      </c>
      <c r="E15" s="296" t="s">
        <v>199</v>
      </c>
      <c r="F15" s="297" t="s">
        <v>200</v>
      </c>
      <c r="G15" s="293">
        <v>53</v>
      </c>
      <c r="H15" s="293" t="s">
        <v>154</v>
      </c>
      <c r="I15" s="293" t="s">
        <v>20</v>
      </c>
      <c r="J15" s="298">
        <v>5</v>
      </c>
      <c r="K15" s="299">
        <v>3428.57</v>
      </c>
      <c r="L15" s="299">
        <v>3428.57</v>
      </c>
      <c r="M15" s="299" t="e">
        <f>IF([2]!Tabla1[[#This Row],[S.V.O.]]&gt;11428.57,1200,IF([2]!Tabla1[[#This Row],[S.V.O.]]&lt;5714.29,0,[2]!Tabla1[[#This Row],[S.V.O.]]*0.1))</f>
        <v>#REF!</v>
      </c>
      <c r="N15" s="299">
        <v>0</v>
      </c>
      <c r="O15" s="299">
        <v>1142.8599999999999</v>
      </c>
      <c r="P15" s="299">
        <v>0</v>
      </c>
      <c r="Q15" s="300">
        <v>44552</v>
      </c>
      <c r="R15" s="305" t="s">
        <v>201</v>
      </c>
      <c r="S15" s="302" t="s">
        <v>58</v>
      </c>
      <c r="T15" s="302" t="s">
        <v>60</v>
      </c>
      <c r="U15" s="303"/>
    </row>
    <row r="16" spans="1:21" ht="63" x14ac:dyDescent="0.2">
      <c r="A16" s="311">
        <v>14</v>
      </c>
      <c r="B16" s="312">
        <v>14</v>
      </c>
      <c r="C16" s="313">
        <v>44574</v>
      </c>
      <c r="D16" s="314" t="s">
        <v>202</v>
      </c>
      <c r="E16" s="315" t="s">
        <v>203</v>
      </c>
      <c r="F16" s="316" t="s">
        <v>204</v>
      </c>
      <c r="G16" s="312">
        <v>58</v>
      </c>
      <c r="H16" s="312" t="s">
        <v>154</v>
      </c>
      <c r="I16" s="312" t="s">
        <v>21</v>
      </c>
      <c r="J16" s="317">
        <v>3</v>
      </c>
      <c r="K16" s="318">
        <v>3428.57</v>
      </c>
      <c r="L16" s="318">
        <v>0</v>
      </c>
      <c r="M16" s="299" t="e">
        <f>IF([2]!Tabla1[[#This Row],[S.V.O.]]&gt;11428.57,1200,IF([2]!Tabla1[[#This Row],[S.V.O.]]&lt;5714.29,0,[2]!Tabla1[[#This Row],[S.V.O.]]*0.1))</f>
        <v>#REF!</v>
      </c>
      <c r="N16" s="318">
        <v>1142.8599999999999</v>
      </c>
      <c r="O16" s="299">
        <v>1142.8599999999999</v>
      </c>
      <c r="P16" s="318">
        <v>0</v>
      </c>
      <c r="Q16" s="319">
        <v>44466</v>
      </c>
      <c r="R16" s="320" t="s">
        <v>205</v>
      </c>
      <c r="S16" s="302" t="s">
        <v>58</v>
      </c>
      <c r="T16" s="302" t="s">
        <v>58</v>
      </c>
      <c r="U16" s="303"/>
    </row>
    <row r="17" spans="1:21" ht="45" x14ac:dyDescent="0.2">
      <c r="A17" s="311">
        <v>15</v>
      </c>
      <c r="B17" s="312">
        <v>15</v>
      </c>
      <c r="C17" s="313">
        <v>44575</v>
      </c>
      <c r="D17" s="295" t="s">
        <v>206</v>
      </c>
      <c r="E17" s="315" t="s">
        <v>207</v>
      </c>
      <c r="F17" s="316" t="s">
        <v>208</v>
      </c>
      <c r="G17" s="312">
        <v>80</v>
      </c>
      <c r="H17" s="312" t="s">
        <v>154</v>
      </c>
      <c r="I17" s="312" t="s">
        <v>22</v>
      </c>
      <c r="J17" s="317">
        <v>1</v>
      </c>
      <c r="K17" s="299">
        <v>3428.57</v>
      </c>
      <c r="L17" s="299">
        <v>0</v>
      </c>
      <c r="M17" s="299" t="e">
        <f>IF([2]!Tabla1[[#This Row],[S.V.O.]]&gt;11428.57,1200,IF([2]!Tabla1[[#This Row],[S.V.O.]]&lt;5714.29,0,[2]!Tabla1[[#This Row],[S.V.O.]]*0.1))</f>
        <v>#REF!</v>
      </c>
      <c r="N17" s="299">
        <v>0</v>
      </c>
      <c r="O17" s="299">
        <v>0</v>
      </c>
      <c r="P17" s="299">
        <v>0</v>
      </c>
      <c r="Q17" s="319">
        <v>44557</v>
      </c>
      <c r="R17" s="320" t="s">
        <v>209</v>
      </c>
      <c r="S17" s="302" t="s">
        <v>58</v>
      </c>
      <c r="T17" s="302" t="s">
        <v>58</v>
      </c>
      <c r="U17" s="321"/>
    </row>
    <row r="18" spans="1:21" ht="48" x14ac:dyDescent="0.2">
      <c r="A18" s="311">
        <v>16</v>
      </c>
      <c r="B18" s="312">
        <v>16</v>
      </c>
      <c r="C18" s="313">
        <v>44575</v>
      </c>
      <c r="D18" s="295" t="s">
        <v>210</v>
      </c>
      <c r="E18" s="315" t="s">
        <v>211</v>
      </c>
      <c r="F18" s="316" t="s">
        <v>212</v>
      </c>
      <c r="G18" s="312">
        <v>56</v>
      </c>
      <c r="H18" s="312" t="s">
        <v>149</v>
      </c>
      <c r="I18" s="312" t="s">
        <v>20</v>
      </c>
      <c r="J18" s="317">
        <v>4</v>
      </c>
      <c r="K18" s="299">
        <v>3428.57</v>
      </c>
      <c r="L18" s="318">
        <v>11428.57</v>
      </c>
      <c r="M18" s="299" t="e">
        <f>IF([2]!Tabla1[[#This Row],[S.V.O.]]&gt;11428.57,1200,IF([2]!Tabla1[[#This Row],[S.V.O.]]&lt;5714.29,0,[2]!Tabla1[[#This Row],[S.V.O.]]*0.1))</f>
        <v>#REF!</v>
      </c>
      <c r="N18" s="299">
        <v>0</v>
      </c>
      <c r="O18" s="299">
        <v>1142.8599999999999</v>
      </c>
      <c r="P18" s="299">
        <v>0</v>
      </c>
      <c r="Q18" s="319">
        <v>44368</v>
      </c>
      <c r="R18" s="320" t="s">
        <v>213</v>
      </c>
      <c r="S18" s="322" t="s">
        <v>60</v>
      </c>
      <c r="T18" s="302" t="s">
        <v>19</v>
      </c>
      <c r="U18" s="321"/>
    </row>
    <row r="19" spans="1:21" ht="48" x14ac:dyDescent="0.2">
      <c r="A19" s="311">
        <v>17</v>
      </c>
      <c r="B19" s="312">
        <v>17</v>
      </c>
      <c r="C19" s="313">
        <v>44575</v>
      </c>
      <c r="D19" s="295" t="s">
        <v>214</v>
      </c>
      <c r="E19" s="315" t="s">
        <v>215</v>
      </c>
      <c r="F19" s="316" t="s">
        <v>216</v>
      </c>
      <c r="G19" s="312">
        <v>57</v>
      </c>
      <c r="H19" s="312" t="s">
        <v>154</v>
      </c>
      <c r="I19" s="312" t="s">
        <v>20</v>
      </c>
      <c r="J19" s="317">
        <v>4</v>
      </c>
      <c r="K19" s="299">
        <v>0</v>
      </c>
      <c r="L19" s="318">
        <v>5714.29</v>
      </c>
      <c r="M19" s="299" t="e">
        <f>IF([2]!Tabla1[[#This Row],[S.V.O.]]&gt;11428.57,1200,IF([2]!Tabla1[[#This Row],[S.V.O.]]&lt;5714.29,0,[2]!Tabla1[[#This Row],[S.V.O.]]*0.1))</f>
        <v>#REF!</v>
      </c>
      <c r="N19" s="299">
        <v>0</v>
      </c>
      <c r="O19" s="299">
        <v>1142.8599999999999</v>
      </c>
      <c r="P19" s="299">
        <v>0</v>
      </c>
      <c r="Q19" s="319">
        <v>44394</v>
      </c>
      <c r="R19" s="320" t="s">
        <v>27</v>
      </c>
      <c r="S19" s="302" t="s">
        <v>58</v>
      </c>
      <c r="T19" s="302" t="s">
        <v>58</v>
      </c>
      <c r="U19" s="321"/>
    </row>
    <row r="20" spans="1:21" ht="72" x14ac:dyDescent="0.2">
      <c r="A20" s="311">
        <v>18</v>
      </c>
      <c r="B20" s="312">
        <v>18</v>
      </c>
      <c r="C20" s="313">
        <v>44575</v>
      </c>
      <c r="D20" s="295" t="s">
        <v>217</v>
      </c>
      <c r="E20" s="315" t="s">
        <v>218</v>
      </c>
      <c r="F20" s="316" t="s">
        <v>219</v>
      </c>
      <c r="G20" s="312">
        <v>57</v>
      </c>
      <c r="H20" s="312" t="s">
        <v>154</v>
      </c>
      <c r="I20" s="312" t="s">
        <v>20</v>
      </c>
      <c r="J20" s="317">
        <v>4</v>
      </c>
      <c r="K20" s="299">
        <v>3428.57</v>
      </c>
      <c r="L20" s="318">
        <v>8000</v>
      </c>
      <c r="M20" s="299" t="e">
        <f>IF([2]!Tabla1[[#This Row],[S.V.O.]]&gt;11428.57,1200,IF([2]!Tabla1[[#This Row],[S.V.O.]]&lt;5714.29,0,[2]!Tabla1[[#This Row],[S.V.O.]]*0.1))</f>
        <v>#REF!</v>
      </c>
      <c r="N20" s="299">
        <v>0</v>
      </c>
      <c r="O20" s="299">
        <v>1142.8599999999999</v>
      </c>
      <c r="P20" s="299">
        <v>0</v>
      </c>
      <c r="Q20" s="319">
        <v>44456</v>
      </c>
      <c r="R20" s="320" t="s">
        <v>220</v>
      </c>
      <c r="S20" s="302"/>
      <c r="T20" s="302"/>
      <c r="U20" s="323" t="s">
        <v>221</v>
      </c>
    </row>
    <row r="21" spans="1:21" ht="60" x14ac:dyDescent="0.2">
      <c r="A21" s="311">
        <v>19</v>
      </c>
      <c r="B21" s="312">
        <v>19</v>
      </c>
      <c r="C21" s="294">
        <v>44575</v>
      </c>
      <c r="D21" s="295" t="s">
        <v>222</v>
      </c>
      <c r="E21" s="296" t="s">
        <v>223</v>
      </c>
      <c r="F21" s="297" t="s">
        <v>224</v>
      </c>
      <c r="G21" s="293">
        <v>93</v>
      </c>
      <c r="H21" s="293" t="s">
        <v>154</v>
      </c>
      <c r="I21" s="293" t="s">
        <v>22</v>
      </c>
      <c r="J21" s="298">
        <v>3</v>
      </c>
      <c r="K21" s="324">
        <v>0</v>
      </c>
      <c r="L21" s="324">
        <v>1142.8599999999999</v>
      </c>
      <c r="M21" s="324">
        <v>0</v>
      </c>
      <c r="N21" s="324">
        <v>0</v>
      </c>
      <c r="O21" s="324">
        <v>0</v>
      </c>
      <c r="P21" s="324">
        <v>0</v>
      </c>
      <c r="Q21" s="300">
        <v>44545</v>
      </c>
      <c r="R21" s="305" t="s">
        <v>225</v>
      </c>
      <c r="S21" s="302" t="s">
        <v>58</v>
      </c>
      <c r="T21" s="302" t="s">
        <v>58</v>
      </c>
      <c r="U21" s="321"/>
    </row>
    <row r="22" spans="1:21" ht="36" x14ac:dyDescent="0.2">
      <c r="A22" s="311">
        <v>20</v>
      </c>
      <c r="B22" s="312">
        <v>20</v>
      </c>
      <c r="C22" s="313">
        <v>44575</v>
      </c>
      <c r="D22" s="314" t="s">
        <v>226</v>
      </c>
      <c r="E22" s="325" t="s">
        <v>227</v>
      </c>
      <c r="F22" s="326" t="s">
        <v>228</v>
      </c>
      <c r="G22" s="327">
        <v>79</v>
      </c>
      <c r="H22" s="327" t="s">
        <v>149</v>
      </c>
      <c r="I22" s="327" t="s">
        <v>22</v>
      </c>
      <c r="J22" s="328">
        <v>2</v>
      </c>
      <c r="K22" s="329">
        <v>0</v>
      </c>
      <c r="L22" s="329">
        <v>3428.57</v>
      </c>
      <c r="M22" s="329">
        <v>0</v>
      </c>
      <c r="N22" s="329">
        <v>0</v>
      </c>
      <c r="O22" s="330">
        <v>1142.8599999999999</v>
      </c>
      <c r="P22" s="329">
        <v>0</v>
      </c>
      <c r="Q22" s="319">
        <v>44564</v>
      </c>
      <c r="R22" s="320" t="s">
        <v>229</v>
      </c>
      <c r="S22" s="302" t="s">
        <v>58</v>
      </c>
      <c r="T22" s="302" t="s">
        <v>58</v>
      </c>
      <c r="U22" s="321"/>
    </row>
    <row r="23" spans="1:21" ht="48" x14ac:dyDescent="0.2">
      <c r="A23" s="311">
        <v>21</v>
      </c>
      <c r="B23" s="312">
        <v>21</v>
      </c>
      <c r="C23" s="313">
        <v>44575</v>
      </c>
      <c r="D23" s="295" t="s">
        <v>230</v>
      </c>
      <c r="E23" s="331" t="s">
        <v>231</v>
      </c>
      <c r="F23" s="316" t="s">
        <v>232</v>
      </c>
      <c r="G23" s="312">
        <v>37</v>
      </c>
      <c r="H23" s="312" t="s">
        <v>149</v>
      </c>
      <c r="I23" s="312" t="s">
        <v>20</v>
      </c>
      <c r="J23" s="317">
        <v>1</v>
      </c>
      <c r="K23" s="299">
        <v>3428.57</v>
      </c>
      <c r="L23" s="299">
        <v>0</v>
      </c>
      <c r="M23" s="299" t="e">
        <f>IF([2]!Tabla1[[#This Row],[S.V.O.]]&gt;11428.57,1200,IF([2]!Tabla1[[#This Row],[S.V.O.]]&lt;5714.29,0,[2]!Tabla1[[#This Row],[S.V.O.]]*0.1))</f>
        <v>#REF!</v>
      </c>
      <c r="N23" s="299">
        <v>0</v>
      </c>
      <c r="O23" s="299">
        <v>0</v>
      </c>
      <c r="P23" s="299">
        <v>0</v>
      </c>
      <c r="Q23" s="319">
        <v>43893</v>
      </c>
      <c r="R23" s="320" t="s">
        <v>107</v>
      </c>
      <c r="S23" s="322" t="s">
        <v>60</v>
      </c>
      <c r="T23" s="322" t="s">
        <v>60</v>
      </c>
      <c r="U23" s="321"/>
    </row>
    <row r="24" spans="1:21" ht="126" x14ac:dyDescent="0.2">
      <c r="A24" s="311">
        <v>22</v>
      </c>
      <c r="B24" s="312">
        <v>22</v>
      </c>
      <c r="C24" s="313">
        <v>44575</v>
      </c>
      <c r="D24" s="295" t="s">
        <v>233</v>
      </c>
      <c r="E24" s="315" t="s">
        <v>234</v>
      </c>
      <c r="F24" s="316" t="s">
        <v>235</v>
      </c>
      <c r="G24" s="312">
        <v>78</v>
      </c>
      <c r="H24" s="312" t="s">
        <v>149</v>
      </c>
      <c r="I24" s="312" t="s">
        <v>20</v>
      </c>
      <c r="J24" s="317">
        <v>1</v>
      </c>
      <c r="K24" s="299">
        <v>3428.57</v>
      </c>
      <c r="L24" s="299">
        <v>0</v>
      </c>
      <c r="M24" s="299" t="e">
        <f>IF([2]!Tabla1[[#This Row],[S.V.O.]]&gt;11428.57,1200,IF([2]!Tabla1[[#This Row],[S.V.O.]]&lt;5714.29,0,[2]!Tabla1[[#This Row],[S.V.O.]]*0.1))</f>
        <v>#REF!</v>
      </c>
      <c r="N24" s="299">
        <v>0</v>
      </c>
      <c r="O24" s="299">
        <v>0</v>
      </c>
      <c r="P24" s="299">
        <v>0</v>
      </c>
      <c r="Q24" s="319">
        <v>44516</v>
      </c>
      <c r="R24" s="320" t="s">
        <v>236</v>
      </c>
      <c r="S24" s="302" t="s">
        <v>58</v>
      </c>
      <c r="T24" s="302" t="s">
        <v>60</v>
      </c>
      <c r="U24" s="321"/>
    </row>
    <row r="25" spans="1:21" ht="36" x14ac:dyDescent="0.2">
      <c r="A25" s="311">
        <v>23</v>
      </c>
      <c r="B25" s="312">
        <v>23</v>
      </c>
      <c r="C25" s="313">
        <v>44575</v>
      </c>
      <c r="D25" s="295" t="s">
        <v>237</v>
      </c>
      <c r="E25" s="315" t="s">
        <v>238</v>
      </c>
      <c r="F25" s="316" t="s">
        <v>239</v>
      </c>
      <c r="G25" s="312">
        <v>90</v>
      </c>
      <c r="H25" s="312" t="s">
        <v>154</v>
      </c>
      <c r="I25" s="312" t="s">
        <v>22</v>
      </c>
      <c r="J25" s="317">
        <v>4</v>
      </c>
      <c r="K25" s="299">
        <v>0</v>
      </c>
      <c r="L25" s="318">
        <v>1142.8599999999999</v>
      </c>
      <c r="M25" s="299" t="e">
        <f>IF([2]!Tabla1[[#This Row],[S.V.O.]]&gt;11428.57,1200,IF([2]!Tabla1[[#This Row],[S.V.O.]]&lt;5714.29,0,[2]!Tabla1[[#This Row],[S.V.O.]]*0.1))</f>
        <v>#REF!</v>
      </c>
      <c r="N25" s="299">
        <v>0</v>
      </c>
      <c r="O25" s="299">
        <v>0</v>
      </c>
      <c r="P25" s="299">
        <v>0</v>
      </c>
      <c r="Q25" s="319">
        <v>44059</v>
      </c>
      <c r="R25" s="320" t="s">
        <v>240</v>
      </c>
      <c r="S25" s="302" t="s">
        <v>60</v>
      </c>
      <c r="T25" s="302" t="s">
        <v>60</v>
      </c>
      <c r="U25" s="321"/>
    </row>
    <row r="26" spans="1:21" ht="48" x14ac:dyDescent="0.2">
      <c r="A26" s="311">
        <v>24</v>
      </c>
      <c r="B26" s="312">
        <v>24</v>
      </c>
      <c r="C26" s="313">
        <v>44575</v>
      </c>
      <c r="D26" s="295" t="s">
        <v>241</v>
      </c>
      <c r="E26" s="315" t="s">
        <v>242</v>
      </c>
      <c r="F26" s="316" t="s">
        <v>243</v>
      </c>
      <c r="G26" s="312">
        <v>51</v>
      </c>
      <c r="H26" s="312" t="s">
        <v>149</v>
      </c>
      <c r="I26" s="312" t="s">
        <v>20</v>
      </c>
      <c r="J26" s="317">
        <v>5</v>
      </c>
      <c r="K26" s="299">
        <v>3428.57</v>
      </c>
      <c r="L26" s="299">
        <v>0</v>
      </c>
      <c r="M26" s="299" t="e">
        <f>IF([2]!Tabla1[[#This Row],[S.V.O.]]&gt;11428.57,1200,IF([2]!Tabla1[[#This Row],[S.V.O.]]&lt;5714.29,0,[2]!Tabla1[[#This Row],[S.V.O.]]*0.1))</f>
        <v>#REF!</v>
      </c>
      <c r="N26" s="299">
        <v>0</v>
      </c>
      <c r="O26" s="299">
        <v>0</v>
      </c>
      <c r="P26" s="299">
        <v>0</v>
      </c>
      <c r="Q26" s="319">
        <v>44452</v>
      </c>
      <c r="R26" s="320" t="s">
        <v>244</v>
      </c>
      <c r="S26" s="302" t="s">
        <v>25</v>
      </c>
      <c r="T26" s="302" t="s">
        <v>25</v>
      </c>
      <c r="U26" s="321"/>
    </row>
    <row r="27" spans="1:21" ht="48" x14ac:dyDescent="0.2">
      <c r="A27" s="311">
        <v>25</v>
      </c>
      <c r="B27" s="312">
        <v>25</v>
      </c>
      <c r="C27" s="313">
        <v>44578</v>
      </c>
      <c r="D27" s="314" t="s">
        <v>245</v>
      </c>
      <c r="E27" s="325" t="s">
        <v>246</v>
      </c>
      <c r="F27" s="326" t="s">
        <v>247</v>
      </c>
      <c r="G27" s="327">
        <v>52</v>
      </c>
      <c r="H27" s="327" t="s">
        <v>149</v>
      </c>
      <c r="I27" s="327" t="s">
        <v>20</v>
      </c>
      <c r="J27" s="328">
        <v>1</v>
      </c>
      <c r="K27" s="329">
        <v>3428.57</v>
      </c>
      <c r="L27" s="329">
        <v>0</v>
      </c>
      <c r="M27" s="299" t="e">
        <f>IF([2]!Tabla1[[#This Row],[S.V.O.]]&gt;11428.57,1200,IF([2]!Tabla1[[#This Row],[S.V.O.]]&lt;5714.29,0,[2]!Tabla1[[#This Row],[S.V.O.]]*0.1))</f>
        <v>#REF!</v>
      </c>
      <c r="N27" s="329">
        <v>0</v>
      </c>
      <c r="O27" s="299">
        <v>0</v>
      </c>
      <c r="P27" s="329">
        <v>0</v>
      </c>
      <c r="Q27" s="319">
        <v>43083</v>
      </c>
      <c r="R27" s="320" t="s">
        <v>248</v>
      </c>
      <c r="S27" s="302" t="s">
        <v>58</v>
      </c>
      <c r="T27" s="302" t="s">
        <v>58</v>
      </c>
      <c r="U27" s="321"/>
    </row>
    <row r="28" spans="1:21" ht="24" x14ac:dyDescent="0.2">
      <c r="A28" s="311">
        <v>26</v>
      </c>
      <c r="B28" s="312">
        <v>26</v>
      </c>
      <c r="C28" s="332">
        <v>44579</v>
      </c>
      <c r="D28" s="333" t="s">
        <v>249</v>
      </c>
      <c r="E28" s="334" t="s">
        <v>250</v>
      </c>
      <c r="F28" s="335" t="s">
        <v>251</v>
      </c>
      <c r="G28" s="336">
        <v>79</v>
      </c>
      <c r="H28" s="336" t="s">
        <v>149</v>
      </c>
      <c r="I28" s="336" t="s">
        <v>22</v>
      </c>
      <c r="J28" s="337">
        <v>1</v>
      </c>
      <c r="K28" s="338">
        <v>0</v>
      </c>
      <c r="L28" s="338">
        <v>3428.57</v>
      </c>
      <c r="M28" s="299" t="e">
        <f>IF([2]!Tabla1[[#This Row],[S.V.O.]]&gt;11428.57,1200,IF([2]!Tabla1[[#This Row],[S.V.O.]]&lt;5714.29,0,[2]!Tabla1[[#This Row],[S.V.O.]]*0.1))</f>
        <v>#REF!</v>
      </c>
      <c r="N28" s="338">
        <v>0</v>
      </c>
      <c r="O28" s="330">
        <v>1142.8599999999999</v>
      </c>
      <c r="P28" s="338">
        <v>0</v>
      </c>
      <c r="Q28" s="339">
        <v>44526</v>
      </c>
      <c r="R28" s="340" t="s">
        <v>113</v>
      </c>
      <c r="S28" s="302" t="s">
        <v>58</v>
      </c>
      <c r="T28" s="302" t="s">
        <v>58</v>
      </c>
      <c r="U28" s="321"/>
    </row>
    <row r="29" spans="1:21" ht="81" x14ac:dyDescent="0.2">
      <c r="A29" s="311">
        <v>27</v>
      </c>
      <c r="B29" s="312">
        <v>27</v>
      </c>
      <c r="C29" s="313">
        <v>44580</v>
      </c>
      <c r="D29" s="333" t="s">
        <v>252</v>
      </c>
      <c r="E29" s="315" t="s">
        <v>253</v>
      </c>
      <c r="F29" s="316" t="s">
        <v>254</v>
      </c>
      <c r="G29" s="312">
        <v>89</v>
      </c>
      <c r="H29" s="312" t="s">
        <v>149</v>
      </c>
      <c r="I29" s="312" t="s">
        <v>22</v>
      </c>
      <c r="J29" s="317">
        <v>1</v>
      </c>
      <c r="K29" s="299">
        <v>0</v>
      </c>
      <c r="L29" s="318">
        <v>1142.8599999999999</v>
      </c>
      <c r="M29" s="299" t="e">
        <f>IF([2]!Tabla1[[#This Row],[S.V.O.]]&gt;11428.57,1200,IF([2]!Tabla1[[#This Row],[S.V.O.]]&lt;5714.29,0,[2]!Tabla1[[#This Row],[S.V.O.]]*0.1))</f>
        <v>#REF!</v>
      </c>
      <c r="N29" s="338">
        <v>0</v>
      </c>
      <c r="O29" s="299">
        <v>0</v>
      </c>
      <c r="P29" s="329">
        <v>0</v>
      </c>
      <c r="Q29" s="319">
        <v>44544</v>
      </c>
      <c r="R29" s="320" t="s">
        <v>255</v>
      </c>
      <c r="S29" s="302" t="s">
        <v>58</v>
      </c>
      <c r="T29" s="302" t="s">
        <v>60</v>
      </c>
      <c r="U29" s="321"/>
    </row>
    <row r="30" spans="1:21" ht="48" x14ac:dyDescent="0.2">
      <c r="A30" s="311">
        <v>28</v>
      </c>
      <c r="B30" s="312">
        <v>28</v>
      </c>
      <c r="C30" s="313">
        <v>44587</v>
      </c>
      <c r="D30" s="333" t="s">
        <v>256</v>
      </c>
      <c r="E30" s="315" t="s">
        <v>257</v>
      </c>
      <c r="F30" s="316" t="s">
        <v>258</v>
      </c>
      <c r="G30" s="312">
        <v>80</v>
      </c>
      <c r="H30" s="312" t="s">
        <v>154</v>
      </c>
      <c r="I30" s="312" t="s">
        <v>22</v>
      </c>
      <c r="J30" s="317">
        <v>2</v>
      </c>
      <c r="K30" s="299">
        <v>0</v>
      </c>
      <c r="L30" s="318">
        <v>3428.57</v>
      </c>
      <c r="M30" s="299" t="e">
        <f>IF([2]!Tabla1[[#This Row],[S.V.O.]]&gt;11428.57,1200,IF([2]!Tabla1[[#This Row],[S.V.O.]]&lt;5714.29,0,[2]!Tabla1[[#This Row],[S.V.O.]]*0.1))</f>
        <v>#REF!</v>
      </c>
      <c r="N30" s="338">
        <v>0</v>
      </c>
      <c r="O30" s="299">
        <v>0</v>
      </c>
      <c r="P30" s="329">
        <v>0</v>
      </c>
      <c r="Q30" s="319">
        <v>44571</v>
      </c>
      <c r="R30" s="320" t="s">
        <v>259</v>
      </c>
      <c r="S30" s="302" t="s">
        <v>58</v>
      </c>
      <c r="T30" s="302" t="s">
        <v>58</v>
      </c>
      <c r="U30" s="321"/>
    </row>
    <row r="31" spans="1:21" ht="63" x14ac:dyDescent="0.2">
      <c r="A31" s="311">
        <v>29</v>
      </c>
      <c r="B31" s="312">
        <v>29</v>
      </c>
      <c r="C31" s="313">
        <v>44588</v>
      </c>
      <c r="D31" s="333" t="s">
        <v>260</v>
      </c>
      <c r="E31" s="315" t="s">
        <v>261</v>
      </c>
      <c r="F31" s="316" t="s">
        <v>262</v>
      </c>
      <c r="G31" s="312">
        <v>66</v>
      </c>
      <c r="H31" s="312" t="s">
        <v>154</v>
      </c>
      <c r="I31" s="312" t="s">
        <v>20</v>
      </c>
      <c r="J31" s="317">
        <v>2</v>
      </c>
      <c r="K31" s="299">
        <v>3428.57</v>
      </c>
      <c r="L31" s="329">
        <v>0</v>
      </c>
      <c r="M31" s="299" t="e">
        <f>IF([2]!Tabla1[[#This Row],[S.V.O.]]&gt;11428.57,1200,IF([2]!Tabla1[[#This Row],[S.V.O.]]&lt;5714.29,0,[2]!Tabla1[[#This Row],[S.V.O.]]*0.1))</f>
        <v>#REF!</v>
      </c>
      <c r="N31" s="329">
        <v>0</v>
      </c>
      <c r="O31" s="299">
        <v>0</v>
      </c>
      <c r="P31" s="329">
        <v>0</v>
      </c>
      <c r="Q31" s="319">
        <v>44275</v>
      </c>
      <c r="R31" s="320" t="s">
        <v>263</v>
      </c>
      <c r="S31" s="302" t="s">
        <v>58</v>
      </c>
      <c r="T31" s="302" t="s">
        <v>58</v>
      </c>
      <c r="U31" s="321"/>
    </row>
    <row r="32" spans="1:21" ht="126" x14ac:dyDescent="0.2">
      <c r="A32" s="311">
        <v>30</v>
      </c>
      <c r="B32" s="312">
        <v>30</v>
      </c>
      <c r="C32" s="313">
        <v>44588</v>
      </c>
      <c r="D32" s="333" t="s">
        <v>264</v>
      </c>
      <c r="E32" s="341" t="s">
        <v>265</v>
      </c>
      <c r="F32" s="342" t="s">
        <v>266</v>
      </c>
      <c r="G32" s="312">
        <v>51</v>
      </c>
      <c r="H32" s="312" t="s">
        <v>149</v>
      </c>
      <c r="I32" s="312" t="s">
        <v>20</v>
      </c>
      <c r="J32" s="317">
        <v>4</v>
      </c>
      <c r="K32" s="299">
        <v>3428.57</v>
      </c>
      <c r="L32" s="329">
        <v>0</v>
      </c>
      <c r="M32" s="299" t="e">
        <f>IF([2]!Tabla1[[#This Row],[S.V.O.]]&gt;11428.57,1200,IF([2]!Tabla1[[#This Row],[S.V.O.]]&lt;5714.29,0,[2]!Tabla1[[#This Row],[S.V.O.]]*0.1))</f>
        <v>#REF!</v>
      </c>
      <c r="N32" s="329">
        <v>0</v>
      </c>
      <c r="O32" s="299">
        <v>0</v>
      </c>
      <c r="P32" s="329">
        <v>0</v>
      </c>
      <c r="Q32" s="319">
        <v>44105</v>
      </c>
      <c r="R32" s="320" t="s">
        <v>267</v>
      </c>
      <c r="S32" s="322" t="s">
        <v>268</v>
      </c>
      <c r="T32" s="343" t="s">
        <v>58</v>
      </c>
      <c r="U32" s="321"/>
    </row>
    <row r="33" spans="1:21" ht="60" x14ac:dyDescent="0.2">
      <c r="A33" s="311">
        <v>31</v>
      </c>
      <c r="B33" s="312">
        <v>31</v>
      </c>
      <c r="C33" s="313">
        <v>44592</v>
      </c>
      <c r="D33" s="333" t="s">
        <v>269</v>
      </c>
      <c r="E33" s="315" t="s">
        <v>270</v>
      </c>
      <c r="F33" s="316" t="s">
        <v>271</v>
      </c>
      <c r="G33" s="312">
        <v>64</v>
      </c>
      <c r="H33" s="312" t="s">
        <v>154</v>
      </c>
      <c r="I33" s="312" t="s">
        <v>22</v>
      </c>
      <c r="J33" s="317">
        <v>3</v>
      </c>
      <c r="K33" s="299">
        <v>0</v>
      </c>
      <c r="L33" s="318">
        <v>3428.57</v>
      </c>
      <c r="M33" s="299" t="e">
        <f>IF([2]!Tabla1[[#This Row],[S.V.O.]]&gt;11428.57,1200,IF([2]!Tabla1[[#This Row],[S.V.O.]]&lt;5714.29,0,[2]!Tabla1[[#This Row],[S.V.O.]]*0.1))</f>
        <v>#REF!</v>
      </c>
      <c r="N33" s="329">
        <v>0</v>
      </c>
      <c r="O33" s="299">
        <v>1142.8599999999999</v>
      </c>
      <c r="P33" s="329">
        <v>0</v>
      </c>
      <c r="Q33" s="319">
        <v>44565</v>
      </c>
      <c r="R33" s="320" t="s">
        <v>272</v>
      </c>
      <c r="S33" s="302" t="s">
        <v>26</v>
      </c>
      <c r="T33" s="302" t="s">
        <v>26</v>
      </c>
      <c r="U33" s="321"/>
    </row>
    <row r="34" spans="1:21" ht="54" x14ac:dyDescent="0.2">
      <c r="A34" s="311">
        <v>32</v>
      </c>
      <c r="B34" s="312">
        <v>32</v>
      </c>
      <c r="C34" s="313">
        <v>44592</v>
      </c>
      <c r="D34" s="333" t="s">
        <v>273</v>
      </c>
      <c r="E34" s="315" t="s">
        <v>274</v>
      </c>
      <c r="F34" s="316" t="s">
        <v>275</v>
      </c>
      <c r="G34" s="312">
        <v>68</v>
      </c>
      <c r="H34" s="312" t="s">
        <v>154</v>
      </c>
      <c r="I34" s="312" t="s">
        <v>22</v>
      </c>
      <c r="J34" s="317">
        <v>2</v>
      </c>
      <c r="K34" s="299">
        <v>0</v>
      </c>
      <c r="L34" s="318">
        <v>11428.57</v>
      </c>
      <c r="M34" s="299" t="e">
        <f>IF([2]!Tabla1[[#This Row],[S.V.O.]]&gt;11428.57,1200,IF([2]!Tabla1[[#This Row],[S.V.O.]]&lt;5714.29,0,[2]!Tabla1[[#This Row],[S.V.O.]]*0.1))</f>
        <v>#REF!</v>
      </c>
      <c r="N34" s="329">
        <v>0</v>
      </c>
      <c r="O34" s="299">
        <v>1142.8599999999999</v>
      </c>
      <c r="P34" s="329">
        <v>0</v>
      </c>
      <c r="Q34" s="319">
        <v>44530</v>
      </c>
      <c r="R34" s="320" t="s">
        <v>276</v>
      </c>
      <c r="S34" s="302" t="s">
        <v>25</v>
      </c>
      <c r="T34" s="302" t="s">
        <v>25</v>
      </c>
      <c r="U34" s="321"/>
    </row>
    <row r="35" spans="1:21" ht="108" x14ac:dyDescent="0.2">
      <c r="A35" s="311">
        <v>33</v>
      </c>
      <c r="B35" s="312">
        <v>33</v>
      </c>
      <c r="C35" s="313">
        <v>44592</v>
      </c>
      <c r="D35" s="333" t="s">
        <v>277</v>
      </c>
      <c r="E35" s="315" t="s">
        <v>278</v>
      </c>
      <c r="F35" s="316" t="s">
        <v>279</v>
      </c>
      <c r="G35" s="312">
        <v>58</v>
      </c>
      <c r="H35" s="312" t="s">
        <v>154</v>
      </c>
      <c r="I35" s="312" t="s">
        <v>20</v>
      </c>
      <c r="J35" s="317">
        <v>3</v>
      </c>
      <c r="K35" s="299">
        <v>3428.57</v>
      </c>
      <c r="L35" s="329">
        <v>0</v>
      </c>
      <c r="M35" s="299" t="e">
        <f>IF([2]!Tabla1[[#This Row],[S.V.O.]]&gt;11428.57,1200,IF([2]!Tabla1[[#This Row],[S.V.O.]]&lt;5714.29,0,[2]!Tabla1[[#This Row],[S.V.O.]]*0.1))</f>
        <v>#REF!</v>
      </c>
      <c r="N35" s="329">
        <v>0</v>
      </c>
      <c r="O35" s="299">
        <v>0</v>
      </c>
      <c r="P35" s="329">
        <v>0</v>
      </c>
      <c r="Q35" s="319">
        <v>44542</v>
      </c>
      <c r="R35" s="320" t="s">
        <v>280</v>
      </c>
      <c r="S35" s="302" t="s">
        <v>26</v>
      </c>
      <c r="T35" s="302" t="s">
        <v>26</v>
      </c>
      <c r="U35" s="321"/>
    </row>
    <row r="36" spans="1:21" ht="36" x14ac:dyDescent="0.2">
      <c r="A36" s="311">
        <v>34</v>
      </c>
      <c r="B36" s="312">
        <v>34</v>
      </c>
      <c r="C36" s="313">
        <v>44592</v>
      </c>
      <c r="D36" s="333" t="s">
        <v>281</v>
      </c>
      <c r="E36" s="315" t="s">
        <v>282</v>
      </c>
      <c r="F36" s="316" t="s">
        <v>283</v>
      </c>
      <c r="G36" s="312">
        <v>75</v>
      </c>
      <c r="H36" s="312" t="s">
        <v>149</v>
      </c>
      <c r="I36" s="312" t="s">
        <v>22</v>
      </c>
      <c r="J36" s="317">
        <v>3</v>
      </c>
      <c r="K36" s="299">
        <v>0</v>
      </c>
      <c r="L36" s="318">
        <v>3428.57</v>
      </c>
      <c r="M36" s="299" t="e">
        <f>IF([2]!Tabla1[[#This Row],[S.V.O.]]&gt;11428.57,1200,IF([2]!Tabla1[[#This Row],[S.V.O.]]&lt;5714.29,0,[2]!Tabla1[[#This Row],[S.V.O.]]*0.1))</f>
        <v>#REF!</v>
      </c>
      <c r="N36" s="329">
        <v>0</v>
      </c>
      <c r="O36" s="299">
        <v>0</v>
      </c>
      <c r="P36" s="329">
        <v>0</v>
      </c>
      <c r="Q36" s="319">
        <v>44343</v>
      </c>
      <c r="R36" s="320" t="s">
        <v>284</v>
      </c>
      <c r="S36" s="302" t="s">
        <v>26</v>
      </c>
      <c r="T36" s="302" t="s">
        <v>26</v>
      </c>
      <c r="U36" s="321"/>
    </row>
    <row r="37" spans="1:21" ht="54.75" thickBot="1" x14ac:dyDescent="0.25">
      <c r="A37" s="344">
        <v>35</v>
      </c>
      <c r="B37" s="345">
        <v>35</v>
      </c>
      <c r="C37" s="346">
        <v>44592</v>
      </c>
      <c r="D37" s="347" t="s">
        <v>285</v>
      </c>
      <c r="E37" s="348" t="s">
        <v>286</v>
      </c>
      <c r="F37" s="349" t="s">
        <v>287</v>
      </c>
      <c r="G37" s="345">
        <v>91</v>
      </c>
      <c r="H37" s="345" t="s">
        <v>154</v>
      </c>
      <c r="I37" s="345" t="s">
        <v>22</v>
      </c>
      <c r="J37" s="350">
        <v>1</v>
      </c>
      <c r="K37" s="351">
        <v>0</v>
      </c>
      <c r="L37" s="351">
        <v>3428.57</v>
      </c>
      <c r="M37" s="351" t="e">
        <f>IF([2]!Tabla1[[#This Row],[S.V.O.]]&gt;11428.57,1200,IF([2]!Tabla1[[#This Row],[S.V.O.]]&lt;5714.29,0,[2]!Tabla1[[#This Row],[S.V.O.]]*0.1))</f>
        <v>#REF!</v>
      </c>
      <c r="N37" s="352">
        <v>0</v>
      </c>
      <c r="O37" s="351">
        <v>0</v>
      </c>
      <c r="P37" s="352">
        <v>0</v>
      </c>
      <c r="Q37" s="353">
        <v>43131</v>
      </c>
      <c r="R37" s="354" t="s">
        <v>288</v>
      </c>
      <c r="S37" s="355" t="s">
        <v>58</v>
      </c>
      <c r="T37" s="355" t="s">
        <v>58</v>
      </c>
      <c r="U37" s="321"/>
    </row>
    <row r="38" spans="1:21" ht="24" x14ac:dyDescent="0.2">
      <c r="A38" s="356">
        <v>36</v>
      </c>
      <c r="B38" s="357">
        <v>1</v>
      </c>
      <c r="C38" s="358">
        <v>44593</v>
      </c>
      <c r="D38" s="359" t="s">
        <v>289</v>
      </c>
      <c r="E38" s="360" t="s">
        <v>290</v>
      </c>
      <c r="F38" s="361" t="s">
        <v>291</v>
      </c>
      <c r="G38" s="362">
        <v>45</v>
      </c>
      <c r="H38" s="362" t="s">
        <v>149</v>
      </c>
      <c r="I38" s="362" t="s">
        <v>20</v>
      </c>
      <c r="J38" s="363">
        <v>2</v>
      </c>
      <c r="K38" s="364">
        <v>3428.57</v>
      </c>
      <c r="L38" s="365">
        <v>3428.57</v>
      </c>
      <c r="M38" s="364" t="e">
        <f>IF([2]!Tabla1[[#This Row],[S.V.O.]]&gt;11428.57,1200,IF([2]!Tabla1[[#This Row],[S.V.O.]]&lt;5714.29,0,[2]!Tabla1[[#This Row],[S.V.O.]]*0.1))</f>
        <v>#REF!</v>
      </c>
      <c r="N38" s="366">
        <v>0</v>
      </c>
      <c r="O38" s="364">
        <v>1142.8599999999999</v>
      </c>
      <c r="P38" s="366">
        <v>0</v>
      </c>
      <c r="Q38" s="367">
        <v>44540</v>
      </c>
      <c r="R38" s="368" t="s">
        <v>292</v>
      </c>
      <c r="S38" s="369" t="s">
        <v>150</v>
      </c>
      <c r="T38" s="369" t="s">
        <v>150</v>
      </c>
      <c r="U38" s="321"/>
    </row>
    <row r="39" spans="1:21" ht="63" x14ac:dyDescent="0.2">
      <c r="A39" s="311">
        <v>37</v>
      </c>
      <c r="B39" s="370">
        <v>2</v>
      </c>
      <c r="C39" s="371">
        <v>44593</v>
      </c>
      <c r="D39" s="333" t="s">
        <v>293</v>
      </c>
      <c r="E39" s="315" t="s">
        <v>294</v>
      </c>
      <c r="F39" s="316" t="s">
        <v>295</v>
      </c>
      <c r="G39" s="312">
        <v>96</v>
      </c>
      <c r="H39" s="312" t="s">
        <v>149</v>
      </c>
      <c r="I39" s="312" t="s">
        <v>22</v>
      </c>
      <c r="J39" s="317">
        <v>1</v>
      </c>
      <c r="K39" s="299">
        <v>0</v>
      </c>
      <c r="L39" s="318">
        <v>1142.8599999999999</v>
      </c>
      <c r="M39" s="299" t="e">
        <f>IF([2]!Tabla1[[#This Row],[S.V.O.]]&gt;11428.57,1200,IF([2]!Tabla1[[#This Row],[S.V.O.]]&lt;5714.29,0,[2]!Tabla1[[#This Row],[S.V.O.]]*0.1))</f>
        <v>#REF!</v>
      </c>
      <c r="N39" s="329">
        <v>0</v>
      </c>
      <c r="O39" s="299">
        <v>0</v>
      </c>
      <c r="P39" s="329">
        <v>0</v>
      </c>
      <c r="Q39" s="319">
        <v>44508</v>
      </c>
      <c r="R39" s="320" t="s">
        <v>296</v>
      </c>
      <c r="S39" s="302" t="s">
        <v>60</v>
      </c>
      <c r="T39" s="302" t="s">
        <v>58</v>
      </c>
      <c r="U39" s="321"/>
    </row>
    <row r="40" spans="1:21" ht="48" x14ac:dyDescent="0.2">
      <c r="A40" s="311">
        <v>38</v>
      </c>
      <c r="B40" s="370">
        <v>3</v>
      </c>
      <c r="C40" s="371">
        <v>44594</v>
      </c>
      <c r="D40" s="333" t="s">
        <v>297</v>
      </c>
      <c r="E40" s="315" t="s">
        <v>298</v>
      </c>
      <c r="F40" s="316" t="s">
        <v>299</v>
      </c>
      <c r="G40" s="312">
        <v>88</v>
      </c>
      <c r="H40" s="312" t="s">
        <v>149</v>
      </c>
      <c r="I40" s="312" t="s">
        <v>22</v>
      </c>
      <c r="J40" s="317">
        <v>3</v>
      </c>
      <c r="K40" s="299">
        <v>0</v>
      </c>
      <c r="L40" s="318">
        <v>3428.57</v>
      </c>
      <c r="M40" s="299" t="e">
        <f>IF([2]!Tabla1[[#This Row],[S.V.O.]]&gt;11428.57,1200,IF([2]!Tabla1[[#This Row],[S.V.O.]]&lt;5714.29,0,[2]!Tabla1[[#This Row],[S.V.O.]]*0.1))</f>
        <v>#REF!</v>
      </c>
      <c r="N40" s="329">
        <v>0</v>
      </c>
      <c r="O40" s="299">
        <v>1142.8599999999999</v>
      </c>
      <c r="P40" s="329">
        <v>0</v>
      </c>
      <c r="Q40" s="319">
        <v>44581</v>
      </c>
      <c r="R40" s="320" t="s">
        <v>300</v>
      </c>
      <c r="S40" s="302" t="s">
        <v>62</v>
      </c>
      <c r="T40" s="302" t="s">
        <v>58</v>
      </c>
      <c r="U40" s="321"/>
    </row>
    <row r="41" spans="1:21" ht="36" x14ac:dyDescent="0.2">
      <c r="A41" s="311">
        <v>39</v>
      </c>
      <c r="B41" s="370">
        <v>4</v>
      </c>
      <c r="C41" s="371">
        <v>44594</v>
      </c>
      <c r="D41" s="333" t="s">
        <v>301</v>
      </c>
      <c r="E41" s="315" t="s">
        <v>302</v>
      </c>
      <c r="F41" s="316" t="s">
        <v>303</v>
      </c>
      <c r="G41" s="312">
        <v>96</v>
      </c>
      <c r="H41" s="312" t="s">
        <v>154</v>
      </c>
      <c r="I41" s="312" t="s">
        <v>22</v>
      </c>
      <c r="J41" s="317">
        <v>3</v>
      </c>
      <c r="K41" s="299">
        <v>0</v>
      </c>
      <c r="L41" s="318">
        <v>1142.8599999999999</v>
      </c>
      <c r="M41" s="299" t="e">
        <f>IF([2]!Tabla1[[#This Row],[S.V.O.]]&gt;11428.57,1200,IF([2]!Tabla1[[#This Row],[S.V.O.]]&lt;5714.29,0,[2]!Tabla1[[#This Row],[S.V.O.]]*0.1))</f>
        <v>#REF!</v>
      </c>
      <c r="N41" s="329">
        <v>0</v>
      </c>
      <c r="O41" s="299">
        <v>0</v>
      </c>
      <c r="P41" s="329">
        <v>0</v>
      </c>
      <c r="Q41" s="319">
        <v>44011</v>
      </c>
      <c r="R41" s="320" t="s">
        <v>304</v>
      </c>
      <c r="S41" s="302" t="s">
        <v>305</v>
      </c>
      <c r="T41" s="302" t="s">
        <v>305</v>
      </c>
      <c r="U41" s="321"/>
    </row>
    <row r="42" spans="1:21" ht="54" x14ac:dyDescent="0.2">
      <c r="A42" s="311">
        <v>40</v>
      </c>
      <c r="B42" s="370">
        <v>5</v>
      </c>
      <c r="C42" s="371">
        <v>44599</v>
      </c>
      <c r="D42" s="333" t="s">
        <v>306</v>
      </c>
      <c r="E42" s="315" t="s">
        <v>307</v>
      </c>
      <c r="F42" s="316" t="s">
        <v>308</v>
      </c>
      <c r="G42" s="312">
        <v>76</v>
      </c>
      <c r="H42" s="312" t="s">
        <v>154</v>
      </c>
      <c r="I42" s="312" t="s">
        <v>22</v>
      </c>
      <c r="J42" s="317">
        <v>1</v>
      </c>
      <c r="K42" s="299">
        <v>0</v>
      </c>
      <c r="L42" s="318">
        <v>3428.57</v>
      </c>
      <c r="M42" s="299" t="e">
        <f>IF([2]!Tabla1[[#This Row],[S.V.O.]]&gt;11428.57,1200,IF([2]!Tabla1[[#This Row],[S.V.O.]]&lt;5714.29,0,[2]!Tabla1[[#This Row],[S.V.O.]]*0.1))</f>
        <v>#REF!</v>
      </c>
      <c r="N42" s="329">
        <v>0</v>
      </c>
      <c r="O42" s="299">
        <v>1142.8599999999999</v>
      </c>
      <c r="P42" s="329">
        <v>0</v>
      </c>
      <c r="Q42" s="319">
        <v>44538</v>
      </c>
      <c r="R42" s="320" t="s">
        <v>309</v>
      </c>
      <c r="S42" s="302" t="s">
        <v>58</v>
      </c>
      <c r="T42" s="302" t="s">
        <v>310</v>
      </c>
      <c r="U42" s="321"/>
    </row>
    <row r="43" spans="1:21" ht="36" x14ac:dyDescent="0.2">
      <c r="A43" s="311">
        <v>41</v>
      </c>
      <c r="B43" s="357">
        <v>6</v>
      </c>
      <c r="C43" s="371">
        <v>44599</v>
      </c>
      <c r="D43" s="372" t="s">
        <v>311</v>
      </c>
      <c r="E43" s="315" t="s">
        <v>312</v>
      </c>
      <c r="F43" s="316" t="s">
        <v>313</v>
      </c>
      <c r="G43" s="373">
        <v>107</v>
      </c>
      <c r="H43" s="312" t="s">
        <v>149</v>
      </c>
      <c r="I43" s="312" t="s">
        <v>22</v>
      </c>
      <c r="J43" s="374">
        <v>1</v>
      </c>
      <c r="K43" s="375">
        <v>0</v>
      </c>
      <c r="L43" s="376">
        <v>2285.71</v>
      </c>
      <c r="M43" s="299" t="e">
        <f>IF([2]!Tabla1[[#This Row],[S.V.O.]]&gt;11428.57,1200,IF([2]!Tabla1[[#This Row],[S.V.O.]]&lt;5714.29,0,[2]!Tabla1[[#This Row],[S.V.O.]]*0.1))</f>
        <v>#REF!</v>
      </c>
      <c r="N43" s="377">
        <v>0</v>
      </c>
      <c r="O43" s="375">
        <v>0</v>
      </c>
      <c r="P43" s="329">
        <v>0</v>
      </c>
      <c r="Q43" s="378">
        <v>44586</v>
      </c>
      <c r="R43" s="379" t="s">
        <v>171</v>
      </c>
      <c r="S43" s="380" t="s">
        <v>58</v>
      </c>
      <c r="T43" s="380" t="s">
        <v>58</v>
      </c>
      <c r="U43" s="321"/>
    </row>
    <row r="44" spans="1:21" ht="48" x14ac:dyDescent="0.2">
      <c r="A44" s="311">
        <v>42</v>
      </c>
      <c r="B44" s="370">
        <v>7</v>
      </c>
      <c r="C44" s="371">
        <v>44600</v>
      </c>
      <c r="D44" s="372" t="s">
        <v>314</v>
      </c>
      <c r="E44" s="315" t="s">
        <v>315</v>
      </c>
      <c r="F44" s="316" t="s">
        <v>316</v>
      </c>
      <c r="G44" s="373">
        <v>71</v>
      </c>
      <c r="H44" s="312" t="s">
        <v>154</v>
      </c>
      <c r="I44" s="312" t="s">
        <v>20</v>
      </c>
      <c r="J44" s="317">
        <v>3</v>
      </c>
      <c r="K44" s="299">
        <v>3428.57</v>
      </c>
      <c r="L44" s="329">
        <v>0</v>
      </c>
      <c r="M44" s="299" t="e">
        <f>IF([2]!Tabla1[[#This Row],[S.V.O.]]&gt;11428.57,1200,IF([2]!Tabla1[[#This Row],[S.V.O.]]&lt;5714.29,0,[2]!Tabla1[[#This Row],[S.V.O.]]*0.1))</f>
        <v>#REF!</v>
      </c>
      <c r="N44" s="329">
        <v>0</v>
      </c>
      <c r="O44" s="299">
        <v>0</v>
      </c>
      <c r="P44" s="329">
        <v>0</v>
      </c>
      <c r="Q44" s="378">
        <v>44532</v>
      </c>
      <c r="R44" s="379" t="s">
        <v>304</v>
      </c>
      <c r="S44" s="380" t="s">
        <v>58</v>
      </c>
      <c r="T44" s="380" t="s">
        <v>58</v>
      </c>
      <c r="U44" s="321"/>
    </row>
    <row r="45" spans="1:21" ht="36" x14ac:dyDescent="0.2">
      <c r="A45" s="311">
        <v>43</v>
      </c>
      <c r="B45" s="370">
        <v>8</v>
      </c>
      <c r="C45" s="371">
        <v>44600</v>
      </c>
      <c r="D45" s="372" t="s">
        <v>317</v>
      </c>
      <c r="E45" s="315" t="s">
        <v>318</v>
      </c>
      <c r="F45" s="316" t="s">
        <v>319</v>
      </c>
      <c r="G45" s="373">
        <v>79</v>
      </c>
      <c r="H45" s="312" t="s">
        <v>149</v>
      </c>
      <c r="I45" s="312" t="s">
        <v>22</v>
      </c>
      <c r="J45" s="374">
        <v>1</v>
      </c>
      <c r="K45" s="299">
        <v>0</v>
      </c>
      <c r="L45" s="318">
        <v>3428.57</v>
      </c>
      <c r="M45" s="299" t="e">
        <f>IF([2]!Tabla1[[#This Row],[S.V.O.]]&gt;11428.57,1200,IF([2]!Tabla1[[#This Row],[S.V.O.]]&lt;5714.29,0,[2]!Tabla1[[#This Row],[S.V.O.]]*0.1))</f>
        <v>#REF!</v>
      </c>
      <c r="N45" s="329">
        <v>0</v>
      </c>
      <c r="O45" s="299">
        <v>0</v>
      </c>
      <c r="P45" s="329">
        <v>0</v>
      </c>
      <c r="Q45" s="378">
        <v>44488</v>
      </c>
      <c r="R45" s="379" t="s">
        <v>320</v>
      </c>
      <c r="S45" s="380" t="s">
        <v>58</v>
      </c>
      <c r="T45" s="380" t="s">
        <v>58</v>
      </c>
      <c r="U45" s="321"/>
    </row>
    <row r="46" spans="1:21" ht="81" x14ac:dyDescent="0.2">
      <c r="A46" s="311">
        <v>44</v>
      </c>
      <c r="B46" s="370">
        <v>9</v>
      </c>
      <c r="C46" s="371">
        <v>44602</v>
      </c>
      <c r="D46" s="381" t="s">
        <v>321</v>
      </c>
      <c r="E46" s="315" t="s">
        <v>322</v>
      </c>
      <c r="F46" s="316" t="s">
        <v>323</v>
      </c>
      <c r="G46" s="373">
        <v>63</v>
      </c>
      <c r="H46" s="312" t="s">
        <v>149</v>
      </c>
      <c r="I46" s="312" t="s">
        <v>20</v>
      </c>
      <c r="J46" s="317">
        <v>1</v>
      </c>
      <c r="K46" s="299">
        <v>3428.57</v>
      </c>
      <c r="L46" s="318">
        <v>11428.57</v>
      </c>
      <c r="M46" s="299" t="e">
        <f>IF([2]!Tabla1[[#This Row],[S.V.O.]]&gt;11428.57,1200,IF([2]!Tabla1[[#This Row],[S.V.O.]]&lt;5714.29,0,[2]!Tabla1[[#This Row],[S.V.O.]]*0.1))</f>
        <v>#REF!</v>
      </c>
      <c r="N46" s="329">
        <v>0</v>
      </c>
      <c r="O46" s="299">
        <v>1142.8599999999999</v>
      </c>
      <c r="P46" s="329">
        <v>0</v>
      </c>
      <c r="Q46" s="378">
        <v>44548</v>
      </c>
      <c r="R46" s="379" t="s">
        <v>324</v>
      </c>
      <c r="S46" s="380" t="s">
        <v>58</v>
      </c>
      <c r="T46" s="380" t="s">
        <v>58</v>
      </c>
      <c r="U46" s="321"/>
    </row>
    <row r="47" spans="1:21" ht="48" x14ac:dyDescent="0.2">
      <c r="A47" s="311">
        <v>45</v>
      </c>
      <c r="B47" s="370">
        <v>10</v>
      </c>
      <c r="C47" s="371">
        <v>44602</v>
      </c>
      <c r="D47" s="333" t="s">
        <v>325</v>
      </c>
      <c r="E47" s="315" t="s">
        <v>326</v>
      </c>
      <c r="F47" s="316" t="s">
        <v>327</v>
      </c>
      <c r="G47" s="312">
        <v>72</v>
      </c>
      <c r="H47" s="312" t="s">
        <v>154</v>
      </c>
      <c r="I47" s="312" t="s">
        <v>22</v>
      </c>
      <c r="J47" s="317">
        <v>2</v>
      </c>
      <c r="K47" s="299">
        <v>0</v>
      </c>
      <c r="L47" s="318">
        <v>2285.71</v>
      </c>
      <c r="M47" s="299" t="e">
        <f>IF([2]!Tabla1[[#This Row],[S.V.O.]]&gt;11428.57,1200,IF([2]!Tabla1[[#This Row],[S.V.O.]]&lt;5714.29,0,[2]!Tabla1[[#This Row],[S.V.O.]]*0.1))</f>
        <v>#REF!</v>
      </c>
      <c r="N47" s="329">
        <v>0</v>
      </c>
      <c r="O47" s="299">
        <v>0</v>
      </c>
      <c r="P47" s="329">
        <v>0</v>
      </c>
      <c r="Q47" s="319">
        <v>44529</v>
      </c>
      <c r="R47" s="320" t="s">
        <v>328</v>
      </c>
      <c r="S47" s="302" t="s">
        <v>62</v>
      </c>
      <c r="T47" s="302" t="s">
        <v>58</v>
      </c>
      <c r="U47" s="321"/>
    </row>
    <row r="48" spans="1:21" ht="36" x14ac:dyDescent="0.2">
      <c r="A48" s="311">
        <v>46</v>
      </c>
      <c r="B48" s="370">
        <v>11</v>
      </c>
      <c r="C48" s="371">
        <v>44602</v>
      </c>
      <c r="D48" s="333" t="s">
        <v>329</v>
      </c>
      <c r="E48" s="315" t="s">
        <v>330</v>
      </c>
      <c r="F48" s="316" t="s">
        <v>331</v>
      </c>
      <c r="G48" s="312">
        <v>83</v>
      </c>
      <c r="H48" s="312" t="s">
        <v>154</v>
      </c>
      <c r="I48" s="312" t="s">
        <v>22</v>
      </c>
      <c r="J48" s="317">
        <v>3</v>
      </c>
      <c r="K48" s="299">
        <v>0</v>
      </c>
      <c r="L48" s="299">
        <v>3428.57</v>
      </c>
      <c r="M48" s="299" t="e">
        <f>IF([2]!Tabla1[[#This Row],[S.V.O.]]&gt;11428.57,1200,IF([2]!Tabla1[[#This Row],[S.V.O.]]&lt;5714.29,0,[2]!Tabla1[[#This Row],[S.V.O.]]*0.1))</f>
        <v>#REF!</v>
      </c>
      <c r="N48" s="329">
        <v>0</v>
      </c>
      <c r="O48" s="299">
        <v>1142.8599999999999</v>
      </c>
      <c r="P48" s="329">
        <v>0</v>
      </c>
      <c r="Q48" s="319">
        <v>44578</v>
      </c>
      <c r="R48" s="320" t="s">
        <v>248</v>
      </c>
      <c r="S48" s="302" t="s">
        <v>62</v>
      </c>
      <c r="T48" s="302" t="s">
        <v>58</v>
      </c>
      <c r="U48" s="321"/>
    </row>
    <row r="49" spans="1:21" ht="36" x14ac:dyDescent="0.2">
      <c r="A49" s="311">
        <v>47</v>
      </c>
      <c r="B49" s="370">
        <v>12</v>
      </c>
      <c r="C49" s="371">
        <v>44602</v>
      </c>
      <c r="D49" s="333" t="s">
        <v>332</v>
      </c>
      <c r="E49" s="331" t="s">
        <v>333</v>
      </c>
      <c r="F49" s="382" t="s">
        <v>334</v>
      </c>
      <c r="G49" s="373">
        <v>38</v>
      </c>
      <c r="H49" s="373" t="s">
        <v>154</v>
      </c>
      <c r="I49" s="373" t="s">
        <v>20</v>
      </c>
      <c r="J49" s="374">
        <v>3</v>
      </c>
      <c r="K49" s="375">
        <v>3428.57</v>
      </c>
      <c r="L49" s="377">
        <v>0</v>
      </c>
      <c r="M49" s="375" t="e">
        <f>IF([3]!Tabla1[[#This Row],[S.V.O.]]&gt;11428.57,1200,IF([3]!Tabla1[[#This Row],[S.V.O.]]&lt;5714.29,0,[3]!Tabla1[[#This Row],[S.V.O.]]*0.1))</f>
        <v>#REF!</v>
      </c>
      <c r="N49" s="377">
        <v>0</v>
      </c>
      <c r="O49" s="375">
        <v>0</v>
      </c>
      <c r="P49" s="377">
        <v>0</v>
      </c>
      <c r="Q49" s="378">
        <v>44221</v>
      </c>
      <c r="R49" s="379" t="s">
        <v>335</v>
      </c>
      <c r="S49" s="383" t="s">
        <v>58</v>
      </c>
      <c r="T49" s="384" t="s">
        <v>58</v>
      </c>
      <c r="U49" s="321"/>
    </row>
    <row r="50" spans="1:21" ht="81" x14ac:dyDescent="0.2">
      <c r="A50" s="311">
        <v>48</v>
      </c>
      <c r="B50" s="370">
        <v>13</v>
      </c>
      <c r="C50" s="371">
        <v>44603</v>
      </c>
      <c r="D50" s="333" t="s">
        <v>336</v>
      </c>
      <c r="E50" s="331" t="s">
        <v>337</v>
      </c>
      <c r="F50" s="382" t="s">
        <v>338</v>
      </c>
      <c r="G50" s="373">
        <v>51</v>
      </c>
      <c r="H50" s="373" t="s">
        <v>154</v>
      </c>
      <c r="I50" s="373" t="s">
        <v>20</v>
      </c>
      <c r="J50" s="374">
        <v>2</v>
      </c>
      <c r="K50" s="375">
        <v>3428.57</v>
      </c>
      <c r="L50" s="376">
        <v>15000</v>
      </c>
      <c r="M50" s="375" t="e">
        <f>IF([3]!Tabla1[[#This Row],[S.V.O.]]&gt;11428.57,1200,IF([3]!Tabla1[[#This Row],[S.V.O.]]&lt;5714.29,0,[3]!Tabla1[[#This Row],[S.V.O.]]*0.1))</f>
        <v>#REF!</v>
      </c>
      <c r="N50" s="377">
        <v>0</v>
      </c>
      <c r="O50" s="375">
        <v>1142.8599999999999</v>
      </c>
      <c r="P50" s="377">
        <v>0</v>
      </c>
      <c r="Q50" s="378">
        <v>44525</v>
      </c>
      <c r="R50" s="379" t="s">
        <v>339</v>
      </c>
      <c r="S50" s="383" t="s">
        <v>58</v>
      </c>
      <c r="T50" s="384" t="s">
        <v>58</v>
      </c>
      <c r="U50" s="321"/>
    </row>
    <row r="51" spans="1:21" ht="54" x14ac:dyDescent="0.2">
      <c r="A51" s="311">
        <v>49</v>
      </c>
      <c r="B51" s="370">
        <v>14</v>
      </c>
      <c r="C51" s="371">
        <v>44603</v>
      </c>
      <c r="D51" s="333" t="s">
        <v>340</v>
      </c>
      <c r="E51" s="331" t="s">
        <v>341</v>
      </c>
      <c r="F51" s="382" t="s">
        <v>342</v>
      </c>
      <c r="G51" s="373">
        <v>53</v>
      </c>
      <c r="H51" s="373" t="s">
        <v>154</v>
      </c>
      <c r="I51" s="373" t="s">
        <v>20</v>
      </c>
      <c r="J51" s="374">
        <v>2</v>
      </c>
      <c r="K51" s="376">
        <v>3428.57</v>
      </c>
      <c r="L51" s="376">
        <v>15000</v>
      </c>
      <c r="M51" s="377" t="e">
        <f>IF([3]!Tabla1[[#This Row],[S.V.O.]]&gt;11428.57,1200,IF([3]!Tabla1[[#This Row],[S.V.O.]]&lt;5714.29,0,[3]!Tabla1[[#This Row],[S.V.O.]]*0.1))</f>
        <v>#REF!</v>
      </c>
      <c r="N51" s="376">
        <v>0</v>
      </c>
      <c r="O51" s="376">
        <v>1142.8599999999999</v>
      </c>
      <c r="P51" s="376">
        <v>0</v>
      </c>
      <c r="Q51" s="378">
        <v>43382</v>
      </c>
      <c r="R51" s="379" t="s">
        <v>343</v>
      </c>
      <c r="S51" s="383" t="s">
        <v>58</v>
      </c>
      <c r="T51" s="384" t="s">
        <v>58</v>
      </c>
      <c r="U51" s="321"/>
    </row>
    <row r="52" spans="1:21" ht="72" x14ac:dyDescent="0.2">
      <c r="A52" s="311">
        <v>50</v>
      </c>
      <c r="B52" s="357">
        <v>15</v>
      </c>
      <c r="C52" s="371">
        <v>44606</v>
      </c>
      <c r="D52" s="333" t="s">
        <v>344</v>
      </c>
      <c r="E52" s="331" t="s">
        <v>345</v>
      </c>
      <c r="F52" s="382" t="s">
        <v>346</v>
      </c>
      <c r="G52" s="373">
        <v>77</v>
      </c>
      <c r="H52" s="373" t="s">
        <v>154</v>
      </c>
      <c r="I52" s="373" t="s">
        <v>22</v>
      </c>
      <c r="J52" s="374">
        <v>4</v>
      </c>
      <c r="K52" s="376">
        <v>0</v>
      </c>
      <c r="L52" s="376">
        <v>3428.57</v>
      </c>
      <c r="M52" s="377" t="e">
        <f>IF([3]!Tabla1[[#This Row],[S.V.O.]]&gt;11428.57,1200,IF([3]!Tabla1[[#This Row],[S.V.O.]]&lt;5714.29,0,[3]!Tabla1[[#This Row],[S.V.O.]]*0.1))</f>
        <v>#REF!</v>
      </c>
      <c r="N52" s="377">
        <v>0</v>
      </c>
      <c r="O52" s="375">
        <v>0</v>
      </c>
      <c r="P52" s="377">
        <v>0</v>
      </c>
      <c r="Q52" s="378">
        <v>44594</v>
      </c>
      <c r="R52" s="379" t="s">
        <v>347</v>
      </c>
      <c r="S52" s="383" t="s">
        <v>58</v>
      </c>
      <c r="T52" s="384" t="s">
        <v>58</v>
      </c>
      <c r="U52" s="321"/>
    </row>
    <row r="53" spans="1:21" ht="48" x14ac:dyDescent="0.2">
      <c r="A53" s="311">
        <v>51</v>
      </c>
      <c r="B53" s="370">
        <v>16</v>
      </c>
      <c r="C53" s="371">
        <v>44608</v>
      </c>
      <c r="D53" s="333" t="s">
        <v>348</v>
      </c>
      <c r="E53" s="315" t="s">
        <v>349</v>
      </c>
      <c r="F53" s="316" t="s">
        <v>350</v>
      </c>
      <c r="G53" s="312">
        <v>58</v>
      </c>
      <c r="H53" s="312" t="s">
        <v>149</v>
      </c>
      <c r="I53" s="312" t="s">
        <v>20</v>
      </c>
      <c r="J53" s="317">
        <v>1</v>
      </c>
      <c r="K53" s="299">
        <v>3428.57</v>
      </c>
      <c r="L53" s="299">
        <v>3428.57</v>
      </c>
      <c r="M53" s="299" t="e">
        <f>IF([2]!Tabla1[[#This Row],[S.V.O.]]&gt;11428.57,1200,IF([2]!Tabla1[[#This Row],[S.V.O.]]&lt;5714.29,0,[2]!Tabla1[[#This Row],[S.V.O.]]*0.1))</f>
        <v>#REF!</v>
      </c>
      <c r="N53" s="329">
        <v>0</v>
      </c>
      <c r="O53" s="299">
        <v>0</v>
      </c>
      <c r="P53" s="329">
        <v>0</v>
      </c>
      <c r="Q53" s="319">
        <v>44583</v>
      </c>
      <c r="R53" s="320" t="s">
        <v>351</v>
      </c>
      <c r="S53" s="302" t="s">
        <v>172</v>
      </c>
      <c r="T53" s="302" t="s">
        <v>172</v>
      </c>
      <c r="U53" s="321"/>
    </row>
    <row r="54" spans="1:21" ht="54" x14ac:dyDescent="0.2">
      <c r="A54" s="311">
        <v>52</v>
      </c>
      <c r="B54" s="370">
        <v>17</v>
      </c>
      <c r="C54" s="371">
        <v>44608</v>
      </c>
      <c r="D54" s="333" t="s">
        <v>352</v>
      </c>
      <c r="E54" s="315" t="s">
        <v>353</v>
      </c>
      <c r="F54" s="316" t="s">
        <v>354</v>
      </c>
      <c r="G54" s="312">
        <v>59</v>
      </c>
      <c r="H54" s="312" t="s">
        <v>149</v>
      </c>
      <c r="I54" s="312" t="s">
        <v>20</v>
      </c>
      <c r="J54" s="317">
        <v>1</v>
      </c>
      <c r="K54" s="299">
        <v>3428.57</v>
      </c>
      <c r="L54" s="299">
        <v>4571.43</v>
      </c>
      <c r="M54" s="299" t="e">
        <f>IF([2]!Tabla1[[#This Row],[S.V.O.]]&gt;11428.57,1200,IF([2]!Tabla1[[#This Row],[S.V.O.]]&lt;5714.29,0,[2]!Tabla1[[#This Row],[S.V.O.]]*0.1))</f>
        <v>#REF!</v>
      </c>
      <c r="N54" s="329">
        <v>0</v>
      </c>
      <c r="O54" s="299">
        <v>0</v>
      </c>
      <c r="P54" s="329">
        <v>0</v>
      </c>
      <c r="Q54" s="319">
        <v>44584</v>
      </c>
      <c r="R54" s="320" t="s">
        <v>355</v>
      </c>
      <c r="S54" s="302" t="s">
        <v>58</v>
      </c>
      <c r="T54" s="302" t="s">
        <v>24</v>
      </c>
      <c r="U54" s="321"/>
    </row>
    <row r="55" spans="1:21" ht="72" x14ac:dyDescent="0.2">
      <c r="A55" s="311">
        <v>53</v>
      </c>
      <c r="B55" s="370">
        <v>18</v>
      </c>
      <c r="C55" s="371">
        <v>44608</v>
      </c>
      <c r="D55" s="333" t="s">
        <v>356</v>
      </c>
      <c r="E55" s="385" t="s">
        <v>357</v>
      </c>
      <c r="F55" s="386" t="s">
        <v>358</v>
      </c>
      <c r="G55" s="387">
        <v>42</v>
      </c>
      <c r="H55" s="387" t="s">
        <v>154</v>
      </c>
      <c r="I55" s="387" t="s">
        <v>20</v>
      </c>
      <c r="J55" s="388">
        <v>2</v>
      </c>
      <c r="K55" s="299">
        <v>3428.57</v>
      </c>
      <c r="L55" s="299">
        <v>0</v>
      </c>
      <c r="M55" s="299" t="e">
        <f>IF([2]!Tabla1[[#This Row],[S.V.O.]]&gt;11428.57,1200,IF([2]!Tabla1[[#This Row],[S.V.O.]]&lt;5714.29,0,[2]!Tabla1[[#This Row],[S.V.O.]]*0.1))</f>
        <v>#REF!</v>
      </c>
      <c r="N55" s="329">
        <v>0</v>
      </c>
      <c r="O55" s="299">
        <v>0</v>
      </c>
      <c r="P55" s="329">
        <v>0</v>
      </c>
      <c r="Q55" s="389">
        <v>44513</v>
      </c>
      <c r="R55" s="390" t="s">
        <v>359</v>
      </c>
      <c r="S55" s="391" t="s">
        <v>58</v>
      </c>
      <c r="T55" s="391" t="s">
        <v>58</v>
      </c>
      <c r="U55" s="321"/>
    </row>
    <row r="56" spans="1:21" ht="48" x14ac:dyDescent="0.2">
      <c r="A56" s="311">
        <v>54</v>
      </c>
      <c r="B56" s="370">
        <v>19</v>
      </c>
      <c r="C56" s="371">
        <v>44608</v>
      </c>
      <c r="D56" s="333" t="s">
        <v>360</v>
      </c>
      <c r="E56" s="315" t="s">
        <v>361</v>
      </c>
      <c r="F56" s="316" t="s">
        <v>362</v>
      </c>
      <c r="G56" s="312">
        <v>64</v>
      </c>
      <c r="H56" s="312" t="s">
        <v>149</v>
      </c>
      <c r="I56" s="312" t="s">
        <v>22</v>
      </c>
      <c r="J56" s="317">
        <v>4</v>
      </c>
      <c r="K56" s="299">
        <v>0</v>
      </c>
      <c r="L56" s="318">
        <v>3428.57</v>
      </c>
      <c r="M56" s="299" t="e">
        <f>IF([2]!Tabla1[[#This Row],[S.V.O.]]&gt;11428.57,1200,IF([2]!Tabla1[[#This Row],[S.V.O.]]&lt;5714.29,0,[2]!Tabla1[[#This Row],[S.V.O.]]*0.1))</f>
        <v>#REF!</v>
      </c>
      <c r="N56" s="329">
        <v>0</v>
      </c>
      <c r="O56" s="299">
        <v>1142.8599999999999</v>
      </c>
      <c r="P56" s="329">
        <v>0</v>
      </c>
      <c r="Q56" s="319">
        <v>44602</v>
      </c>
      <c r="R56" s="320" t="s">
        <v>320</v>
      </c>
      <c r="S56" s="302" t="s">
        <v>58</v>
      </c>
      <c r="T56" s="302" t="s">
        <v>58</v>
      </c>
      <c r="U56" s="321"/>
    </row>
    <row r="57" spans="1:21" ht="72" x14ac:dyDescent="0.2">
      <c r="A57" s="311">
        <v>55</v>
      </c>
      <c r="B57" s="370">
        <v>20</v>
      </c>
      <c r="C57" s="371">
        <v>44609</v>
      </c>
      <c r="D57" s="333" t="s">
        <v>363</v>
      </c>
      <c r="E57" s="385" t="s">
        <v>364</v>
      </c>
      <c r="F57" s="386" t="s">
        <v>365</v>
      </c>
      <c r="G57" s="387">
        <v>57</v>
      </c>
      <c r="H57" s="387" t="s">
        <v>154</v>
      </c>
      <c r="I57" s="387" t="s">
        <v>20</v>
      </c>
      <c r="J57" s="388">
        <v>2</v>
      </c>
      <c r="K57" s="299">
        <v>3428.57</v>
      </c>
      <c r="L57" s="299">
        <v>0</v>
      </c>
      <c r="M57" s="299" t="e">
        <f>IF([2]!Tabla1[[#This Row],[S.V.O.]]&gt;11428.57,1200,IF([2]!Tabla1[[#This Row],[S.V.O.]]&lt;5714.29,0,[2]!Tabla1[[#This Row],[S.V.O.]]*0.1))</f>
        <v>#REF!</v>
      </c>
      <c r="N57" s="329">
        <v>1142.8599999999999</v>
      </c>
      <c r="O57" s="299">
        <v>1142.8599999999999</v>
      </c>
      <c r="P57" s="329">
        <v>0</v>
      </c>
      <c r="Q57" s="389">
        <v>44475</v>
      </c>
      <c r="R57" s="390" t="s">
        <v>366</v>
      </c>
      <c r="S57" s="391" t="s">
        <v>58</v>
      </c>
      <c r="T57" s="391" t="s">
        <v>58</v>
      </c>
      <c r="U57" s="321"/>
    </row>
    <row r="58" spans="1:21" ht="48" x14ac:dyDescent="0.2">
      <c r="A58" s="311">
        <v>56</v>
      </c>
      <c r="B58" s="357">
        <v>21</v>
      </c>
      <c r="C58" s="371">
        <v>44609</v>
      </c>
      <c r="D58" s="333" t="s">
        <v>367</v>
      </c>
      <c r="E58" s="385" t="s">
        <v>368</v>
      </c>
      <c r="F58" s="386" t="s">
        <v>369</v>
      </c>
      <c r="G58" s="387">
        <v>79</v>
      </c>
      <c r="H58" s="387" t="s">
        <v>149</v>
      </c>
      <c r="I58" s="387" t="s">
        <v>22</v>
      </c>
      <c r="J58" s="388">
        <v>4</v>
      </c>
      <c r="K58" s="299"/>
      <c r="L58" s="299">
        <v>2285.71</v>
      </c>
      <c r="M58" s="299" t="e">
        <f>IF([2]!Tabla1[[#This Row],[S.V.O.]]&gt;11428.57,1200,IF([2]!Tabla1[[#This Row],[S.V.O.]]&lt;5714.29,0,[2]!Tabla1[[#This Row],[S.V.O.]]*0.1))</f>
        <v>#REF!</v>
      </c>
      <c r="N58" s="329">
        <v>0</v>
      </c>
      <c r="O58" s="299">
        <v>0</v>
      </c>
      <c r="P58" s="329">
        <v>0</v>
      </c>
      <c r="Q58" s="389">
        <v>44491</v>
      </c>
      <c r="R58" s="390" t="s">
        <v>370</v>
      </c>
      <c r="S58" s="391" t="s">
        <v>58</v>
      </c>
      <c r="T58" s="391" t="s">
        <v>58</v>
      </c>
      <c r="U58" s="321"/>
    </row>
    <row r="59" spans="1:21" ht="48" x14ac:dyDescent="0.2">
      <c r="A59" s="311">
        <v>57</v>
      </c>
      <c r="B59" s="370">
        <v>22</v>
      </c>
      <c r="C59" s="371">
        <v>44610</v>
      </c>
      <c r="D59" s="333" t="s">
        <v>371</v>
      </c>
      <c r="E59" s="315" t="s">
        <v>372</v>
      </c>
      <c r="F59" s="316" t="s">
        <v>373</v>
      </c>
      <c r="G59" s="312">
        <v>70</v>
      </c>
      <c r="H59" s="312" t="s">
        <v>149</v>
      </c>
      <c r="I59" s="312" t="s">
        <v>23</v>
      </c>
      <c r="J59" s="317">
        <v>1</v>
      </c>
      <c r="K59" s="299">
        <v>0</v>
      </c>
      <c r="L59" s="299">
        <v>2285.71</v>
      </c>
      <c r="M59" s="299" t="e">
        <f>IF([2]!Tabla1[[#This Row],[S.V.O.]]&gt;11428.57,1200,IF([2]!Tabla1[[#This Row],[S.V.O.]]&lt;5714.29,0,[2]!Tabla1[[#This Row],[S.V.O.]]*0.1))</f>
        <v>#REF!</v>
      </c>
      <c r="N59" s="329">
        <v>0</v>
      </c>
      <c r="O59" s="299">
        <v>0</v>
      </c>
      <c r="P59" s="329">
        <v>0</v>
      </c>
      <c r="Q59" s="319">
        <v>44599</v>
      </c>
      <c r="R59" s="320" t="s">
        <v>171</v>
      </c>
      <c r="S59" s="302" t="s">
        <v>62</v>
      </c>
      <c r="T59" s="302" t="s">
        <v>58</v>
      </c>
      <c r="U59" s="321"/>
    </row>
    <row r="60" spans="1:21" ht="54" x14ac:dyDescent="0.2">
      <c r="A60" s="311">
        <v>58</v>
      </c>
      <c r="B60" s="370">
        <v>23</v>
      </c>
      <c r="C60" s="371">
        <v>44610</v>
      </c>
      <c r="D60" s="333" t="s">
        <v>374</v>
      </c>
      <c r="E60" s="385" t="s">
        <v>375</v>
      </c>
      <c r="F60" s="386" t="s">
        <v>376</v>
      </c>
      <c r="G60" s="387">
        <v>86</v>
      </c>
      <c r="H60" s="387" t="s">
        <v>154</v>
      </c>
      <c r="I60" s="387" t="s">
        <v>22</v>
      </c>
      <c r="J60" s="388">
        <v>5</v>
      </c>
      <c r="K60" s="299">
        <v>3428.57</v>
      </c>
      <c r="L60" s="299">
        <v>0</v>
      </c>
      <c r="M60" s="299" t="e">
        <f>IF([2]!Tabla1[[#This Row],[S.V.O.]]&gt;11428.57,1200,IF([2]!Tabla1[[#This Row],[S.V.O.]]&lt;5714.29,0,[2]!Tabla1[[#This Row],[S.V.O.]]*0.1))</f>
        <v>#REF!</v>
      </c>
      <c r="N60" s="329">
        <v>0</v>
      </c>
      <c r="O60" s="299">
        <v>1142.8599999999999</v>
      </c>
      <c r="P60" s="329">
        <v>0</v>
      </c>
      <c r="Q60" s="389">
        <v>44598</v>
      </c>
      <c r="R60" s="390" t="s">
        <v>377</v>
      </c>
      <c r="S60" s="391" t="s">
        <v>60</v>
      </c>
      <c r="T60" s="391" t="s">
        <v>60</v>
      </c>
      <c r="U60" s="321"/>
    </row>
    <row r="61" spans="1:21" ht="63" x14ac:dyDescent="0.2">
      <c r="A61" s="311">
        <v>59</v>
      </c>
      <c r="B61" s="370">
        <v>24</v>
      </c>
      <c r="C61" s="371">
        <v>44610</v>
      </c>
      <c r="D61" s="333" t="s">
        <v>378</v>
      </c>
      <c r="E61" s="315" t="s">
        <v>379</v>
      </c>
      <c r="F61" s="316" t="s">
        <v>380</v>
      </c>
      <c r="G61" s="312">
        <v>88</v>
      </c>
      <c r="H61" s="312" t="s">
        <v>154</v>
      </c>
      <c r="I61" s="312" t="s">
        <v>22</v>
      </c>
      <c r="J61" s="317">
        <v>3</v>
      </c>
      <c r="K61" s="299">
        <v>0</v>
      </c>
      <c r="L61" s="318">
        <v>2285.71</v>
      </c>
      <c r="M61" s="299" t="e">
        <f>IF([2]!Tabla1[[#This Row],[S.V.O.]]&gt;11428.57,1200,IF([2]!Tabla1[[#This Row],[S.V.O.]]&lt;5714.29,0,[2]!Tabla1[[#This Row],[S.V.O.]]*0.1))</f>
        <v>#REF!</v>
      </c>
      <c r="N61" s="329">
        <v>0</v>
      </c>
      <c r="O61" s="299">
        <v>0</v>
      </c>
      <c r="P61" s="329">
        <v>0</v>
      </c>
      <c r="Q61" s="319">
        <v>44561</v>
      </c>
      <c r="R61" s="320" t="s">
        <v>381</v>
      </c>
      <c r="S61" s="302" t="s">
        <v>60</v>
      </c>
      <c r="T61" s="302" t="s">
        <v>60</v>
      </c>
      <c r="U61" s="321"/>
    </row>
    <row r="62" spans="1:21" ht="48" x14ac:dyDescent="0.2">
      <c r="A62" s="311">
        <v>60</v>
      </c>
      <c r="B62" s="370">
        <v>25</v>
      </c>
      <c r="C62" s="371">
        <v>44610</v>
      </c>
      <c r="D62" s="333" t="s">
        <v>382</v>
      </c>
      <c r="E62" s="315" t="s">
        <v>383</v>
      </c>
      <c r="F62" s="316" t="s">
        <v>384</v>
      </c>
      <c r="G62" s="312">
        <v>43</v>
      </c>
      <c r="H62" s="312" t="s">
        <v>149</v>
      </c>
      <c r="I62" s="312" t="s">
        <v>20</v>
      </c>
      <c r="J62" s="317">
        <v>2</v>
      </c>
      <c r="K62" s="299">
        <v>3428.57</v>
      </c>
      <c r="L62" s="299">
        <v>0</v>
      </c>
      <c r="M62" s="299" t="e">
        <f>IF([2]!Tabla1[[#This Row],[S.V.O.]]&gt;11428.57,1200,IF([2]!Tabla1[[#This Row],[S.V.O.]]&lt;5714.29,0,[2]!Tabla1[[#This Row],[S.V.O.]]*0.1))</f>
        <v>#REF!</v>
      </c>
      <c r="N62" s="329">
        <v>0</v>
      </c>
      <c r="O62" s="299">
        <v>0</v>
      </c>
      <c r="P62" s="329">
        <v>0</v>
      </c>
      <c r="Q62" s="319">
        <v>44446</v>
      </c>
      <c r="R62" s="320" t="s">
        <v>385</v>
      </c>
      <c r="S62" s="302" t="s">
        <v>19</v>
      </c>
      <c r="T62" s="302" t="s">
        <v>19</v>
      </c>
      <c r="U62" s="321"/>
    </row>
    <row r="63" spans="1:21" ht="48" x14ac:dyDescent="0.2">
      <c r="A63" s="311">
        <v>61</v>
      </c>
      <c r="B63" s="370">
        <v>26</v>
      </c>
      <c r="C63" s="371">
        <v>44610</v>
      </c>
      <c r="D63" s="333" t="s">
        <v>386</v>
      </c>
      <c r="E63" s="315" t="s">
        <v>387</v>
      </c>
      <c r="F63" s="316" t="s">
        <v>388</v>
      </c>
      <c r="G63" s="312">
        <v>81</v>
      </c>
      <c r="H63" s="312" t="s">
        <v>154</v>
      </c>
      <c r="I63" s="312" t="s">
        <v>22</v>
      </c>
      <c r="J63" s="317">
        <v>1</v>
      </c>
      <c r="K63" s="299">
        <v>0</v>
      </c>
      <c r="L63" s="299">
        <v>3428.57</v>
      </c>
      <c r="M63" s="299" t="e">
        <f>IF([2]!Tabla1[[#This Row],[S.V.O.]]&gt;11428.57,1200,IF([2]!Tabla1[[#This Row],[S.V.O.]]&lt;5714.29,0,[2]!Tabla1[[#This Row],[S.V.O.]]*0.1))</f>
        <v>#REF!</v>
      </c>
      <c r="N63" s="329">
        <v>0</v>
      </c>
      <c r="O63" s="299">
        <v>0</v>
      </c>
      <c r="P63" s="329">
        <v>0</v>
      </c>
      <c r="Q63" s="319">
        <v>44591</v>
      </c>
      <c r="R63" s="320" t="s">
        <v>389</v>
      </c>
      <c r="S63" s="302" t="s">
        <v>60</v>
      </c>
      <c r="T63" s="302" t="s">
        <v>19</v>
      </c>
      <c r="U63" s="321"/>
    </row>
    <row r="64" spans="1:21" ht="60" x14ac:dyDescent="0.2">
      <c r="A64" s="311">
        <v>62</v>
      </c>
      <c r="B64" s="357">
        <v>27</v>
      </c>
      <c r="C64" s="371">
        <v>44613</v>
      </c>
      <c r="D64" s="392" t="s">
        <v>390</v>
      </c>
      <c r="E64" s="385" t="s">
        <v>391</v>
      </c>
      <c r="F64" s="386" t="s">
        <v>392</v>
      </c>
      <c r="G64" s="387">
        <v>93</v>
      </c>
      <c r="H64" s="387" t="s">
        <v>154</v>
      </c>
      <c r="I64" s="387" t="s">
        <v>22</v>
      </c>
      <c r="J64" s="388">
        <v>3</v>
      </c>
      <c r="K64" s="299">
        <v>0</v>
      </c>
      <c r="L64" s="299">
        <v>1142.8599999999999</v>
      </c>
      <c r="M64" s="299" t="e">
        <f>IF([2]!Tabla1[[#This Row],[S.V.O.]]&gt;11428.57,1200,IF([2]!Tabla1[[#This Row],[S.V.O.]]&lt;5714.29,0,[2]!Tabla1[[#This Row],[S.V.O.]]*0.1))</f>
        <v>#REF!</v>
      </c>
      <c r="N64" s="329">
        <v>0</v>
      </c>
      <c r="O64" s="299">
        <v>0</v>
      </c>
      <c r="P64" s="329">
        <v>0</v>
      </c>
      <c r="Q64" s="389">
        <v>44558</v>
      </c>
      <c r="R64" s="390" t="s">
        <v>393</v>
      </c>
      <c r="S64" s="393" t="s">
        <v>24</v>
      </c>
      <c r="T64" s="391" t="s">
        <v>58</v>
      </c>
      <c r="U64" s="321"/>
    </row>
    <row r="65" spans="1:21" ht="99" x14ac:dyDescent="0.2">
      <c r="A65" s="311">
        <v>63</v>
      </c>
      <c r="B65" s="370">
        <v>28</v>
      </c>
      <c r="C65" s="371">
        <v>44614</v>
      </c>
      <c r="D65" s="392" t="s">
        <v>394</v>
      </c>
      <c r="E65" s="385" t="s">
        <v>395</v>
      </c>
      <c r="F65" s="386" t="s">
        <v>396</v>
      </c>
      <c r="G65" s="387">
        <v>81</v>
      </c>
      <c r="H65" s="387" t="s">
        <v>154</v>
      </c>
      <c r="I65" s="387" t="s">
        <v>22</v>
      </c>
      <c r="J65" s="388">
        <v>1</v>
      </c>
      <c r="K65" s="299">
        <v>0</v>
      </c>
      <c r="L65" s="299">
        <v>3428.57</v>
      </c>
      <c r="M65" s="299" t="e">
        <f>IF([2]!Tabla1[[#This Row],[S.V.O.]]&gt;11428.57,1200,IF([2]!Tabla1[[#This Row],[S.V.O.]]&lt;5714.29,0,[2]!Tabla1[[#This Row],[S.V.O.]]*0.1))</f>
        <v>#REF!</v>
      </c>
      <c r="N65" s="329">
        <v>0</v>
      </c>
      <c r="O65" s="299">
        <v>1142.8599999999999</v>
      </c>
      <c r="P65" s="329">
        <v>0</v>
      </c>
      <c r="Q65" s="389">
        <v>44587</v>
      </c>
      <c r="R65" s="390" t="s">
        <v>397</v>
      </c>
      <c r="S65" s="391" t="s">
        <v>58</v>
      </c>
      <c r="T65" s="391" t="s">
        <v>58</v>
      </c>
      <c r="U65" s="321"/>
    </row>
    <row r="66" spans="1:21" ht="81" x14ac:dyDescent="0.2">
      <c r="A66" s="311">
        <v>64</v>
      </c>
      <c r="B66" s="370">
        <v>29</v>
      </c>
      <c r="C66" s="371">
        <v>44614</v>
      </c>
      <c r="D66" s="333" t="s">
        <v>398</v>
      </c>
      <c r="E66" s="315" t="s">
        <v>399</v>
      </c>
      <c r="F66" s="316" t="s">
        <v>400</v>
      </c>
      <c r="G66" s="312">
        <v>61</v>
      </c>
      <c r="H66" s="312" t="s">
        <v>149</v>
      </c>
      <c r="I66" s="312" t="s">
        <v>20</v>
      </c>
      <c r="J66" s="317">
        <v>3</v>
      </c>
      <c r="K66" s="299">
        <v>3428.57</v>
      </c>
      <c r="L66" s="299">
        <v>0</v>
      </c>
      <c r="M66" s="299" t="e">
        <f>IF([2]!Tabla1[[#This Row],[S.V.O.]]&gt;11428.57,1200,IF([2]!Tabla1[[#This Row],[S.V.O.]]&lt;5714.29,0,[2]!Tabla1[[#This Row],[S.V.O.]]*0.1))</f>
        <v>#REF!</v>
      </c>
      <c r="N66" s="329">
        <v>0</v>
      </c>
      <c r="O66" s="299">
        <v>0</v>
      </c>
      <c r="P66" s="329">
        <v>0</v>
      </c>
      <c r="Q66" s="319">
        <v>44556</v>
      </c>
      <c r="R66" s="320" t="s">
        <v>401</v>
      </c>
      <c r="S66" s="302" t="s">
        <v>58</v>
      </c>
      <c r="T66" s="302" t="s">
        <v>58</v>
      </c>
      <c r="U66" s="321"/>
    </row>
    <row r="67" spans="1:21" ht="54" x14ac:dyDescent="0.2">
      <c r="A67" s="311">
        <v>65</v>
      </c>
      <c r="B67" s="394">
        <v>30</v>
      </c>
      <c r="C67" s="294">
        <v>44615</v>
      </c>
      <c r="D67" s="333" t="s">
        <v>402</v>
      </c>
      <c r="E67" s="395" t="s">
        <v>403</v>
      </c>
      <c r="F67" s="396" t="s">
        <v>404</v>
      </c>
      <c r="G67" s="397">
        <v>69</v>
      </c>
      <c r="H67" s="397" t="s">
        <v>149</v>
      </c>
      <c r="I67" s="397" t="s">
        <v>22</v>
      </c>
      <c r="J67" s="398">
        <v>6</v>
      </c>
      <c r="K67" s="299">
        <v>0</v>
      </c>
      <c r="L67" s="299">
        <v>5714.29</v>
      </c>
      <c r="M67" s="299" t="e">
        <f>IF([2]!Tabla1[[#This Row],[S.V.O.]]&gt;11428.57,1200,IF([2]!Tabla1[[#This Row],[S.V.O.]]&lt;5714.29,0,[2]!Tabla1[[#This Row],[S.V.O.]]*0.1))</f>
        <v>#REF!</v>
      </c>
      <c r="N67" s="299">
        <v>0</v>
      </c>
      <c r="O67" s="299">
        <v>1142.8599999999999</v>
      </c>
      <c r="P67" s="329">
        <v>0</v>
      </c>
      <c r="Q67" s="399">
        <v>44562</v>
      </c>
      <c r="R67" s="400" t="s">
        <v>405</v>
      </c>
      <c r="S67" s="401" t="s">
        <v>58</v>
      </c>
      <c r="T67" s="401" t="s">
        <v>58</v>
      </c>
      <c r="U67" s="321"/>
    </row>
    <row r="68" spans="1:21" ht="54" x14ac:dyDescent="0.2">
      <c r="A68" s="311">
        <v>66</v>
      </c>
      <c r="B68" s="394">
        <v>31</v>
      </c>
      <c r="C68" s="294">
        <v>44615</v>
      </c>
      <c r="D68" s="333" t="s">
        <v>406</v>
      </c>
      <c r="E68" s="296" t="s">
        <v>407</v>
      </c>
      <c r="F68" s="297" t="s">
        <v>408</v>
      </c>
      <c r="G68" s="293">
        <v>54</v>
      </c>
      <c r="H68" s="293" t="s">
        <v>149</v>
      </c>
      <c r="I68" s="293" t="s">
        <v>20</v>
      </c>
      <c r="J68" s="298">
        <v>2</v>
      </c>
      <c r="K68" s="299">
        <v>3428.57</v>
      </c>
      <c r="L68" s="299">
        <v>0</v>
      </c>
      <c r="M68" s="299" t="e">
        <f>IF([2]!Tabla1[[#This Row],[S.V.O.]]&gt;11428.57,1200,IF([2]!Tabla1[[#This Row],[S.V.O.]]&lt;5714.29,0,[2]!Tabla1[[#This Row],[S.V.O.]]*0.1))</f>
        <v>#REF!</v>
      </c>
      <c r="N68" s="299">
        <v>0</v>
      </c>
      <c r="O68" s="299">
        <v>0</v>
      </c>
      <c r="P68" s="329">
        <v>0</v>
      </c>
      <c r="Q68" s="300">
        <v>44563</v>
      </c>
      <c r="R68" s="305" t="s">
        <v>409</v>
      </c>
      <c r="S68" s="302" t="s">
        <v>58</v>
      </c>
      <c r="T68" s="310" t="s">
        <v>58</v>
      </c>
      <c r="U68" s="321"/>
    </row>
    <row r="69" spans="1:21" ht="36" x14ac:dyDescent="0.2">
      <c r="A69" s="311">
        <v>67</v>
      </c>
      <c r="B69" s="394">
        <v>32</v>
      </c>
      <c r="C69" s="294">
        <v>44616</v>
      </c>
      <c r="D69" s="333" t="s">
        <v>410</v>
      </c>
      <c r="E69" s="296" t="s">
        <v>411</v>
      </c>
      <c r="F69" s="297" t="s">
        <v>412</v>
      </c>
      <c r="G69" s="293">
        <v>66</v>
      </c>
      <c r="H69" s="293" t="s">
        <v>149</v>
      </c>
      <c r="I69" s="293" t="s">
        <v>22</v>
      </c>
      <c r="J69" s="298">
        <v>2</v>
      </c>
      <c r="K69" s="299">
        <v>0</v>
      </c>
      <c r="L69" s="299">
        <v>1142.8599999999999</v>
      </c>
      <c r="M69" s="299" t="e">
        <f>IF([2]!Tabla1[[#This Row],[S.V.O.]]&gt;11428.57,1200,IF([2]!Tabla1[[#This Row],[S.V.O.]]&lt;5714.29,0,[2]!Tabla1[[#This Row],[S.V.O.]]*0.1))</f>
        <v>#REF!</v>
      </c>
      <c r="N69" s="299">
        <v>0</v>
      </c>
      <c r="O69" s="299">
        <v>1142.8599999999999</v>
      </c>
      <c r="P69" s="329">
        <v>0</v>
      </c>
      <c r="Q69" s="300">
        <v>44602</v>
      </c>
      <c r="R69" s="305" t="s">
        <v>27</v>
      </c>
      <c r="S69" s="302" t="s">
        <v>60</v>
      </c>
      <c r="T69" s="310" t="s">
        <v>60</v>
      </c>
      <c r="U69" s="321"/>
    </row>
    <row r="70" spans="1:21" ht="63" x14ac:dyDescent="0.2">
      <c r="A70" s="311">
        <v>68</v>
      </c>
      <c r="B70" s="394">
        <v>33</v>
      </c>
      <c r="C70" s="294">
        <v>44616</v>
      </c>
      <c r="D70" s="333" t="s">
        <v>413</v>
      </c>
      <c r="E70" s="296" t="s">
        <v>414</v>
      </c>
      <c r="F70" s="297" t="s">
        <v>415</v>
      </c>
      <c r="G70" s="293">
        <v>74</v>
      </c>
      <c r="H70" s="293" t="s">
        <v>154</v>
      </c>
      <c r="I70" s="293" t="s">
        <v>22</v>
      </c>
      <c r="J70" s="298">
        <v>3</v>
      </c>
      <c r="K70" s="299">
        <v>0</v>
      </c>
      <c r="L70" s="299">
        <v>3428.57</v>
      </c>
      <c r="M70" s="299" t="e">
        <f>IF([2]!Tabla1[[#This Row],[S.V.O.]]&gt;11428.57,1200,IF([2]!Tabla1[[#This Row],[S.V.O.]]&lt;5714.29,0,[2]!Tabla1[[#This Row],[S.V.O.]]*0.1))</f>
        <v>#REF!</v>
      </c>
      <c r="N70" s="299">
        <v>0</v>
      </c>
      <c r="O70" s="299">
        <v>0</v>
      </c>
      <c r="P70" s="329">
        <v>0</v>
      </c>
      <c r="Q70" s="300">
        <v>44460</v>
      </c>
      <c r="R70" s="305" t="s">
        <v>416</v>
      </c>
      <c r="S70" s="302" t="s">
        <v>60</v>
      </c>
      <c r="T70" s="310" t="s">
        <v>60</v>
      </c>
      <c r="U70" s="321"/>
    </row>
    <row r="71" spans="1:21" ht="54" x14ac:dyDescent="0.2">
      <c r="A71" s="311">
        <v>69</v>
      </c>
      <c r="B71" s="394">
        <v>34</v>
      </c>
      <c r="C71" s="294">
        <v>44616</v>
      </c>
      <c r="D71" s="333" t="s">
        <v>417</v>
      </c>
      <c r="E71" s="296" t="s">
        <v>418</v>
      </c>
      <c r="F71" s="297" t="s">
        <v>419</v>
      </c>
      <c r="G71" s="293">
        <v>46</v>
      </c>
      <c r="H71" s="293" t="s">
        <v>154</v>
      </c>
      <c r="I71" s="293" t="s">
        <v>20</v>
      </c>
      <c r="J71" s="298">
        <v>2</v>
      </c>
      <c r="K71" s="299">
        <v>3428.57</v>
      </c>
      <c r="L71" s="299">
        <v>0</v>
      </c>
      <c r="M71" s="299" t="e">
        <f>IF([2]!Tabla1[[#This Row],[S.V.O.]]&gt;11428.57,1200,IF([2]!Tabla1[[#This Row],[S.V.O.]]&lt;5714.29,0,[2]!Tabla1[[#This Row],[S.V.O.]]*0.1))</f>
        <v>#REF!</v>
      </c>
      <c r="N71" s="299">
        <v>1142.8599999999999</v>
      </c>
      <c r="O71" s="299">
        <v>0</v>
      </c>
      <c r="P71" s="329">
        <v>0</v>
      </c>
      <c r="Q71" s="300">
        <v>44608</v>
      </c>
      <c r="R71" s="305" t="s">
        <v>420</v>
      </c>
      <c r="S71" s="302" t="s">
        <v>58</v>
      </c>
      <c r="T71" s="310" t="s">
        <v>62</v>
      </c>
      <c r="U71" s="321"/>
    </row>
    <row r="72" spans="1:21" ht="72" x14ac:dyDescent="0.2">
      <c r="A72" s="311">
        <v>70</v>
      </c>
      <c r="B72" s="370">
        <v>35</v>
      </c>
      <c r="C72" s="294">
        <v>44620</v>
      </c>
      <c r="D72" s="333" t="s">
        <v>421</v>
      </c>
      <c r="E72" s="296" t="s">
        <v>422</v>
      </c>
      <c r="F72" s="297" t="s">
        <v>423</v>
      </c>
      <c r="G72" s="293">
        <v>77</v>
      </c>
      <c r="H72" s="293" t="s">
        <v>149</v>
      </c>
      <c r="I72" s="293" t="s">
        <v>23</v>
      </c>
      <c r="J72" s="298">
        <v>1</v>
      </c>
      <c r="K72" s="299">
        <v>3428.57</v>
      </c>
      <c r="L72" s="299">
        <v>0</v>
      </c>
      <c r="M72" s="299" t="e">
        <f>IF([2]!Tabla1[[#This Row],[S.V.O.]]&gt;11428.57,1200,IF([2]!Tabla1[[#This Row],[S.V.O.]]&lt;5714.29,0,[2]!Tabla1[[#This Row],[S.V.O.]]*0.1))</f>
        <v>#REF!</v>
      </c>
      <c r="N72" s="299">
        <v>0</v>
      </c>
      <c r="O72" s="299">
        <v>0</v>
      </c>
      <c r="P72" s="329">
        <v>0</v>
      </c>
      <c r="Q72" s="300">
        <v>44612</v>
      </c>
      <c r="R72" s="305" t="s">
        <v>424</v>
      </c>
      <c r="S72" s="302" t="s">
        <v>60</v>
      </c>
      <c r="T72" s="310" t="s">
        <v>60</v>
      </c>
      <c r="U72" s="321"/>
    </row>
    <row r="73" spans="1:21" ht="48" x14ac:dyDescent="0.2">
      <c r="A73" s="311">
        <v>71</v>
      </c>
      <c r="B73" s="370">
        <v>36</v>
      </c>
      <c r="C73" s="294">
        <v>44620</v>
      </c>
      <c r="D73" s="333" t="s">
        <v>425</v>
      </c>
      <c r="E73" s="296" t="s">
        <v>426</v>
      </c>
      <c r="F73" s="297" t="s">
        <v>427</v>
      </c>
      <c r="G73" s="293">
        <v>45</v>
      </c>
      <c r="H73" s="293" t="s">
        <v>154</v>
      </c>
      <c r="I73" s="293" t="s">
        <v>20</v>
      </c>
      <c r="J73" s="298">
        <v>4</v>
      </c>
      <c r="K73" s="299">
        <v>3428.57</v>
      </c>
      <c r="L73" s="299">
        <v>3428.57</v>
      </c>
      <c r="M73" s="299" t="e">
        <f>IF([2]!Tabla1[[#This Row],[S.V.O.]]&gt;11428.57,1200,IF([2]!Tabla1[[#This Row],[S.V.O.]]&lt;5714.29,0,[2]!Tabla1[[#This Row],[S.V.O.]]*0.1))</f>
        <v>#REF!</v>
      </c>
      <c r="N73" s="299">
        <v>0</v>
      </c>
      <c r="O73" s="299">
        <v>0</v>
      </c>
      <c r="P73" s="329">
        <v>0</v>
      </c>
      <c r="Q73" s="300">
        <v>44588</v>
      </c>
      <c r="R73" s="305" t="s">
        <v>428</v>
      </c>
      <c r="S73" s="302" t="s">
        <v>60</v>
      </c>
      <c r="T73" s="310" t="s">
        <v>60</v>
      </c>
      <c r="U73" s="321"/>
    </row>
    <row r="74" spans="1:21" ht="48" x14ac:dyDescent="0.2">
      <c r="A74" s="311">
        <v>72</v>
      </c>
      <c r="B74" s="370">
        <v>37</v>
      </c>
      <c r="C74" s="294">
        <v>44620</v>
      </c>
      <c r="D74" s="333" t="s">
        <v>429</v>
      </c>
      <c r="E74" s="402" t="s">
        <v>430</v>
      </c>
      <c r="F74" s="403" t="s">
        <v>431</v>
      </c>
      <c r="G74" s="404">
        <v>68</v>
      </c>
      <c r="H74" s="404" t="s">
        <v>149</v>
      </c>
      <c r="I74" s="404" t="s">
        <v>23</v>
      </c>
      <c r="J74" s="405">
        <v>3</v>
      </c>
      <c r="K74" s="375">
        <v>0</v>
      </c>
      <c r="L74" s="375">
        <v>5714.29</v>
      </c>
      <c r="M74" s="375" t="e">
        <f>IF([4]!Tabla1[[#This Row],[S.V.O.]]&gt;11428.57,1200,IF([4]!Tabla1[[#This Row],[S.V.O.]]&lt;5714.29,0,[4]!Tabla1[[#This Row],[S.V.O.]]*0.1))</f>
        <v>#REF!</v>
      </c>
      <c r="N74" s="375">
        <v>0</v>
      </c>
      <c r="O74" s="375">
        <v>1142.8599999999999</v>
      </c>
      <c r="P74" s="375">
        <v>0</v>
      </c>
      <c r="Q74" s="406">
        <v>44597</v>
      </c>
      <c r="R74" s="407" t="s">
        <v>432</v>
      </c>
      <c r="S74" s="408" t="s">
        <v>58</v>
      </c>
      <c r="T74" s="310" t="s">
        <v>58</v>
      </c>
      <c r="U74" s="321"/>
    </row>
    <row r="75" spans="1:21" ht="45" x14ac:dyDescent="0.2">
      <c r="A75" s="311">
        <v>73</v>
      </c>
      <c r="B75" s="370">
        <v>38</v>
      </c>
      <c r="C75" s="294">
        <v>44620</v>
      </c>
      <c r="D75" s="333" t="s">
        <v>433</v>
      </c>
      <c r="E75" s="395" t="s">
        <v>434</v>
      </c>
      <c r="F75" s="396" t="s">
        <v>435</v>
      </c>
      <c r="G75" s="409">
        <v>52</v>
      </c>
      <c r="H75" s="409" t="s">
        <v>149</v>
      </c>
      <c r="I75" s="409" t="s">
        <v>20</v>
      </c>
      <c r="J75" s="410">
        <v>2</v>
      </c>
      <c r="K75" s="299">
        <v>3428.57</v>
      </c>
      <c r="L75" s="299">
        <v>3428.57</v>
      </c>
      <c r="M75" s="299" t="e">
        <f>IF([2]!Tabla1[[#This Row],[S.V.O.]]&gt;11428.57,1200,IF([2]!Tabla1[[#This Row],[S.V.O.]]&lt;5714.29,0,[2]!Tabla1[[#This Row],[S.V.O.]]*0.1))</f>
        <v>#REF!</v>
      </c>
      <c r="N75" s="299">
        <v>0</v>
      </c>
      <c r="O75" s="299">
        <v>1142.8599999999999</v>
      </c>
      <c r="P75" s="329">
        <v>0</v>
      </c>
      <c r="Q75" s="399">
        <v>44587</v>
      </c>
      <c r="R75" s="400" t="s">
        <v>436</v>
      </c>
      <c r="S75" s="401" t="s">
        <v>58</v>
      </c>
      <c r="T75" s="401" t="s">
        <v>58</v>
      </c>
      <c r="U75" s="321"/>
    </row>
    <row r="76" spans="1:21" ht="48.75" thickBot="1" x14ac:dyDescent="0.25">
      <c r="A76" s="411">
        <v>74</v>
      </c>
      <c r="B76" s="412">
        <v>39</v>
      </c>
      <c r="C76" s="413">
        <v>44620</v>
      </c>
      <c r="D76" s="414" t="s">
        <v>437</v>
      </c>
      <c r="E76" s="415" t="s">
        <v>438</v>
      </c>
      <c r="F76" s="416" t="s">
        <v>439</v>
      </c>
      <c r="G76" s="417">
        <v>81</v>
      </c>
      <c r="H76" s="417" t="s">
        <v>154</v>
      </c>
      <c r="I76" s="417" t="s">
        <v>22</v>
      </c>
      <c r="J76" s="418">
        <v>2</v>
      </c>
      <c r="K76" s="419">
        <v>0</v>
      </c>
      <c r="L76" s="419">
        <v>3428.57</v>
      </c>
      <c r="M76" s="419" t="e">
        <f>IF([4]!Tabla1[[#This Row],[S.V.O.]]&gt;11428.57,1200,IF([4]!Tabla1[[#This Row],[S.V.O.]]&lt;5714.29,0,[4]!Tabla1[[#This Row],[S.V.O.]]*0.1))</f>
        <v>#REF!</v>
      </c>
      <c r="N76" s="419">
        <v>0</v>
      </c>
      <c r="O76" s="419">
        <v>0</v>
      </c>
      <c r="P76" s="419">
        <v>0</v>
      </c>
      <c r="Q76" s="420">
        <v>44594</v>
      </c>
      <c r="R76" s="421" t="s">
        <v>440</v>
      </c>
      <c r="S76" s="422" t="s">
        <v>172</v>
      </c>
      <c r="T76" s="423" t="s">
        <v>58</v>
      </c>
      <c r="U76" s="321"/>
    </row>
  </sheetData>
  <mergeCells count="1">
    <mergeCell ref="B1:U1"/>
  </mergeCells>
  <dataValidations count="6">
    <dataValidation type="list" allowBlank="1" showInputMessage="1" showErrorMessage="1" sqref="K3:K76">
      <formula1>"0, 3428.57"</formula1>
    </dataValidation>
    <dataValidation type="list" allowBlank="1" showInputMessage="1" showErrorMessage="1" sqref="S15:T17 T18:T22 S19:S22 S3:T11 T12 S24:T31 S33:T76">
      <formula1>"SAN SALVADOR, SANTA ANA, SONSONATE, AHUACHAPÁN, CHALATENANGO, CABAÑAS, SAN VICENTE, CUSCATLÁN, LA LIBERTAD, LA PAZ, USULUTÁN, SAN MIGUEL, MORAZÁN, LA UNIÓN"</formula1>
    </dataValidation>
    <dataValidation type="list" allowBlank="1" showInputMessage="1" showErrorMessage="1" sqref="O3:O9 O11 O15:O20 O22:O73 O75">
      <formula1>"0,1142.86"</formula1>
    </dataValidation>
    <dataValidation type="list" allowBlank="1" showInputMessage="1" showErrorMessage="1" sqref="N3:N9 N11:N12 N15:N20 M21:N22 N23:N73 N75">
      <formula1>"0,571.43,1142.86,1714.57,2285.71,2857.14,3428.57,4571.43,5714.29,6857.14,8000.00,9142.86,10285.71,11428.57"</formula1>
    </dataValidation>
    <dataValidation type="list" allowBlank="1" showInputMessage="1" showErrorMessage="1" sqref="L3 L7 L9 L16:L17 L12 L26:L28 L21:L24 L31:L32 L35 L44 L53:L55 L57:L60 L62:L69 L48:L49 L71:L76">
      <formula1>"0,1142.86,2285.71,3428.57,4571.43,5714.29,6857.14, 8000.00,9142.86,10285.71,11428.57,15000.00,20000.00,25000.00,30000.00"</formula1>
    </dataValidation>
    <dataValidation type="list" allowBlank="1" showInputMessage="1" showErrorMessage="1" sqref="L4:L6 L8 L13:L15 L18:L20 L25 L10:L11 L29:L30 L33:L34 L36:L43 L45:L47 L56 L61 L70 L50:L52">
      <formula1>"1142.86, 2285.71, 3428.57, 4571.43, 5714.29, 6857.14, 8000.00, 9142.86, 10285.71, 11428.57, 15000.00, 20000.00, 25000.00, 30000.00"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  <vt:lpstr>5. REPORTE FALLECIDOS FEBRERO</vt:lpstr>
    </vt:vector>
  </TitlesOfParts>
  <Company>Caja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2022-04-07T13:16:28Z</cp:lastPrinted>
  <dcterms:created xsi:type="dcterms:W3CDTF">2002-04-29T19:59:45Z</dcterms:created>
  <dcterms:modified xsi:type="dcterms:W3CDTF">2022-08-01T05:28:39Z</dcterms:modified>
</cp:coreProperties>
</file>